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worksheets/sheet9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8\11 - Mat. do ZK\MAT do ZK FINAL\"/>
    </mc:Choice>
  </mc:AlternateContent>
  <bookViews>
    <workbookView xWindow="0" yWindow="0" windowWidth="28800" windowHeight="12435" tabRatio="903"/>
  </bookViews>
  <sheets>
    <sheet name="OBSAH" sheetId="2" r:id="rId1"/>
    <sheet name="Dotační programy 2018" sheetId="1" r:id="rId2"/>
    <sheet name="Akce spolufin. z evr.fin.zdr." sheetId="19" r:id="rId3"/>
    <sheet name="Akce EU a jiné akce-úvěr ČSOB" sheetId="7" r:id="rId4"/>
    <sheet name="Akce Chytrý region" sheetId="6" r:id="rId5"/>
    <sheet name="Přehled příjmů" sheetId="8" r:id="rId6"/>
    <sheet name="Graf 1. Rozpočet 2014 - 2018" sheetId="9" r:id="rId7"/>
    <sheet name="Zdrojová data I.s" sheetId="10" state="hidden" r:id="rId8"/>
    <sheet name="Graf 2. Příjmy 2014 - 2018" sheetId="11" r:id="rId9"/>
    <sheet name="Graf 3. Výdaje B+K 2014 - 2018" sheetId="12" r:id="rId10"/>
    <sheet name="Zdrojová data II. a III. s" sheetId="13" state="hidden" r:id="rId11"/>
    <sheet name="Graf 4. Příjmy 2018" sheetId="14" r:id="rId12"/>
    <sheet name="Zdrojová data IV." sheetId="15" state="hidden" r:id="rId13"/>
    <sheet name="Graf 5. Výdaje 2018" sheetId="16" r:id="rId14"/>
    <sheet name="Graf 6. Výdaje EU 2018" sheetId="17" r:id="rId15"/>
    <sheet name="Zdrojová data V.a VI." sheetId="18" state="hidden" r:id="rId16"/>
  </sheets>
  <definedNames>
    <definedName name="_xlnm._FilterDatabase" localSheetId="3" hidden="1">'Akce EU a jiné akce-úvěr ČSOB'!$D$5:$D$162</definedName>
    <definedName name="_xlnm._FilterDatabase" localSheetId="5" hidden="1">'Přehled příjmů'!$A$16:$D$129</definedName>
    <definedName name="_xlnm.Print_Titles" localSheetId="3">'Akce EU a jiné akce-úvěr ČSOB'!$3:$5</definedName>
    <definedName name="_xlnm.Print_Titles" localSheetId="2">'Akce spolufin. z evr.fin.zdr.'!$2:$4</definedName>
    <definedName name="_xlnm.Print_Titles" localSheetId="5">'Přehled příjmů'!$4:$4</definedName>
    <definedName name="_xlnm.Print_Area" localSheetId="3">'Akce EU a jiné akce-úvěr ČSOB'!$A$1:$H$178</definedName>
    <definedName name="_xlnm.Print_Area" localSheetId="2">'Akce spolufin. z evr.fin.zdr.'!$A$1:$K$158</definedName>
    <definedName name="_xlnm.Print_Area" localSheetId="1">'Dotační programy 2018'!$A$1:$G$64</definedName>
    <definedName name="_xlnm.Print_Area" localSheetId="5">'Přehled příjmů'!$A$1:$D$131</definedName>
    <definedName name="Z_14FC9820_EF8C_4D55_8881_D5E51DC559B3_.wvu.Cols" localSheetId="1" hidden="1">'Dotační programy 2018'!#REF!</definedName>
    <definedName name="Z_14FC9820_EF8C_4D55_8881_D5E51DC559B3_.wvu.PrintArea" localSheetId="5" hidden="1">'Přehled příjmů'!$A$1:$D$132</definedName>
    <definedName name="Z_14FC9820_EF8C_4D55_8881_D5E51DC559B3_.wvu.PrintTitles" localSheetId="5" hidden="1">'Přehled příjmů'!$4:$4</definedName>
    <definedName name="Z_1A2744ED_3D3C_453B_8DEF_8F4E6984016E_.wvu.FilterData" localSheetId="3" hidden="1">'Akce EU a jiné akce-úvěr ČSOB'!$D$5:$D$162</definedName>
    <definedName name="Z_1A2744ED_3D3C_453B_8DEF_8F4E6984016E_.wvu.PrintArea" localSheetId="3" hidden="1">'Akce EU a jiné akce-úvěr ČSOB'!$A$1:$H$163</definedName>
    <definedName name="Z_1A2744ED_3D3C_453B_8DEF_8F4E6984016E_.wvu.PrintTitles" localSheetId="3" hidden="1">'Akce EU a jiné akce-úvěr ČSOB'!$3:$5</definedName>
    <definedName name="Z_1E90A3DD_FCD1_4F3E_B827_11DA73B048E3_.wvu.FilterData" localSheetId="3" hidden="1">'Akce EU a jiné akce-úvěr ČSOB'!$D$5:$D$162</definedName>
    <definedName name="Z_1E90A3DD_FCD1_4F3E_B827_11DA73B048E3_.wvu.PrintArea" localSheetId="3" hidden="1">'Akce EU a jiné akce-úvěr ČSOB'!$A$1:$H$163</definedName>
    <definedName name="Z_1E90A3DD_FCD1_4F3E_B827_11DA73B048E3_.wvu.PrintArea" localSheetId="5" hidden="1">'Přehled příjmů'!$A$1:$D$131</definedName>
    <definedName name="Z_1E90A3DD_FCD1_4F3E_B827_11DA73B048E3_.wvu.PrintTitles" localSheetId="3" hidden="1">'Akce EU a jiné akce-úvěr ČSOB'!$3:$5</definedName>
    <definedName name="Z_1E90A3DD_FCD1_4F3E_B827_11DA73B048E3_.wvu.PrintTitles" localSheetId="5" hidden="1">'Přehled příjmů'!$4:$4</definedName>
    <definedName name="Z_49829188_FED5_46AD_A01B_AD023612A570_.wvu.Cols" localSheetId="3" hidden="1">'Akce EU a jiné akce-úvěr ČSOB'!#REF!,'Akce EU a jiné akce-úvěr ČSOB'!#REF!</definedName>
    <definedName name="Z_49829188_FED5_46AD_A01B_AD023612A570_.wvu.PrintTitles" localSheetId="3" hidden="1">'Akce EU a jiné akce-úvěr ČSOB'!$3:$5</definedName>
    <definedName name="Z_50FD6FFB_F825_4068_94B6_F113A32EAE23_.wvu.FilterData" localSheetId="3" hidden="1">'Akce EU a jiné akce-úvěr ČSOB'!$D$5:$D$162</definedName>
    <definedName name="Z_50FD6FFB_F825_4068_94B6_F113A32EAE23_.wvu.PrintArea" localSheetId="3" hidden="1">'Akce EU a jiné akce-úvěr ČSOB'!$A$1:$H$163</definedName>
    <definedName name="Z_50FD6FFB_F825_4068_94B6_F113A32EAE23_.wvu.PrintTitles" localSheetId="3" hidden="1">'Akce EU a jiné akce-úvěr ČSOB'!$3:$5</definedName>
    <definedName name="Z_523D2DC6_8800_4565_9421_6A8DC10C67C8_.wvu.Cols" localSheetId="3" hidden="1">'Akce EU a jiné akce-úvěr ČSOB'!#REF!,'Akce EU a jiné akce-úvěr ČSOB'!#REF!</definedName>
    <definedName name="Z_523D2DC6_8800_4565_9421_6A8DC10C67C8_.wvu.PrintTitles" localSheetId="3" hidden="1">'Akce EU a jiné akce-úvěr ČSOB'!$3:$5</definedName>
    <definedName name="Z_5731BF8D_466E_422F_9BA7_51FFB065F173_.wvu.PrintArea" localSheetId="5" hidden="1">'Přehled příjmů'!$A$1:$D$132</definedName>
    <definedName name="Z_5731BF8D_466E_422F_9BA7_51FFB065F173_.wvu.PrintTitles" localSheetId="5" hidden="1">'Přehled příjmů'!$4:$4</definedName>
    <definedName name="Z_632980EE_AB4F_49FA_B8D9_C4F0628108CE_.wvu.Cols" localSheetId="7" hidden="1">'Zdrojová data I.s'!$B:$E</definedName>
    <definedName name="Z_632980EE_AB4F_49FA_B8D9_C4F0628108CE_.wvu.Cols" localSheetId="10" hidden="1">'Zdrojová data II. a III. s'!$B:$E</definedName>
    <definedName name="Z_632980EE_AB4F_49FA_B8D9_C4F0628108CE_.wvu.Cols" localSheetId="12" hidden="1">'Zdrojová data IV.'!$B:$I</definedName>
    <definedName name="Z_632980EE_AB4F_49FA_B8D9_C4F0628108CE_.wvu.Cols" localSheetId="15" hidden="1">'Zdrojová data V.a VI.'!$B:$I</definedName>
    <definedName name="Z_632980EE_AB4F_49FA_B8D9_C4F0628108CE_.wvu.Rows" localSheetId="7" hidden="1">'Zdrojová data I.s'!$16:$30</definedName>
    <definedName name="Z_632980EE_AB4F_49FA_B8D9_C4F0628108CE_.wvu.Rows" localSheetId="15" hidden="1">'Zdrojová data V.a VI.'!$10:$10,'Zdrojová data V.a VI.'!$27:$27</definedName>
    <definedName name="Z_6667F704_353F_485F_A09F_F23ECB85BB95_.wvu.Cols" localSheetId="2" hidden="1">'Akce spolufin. z evr.fin.zdr.'!$C:$C,'Akce spolufin. z evr.fin.zdr.'!$E:$E,'Akce spolufin. z evr.fin.zdr.'!$L:$L,'Akce spolufin. z evr.fin.zdr.'!$JF:$JF,'Akce spolufin. z evr.fin.zdr.'!$TB:$TB,'Akce spolufin. z evr.fin.zdr.'!$ACX:$ACX,'Akce spolufin. z evr.fin.zdr.'!$AMT:$AMT,'Akce spolufin. z evr.fin.zdr.'!$AWP:$AWP,'Akce spolufin. z evr.fin.zdr.'!$BGL:$BGL,'Akce spolufin. z evr.fin.zdr.'!$BQH:$BQH,'Akce spolufin. z evr.fin.zdr.'!$CAD:$CAD,'Akce spolufin. z evr.fin.zdr.'!$CJZ:$CJZ,'Akce spolufin. z evr.fin.zdr.'!$CTV:$CTV,'Akce spolufin. z evr.fin.zdr.'!$DDR:$DDR,'Akce spolufin. z evr.fin.zdr.'!$DNN:$DNN,'Akce spolufin. z evr.fin.zdr.'!$DXJ:$DXJ,'Akce spolufin. z evr.fin.zdr.'!$EHF:$EHF,'Akce spolufin. z evr.fin.zdr.'!$ERB:$ERB,'Akce spolufin. z evr.fin.zdr.'!$FAX:$FAX,'Akce spolufin. z evr.fin.zdr.'!$FKT:$FKT,'Akce spolufin. z evr.fin.zdr.'!$FUP:$FUP,'Akce spolufin. z evr.fin.zdr.'!$GEL:$GEL,'Akce spolufin. z evr.fin.zdr.'!$GOH:$GOH,'Akce spolufin. z evr.fin.zdr.'!$GYD:$GYD,'Akce spolufin. z evr.fin.zdr.'!$HHZ:$HHZ,'Akce spolufin. z evr.fin.zdr.'!$HRV:$HRV,'Akce spolufin. z evr.fin.zdr.'!$IBR:$IBR,'Akce spolufin. z evr.fin.zdr.'!$ILN:$ILN,'Akce spolufin. z evr.fin.zdr.'!$IVJ:$IVJ,'Akce spolufin. z evr.fin.zdr.'!$JFF:$JFF,'Akce spolufin. z evr.fin.zdr.'!$JPB:$JPB,'Akce spolufin. z evr.fin.zdr.'!$JYX:$JYX,'Akce spolufin. z evr.fin.zdr.'!$KIT:$KIT,'Akce spolufin. z evr.fin.zdr.'!$KSP:$KSP,'Akce spolufin. z evr.fin.zdr.'!$LCL:$LCL,'Akce spolufin. z evr.fin.zdr.'!$LMH:$LMH,'Akce spolufin. z evr.fin.zdr.'!$LWD:$LWD,'Akce spolufin. z evr.fin.zdr.'!$MFZ:$MFZ,'Akce spolufin. z evr.fin.zdr.'!$MPV:$MPV,'Akce spolufin. z evr.fin.zdr.'!$MZR:$MZR,'Akce spolufin. z evr.fin.zdr.'!$NJN:$NJN,'Akce spolufin. z evr.fin.zdr.'!$NTJ:$NTJ,'Akce spolufin. z evr.fin.zdr.'!$ODF:$ODF,'Akce spolufin. z evr.fin.zdr.'!$ONB:$ONB,'Akce spolufin. z evr.fin.zdr.'!$OWX:$OWX,'Akce spolufin. z evr.fin.zdr.'!$PGT:$PGT,'Akce spolufin. z evr.fin.zdr.'!$PQP:$PQP,'Akce spolufin. z evr.fin.zdr.'!$QAL:$QAL,'Akce spolufin. z evr.fin.zdr.'!$QKH:$QKH,'Akce spolufin. z evr.fin.zdr.'!$QUD:$QUD,'Akce spolufin. z evr.fin.zdr.'!$RDZ:$RDZ,'Akce spolufin. z evr.fin.zdr.'!$RNV:$RNV,'Akce spolufin. z evr.fin.zdr.'!$RXR:$RXR,'Akce spolufin. z evr.fin.zdr.'!$SHN:$SHN,'Akce spolufin. z evr.fin.zdr.'!$SRJ:$SRJ,'Akce spolufin. z evr.fin.zdr.'!$TBF:$TBF,'Akce spolufin. z evr.fin.zdr.'!$TLB:$TLB,'Akce spolufin. z evr.fin.zdr.'!$TUX:$TUX,'Akce spolufin. z evr.fin.zdr.'!$UET:$UET,'Akce spolufin. z evr.fin.zdr.'!$UOP:$UOP,'Akce spolufin. z evr.fin.zdr.'!$UYL:$UYL,'Akce spolufin. z evr.fin.zdr.'!$VIH:$VIH,'Akce spolufin. z evr.fin.zdr.'!$VSD:$VSD,'Akce spolufin. z evr.fin.zdr.'!$WBZ:$WBZ,'Akce spolufin. z evr.fin.zdr.'!$WLV:$WLV,'Akce spolufin. z evr.fin.zdr.'!$WVR:$WVR</definedName>
    <definedName name="Z_6667F704_353F_485F_A09F_F23ECB85BB95_.wvu.PrintArea" localSheetId="2" hidden="1">'Akce spolufin. z evr.fin.zdr.'!$A$1:$K$158</definedName>
    <definedName name="Z_6667F704_353F_485F_A09F_F23ECB85BB95_.wvu.PrintTitles" localSheetId="2" hidden="1">'Akce spolufin. z evr.fin.zdr.'!$2:$4</definedName>
    <definedName name="Z_8135008D_FA09_47D0_A3D6_431443FF0074_.wvu.PrintArea" localSheetId="1" hidden="1">'Dotační programy 2018'!$A$1:$G$64</definedName>
    <definedName name="Z_816DCA7E_FC41_44AE_85AF_FE12F0BC4BE0_.wvu.PrintArea" localSheetId="1" hidden="1">'Dotační programy 2018'!$A$1:$G$64</definedName>
    <definedName name="Z_8DF5934D_271D_4996_8FBD_8BBE47175559_.wvu.Cols" localSheetId="2" hidden="1">'Akce spolufin. z evr.fin.zdr.'!$C:$C,'Akce spolufin. z evr.fin.zdr.'!$E:$E,'Akce spolufin. z evr.fin.zdr.'!$L:$L,'Akce spolufin. z evr.fin.zdr.'!$JF:$JF,'Akce spolufin. z evr.fin.zdr.'!$TB:$TB,'Akce spolufin. z evr.fin.zdr.'!$ACX:$ACX,'Akce spolufin. z evr.fin.zdr.'!$AMT:$AMT,'Akce spolufin. z evr.fin.zdr.'!$AWP:$AWP,'Akce spolufin. z evr.fin.zdr.'!$BGL:$BGL,'Akce spolufin. z evr.fin.zdr.'!$BQH:$BQH,'Akce spolufin. z evr.fin.zdr.'!$CAD:$CAD,'Akce spolufin. z evr.fin.zdr.'!$CJZ:$CJZ,'Akce spolufin. z evr.fin.zdr.'!$CTV:$CTV,'Akce spolufin. z evr.fin.zdr.'!$DDR:$DDR,'Akce spolufin. z evr.fin.zdr.'!$DNN:$DNN,'Akce spolufin. z evr.fin.zdr.'!$DXJ:$DXJ,'Akce spolufin. z evr.fin.zdr.'!$EHF:$EHF,'Akce spolufin. z evr.fin.zdr.'!$ERB:$ERB,'Akce spolufin. z evr.fin.zdr.'!$FAX:$FAX,'Akce spolufin. z evr.fin.zdr.'!$FKT:$FKT,'Akce spolufin. z evr.fin.zdr.'!$FUP:$FUP,'Akce spolufin. z evr.fin.zdr.'!$GEL:$GEL,'Akce spolufin. z evr.fin.zdr.'!$GOH:$GOH,'Akce spolufin. z evr.fin.zdr.'!$GYD:$GYD,'Akce spolufin. z evr.fin.zdr.'!$HHZ:$HHZ,'Akce spolufin. z evr.fin.zdr.'!$HRV:$HRV,'Akce spolufin. z evr.fin.zdr.'!$IBR:$IBR,'Akce spolufin. z evr.fin.zdr.'!$ILN:$ILN,'Akce spolufin. z evr.fin.zdr.'!$IVJ:$IVJ,'Akce spolufin. z evr.fin.zdr.'!$JFF:$JFF,'Akce spolufin. z evr.fin.zdr.'!$JPB:$JPB,'Akce spolufin. z evr.fin.zdr.'!$JYX:$JYX,'Akce spolufin. z evr.fin.zdr.'!$KIT:$KIT,'Akce spolufin. z evr.fin.zdr.'!$KSP:$KSP,'Akce spolufin. z evr.fin.zdr.'!$LCL:$LCL,'Akce spolufin. z evr.fin.zdr.'!$LMH:$LMH,'Akce spolufin. z evr.fin.zdr.'!$LWD:$LWD,'Akce spolufin. z evr.fin.zdr.'!$MFZ:$MFZ,'Akce spolufin. z evr.fin.zdr.'!$MPV:$MPV,'Akce spolufin. z evr.fin.zdr.'!$MZR:$MZR,'Akce spolufin. z evr.fin.zdr.'!$NJN:$NJN,'Akce spolufin. z evr.fin.zdr.'!$NTJ:$NTJ,'Akce spolufin. z evr.fin.zdr.'!$ODF:$ODF,'Akce spolufin. z evr.fin.zdr.'!$ONB:$ONB,'Akce spolufin. z evr.fin.zdr.'!$OWX:$OWX,'Akce spolufin. z evr.fin.zdr.'!$PGT:$PGT,'Akce spolufin. z evr.fin.zdr.'!$PQP:$PQP,'Akce spolufin. z evr.fin.zdr.'!$QAL:$QAL,'Akce spolufin. z evr.fin.zdr.'!$QKH:$QKH,'Akce spolufin. z evr.fin.zdr.'!$QUD:$QUD,'Akce spolufin. z evr.fin.zdr.'!$RDZ:$RDZ,'Akce spolufin. z evr.fin.zdr.'!$RNV:$RNV,'Akce spolufin. z evr.fin.zdr.'!$RXR:$RXR,'Akce spolufin. z evr.fin.zdr.'!$SHN:$SHN,'Akce spolufin. z evr.fin.zdr.'!$SRJ:$SRJ,'Akce spolufin. z evr.fin.zdr.'!$TBF:$TBF,'Akce spolufin. z evr.fin.zdr.'!$TLB:$TLB,'Akce spolufin. z evr.fin.zdr.'!$TUX:$TUX,'Akce spolufin. z evr.fin.zdr.'!$UET:$UET,'Akce spolufin. z evr.fin.zdr.'!$UOP:$UOP,'Akce spolufin. z evr.fin.zdr.'!$UYL:$UYL,'Akce spolufin. z evr.fin.zdr.'!$VIH:$VIH,'Akce spolufin. z evr.fin.zdr.'!$VSD:$VSD,'Akce spolufin. z evr.fin.zdr.'!$WBZ:$WBZ,'Akce spolufin. z evr.fin.zdr.'!$WLV:$WLV,'Akce spolufin. z evr.fin.zdr.'!$WVR:$WVR</definedName>
    <definedName name="Z_8DF5934D_271D_4996_8FBD_8BBE47175559_.wvu.Cols" localSheetId="7" hidden="1">'Zdrojová data I.s'!$B:$E</definedName>
    <definedName name="Z_8DF5934D_271D_4996_8FBD_8BBE47175559_.wvu.Cols" localSheetId="10" hidden="1">'Zdrojová data II. a III. s'!$B:$E</definedName>
    <definedName name="Z_8DF5934D_271D_4996_8FBD_8BBE47175559_.wvu.Cols" localSheetId="12" hidden="1">'Zdrojová data IV.'!$B:$M</definedName>
    <definedName name="Z_8DF5934D_271D_4996_8FBD_8BBE47175559_.wvu.Cols" localSheetId="15" hidden="1">'Zdrojová data V.a VI.'!$B:$M</definedName>
    <definedName name="Z_8DF5934D_271D_4996_8FBD_8BBE47175559_.wvu.FilterData" localSheetId="3" hidden="1">'Akce EU a jiné akce-úvěr ČSOB'!$D$5:$D$162</definedName>
    <definedName name="Z_8DF5934D_271D_4996_8FBD_8BBE47175559_.wvu.FilterData" localSheetId="5" hidden="1">'Přehled příjmů'!$A$16:$D$129</definedName>
    <definedName name="Z_8DF5934D_271D_4996_8FBD_8BBE47175559_.wvu.PrintArea" localSheetId="3" hidden="1">'Akce EU a jiné akce-úvěr ČSOB'!$A$1:$H$166</definedName>
    <definedName name="Z_8DF5934D_271D_4996_8FBD_8BBE47175559_.wvu.PrintArea" localSheetId="2" hidden="1">'Akce spolufin. z evr.fin.zdr.'!$A$1:$K$158</definedName>
    <definedName name="Z_8DF5934D_271D_4996_8FBD_8BBE47175559_.wvu.PrintArea" localSheetId="1" hidden="1">'Dotační programy 2018'!$A$1:$G$64</definedName>
    <definedName name="Z_8DF5934D_271D_4996_8FBD_8BBE47175559_.wvu.PrintArea" localSheetId="5" hidden="1">'Přehled příjmů'!$A$1:$D$131</definedName>
    <definedName name="Z_8DF5934D_271D_4996_8FBD_8BBE47175559_.wvu.PrintTitles" localSheetId="3" hidden="1">'Akce EU a jiné akce-úvěr ČSOB'!$3:$5</definedName>
    <definedName name="Z_8DF5934D_271D_4996_8FBD_8BBE47175559_.wvu.PrintTitles" localSheetId="2" hidden="1">'Akce spolufin. z evr.fin.zdr.'!$2:$4</definedName>
    <definedName name="Z_8DF5934D_271D_4996_8FBD_8BBE47175559_.wvu.PrintTitles" localSheetId="5" hidden="1">'Přehled příjmů'!$4:$4</definedName>
    <definedName name="Z_8DF5934D_271D_4996_8FBD_8BBE47175559_.wvu.Rows" localSheetId="7" hidden="1">'Zdrojová data I.s'!$16:$30</definedName>
    <definedName name="Z_8DF5934D_271D_4996_8FBD_8BBE47175559_.wvu.Rows" localSheetId="15" hidden="1">'Zdrojová data V.a VI.'!$10:$10,'Zdrojová data V.a VI.'!$27:$27</definedName>
    <definedName name="Z_AE6F0D81_F630_472F_8BD4_EE2E1E40DF28_.wvu.PrintArea" localSheetId="3" hidden="1">'Akce EU a jiné akce-úvěr ČSOB'!$A$1:$G$163</definedName>
    <definedName name="Z_AE6F0D81_F630_472F_8BD4_EE2E1E40DF28_.wvu.PrintArea" localSheetId="1" hidden="1">'Dotační programy 2018'!$A$1:$G$64</definedName>
    <definedName name="Z_AE6F0D81_F630_472F_8BD4_EE2E1E40DF28_.wvu.PrintArea" localSheetId="5" hidden="1">'Přehled příjmů'!$A$1:$D$131</definedName>
    <definedName name="Z_AE6F0D81_F630_472F_8BD4_EE2E1E40DF28_.wvu.PrintTitles" localSheetId="3" hidden="1">'Akce EU a jiné akce-úvěr ČSOB'!$3:$5</definedName>
    <definedName name="Z_AE6F0D81_F630_472F_8BD4_EE2E1E40DF28_.wvu.PrintTitles" localSheetId="5" hidden="1">'Přehled příjmů'!$4:$4</definedName>
    <definedName name="Z_AF65B0D2_A89B_4D75_B4AE_5BFEE1615BA9_.wvu.Cols" localSheetId="2" hidden="1">'Akce spolufin. z evr.fin.zdr.'!$L:$L,'Akce spolufin. z evr.fin.zdr.'!$JF:$JF,'Akce spolufin. z evr.fin.zdr.'!$TB:$TB,'Akce spolufin. z evr.fin.zdr.'!$ACX:$ACX,'Akce spolufin. z evr.fin.zdr.'!$AMT:$AMT,'Akce spolufin. z evr.fin.zdr.'!$AWP:$AWP,'Akce spolufin. z evr.fin.zdr.'!$BGL:$BGL,'Akce spolufin. z evr.fin.zdr.'!$BQH:$BQH,'Akce spolufin. z evr.fin.zdr.'!$CAD:$CAD,'Akce spolufin. z evr.fin.zdr.'!$CJZ:$CJZ,'Akce spolufin. z evr.fin.zdr.'!$CTV:$CTV,'Akce spolufin. z evr.fin.zdr.'!$DDR:$DDR,'Akce spolufin. z evr.fin.zdr.'!$DNN:$DNN,'Akce spolufin. z evr.fin.zdr.'!$DXJ:$DXJ,'Akce spolufin. z evr.fin.zdr.'!$EHF:$EHF,'Akce spolufin. z evr.fin.zdr.'!$ERB:$ERB,'Akce spolufin. z evr.fin.zdr.'!$FAX:$FAX,'Akce spolufin. z evr.fin.zdr.'!$FKT:$FKT,'Akce spolufin. z evr.fin.zdr.'!$FUP:$FUP,'Akce spolufin. z evr.fin.zdr.'!$GEL:$GEL,'Akce spolufin. z evr.fin.zdr.'!$GOH:$GOH,'Akce spolufin. z evr.fin.zdr.'!$GYD:$GYD,'Akce spolufin. z evr.fin.zdr.'!$HHZ:$HHZ,'Akce spolufin. z evr.fin.zdr.'!$HRV:$HRV,'Akce spolufin. z evr.fin.zdr.'!$IBR:$IBR,'Akce spolufin. z evr.fin.zdr.'!$ILN:$ILN,'Akce spolufin. z evr.fin.zdr.'!$IVJ:$IVJ,'Akce spolufin. z evr.fin.zdr.'!$JFF:$JFF,'Akce spolufin. z evr.fin.zdr.'!$JPB:$JPB,'Akce spolufin. z evr.fin.zdr.'!$JYX:$JYX,'Akce spolufin. z evr.fin.zdr.'!$KIT:$KIT,'Akce spolufin. z evr.fin.zdr.'!$KSP:$KSP,'Akce spolufin. z evr.fin.zdr.'!$LCL:$LCL,'Akce spolufin. z evr.fin.zdr.'!$LMH:$LMH,'Akce spolufin. z evr.fin.zdr.'!$LWD:$LWD,'Akce spolufin. z evr.fin.zdr.'!$MFZ:$MFZ,'Akce spolufin. z evr.fin.zdr.'!$MPV:$MPV,'Akce spolufin. z evr.fin.zdr.'!$MZR:$MZR,'Akce spolufin. z evr.fin.zdr.'!$NJN:$NJN,'Akce spolufin. z evr.fin.zdr.'!$NTJ:$NTJ,'Akce spolufin. z evr.fin.zdr.'!$ODF:$ODF,'Akce spolufin. z evr.fin.zdr.'!$ONB:$ONB,'Akce spolufin. z evr.fin.zdr.'!$OWX:$OWX,'Akce spolufin. z evr.fin.zdr.'!$PGT:$PGT,'Akce spolufin. z evr.fin.zdr.'!$PQP:$PQP,'Akce spolufin. z evr.fin.zdr.'!$QAL:$QAL,'Akce spolufin. z evr.fin.zdr.'!$QKH:$QKH,'Akce spolufin. z evr.fin.zdr.'!$QUD:$QUD,'Akce spolufin. z evr.fin.zdr.'!$RDZ:$RDZ,'Akce spolufin. z evr.fin.zdr.'!$RNV:$RNV,'Akce spolufin. z evr.fin.zdr.'!$RXR:$RXR,'Akce spolufin. z evr.fin.zdr.'!$SHN:$SHN,'Akce spolufin. z evr.fin.zdr.'!$SRJ:$SRJ,'Akce spolufin. z evr.fin.zdr.'!$TBF:$TBF,'Akce spolufin. z evr.fin.zdr.'!$TLB:$TLB,'Akce spolufin. z evr.fin.zdr.'!$TUX:$TUX,'Akce spolufin. z evr.fin.zdr.'!$UET:$UET,'Akce spolufin. z evr.fin.zdr.'!$UOP:$UOP,'Akce spolufin. z evr.fin.zdr.'!$UYL:$UYL,'Akce spolufin. z evr.fin.zdr.'!$VIH:$VIH,'Akce spolufin. z evr.fin.zdr.'!$VSD:$VSD,'Akce spolufin. z evr.fin.zdr.'!$WBZ:$WBZ,'Akce spolufin. z evr.fin.zdr.'!$WLV:$WLV,'Akce spolufin. z evr.fin.zdr.'!$WVR:$WVR</definedName>
    <definedName name="Z_AF65B0D2_A89B_4D75_B4AE_5BFEE1615BA9_.wvu.PrintArea" localSheetId="1" hidden="1">'Dotační programy 2018'!$A$1:$G$64</definedName>
    <definedName name="Z_AF65B0D2_A89B_4D75_B4AE_5BFEE1615BA9_.wvu.PrintTitles" localSheetId="2" hidden="1">'Akce spolufin. z evr.fin.zdr.'!$2:$4</definedName>
    <definedName name="Z_BC947331_EC23_47B8_95C2_52EE1CF909F4_.wvu.Cols" localSheetId="3" hidden="1">'Akce EU a jiné akce-úvěr ČSOB'!#REF!,'Akce EU a jiné akce-úvěr ČSOB'!#REF!</definedName>
    <definedName name="Z_BC947331_EC23_47B8_95C2_52EE1CF909F4_.wvu.PrintTitles" localSheetId="3" hidden="1">'Akce EU a jiné akce-úvěr ČSOB'!$3:$5</definedName>
    <definedName name="Z_C49FCFC9_CF51_484E_9F6E_E5FACC7A48A4_.wvu.Cols" localSheetId="1" hidden="1">'Dotační programy 2018'!#REF!</definedName>
    <definedName name="Z_CD401C54_B1E7_4A40_A5B1_2308B06AE91E_.wvu.PrintArea" localSheetId="3" hidden="1">'Akce EU a jiné akce-úvěr ČSOB'!$A$1:$G$163</definedName>
    <definedName name="Z_CD401C54_B1E7_4A40_A5B1_2308B06AE91E_.wvu.PrintTitles" localSheetId="3" hidden="1">'Akce EU a jiné akce-úvěr ČSOB'!$3:$5</definedName>
    <definedName name="Z_E36FAFAE_B2F9_4A3A_BBF4_88C4AE97E161_.wvu.PrintArea" localSheetId="3" hidden="1">'Akce EU a jiné akce-úvěr ČSOB'!$A$1:$G$163</definedName>
    <definedName name="Z_E36FAFAE_B2F9_4A3A_BBF4_88C4AE97E161_.wvu.PrintTitles" localSheetId="3" hidden="1">'Akce EU a jiné akce-úvěr ČSOB'!$3:$5</definedName>
    <definedName name="Z_EBE613F2_32CB_4E3D_B0BB_2E9DFB67D43D_.wvu.Cols" localSheetId="3" hidden="1">'Akce EU a jiné akce-úvěr ČSOB'!#REF!,'Akce EU a jiné akce-úvěr ČSOB'!#REF!</definedName>
    <definedName name="Z_EBE613F2_32CB_4E3D_B0BB_2E9DFB67D43D_.wvu.PrintTitles" localSheetId="3" hidden="1">'Akce EU a jiné akce-úvěr ČSOB'!$3:$5</definedName>
    <definedName name="Z_EFAD90BE_EFFB_4F0D_9A95_6915124B8751_.wvu.Cols" localSheetId="7" hidden="1">'Zdrojová data I.s'!$B:$E</definedName>
    <definedName name="Z_EFAD90BE_EFFB_4F0D_9A95_6915124B8751_.wvu.Cols" localSheetId="10" hidden="1">'Zdrojová data II. a III. s'!$B:$E</definedName>
    <definedName name="Z_EFAD90BE_EFFB_4F0D_9A95_6915124B8751_.wvu.Cols" localSheetId="12" hidden="1">'Zdrojová data IV.'!$B:$M</definedName>
    <definedName name="Z_EFAD90BE_EFFB_4F0D_9A95_6915124B8751_.wvu.Cols" localSheetId="15" hidden="1">'Zdrojová data V.a VI.'!$B:$M</definedName>
    <definedName name="Z_EFAD90BE_EFFB_4F0D_9A95_6915124B8751_.wvu.Rows" localSheetId="7" hidden="1">'Zdrojová data I.s'!$16:$30</definedName>
    <definedName name="Z_EFAD90BE_EFFB_4F0D_9A95_6915124B8751_.wvu.Rows" localSheetId="15" hidden="1">'Zdrojová data V.a VI.'!$10:$10,'Zdrojová data V.a VI.'!$27:$27</definedName>
    <definedName name="Z_F55F3396_F003_4C77_BF1B_160F1F658C4B_.wvu.Cols" localSheetId="1" hidden="1">'Dotační programy 2018'!#REF!</definedName>
    <definedName name="Z_F55F3396_F003_4C77_BF1B_160F1F658C4B_.wvu.PrintArea" localSheetId="1" hidden="1">'Dotační programy 2018'!$B$1:$H$64</definedName>
    <definedName name="Z_FE857634_B83D_4669_BE72_6E5297B7F9FE_.wvu.Rows" localSheetId="7" hidden="1">'Zdrojová data I.s'!$16:$30</definedName>
    <definedName name="Z_FFF09864_B75B_45CC_8A23_7ED56E2D3858_.wvu.Cols" localSheetId="2" hidden="1">'Akce spolufin. z evr.fin.zdr.'!$L:$L,'Akce spolufin. z evr.fin.zdr.'!$JF:$JF,'Akce spolufin. z evr.fin.zdr.'!$TB:$TB,'Akce spolufin. z evr.fin.zdr.'!$ACX:$ACX,'Akce spolufin. z evr.fin.zdr.'!$AMT:$AMT,'Akce spolufin. z evr.fin.zdr.'!$AWP:$AWP,'Akce spolufin. z evr.fin.zdr.'!$BGL:$BGL,'Akce spolufin. z evr.fin.zdr.'!$BQH:$BQH,'Akce spolufin. z evr.fin.zdr.'!$CAD:$CAD,'Akce spolufin. z evr.fin.zdr.'!$CJZ:$CJZ,'Akce spolufin. z evr.fin.zdr.'!$CTV:$CTV,'Akce spolufin. z evr.fin.zdr.'!$DDR:$DDR,'Akce spolufin. z evr.fin.zdr.'!$DNN:$DNN,'Akce spolufin. z evr.fin.zdr.'!$DXJ:$DXJ,'Akce spolufin. z evr.fin.zdr.'!$EHF:$EHF,'Akce spolufin. z evr.fin.zdr.'!$ERB:$ERB,'Akce spolufin. z evr.fin.zdr.'!$FAX:$FAX,'Akce spolufin. z evr.fin.zdr.'!$FKT:$FKT,'Akce spolufin. z evr.fin.zdr.'!$FUP:$FUP,'Akce spolufin. z evr.fin.zdr.'!$GEL:$GEL,'Akce spolufin. z evr.fin.zdr.'!$GOH:$GOH,'Akce spolufin. z evr.fin.zdr.'!$GYD:$GYD,'Akce spolufin. z evr.fin.zdr.'!$HHZ:$HHZ,'Akce spolufin. z evr.fin.zdr.'!$HRV:$HRV,'Akce spolufin. z evr.fin.zdr.'!$IBR:$IBR,'Akce spolufin. z evr.fin.zdr.'!$ILN:$ILN,'Akce spolufin. z evr.fin.zdr.'!$IVJ:$IVJ,'Akce spolufin. z evr.fin.zdr.'!$JFF:$JFF,'Akce spolufin. z evr.fin.zdr.'!$JPB:$JPB,'Akce spolufin. z evr.fin.zdr.'!$JYX:$JYX,'Akce spolufin. z evr.fin.zdr.'!$KIT:$KIT,'Akce spolufin. z evr.fin.zdr.'!$KSP:$KSP,'Akce spolufin. z evr.fin.zdr.'!$LCL:$LCL,'Akce spolufin. z evr.fin.zdr.'!$LMH:$LMH,'Akce spolufin. z evr.fin.zdr.'!$LWD:$LWD,'Akce spolufin. z evr.fin.zdr.'!$MFZ:$MFZ,'Akce spolufin. z evr.fin.zdr.'!$MPV:$MPV,'Akce spolufin. z evr.fin.zdr.'!$MZR:$MZR,'Akce spolufin. z evr.fin.zdr.'!$NJN:$NJN,'Akce spolufin. z evr.fin.zdr.'!$NTJ:$NTJ,'Akce spolufin. z evr.fin.zdr.'!$ODF:$ODF,'Akce spolufin. z evr.fin.zdr.'!$ONB:$ONB,'Akce spolufin. z evr.fin.zdr.'!$OWX:$OWX,'Akce spolufin. z evr.fin.zdr.'!$PGT:$PGT,'Akce spolufin. z evr.fin.zdr.'!$PQP:$PQP,'Akce spolufin. z evr.fin.zdr.'!$QAL:$QAL,'Akce spolufin. z evr.fin.zdr.'!$QKH:$QKH,'Akce spolufin. z evr.fin.zdr.'!$QUD:$QUD,'Akce spolufin. z evr.fin.zdr.'!$RDZ:$RDZ,'Akce spolufin. z evr.fin.zdr.'!$RNV:$RNV,'Akce spolufin. z evr.fin.zdr.'!$RXR:$RXR,'Akce spolufin. z evr.fin.zdr.'!$SHN:$SHN,'Akce spolufin. z evr.fin.zdr.'!$SRJ:$SRJ,'Akce spolufin. z evr.fin.zdr.'!$TBF:$TBF,'Akce spolufin. z evr.fin.zdr.'!$TLB:$TLB,'Akce spolufin. z evr.fin.zdr.'!$TUX:$TUX,'Akce spolufin. z evr.fin.zdr.'!$UET:$UET,'Akce spolufin. z evr.fin.zdr.'!$UOP:$UOP,'Akce spolufin. z evr.fin.zdr.'!$UYL:$UYL,'Akce spolufin. z evr.fin.zdr.'!$VIH:$VIH,'Akce spolufin. z evr.fin.zdr.'!$VSD:$VSD,'Akce spolufin. z evr.fin.zdr.'!$WBZ:$WBZ,'Akce spolufin. z evr.fin.zdr.'!$WLV:$WLV,'Akce spolufin. z evr.fin.zdr.'!$WVR:$WVR</definedName>
    <definedName name="Z_FFF09864_B75B_45CC_8A23_7ED56E2D3858_.wvu.FilterData" localSheetId="3" hidden="1">'Akce EU a jiné akce-úvěr ČSOB'!$D$5:$D$162</definedName>
    <definedName name="Z_FFF09864_B75B_45CC_8A23_7ED56E2D3858_.wvu.FilterData" localSheetId="5" hidden="1">'Přehled příjmů'!$A$56:$D$129</definedName>
    <definedName name="Z_FFF09864_B75B_45CC_8A23_7ED56E2D3858_.wvu.PrintArea" localSheetId="3" hidden="1">'Akce EU a jiné akce-úvěr ČSOB'!$A$1:$H$163</definedName>
    <definedName name="Z_FFF09864_B75B_45CC_8A23_7ED56E2D3858_.wvu.PrintArea" localSheetId="1" hidden="1">'Dotační programy 2018'!$A$1:$G$64</definedName>
    <definedName name="Z_FFF09864_B75B_45CC_8A23_7ED56E2D3858_.wvu.PrintArea" localSheetId="5" hidden="1">'Přehled příjmů'!$A$1:$D$131</definedName>
    <definedName name="Z_FFF09864_B75B_45CC_8A23_7ED56E2D3858_.wvu.PrintTitles" localSheetId="3" hidden="1">'Akce EU a jiné akce-úvěr ČSOB'!$3:$5</definedName>
    <definedName name="Z_FFF09864_B75B_45CC_8A23_7ED56E2D3858_.wvu.PrintTitles" localSheetId="2" hidden="1">'Akce spolufin. z evr.fin.zdr.'!$2:$4</definedName>
    <definedName name="Z_FFF09864_B75B_45CC_8A23_7ED56E2D3858_.wvu.PrintTitles" localSheetId="5" hidden="1">'Přehled příjmů'!$4:$4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6" i="19" l="1"/>
  <c r="I156" i="19"/>
  <c r="H156" i="19"/>
  <c r="E156" i="19"/>
  <c r="D156" i="19"/>
  <c r="G151" i="19"/>
  <c r="G156" i="19" s="1"/>
  <c r="F151" i="19"/>
  <c r="F156" i="19" s="1"/>
  <c r="J144" i="19"/>
  <c r="J158" i="19" s="1"/>
  <c r="I144" i="19"/>
  <c r="I158" i="19" s="1"/>
  <c r="H144" i="19"/>
  <c r="E144" i="19"/>
  <c r="E158" i="19" s="1"/>
  <c r="D144" i="19"/>
  <c r="G141" i="19"/>
  <c r="F141" i="19"/>
  <c r="F144" i="19" s="1"/>
  <c r="G136" i="19"/>
  <c r="G144" i="19" s="1"/>
  <c r="F136" i="19"/>
  <c r="J134" i="19"/>
  <c r="I134" i="19"/>
  <c r="H134" i="19"/>
  <c r="E134" i="19"/>
  <c r="D134" i="19"/>
  <c r="G104" i="19"/>
  <c r="G134" i="19" s="1"/>
  <c r="F104" i="19"/>
  <c r="F134" i="19" s="1"/>
  <c r="J102" i="19"/>
  <c r="I102" i="19"/>
  <c r="H102" i="19"/>
  <c r="E102" i="19"/>
  <c r="D102" i="19"/>
  <c r="G85" i="19"/>
  <c r="F85" i="19"/>
  <c r="F102" i="19" s="1"/>
  <c r="G84" i="19"/>
  <c r="G102" i="19" s="1"/>
  <c r="F84" i="19"/>
  <c r="J77" i="19"/>
  <c r="I77" i="19"/>
  <c r="H77" i="19"/>
  <c r="G77" i="19"/>
  <c r="F77" i="19"/>
  <c r="E77" i="19"/>
  <c r="D77" i="19"/>
  <c r="J66" i="19"/>
  <c r="I66" i="19"/>
  <c r="H66" i="19"/>
  <c r="F66" i="19"/>
  <c r="E66" i="19"/>
  <c r="D66" i="19"/>
  <c r="G63" i="19"/>
  <c r="G66" i="19" s="1"/>
  <c r="J58" i="19"/>
  <c r="I58" i="19"/>
  <c r="H58" i="19"/>
  <c r="E58" i="19"/>
  <c r="G56" i="19"/>
  <c r="F56" i="19"/>
  <c r="G53" i="19"/>
  <c r="F53" i="19"/>
  <c r="F52" i="19"/>
  <c r="D52" i="19" s="1"/>
  <c r="D58" i="19" s="1"/>
  <c r="G51" i="19"/>
  <c r="F51" i="19"/>
  <c r="G50" i="19"/>
  <c r="F50" i="19"/>
  <c r="G49" i="19"/>
  <c r="F49" i="19"/>
  <c r="G47" i="19"/>
  <c r="G58" i="19" s="1"/>
  <c r="F47" i="19"/>
  <c r="F58" i="19" s="1"/>
  <c r="J43" i="19"/>
  <c r="I43" i="19"/>
  <c r="H43" i="19"/>
  <c r="G43" i="19"/>
  <c r="F43" i="19"/>
  <c r="E43" i="19"/>
  <c r="D43" i="19"/>
  <c r="J36" i="19"/>
  <c r="I36" i="19"/>
  <c r="H36" i="19"/>
  <c r="E36" i="19"/>
  <c r="D36" i="19"/>
  <c r="G29" i="19"/>
  <c r="F29" i="19"/>
  <c r="G27" i="19"/>
  <c r="F27" i="19"/>
  <c r="G26" i="19"/>
  <c r="G36" i="19" s="1"/>
  <c r="F26" i="19"/>
  <c r="F36" i="19" s="1"/>
  <c r="J17" i="19"/>
  <c r="I17" i="19"/>
  <c r="H17" i="19"/>
  <c r="G17" i="19"/>
  <c r="F17" i="19"/>
  <c r="E17" i="19"/>
  <c r="D17" i="19"/>
  <c r="J12" i="19"/>
  <c r="I12" i="19"/>
  <c r="H12" i="19"/>
  <c r="H158" i="19" s="1"/>
  <c r="E12" i="19"/>
  <c r="D12" i="19"/>
  <c r="G10" i="19"/>
  <c r="G12" i="19" s="1"/>
  <c r="F10" i="19"/>
  <c r="G9" i="19"/>
  <c r="F9" i="19"/>
  <c r="F12" i="19" s="1"/>
  <c r="G158" i="19" l="1"/>
  <c r="F158" i="19"/>
  <c r="D158" i="19"/>
  <c r="T3" i="18"/>
  <c r="U3" i="18" s="1"/>
  <c r="W3" i="18"/>
  <c r="P4" i="18"/>
  <c r="Q4" i="18" s="1"/>
  <c r="W4" i="18"/>
  <c r="D5" i="18"/>
  <c r="F5" i="18"/>
  <c r="K5" i="18"/>
  <c r="P5" i="18"/>
  <c r="R5" i="18"/>
  <c r="T5" i="18"/>
  <c r="D6" i="18"/>
  <c r="E6" i="18" s="1"/>
  <c r="F6" i="18"/>
  <c r="G6" i="18" s="1"/>
  <c r="O7" i="18"/>
  <c r="W7" i="18"/>
  <c r="O8" i="18"/>
  <c r="W8" i="18"/>
  <c r="O9" i="18"/>
  <c r="W9" i="18"/>
  <c r="O10" i="18"/>
  <c r="W10" i="18"/>
  <c r="O11" i="18"/>
  <c r="W11" i="18"/>
  <c r="B13" i="18"/>
  <c r="C2" i="18" s="1"/>
  <c r="D13" i="18"/>
  <c r="G8" i="18" s="1"/>
  <c r="F13" i="18"/>
  <c r="H13" i="18"/>
  <c r="I7" i="18" s="1"/>
  <c r="J13" i="18"/>
  <c r="K2" i="18" s="1"/>
  <c r="L13" i="18"/>
  <c r="M5" i="18" s="1"/>
  <c r="N13" i="18"/>
  <c r="O5" i="18" s="1"/>
  <c r="P13" i="18"/>
  <c r="Q7" i="18" s="1"/>
  <c r="R13" i="18"/>
  <c r="S2" i="18" s="1"/>
  <c r="T13" i="18"/>
  <c r="U2" i="18" s="1"/>
  <c r="V13" i="18"/>
  <c r="W5" i="18" s="1"/>
  <c r="X13" i="18"/>
  <c r="Y3" i="18" s="1"/>
  <c r="D19" i="18"/>
  <c r="F19" i="18"/>
  <c r="J19" i="18"/>
  <c r="K21" i="18" s="1"/>
  <c r="L19" i="18"/>
  <c r="N19" i="18"/>
  <c r="P19" i="18"/>
  <c r="R19" i="18"/>
  <c r="S21" i="18" s="1"/>
  <c r="T19" i="18"/>
  <c r="V19" i="18"/>
  <c r="X19" i="18"/>
  <c r="G20" i="18"/>
  <c r="G19" i="18" s="1"/>
  <c r="K20" i="18"/>
  <c r="K19" i="18" s="1"/>
  <c r="M20" i="18"/>
  <c r="O20" i="18"/>
  <c r="O19" i="18" s="1"/>
  <c r="Q20" i="18"/>
  <c r="S20" i="18"/>
  <c r="U20" i="18"/>
  <c r="W20" i="18"/>
  <c r="W19" i="18" s="1"/>
  <c r="Y20" i="18"/>
  <c r="G21" i="18"/>
  <c r="M21" i="18"/>
  <c r="M19" i="18" s="1"/>
  <c r="O21" i="18"/>
  <c r="Q21" i="18"/>
  <c r="U21" i="18"/>
  <c r="U19" i="18" s="1"/>
  <c r="W21" i="18"/>
  <c r="Y21" i="18"/>
  <c r="G22" i="18"/>
  <c r="K22" i="18"/>
  <c r="M22" i="18"/>
  <c r="O22" i="18"/>
  <c r="Q22" i="18"/>
  <c r="S22" i="18"/>
  <c r="U22" i="18"/>
  <c r="W22" i="18"/>
  <c r="Y22" i="18"/>
  <c r="B23" i="18"/>
  <c r="B19" i="18" s="1"/>
  <c r="G23" i="18"/>
  <c r="K23" i="18"/>
  <c r="M23" i="18"/>
  <c r="O23" i="18"/>
  <c r="Q23" i="18"/>
  <c r="S23" i="18"/>
  <c r="U23" i="18"/>
  <c r="W23" i="18"/>
  <c r="Y23" i="18"/>
  <c r="K24" i="18"/>
  <c r="M24" i="18"/>
  <c r="O24" i="18"/>
  <c r="Q24" i="18"/>
  <c r="U24" i="18"/>
  <c r="W24" i="18"/>
  <c r="Y24" i="18"/>
  <c r="G25" i="18"/>
  <c r="H25" i="18"/>
  <c r="K25" i="18"/>
  <c r="M25" i="18"/>
  <c r="O25" i="18"/>
  <c r="Q25" i="18"/>
  <c r="S25" i="18"/>
  <c r="U25" i="18"/>
  <c r="W25" i="18"/>
  <c r="Y25" i="18"/>
  <c r="B26" i="18"/>
  <c r="G26" i="18"/>
  <c r="H26" i="18"/>
  <c r="K26" i="18"/>
  <c r="M26" i="18"/>
  <c r="O26" i="18"/>
  <c r="Q26" i="18"/>
  <c r="S26" i="18"/>
  <c r="U26" i="18"/>
  <c r="W26" i="18"/>
  <c r="Y26" i="18"/>
  <c r="G27" i="18"/>
  <c r="K27" i="18"/>
  <c r="M27" i="18"/>
  <c r="O27" i="18"/>
  <c r="Q27" i="18"/>
  <c r="S27" i="18"/>
  <c r="U27" i="18"/>
  <c r="W27" i="18"/>
  <c r="Y27" i="18"/>
  <c r="G28" i="18"/>
  <c r="K28" i="18"/>
  <c r="M28" i="18"/>
  <c r="O28" i="18"/>
  <c r="Q28" i="18"/>
  <c r="S28" i="18"/>
  <c r="U28" i="18"/>
  <c r="W28" i="18"/>
  <c r="Y28" i="18"/>
  <c r="G29" i="18"/>
  <c r="K29" i="18"/>
  <c r="M29" i="18"/>
  <c r="O29" i="18"/>
  <c r="Q29" i="18"/>
  <c r="Q19" i="18" s="1"/>
  <c r="S29" i="18"/>
  <c r="U29" i="18"/>
  <c r="W29" i="18"/>
  <c r="Y29" i="18"/>
  <c r="Y19" i="18" s="1"/>
  <c r="B30" i="18"/>
  <c r="C30" i="18" s="1"/>
  <c r="G30" i="18"/>
  <c r="K30" i="18"/>
  <c r="M30" i="18"/>
  <c r="O30" i="18"/>
  <c r="Q30" i="18"/>
  <c r="S30" i="18"/>
  <c r="U30" i="18"/>
  <c r="W30" i="18"/>
  <c r="Y30" i="18"/>
  <c r="Y31" i="18"/>
  <c r="G2" i="15"/>
  <c r="I2" i="15"/>
  <c r="I10" i="15" s="1"/>
  <c r="Y2" i="15"/>
  <c r="Y10" i="15" s="1"/>
  <c r="G3" i="15"/>
  <c r="I3" i="15"/>
  <c r="Y3" i="15"/>
  <c r="G4" i="15"/>
  <c r="I4" i="15"/>
  <c r="Y4" i="15"/>
  <c r="G5" i="15"/>
  <c r="I5" i="15"/>
  <c r="J5" i="15"/>
  <c r="K5" i="15" s="1"/>
  <c r="L5" i="15"/>
  <c r="L10" i="15" s="1"/>
  <c r="N5" i="15"/>
  <c r="O5" i="15" s="1"/>
  <c r="P5" i="15"/>
  <c r="P10" i="15" s="1"/>
  <c r="Y5" i="15"/>
  <c r="I6" i="15"/>
  <c r="Y6" i="15"/>
  <c r="I7" i="15"/>
  <c r="Y7" i="15"/>
  <c r="I8" i="15"/>
  <c r="K8" i="15"/>
  <c r="Y8" i="15"/>
  <c r="B10" i="15"/>
  <c r="C2" i="15" s="1"/>
  <c r="D10" i="15"/>
  <c r="E6" i="15" s="1"/>
  <c r="F10" i="15"/>
  <c r="H10" i="15"/>
  <c r="M8" i="15" s="1"/>
  <c r="J10" i="15"/>
  <c r="K2" i="15" s="1"/>
  <c r="N10" i="15"/>
  <c r="O2" i="15" s="1"/>
  <c r="R10" i="15"/>
  <c r="S2" i="15" s="1"/>
  <c r="T10" i="15"/>
  <c r="U6" i="15" s="1"/>
  <c r="V10" i="15"/>
  <c r="W2" i="15" s="1"/>
  <c r="X10" i="15"/>
  <c r="B12" i="15"/>
  <c r="D13" i="15"/>
  <c r="H13" i="15"/>
  <c r="J13" i="15"/>
  <c r="L13" i="15"/>
  <c r="N13" i="15"/>
  <c r="R13" i="15"/>
  <c r="T13" i="15"/>
  <c r="V13" i="15"/>
  <c r="X13" i="15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B14" i="13"/>
  <c r="C14" i="13"/>
  <c r="C17" i="13" s="1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B17" i="13"/>
  <c r="D17" i="13"/>
  <c r="E17" i="13"/>
  <c r="F17" i="13"/>
  <c r="E10" i="10"/>
  <c r="H14" i="10"/>
  <c r="I14" i="10"/>
  <c r="C20" i="10"/>
  <c r="D20" i="10"/>
  <c r="B25" i="10"/>
  <c r="C25" i="10"/>
  <c r="D25" i="10"/>
  <c r="C20" i="18" l="1"/>
  <c r="C29" i="18"/>
  <c r="C26" i="18"/>
  <c r="C27" i="18"/>
  <c r="C22" i="18"/>
  <c r="C25" i="18"/>
  <c r="C28" i="18"/>
  <c r="C21" i="18"/>
  <c r="I6" i="18"/>
  <c r="Q5" i="18"/>
  <c r="E5" i="18"/>
  <c r="Q3" i="18"/>
  <c r="I3" i="18"/>
  <c r="Y2" i="18"/>
  <c r="Q2" i="18"/>
  <c r="I2" i="18"/>
  <c r="S24" i="18"/>
  <c r="S19" i="18" s="1"/>
  <c r="C23" i="18"/>
  <c r="H19" i="18"/>
  <c r="U11" i="18"/>
  <c r="M11" i="18"/>
  <c r="E11" i="18"/>
  <c r="U10" i="18"/>
  <c r="M10" i="18"/>
  <c r="E10" i="18"/>
  <c r="U9" i="18"/>
  <c r="M9" i="18"/>
  <c r="E9" i="18"/>
  <c r="U8" i="18"/>
  <c r="M8" i="18"/>
  <c r="E8" i="18"/>
  <c r="U7" i="18"/>
  <c r="M7" i="18"/>
  <c r="W6" i="18"/>
  <c r="O6" i="18"/>
  <c r="C6" i="18"/>
  <c r="I5" i="18"/>
  <c r="U4" i="18"/>
  <c r="U13" i="18" s="1"/>
  <c r="O4" i="18"/>
  <c r="G4" i="18"/>
  <c r="O3" i="18"/>
  <c r="G3" i="18"/>
  <c r="W2" i="18"/>
  <c r="W13" i="18" s="1"/>
  <c r="O2" i="18"/>
  <c r="G2" i="18"/>
  <c r="G10" i="18"/>
  <c r="G9" i="18"/>
  <c r="Q6" i="18"/>
  <c r="U5" i="18"/>
  <c r="I4" i="18"/>
  <c r="S11" i="18"/>
  <c r="K11" i="18"/>
  <c r="C11" i="18"/>
  <c r="S10" i="18"/>
  <c r="K10" i="18"/>
  <c r="C10" i="18"/>
  <c r="S9" i="18"/>
  <c r="K9" i="18"/>
  <c r="C9" i="18"/>
  <c r="S8" i="18"/>
  <c r="K8" i="18"/>
  <c r="K13" i="18" s="1"/>
  <c r="C8" i="18"/>
  <c r="S7" i="18"/>
  <c r="K7" i="18"/>
  <c r="U6" i="18"/>
  <c r="M6" i="18"/>
  <c r="Y5" i="18"/>
  <c r="S5" i="18"/>
  <c r="G5" i="18"/>
  <c r="C5" i="18"/>
  <c r="S4" i="18"/>
  <c r="M4" i="18"/>
  <c r="E4" i="18"/>
  <c r="M3" i="18"/>
  <c r="E3" i="18"/>
  <c r="M2" i="18"/>
  <c r="E2" i="18"/>
  <c r="E13" i="18" s="1"/>
  <c r="G11" i="18"/>
  <c r="Y6" i="18"/>
  <c r="Y11" i="18"/>
  <c r="Q11" i="18"/>
  <c r="I11" i="18"/>
  <c r="Y10" i="18"/>
  <c r="Q10" i="18"/>
  <c r="I10" i="18"/>
  <c r="Y9" i="18"/>
  <c r="Q9" i="18"/>
  <c r="I9" i="18"/>
  <c r="Y8" i="18"/>
  <c r="Q8" i="18"/>
  <c r="I8" i="18"/>
  <c r="Y7" i="18"/>
  <c r="S6" i="18"/>
  <c r="K6" i="18"/>
  <c r="Y4" i="18"/>
  <c r="K4" i="18"/>
  <c r="S3" i="18"/>
  <c r="S13" i="18" s="1"/>
  <c r="K3" i="18"/>
  <c r="C3" i="18"/>
  <c r="C13" i="18" s="1"/>
  <c r="Q7" i="15"/>
  <c r="Q2" i="15"/>
  <c r="Q10" i="15" s="1"/>
  <c r="Q3" i="15"/>
  <c r="Q4" i="15"/>
  <c r="Q5" i="15"/>
  <c r="Q6" i="15"/>
  <c r="Q8" i="15"/>
  <c r="M6" i="15"/>
  <c r="M7" i="15"/>
  <c r="M2" i="15"/>
  <c r="M3" i="15"/>
  <c r="M4" i="15"/>
  <c r="M5" i="15"/>
  <c r="S7" i="15"/>
  <c r="C7" i="15"/>
  <c r="W5" i="15"/>
  <c r="W4" i="15"/>
  <c r="O4" i="15"/>
  <c r="O10" i="15" s="1"/>
  <c r="W3" i="15"/>
  <c r="W10" i="15" s="1"/>
  <c r="O3" i="15"/>
  <c r="P13" i="15"/>
  <c r="W8" i="15"/>
  <c r="O8" i="15"/>
  <c r="G8" i="15"/>
  <c r="W7" i="15"/>
  <c r="O7" i="15"/>
  <c r="G7" i="15"/>
  <c r="W6" i="15"/>
  <c r="O6" i="15"/>
  <c r="G6" i="15"/>
  <c r="G10" i="15" s="1"/>
  <c r="U5" i="15"/>
  <c r="E5" i="15"/>
  <c r="U4" i="15"/>
  <c r="E4" i="15"/>
  <c r="U3" i="15"/>
  <c r="E3" i="15"/>
  <c r="U2" i="15"/>
  <c r="E2" i="15"/>
  <c r="E10" i="15" s="1"/>
  <c r="S8" i="15"/>
  <c r="C8" i="15"/>
  <c r="K7" i="15"/>
  <c r="S6" i="15"/>
  <c r="K6" i="15"/>
  <c r="U8" i="15"/>
  <c r="E8" i="15"/>
  <c r="U7" i="15"/>
  <c r="E7" i="15"/>
  <c r="S5" i="15"/>
  <c r="C5" i="15"/>
  <c r="S4" i="15"/>
  <c r="K4" i="15"/>
  <c r="C4" i="15"/>
  <c r="S3" i="15"/>
  <c r="S10" i="15" s="1"/>
  <c r="K3" i="15"/>
  <c r="K10" i="15" s="1"/>
  <c r="C3" i="15"/>
  <c r="C10" i="15" s="1"/>
  <c r="G13" i="18" l="1"/>
  <c r="M13" i="18"/>
  <c r="O13" i="18"/>
  <c r="I13" i="18"/>
  <c r="C19" i="18"/>
  <c r="I22" i="18"/>
  <c r="I23" i="18"/>
  <c r="I28" i="18"/>
  <c r="I29" i="18"/>
  <c r="I30" i="18"/>
  <c r="I21" i="18"/>
  <c r="I24" i="18"/>
  <c r="I27" i="18"/>
  <c r="I20" i="18"/>
  <c r="Q13" i="18"/>
  <c r="I25" i="18"/>
  <c r="I26" i="18"/>
  <c r="Y13" i="18"/>
  <c r="M10" i="15"/>
  <c r="U10" i="15"/>
  <c r="I19" i="18" l="1"/>
  <c r="E12" i="6" l="1"/>
  <c r="F12" i="6"/>
  <c r="G12" i="6"/>
  <c r="D12" i="6"/>
  <c r="C129" i="8"/>
  <c r="C52" i="8"/>
  <c r="C44" i="8"/>
  <c r="C12" i="8"/>
  <c r="C131" i="8" s="1"/>
  <c r="H176" i="7" l="1"/>
  <c r="G176" i="7"/>
  <c r="F176" i="7"/>
  <c r="E176" i="7"/>
  <c r="D176" i="7"/>
  <c r="C176" i="7"/>
  <c r="H172" i="7"/>
  <c r="G172" i="7"/>
  <c r="E172" i="7"/>
  <c r="D172" i="7"/>
  <c r="F170" i="7"/>
  <c r="F172" i="7" s="1"/>
  <c r="F178" i="7" s="1"/>
  <c r="C170" i="7"/>
  <c r="C172" i="7" s="1"/>
  <c r="H167" i="7"/>
  <c r="G167" i="7"/>
  <c r="F167" i="7"/>
  <c r="E167" i="7"/>
  <c r="D167" i="7"/>
  <c r="C167" i="7"/>
  <c r="F163" i="7"/>
  <c r="H162" i="7"/>
  <c r="H163" i="7" s="1"/>
  <c r="G162" i="7"/>
  <c r="F162" i="7"/>
  <c r="E162" i="7"/>
  <c r="E163" i="7" s="1"/>
  <c r="D162" i="7"/>
  <c r="D163" i="7" s="1"/>
  <c r="C162" i="7"/>
  <c r="D161" i="7"/>
  <c r="H150" i="7"/>
  <c r="G150" i="7"/>
  <c r="G163" i="7" s="1"/>
  <c r="F150" i="7"/>
  <c r="E150" i="7"/>
  <c r="D150" i="7"/>
  <c r="C150" i="7"/>
  <c r="C163" i="7" s="1"/>
  <c r="H140" i="7"/>
  <c r="G140" i="7"/>
  <c r="F140" i="7"/>
  <c r="E140" i="7"/>
  <c r="D140" i="7"/>
  <c r="C140" i="7"/>
  <c r="H108" i="7"/>
  <c r="G108" i="7"/>
  <c r="F108" i="7"/>
  <c r="E108" i="7"/>
  <c r="D108" i="7"/>
  <c r="C108" i="7"/>
  <c r="H82" i="7"/>
  <c r="G82" i="7"/>
  <c r="F82" i="7"/>
  <c r="E82" i="7"/>
  <c r="D82" i="7"/>
  <c r="C82" i="7"/>
  <c r="H71" i="7"/>
  <c r="G71" i="7"/>
  <c r="F71" i="7"/>
  <c r="E71" i="7"/>
  <c r="D71" i="7"/>
  <c r="C71" i="7"/>
  <c r="E68" i="7"/>
  <c r="D68" i="7"/>
  <c r="H63" i="7"/>
  <c r="G63" i="7"/>
  <c r="F63" i="7"/>
  <c r="E63" i="7"/>
  <c r="D63" i="7"/>
  <c r="C63" i="7"/>
  <c r="H48" i="7"/>
  <c r="G48" i="7"/>
  <c r="F48" i="7"/>
  <c r="E48" i="7"/>
  <c r="D48" i="7"/>
  <c r="C48" i="7"/>
  <c r="H41" i="7"/>
  <c r="G41" i="7"/>
  <c r="F41" i="7"/>
  <c r="E41" i="7"/>
  <c r="D41" i="7"/>
  <c r="C41" i="7"/>
  <c r="H19" i="7"/>
  <c r="G19" i="7"/>
  <c r="F19" i="7"/>
  <c r="E19" i="7"/>
  <c r="D19" i="7"/>
  <c r="C19" i="7"/>
  <c r="H14" i="7"/>
  <c r="G14" i="7"/>
  <c r="F14" i="7"/>
  <c r="E14" i="7"/>
  <c r="D14" i="7"/>
  <c r="C14" i="7"/>
  <c r="C178" i="7" l="1"/>
  <c r="H178" i="7"/>
  <c r="D178" i="7"/>
  <c r="G178" i="7"/>
  <c r="E178" i="7"/>
  <c r="E31" i="6" l="1"/>
  <c r="F31" i="6"/>
  <c r="G31" i="6"/>
  <c r="D31" i="6"/>
  <c r="E21" i="6"/>
  <c r="F21" i="6"/>
  <c r="G21" i="6"/>
  <c r="D21" i="6"/>
  <c r="G36" i="6"/>
  <c r="F36" i="6"/>
  <c r="E36" i="6"/>
  <c r="D36" i="6"/>
  <c r="G27" i="6"/>
  <c r="F27" i="6"/>
  <c r="E27" i="6"/>
  <c r="D27" i="6"/>
  <c r="G24" i="6"/>
  <c r="F24" i="6"/>
  <c r="E24" i="6"/>
  <c r="D24" i="6"/>
  <c r="G7" i="6"/>
  <c r="F7" i="6"/>
  <c r="E7" i="6"/>
  <c r="D6" i="6"/>
  <c r="D7" i="6" s="1"/>
  <c r="G38" i="6" l="1"/>
  <c r="F38" i="6"/>
  <c r="D38" i="6"/>
  <c r="E38" i="6"/>
  <c r="D31" i="1"/>
  <c r="E50" i="1"/>
  <c r="D50" i="1"/>
  <c r="E22" i="1"/>
  <c r="F35" i="1" l="1"/>
  <c r="C35" i="1"/>
  <c r="E34" i="1" l="1"/>
  <c r="E35" i="1" s="1"/>
  <c r="D34" i="1"/>
  <c r="D22" i="1" l="1"/>
  <c r="E40" i="1"/>
  <c r="D40" i="1"/>
  <c r="D35" i="1"/>
  <c r="E51" i="1"/>
  <c r="D4" i="1"/>
  <c r="D55" i="1" s="1"/>
  <c r="E4" i="1"/>
  <c r="E55" i="1" s="1"/>
  <c r="F4" i="1"/>
  <c r="C4" i="1"/>
  <c r="C55" i="1" s="1"/>
  <c r="D6" i="1"/>
  <c r="E6" i="1"/>
  <c r="F6" i="1"/>
  <c r="C6" i="1"/>
  <c r="D51" i="1"/>
  <c r="F51" i="1"/>
  <c r="C51" i="1"/>
  <c r="F55" i="1" l="1"/>
  <c r="G49" i="1" l="1"/>
  <c r="F46" i="1"/>
  <c r="D46" i="1"/>
  <c r="E46" i="1"/>
  <c r="C46" i="1"/>
  <c r="G41" i="1"/>
  <c r="G23" i="1"/>
  <c r="G16" i="1"/>
  <c r="G44" i="1" l="1"/>
  <c r="G37" i="1"/>
  <c r="G39" i="1"/>
  <c r="G40" i="1"/>
  <c r="G33" i="1"/>
  <c r="C42" i="1"/>
  <c r="C25" i="1"/>
  <c r="C18" i="1"/>
  <c r="C10" i="1"/>
  <c r="C52" i="1" l="1"/>
  <c r="C59" i="1"/>
  <c r="C58" i="1"/>
  <c r="F63" i="1"/>
  <c r="E63" i="1"/>
  <c r="D63" i="1"/>
  <c r="C63" i="1"/>
  <c r="G47" i="1"/>
  <c r="F62" i="1"/>
  <c r="E62" i="1"/>
  <c r="D62" i="1"/>
  <c r="C62" i="1"/>
  <c r="G43" i="1"/>
  <c r="F42" i="1"/>
  <c r="F61" i="1" s="1"/>
  <c r="E42" i="1"/>
  <c r="E61" i="1" s="1"/>
  <c r="D42" i="1"/>
  <c r="D61" i="1" s="1"/>
  <c r="C61" i="1"/>
  <c r="G36" i="1"/>
  <c r="F60" i="1"/>
  <c r="E60" i="1"/>
  <c r="D60" i="1"/>
  <c r="C60" i="1"/>
  <c r="G32" i="1"/>
  <c r="G31" i="1"/>
  <c r="G30" i="1"/>
  <c r="G29" i="1"/>
  <c r="G28" i="1"/>
  <c r="G27" i="1"/>
  <c r="F25" i="1"/>
  <c r="G25" i="1" s="1"/>
  <c r="E25" i="1"/>
  <c r="E59" i="1" s="1"/>
  <c r="D25" i="1"/>
  <c r="D59" i="1" s="1"/>
  <c r="G22" i="1"/>
  <c r="G21" i="1"/>
  <c r="G20" i="1"/>
  <c r="G19" i="1"/>
  <c r="F18" i="1"/>
  <c r="F58" i="1" s="1"/>
  <c r="E18" i="1"/>
  <c r="E58" i="1" s="1"/>
  <c r="D18" i="1"/>
  <c r="D58" i="1" s="1"/>
  <c r="G15" i="1"/>
  <c r="G14" i="1"/>
  <c r="G13" i="1"/>
  <c r="G12" i="1"/>
  <c r="G11" i="1"/>
  <c r="F10" i="1"/>
  <c r="E10" i="1"/>
  <c r="D10" i="1"/>
  <c r="C57" i="1"/>
  <c r="G9" i="1"/>
  <c r="G8" i="1"/>
  <c r="G7" i="1"/>
  <c r="D56" i="1"/>
  <c r="C56" i="1"/>
  <c r="G5" i="1"/>
  <c r="G10" i="1" l="1"/>
  <c r="F52" i="1"/>
  <c r="G52" i="1" s="1"/>
  <c r="D57" i="1"/>
  <c r="D52" i="1"/>
  <c r="C64" i="1"/>
  <c r="E57" i="1"/>
  <c r="E52" i="1"/>
  <c r="D64" i="1"/>
  <c r="G61" i="1"/>
  <c r="F59" i="1"/>
  <c r="G60" i="1"/>
  <c r="E56" i="1"/>
  <c r="E64" i="1" s="1"/>
  <c r="G58" i="1"/>
  <c r="G59" i="1"/>
  <c r="G62" i="1"/>
  <c r="G63" i="1"/>
  <c r="G46" i="1"/>
  <c r="G51" i="1"/>
  <c r="G6" i="1"/>
  <c r="G35" i="1"/>
  <c r="G42" i="1"/>
  <c r="F56" i="1"/>
  <c r="G18" i="1"/>
  <c r="F57" i="1"/>
  <c r="G57" i="1" s="1"/>
  <c r="F64" i="1" l="1"/>
  <c r="G64" i="1" s="1"/>
  <c r="G56" i="1"/>
</calcChain>
</file>

<file path=xl/sharedStrings.xml><?xml version="1.0" encoding="utf-8"?>
<sst xmlns="http://schemas.openxmlformats.org/spreadsheetml/2006/main" count="1013" uniqueCount="565">
  <si>
    <t>Str. přílohy č. 2</t>
  </si>
  <si>
    <t>DOTAČNÍ PROGRAMY
(v tis. Kč)</t>
  </si>
  <si>
    <t>Odvětví krizového řízení celkem</t>
  </si>
  <si>
    <t>Program obnovy kulturních památek a památkově chráněných nemovitostí v Moravskoslezském kraji</t>
  </si>
  <si>
    <t>Program podpory aktivit v oblasti kultury</t>
  </si>
  <si>
    <t>Program podpory aktivit příslušníků národnostních menšin žijících na území Moravskoslezského kraje</t>
  </si>
  <si>
    <t>Odvětví kultury celkem</t>
  </si>
  <si>
    <t>Podpora obnovy a rozvoje venkova Moravskoslezského kraje</t>
  </si>
  <si>
    <t>Program na podporu přípravy projektové dokumentace</t>
  </si>
  <si>
    <t>Podpora vědy a výzkumu v Moravskoslezském kraji</t>
  </si>
  <si>
    <t>x</t>
  </si>
  <si>
    <t>Odvětví regionálního rozvoje celkem</t>
  </si>
  <si>
    <t>Úprava lyžařských běžeckých tras v Moravskoslezském kraji</t>
  </si>
  <si>
    <t>Podpora turistických informačních center v Moravskoslezském kraji</t>
  </si>
  <si>
    <t>Podpora cestovního ruchu v Moravskoslezském kraji</t>
  </si>
  <si>
    <t>Program na podporu technických atraktivit</t>
  </si>
  <si>
    <t>Podpora systému destinačního managementu turistických oblastí</t>
  </si>
  <si>
    <t>Odvětví cestovního ruchu celkem</t>
  </si>
  <si>
    <t xml:space="preserve">Program na podporu neinvestičních aktivit z oblasti  prevence kriminality </t>
  </si>
  <si>
    <t>Program realizace specifických aktivit Moravskoslezského krajského plánu vyrovnávání příležitostí pro občany se zdravotním postižením</t>
  </si>
  <si>
    <t xml:space="preserve">Program na podporu zvýšení kvality sociálních služeb poskytovaných v Moravskoslezském kraji </t>
  </si>
  <si>
    <t>Program podpory činností v oblasti sociálně právní ochrany dětí a navazujících činností v sociálních službách</t>
  </si>
  <si>
    <t>Program na podporu financování běžných výdajů souvisejících s poskytováním sociálních služeb včetně realizace protidrogové politiky kraje</t>
  </si>
  <si>
    <t>Program na podporu komunitní práce a na zmírňování následků sociálního vyloučení v sociálně vyloučených lokalitách Moravskoslezského kraje</t>
  </si>
  <si>
    <t>Program pro poskytování návratných finančních výpomocí z Fondu sociálních služeb</t>
  </si>
  <si>
    <t>Odvětví sociálních věcí celkem</t>
  </si>
  <si>
    <t>Podpora sportu v Moravskoslezském kraji</t>
  </si>
  <si>
    <t>Podpora vrcholového sportu v Moravskoslezském kraji</t>
  </si>
  <si>
    <t>Podpora aktivit v oblastech využití volného času dětí a mládeže, celoživotního vzdělávání osob se zdravotním postižením a podpora miniprojektů mládeže</t>
  </si>
  <si>
    <t>Podpora aktivit v oblasti prevence rizikových projevů chování u dětí a mládeže</t>
  </si>
  <si>
    <t>Naplňování Koncepce podpory mládeže na krajské úrovni v Moravskoslezském kraji</t>
  </si>
  <si>
    <t>Odvětví školství celkem</t>
  </si>
  <si>
    <t>Program na podporu projektů ve zdravotnictví</t>
  </si>
  <si>
    <t>Specializační vzdělávání všeobecných praktických lékařů pro dospělé a praktických lékařů pro děti a dorost</t>
  </si>
  <si>
    <t>Odvětví zdravotnictví celkem</t>
  </si>
  <si>
    <t>Drobné vodohospodářské akce</t>
  </si>
  <si>
    <t>Odvětví životního prostředí celkem</t>
  </si>
  <si>
    <t>Celkový součet</t>
  </si>
  <si>
    <t>Rekapitulace dotačních programů dle odvětví</t>
  </si>
  <si>
    <t>Krizové řízení</t>
  </si>
  <si>
    <t>Kultura</t>
  </si>
  <si>
    <t>Regionální rozvoj</t>
  </si>
  <si>
    <t>Cestovní ruch</t>
  </si>
  <si>
    <t>Sociální věci</t>
  </si>
  <si>
    <t>Školství</t>
  </si>
  <si>
    <t>Zdravotnictví</t>
  </si>
  <si>
    <t>Životní prostředí</t>
  </si>
  <si>
    <t>Schválený rozpočet 2017</t>
  </si>
  <si>
    <t>Upravený rozpočet 9/2017</t>
  </si>
  <si>
    <t>Čerpání
k 9/2017</t>
  </si>
  <si>
    <t>Rok 2018</t>
  </si>
  <si>
    <t>% 2018/
SR 2017</t>
  </si>
  <si>
    <t>Obsah:</t>
  </si>
  <si>
    <t>str.</t>
  </si>
  <si>
    <t>Dotační programy nezařazené do rozpočtu na rok 2018 (odvětví krizového řízení)</t>
  </si>
  <si>
    <t>Podpora cykloturistiky v Moravskoslezském kraji</t>
  </si>
  <si>
    <t>Podpora hospicové péče</t>
  </si>
  <si>
    <t>v tis. Kč</t>
  </si>
  <si>
    <t>CELKEM</t>
  </si>
  <si>
    <t>Dotační programy nezařazené do rozpočtu na rok 2018 (odvětví životního prostředí)</t>
  </si>
  <si>
    <t>Odvětví dopravy a chytrého regionu celkem</t>
  </si>
  <si>
    <t>Dotační programy nezařazené do rozpočtu na rok 2018 (odvětví dopravy a chytrého regionu)</t>
  </si>
  <si>
    <t>Doprava a chytrý region</t>
  </si>
  <si>
    <t>Dotační programy nezařazené do rozpočtu na rok 2018 (odvětví sociálních věcíí)</t>
  </si>
  <si>
    <t>Podpora podnikání v Moravskoslezském kraji</t>
  </si>
  <si>
    <t>Program na podporu stáží žáků a studentů ve firmách</t>
  </si>
  <si>
    <t>Podpora dobrovolných aktivit v oblasti udržitelného rozvoje a místní Agendy 21</t>
  </si>
  <si>
    <t>Program na podporu zdravého stárnutí v Moravskoslezském kraji</t>
  </si>
  <si>
    <t>Podpora významných sportovních akcí v Moravskoslezském kraji a sportovní reprezentace Moravskoslezského kraje na mezinárodní úrovni</t>
  </si>
  <si>
    <t>Podpora návrhu řešení nakládání s vodami na území, příp. části území, obce</t>
  </si>
  <si>
    <t>Podpora vzdělávání a poradenství v oblasti životního prostředí</t>
  </si>
  <si>
    <t>Str. přílohy
č. 2</t>
  </si>
  <si>
    <t>Název akce</t>
  </si>
  <si>
    <t>Předpokl. výdaje
r. 2017</t>
  </si>
  <si>
    <t>Poznámka</t>
  </si>
  <si>
    <t>2019</t>
  </si>
  <si>
    <t>2021</t>
  </si>
  <si>
    <t>Ostatní kapitálové výdaje - činnost krajského úřadu</t>
  </si>
  <si>
    <t>ODVĚTVÍ FINANCÍ A SPRÁVY MAJETKU:</t>
  </si>
  <si>
    <t>ODVĚTVÍ FINANCÍ A SPRÁVY MAJETKU CELKEM</t>
  </si>
  <si>
    <t>-</t>
  </si>
  <si>
    <t>ODVĚTVÍ DOPRAVY A CHYTRÉHO REGIONU CELKEM</t>
  </si>
  <si>
    <t>ODVĚTVÍ KRIZOVÉHO ŘÍZENÍ:</t>
  </si>
  <si>
    <t>ODVĚTVÍ KRIZOVÉHO ŘÍZENÍ CELKEM</t>
  </si>
  <si>
    <t>ODVĚTVÍ KULTURY:</t>
  </si>
  <si>
    <t>ODVĚTVÍ KULTURY CELKEM</t>
  </si>
  <si>
    <t>ODVĚTVÍ SOCIÁLNÍCH VĚCÍ:</t>
  </si>
  <si>
    <t>ODVĚTVÍ SOCIÁLNÍCH VĚCÍ CELKEM</t>
  </si>
  <si>
    <t>ODVĚTVÍ ŠKOLSTVÍ:</t>
  </si>
  <si>
    <t xml:space="preserve"> - </t>
  </si>
  <si>
    <t>ODVĚTVÍ ŠKOLSTVÍ CELKEM</t>
  </si>
  <si>
    <t>ODVĚTVÍ ZDRAVOTNICTVÍ:</t>
  </si>
  <si>
    <t>ODVĚTVÍ ZDRAVOTNICTVÍ CELKEM</t>
  </si>
  <si>
    <t>Celkové výdaje
na akci</t>
  </si>
  <si>
    <t>Skutečné výdaje
před r. 2017</t>
  </si>
  <si>
    <t>Návrh
na rok 2018</t>
  </si>
  <si>
    <t>2020</t>
  </si>
  <si>
    <t>Genderově korektní Moravskoslezský kraj</t>
  </si>
  <si>
    <t>3339</t>
  </si>
  <si>
    <t xml:space="preserve">Projekt je financován formou záloh. Výdaje jsou určeny na úhradu podílu kraje a neuznatelných výdajů. </t>
  </si>
  <si>
    <t>Kvalita a odborné vzdělávání zaměstnanců KÚ MSK</t>
  </si>
  <si>
    <t>Návrh architektury ICT kraje a pokročilé využívání nástrojů eGovernmentu</t>
  </si>
  <si>
    <t>Realizace bezpečnostních opatření podle zákona o kybernetické bezpečnosti</t>
  </si>
  <si>
    <t>3303</t>
  </si>
  <si>
    <t>Rozvoj architektury ICT Moravskoslezského kraje</t>
  </si>
  <si>
    <t>Vzdělávání a rozvoj kompetencí zaměstnanců KÚ MSK</t>
  </si>
  <si>
    <t>Jednotný ekonomický informační systém Moravskoslezského kraje</t>
  </si>
  <si>
    <t>3384</t>
  </si>
  <si>
    <t>Jednotný personální a mzdový systém pro Moravskoslezský kraj</t>
  </si>
  <si>
    <t>3263</t>
  </si>
  <si>
    <t>ODVĚTVÍ DOPRAVY A CHYTRÉHO REGIONU:</t>
  </si>
  <si>
    <t>MÚK Bazaly – II. a III. etapa</t>
  </si>
  <si>
    <t>Rekonstrukce a modernizace silnice II/441 v úseku Odry - Jakubčovice n. Odrou</t>
  </si>
  <si>
    <t>Rekonstrukce a modernizace silnice II/442 v úseku Jakubčovice nad Odrou - hr. okresu Opava</t>
  </si>
  <si>
    <t>Rekonstrukce a modernizace silnice II/474 Jablunkov - Návsí</t>
  </si>
  <si>
    <t>Rekonstrukce silnice II/468 Český Těšín</t>
  </si>
  <si>
    <t>Silnice II/442 St. Heřminovy – H. Kunčice – Vítkov - hranice okr. NJ vč. OZ</t>
  </si>
  <si>
    <t>Silnice II/464 v úseku hr. okresu Opava – Bílovec</t>
  </si>
  <si>
    <t>Silnice II/468 Třinec – ul. Nádražní a Těšínská k MUK I/11, vč. zárubních zdí</t>
  </si>
  <si>
    <t>Silnice II/477 Frýdek-Místek - Baška - Frýdlant (+ III/48425), I. etapa</t>
  </si>
  <si>
    <t>Silnice II/477 Frýdek - Místek - Baška - Frýdlant (+ III/48425), II. etapa</t>
  </si>
  <si>
    <t>Silnice II/478 prodloužená Mostní I. etapa</t>
  </si>
  <si>
    <t>Silnice II/647 Ostrava, ul. Plzeňská Od vodárny po křižovatku se sil. I/11 včetně mostů</t>
  </si>
  <si>
    <t>Silnice III/4787 Ostrava ul. Výškovická – rekonstrukce mostů ev. č. 4787-3.3 a 4787-4.3</t>
  </si>
  <si>
    <t>Silnice 2017 Frýdek-Místek</t>
  </si>
  <si>
    <t>Geoportál MSK - část dopravní infrastruktura - založení digitální technické mapy MSK</t>
  </si>
  <si>
    <t>3262</t>
  </si>
  <si>
    <t>Příprava staveb a příprava vypořádání pozemků (Správa silnic Moravskoslezského kraje, příspěvková organizace, Ostrava)</t>
  </si>
  <si>
    <t>Celkové výdaje uvedeny jen pro rok 2018.</t>
  </si>
  <si>
    <t>Modernizace technicko-výcvikové základny Hranečník</t>
  </si>
  <si>
    <t>Speciální výcvik jednotek hasičů pro připravenost zdolávání mimořádných událostí v oblasti chemie</t>
  </si>
  <si>
    <t>Projekt je financován formou záloh. Výdaje jsou určeny na úhradu podílu kraje, neuznatelných výdajů a částečné předfinancování podílu dotace z důvodu zajištění plynulosti realizace aktivit projektu.</t>
  </si>
  <si>
    <t>Projekt je financován formou záloh. Výdaje jsou určeny na úhradu podílu kraje a neuznatelných výdajů .</t>
  </si>
  <si>
    <t>Zvyšování připravenosti obyvatel a příslušníků HZS na mimořádné události</t>
  </si>
  <si>
    <t>Kapucínský klášter - Dům v zahradě Páně</t>
  </si>
  <si>
    <t>3235</t>
  </si>
  <si>
    <t>Muzeum automobilů TATRA</t>
  </si>
  <si>
    <t>3305</t>
  </si>
  <si>
    <t>NKP Zámek Bruntál - Revitalizace objektu „saly terreny"</t>
  </si>
  <si>
    <t>NKP Zámek Bruntál - Revitalizace zámeckého parku</t>
  </si>
  <si>
    <t>3390</t>
  </si>
  <si>
    <t>Památník J. A. Komenského ve Fulneku - živé muzeum</t>
  </si>
  <si>
    <t>Rekonstrukce výstavní budovy a nová expozice Muzea Těšínska</t>
  </si>
  <si>
    <t>3304</t>
  </si>
  <si>
    <t>Revitalizace zámku ve Frýdku včetně obnovy expozice</t>
  </si>
  <si>
    <t>3267</t>
  </si>
  <si>
    <t>Vybudování expozice muzea Těšínska v Jablunkově "Muzeum Trojmezí"</t>
  </si>
  <si>
    <t>3234</t>
  </si>
  <si>
    <t>Zámek Nová Horka - muzeum pro veřejnost</t>
  </si>
  <si>
    <t>3233</t>
  </si>
  <si>
    <t>3236</t>
  </si>
  <si>
    <t>Jednotný evidenční systém sbírek a publikační portál</t>
  </si>
  <si>
    <t>3388</t>
  </si>
  <si>
    <t>Každá história si zaslúži svoj priestor</t>
  </si>
  <si>
    <t>Toulky údolím Olše</t>
  </si>
  <si>
    <t>PO_7000</t>
  </si>
  <si>
    <t xml:space="preserve">Účelový příspěvek na provoz příspěvkové organizace na podíl žadatele. </t>
  </si>
  <si>
    <t>ODVĚTVÍ REGIONÁLNÍHO ROZVOJE:</t>
  </si>
  <si>
    <t>Foster excellence in the Moravian-Silesian Region</t>
  </si>
  <si>
    <t xml:space="preserve">Projekt je financován formou záloh. Výdaje jsou určeny na úhradu podílu kraje a neuznatelných výdajů. Předpoklad čerpání výdajů v roce 2022 je ve výši 2.275 tis. Kč. </t>
  </si>
  <si>
    <t>Regionální poradenské centrum SK-CZ</t>
  </si>
  <si>
    <t>Smart akcelerátor RIS 3 strategie</t>
  </si>
  <si>
    <t>Projekt je financován formou záloh. Výdaje jsou určeny na úhradu podílu kraje, neuznatelných výdajů a předfinancování výdajů na konci projektu.</t>
  </si>
  <si>
    <t>Prostředky na přípravu projektů</t>
  </si>
  <si>
    <t>Podpora činnosti sekretariátu a zajištění chodu Regionální stálé konference Moravskoslezského kraje II</t>
  </si>
  <si>
    <t>Technická pomoc - Podpora aktivit v rámci Programu Interreg V-A ČR - PR II</t>
  </si>
  <si>
    <t>ODVĚTVÍ REGIONÁLNÍHO ROZVOJE CELKEM</t>
  </si>
  <si>
    <t>ODVĚTVÍ CESTOVNÍHO RUCHU:</t>
  </si>
  <si>
    <t>Bez bariér se nám žije snáz</t>
  </si>
  <si>
    <t>3270</t>
  </si>
  <si>
    <t>Cyklovýlety na hrady a zámky v Moravskoslezském a Žilinském kraji</t>
  </si>
  <si>
    <t>Gastroturistika</t>
  </si>
  <si>
    <t>Geopark Megoňky - Šance</t>
  </si>
  <si>
    <t>3269</t>
  </si>
  <si>
    <t>Historické poznání kraje - folklór a tradice</t>
  </si>
  <si>
    <t>Chutě a vůně bez hranic</t>
  </si>
  <si>
    <t>3274</t>
  </si>
  <si>
    <t>Předpoklad čerpání výdajů v roce 2022 je ve výši 1.300 tis. Kč.</t>
  </si>
  <si>
    <t>Na bicykli k susedom</t>
  </si>
  <si>
    <t>3277</t>
  </si>
  <si>
    <t>Přeshraniční lyžařské běžecké trasy</t>
  </si>
  <si>
    <t>TECHNO TRASA</t>
  </si>
  <si>
    <t>ODVĚTVÍ CESTOVNÍHO RUCHU CELKEM</t>
  </si>
  <si>
    <t>Domov pro osoby se zdravotním postižením Harmonie, p. o.</t>
  </si>
  <si>
    <t>Domov pro osoby se zdravotním postižením organizace Sagapo v Bruntále</t>
  </si>
  <si>
    <t>Chráněné bydlení organizace Sagapo v Bruntále</t>
  </si>
  <si>
    <t>Odstranění vlhkosti a zateplení budovy č. p. 151, Domov Odry, příspěvková organizace</t>
  </si>
  <si>
    <t>Sociálně terapeutické dílny a zázemí pro vedení organizace Sagapo v Bruntále</t>
  </si>
  <si>
    <t>Sociální služby pro osoby s duševním onemocněním v Suchdolu nad Odrou</t>
  </si>
  <si>
    <t>Zateplení budovy Domova Duha v Novém Jičíně</t>
  </si>
  <si>
    <t>Efektivní naplňování střednědobého plánu v podmínkách MSK</t>
  </si>
  <si>
    <t>Chráněné bydlení Fontána</t>
  </si>
  <si>
    <t>Interdisciplinární spolupráce v soudním regionu Nový Jičín</t>
  </si>
  <si>
    <t>Jednotný informační sociální systém pro příspěvkové organizace Moravskoslezského kraje</t>
  </si>
  <si>
    <t xml:space="preserve">Optimalizace odborného sociálního poradenství a dluhového poradenství v Moravskoslezském kraji </t>
  </si>
  <si>
    <t>Podpora a rozvoj náhradní rodinné péče v Moravskoslezském kraji</t>
  </si>
  <si>
    <t>Podpora komunitní práce na území MSK</t>
  </si>
  <si>
    <t>Podpora rozvoje rodičovských kompetencí</t>
  </si>
  <si>
    <t>Podpora služeb sociální prevence 1</t>
  </si>
  <si>
    <t>Podpora služeb sociální prevence 2</t>
  </si>
  <si>
    <t>Podpora služeb sociální prevence 4</t>
  </si>
  <si>
    <t>Podpora transformace v MSK III</t>
  </si>
  <si>
    <t>Podpora zkvalitnění a rozvoje služeb pro osoby s duševním onemocněním</t>
  </si>
  <si>
    <t>Podporujeme hrdinství, které není vidět</t>
  </si>
  <si>
    <t>Budova dílen pro obor Opravář zemědělských strojů ve Střední odborné škole Bruntál</t>
  </si>
  <si>
    <t>Energetické úspory v Obchodní akademii a SOŠ logistické v Opavě</t>
  </si>
  <si>
    <t>3340</t>
  </si>
  <si>
    <t>Energetické úspory ve SŠ průmyslové a umělecké v Opavě</t>
  </si>
  <si>
    <t>3342</t>
  </si>
  <si>
    <t>Energetické úspory ve SŠ technické v Opavě</t>
  </si>
  <si>
    <t>3343</t>
  </si>
  <si>
    <t>Energetické úspory ve SPŠ, OA a JŠ ve Frýdku-Místku</t>
  </si>
  <si>
    <t>3344</t>
  </si>
  <si>
    <t>Energetické úspory v Gymnáziu Petra Bezruče ve Frýdku-Místku</t>
  </si>
  <si>
    <t>3345</t>
  </si>
  <si>
    <t>Energetické úspory ve Střední pedagogické škole a Střední zdravotnické škole v Krnově</t>
  </si>
  <si>
    <t>3350</t>
  </si>
  <si>
    <t>Energetické úspory v Gymnáziu v Krnově</t>
  </si>
  <si>
    <t>3351</t>
  </si>
  <si>
    <t>Energetické úspory ve SŠ teleinformatiky v Ostravě</t>
  </si>
  <si>
    <t>3356</t>
  </si>
  <si>
    <t>Energetické úspory v MŠ pro zrakově postižené v Havířově</t>
  </si>
  <si>
    <t>3357</t>
  </si>
  <si>
    <t>Energetické úspory ve Střední škole v Bohumíně</t>
  </si>
  <si>
    <t>3359</t>
  </si>
  <si>
    <t>Energetické úspory v MŠ Klíček v Karviné</t>
  </si>
  <si>
    <t>3360</t>
  </si>
  <si>
    <t>Aditivní technologie a 3D tisk do škol MSK</t>
  </si>
  <si>
    <t>Elektrolaboratoře</t>
  </si>
  <si>
    <t>Krajský akční plán rozvoje vzdělávání Moravskoslezského kraje</t>
  </si>
  <si>
    <t xml:space="preserve">Projekt je financován formou záloh. Výdaje jsou určeny na úhradu podílu kraje a neuznatelných výdajů. Předpoklad čerpání výdajů v roce 2022 je ve výši 1.647 tis. Kč. </t>
  </si>
  <si>
    <t>Laboratoře technických měření</t>
  </si>
  <si>
    <t xml:space="preserve">Laboratoře virtuální reality </t>
  </si>
  <si>
    <t>Modernizace výuky přírodovědných předmětů I</t>
  </si>
  <si>
    <t>Modernizace výuky přírodovědných předmětů II (SVL)</t>
  </si>
  <si>
    <t>Modernizace výuky svařování</t>
  </si>
  <si>
    <t>Odborné, kariérové a polytechnické vzdělávání</t>
  </si>
  <si>
    <t>Podpora digitálního vzdělávání v SŠ MSK</t>
  </si>
  <si>
    <t>Podpora inkluze v Moravskoslezském kraji</t>
  </si>
  <si>
    <t>3283</t>
  </si>
  <si>
    <t>Podpora jazykového vzdělávání v SŠ MSK</t>
  </si>
  <si>
    <t>Podpora technických oborů</t>
  </si>
  <si>
    <t>Podpora výuky CNC obrábění</t>
  </si>
  <si>
    <t>Poskytování bezplatné stravy dětem ohroženým chudobou ve školách z prostředků OP PMP v Moravskoslezském kraji</t>
  </si>
  <si>
    <t>Rozvoj dovedností žáků v přírodovědných a technických oborech</t>
  </si>
  <si>
    <t>Výuka pro Průmysl 4.0</t>
  </si>
  <si>
    <t>Zateplení vybraných objektů Nemocnice ve Frýdku-Místku – II. etapa</t>
  </si>
  <si>
    <t>Zateplení vybraných objektů Slezské nemocnice v Opavě - II. etapa, památkové objekty</t>
  </si>
  <si>
    <t>Zateplení vybraných objektů Slezské nemocnice v Opavě - II. etapa, nepamátkový objekt</t>
  </si>
  <si>
    <t>Elektronizace procesů jako podpora sdílení dat a komunikace ve zdravotnictví a zároveň zvýšení bezpečí a kvality poskytované péče</t>
  </si>
  <si>
    <t>Systém pomoci na vyžádání</t>
  </si>
  <si>
    <t>Vybavení vzdělávacího střediska Zdravotnické záchranné služby Moravskoslezského kraje, p.o.</t>
  </si>
  <si>
    <t>3330</t>
  </si>
  <si>
    <t>Modernizace vybavení pro obory návazné péče v NsP Karviná-Ráj, p.o</t>
  </si>
  <si>
    <t>PO_7004</t>
  </si>
  <si>
    <t xml:space="preserve">Účelový příspěvek do fondu investic PO na podíl žadatele. </t>
  </si>
  <si>
    <t>Modernizace vybavení pro obory návazné péče v NsP Havířov, p.o.</t>
  </si>
  <si>
    <t>PO_7005</t>
  </si>
  <si>
    <t>ODVĚTVÍ ŽIVOTNÍHO PROSTŘEDÍ:</t>
  </si>
  <si>
    <t>EVL Hukvaldy, tvorba biotopu páchníka hnědého</t>
  </si>
  <si>
    <t>3378</t>
  </si>
  <si>
    <t>EVL Karviná-rybníky, tvorba biotopu páchníka hnědého</t>
  </si>
  <si>
    <t>3379</t>
  </si>
  <si>
    <t>EVL Paskov, tvorba biotopu páchníka hnědého</t>
  </si>
  <si>
    <t>3294</t>
  </si>
  <si>
    <t>EVL Šilheřovice, tvorba biotopu páchníka hnědého</t>
  </si>
  <si>
    <t>3377</t>
  </si>
  <si>
    <t>i-AIR REGION</t>
  </si>
  <si>
    <t>3301</t>
  </si>
  <si>
    <t>Implementace soustavy Natura 2000 v Moravskoslezském kraji, 2. vlna</t>
  </si>
  <si>
    <t>3293</t>
  </si>
  <si>
    <t>Revitalizace EVL Děhylovský potok - Štěpán</t>
  </si>
  <si>
    <t>3334</t>
  </si>
  <si>
    <t>Revitalizace EVL Osoblažský výběžek</t>
  </si>
  <si>
    <t>3296</t>
  </si>
  <si>
    <t>Kotlíkové dotace v Moravskoslezském kraji – 1. grantové schéma - obnovitelné zdroje</t>
  </si>
  <si>
    <t>Kotlíkové dotace v Moravskoslezském kraji – 2. grantové schéma</t>
  </si>
  <si>
    <t>ODVĚTVÍ ŽIVOTNÍHO PROSTŘEDÍ CELKEM</t>
  </si>
  <si>
    <t>Přehled dotačních programů v návrhu rozpočtu kraje na rok 2018</t>
  </si>
  <si>
    <t>Přehled akcí spolufinancovaných z evropských finančních zdrojů v návrhu rozpočtu kraje na rok 2018 včetně závazků kraje vyvolaných pro rok 2019 a další léta</t>
  </si>
  <si>
    <t>PŘEHLED DOTAČNÍCH PROGRAMŮ V NÁVRHU ROZPOČTU KRAJE NA ROK 2018 (v tis. Kč)</t>
  </si>
  <si>
    <t>RESOLVE - Sustainable mobility and the transition to a low-carbon retailing economy</t>
  </si>
  <si>
    <t>Zámek Nová Horka - muzeum pro veřejnost II.</t>
  </si>
  <si>
    <t>Cooperation in vocational training for European labour market</t>
  </si>
  <si>
    <t>Účel *)</t>
  </si>
  <si>
    <t xml:space="preserve">Odvětví / Akce </t>
  </si>
  <si>
    <t>RMK</t>
  </si>
  <si>
    <t>EU</t>
  </si>
  <si>
    <t>SAM</t>
  </si>
  <si>
    <t>PnP</t>
  </si>
  <si>
    <t>Příspěvek na provoz v odvětví dopravy a chytrého regionu - příspěvkové organizace kraje (MEC)</t>
  </si>
  <si>
    <t>Příspěvek na provoz v odvětví dopravy a chytrého regionu - příspěvkové organizace kraje (SS MSK)</t>
  </si>
  <si>
    <t>Smart region</t>
  </si>
  <si>
    <t>Internet věcí</t>
  </si>
  <si>
    <t>Senzorické měření kvality ovzduší</t>
  </si>
  <si>
    <t>Vysvětlivky k *)</t>
  </si>
  <si>
    <t>akce spolufinancovaná z evropských finančních zdrojů</t>
  </si>
  <si>
    <t>akce v rámci samosprávné činnosti kraje</t>
  </si>
  <si>
    <t>akce v rámci reprodukce majetku kraje</t>
  </si>
  <si>
    <t>příspěvek na provoz příspěvkové organizaci kraje</t>
  </si>
  <si>
    <t>SMART odpady</t>
  </si>
  <si>
    <t>Celkem 5,5 mil. Kč.</t>
  </si>
  <si>
    <t>Celkem 92,9 mil. Kč.</t>
  </si>
  <si>
    <t>Částečně.</t>
  </si>
  <si>
    <t>Celkem 27 mil. Kč.</t>
  </si>
  <si>
    <t>Celkem 103 mil. Kč.</t>
  </si>
  <si>
    <t>Částečně - nadlimitní čištění komunikací.</t>
  </si>
  <si>
    <t>Celkem 84,1 mil. Kč.</t>
  </si>
  <si>
    <t>Opatření MEC - budova KÚ.</t>
  </si>
  <si>
    <t>ODVĚTVÍ VLASTNÍ SPRÁVNÍ ČINNOST KRAJE A ČINNOST ZASTUPITELSTVA KRAJE:</t>
  </si>
  <si>
    <t>ODVĚTVÍ VLASTNÍ SPRÁVNÍ ČINNOST KRAJE A ČINNOST ZASTUPITELSTVA KRAJE CELKEM</t>
  </si>
  <si>
    <t>Přehled akcí spolufinancovaných z evropských finančních zdrojů z pohledu způsobu financování a přehled dalších akcí předfinancovaných z úvěru ČSOB v návrhu rozpočtu kraje na rok 2018</t>
  </si>
  <si>
    <t>Přehled příjmů zařazených v návrhu rozpočtu kraje na rok 2018</t>
  </si>
  <si>
    <t>Rozborové tabulky a grafy k návrhu rozpočtu kraje
na rok 2018</t>
  </si>
  <si>
    <t>Graf č. 1 - Rozpočet Moravskoslezského kraje v letech 2014 až 2017, návrh rozpočtu Moravskoslezského kraje na rok 2018</t>
  </si>
  <si>
    <t>Graf č. 2 - Schválený rozpočet příjmů Moravskoslezského kraje v letech 2014 až 2017, návrh rozpočtu příjmů Moravskoslezského kraje na rok 2018 v členění na přijaté dotace, daňové, nedaňové a kapitálové příjmy</t>
  </si>
  <si>
    <t>Graf č. 3 - Schválený rozpočet výdajů Moravskoslezského kraje v letech 2014 až 2017, návrh rozpočtu výdajů Moravskoslezského kraje na rok 2018 v členění na běžné a kapitálové výdaje</t>
  </si>
  <si>
    <t>Graf č. 4 - Struktura návrhu rozpočtu Moravskoslezského kraje na rok 2018 - PŘÍJMY</t>
  </si>
  <si>
    <t>Graf č. 5 - Struktura návrhu rozpočtu Moravskoslezského kraje na rok 2018 - VÝDAJE</t>
  </si>
  <si>
    <t>Graf č. 6 - Struktura návrhu rozpočtu Moravskoslezského kraje na rok 2018 - Objemy výdajů na akce spolufinancované z evropských finančních zdrojů pro rok 2018 v členění dle odvětví</t>
  </si>
  <si>
    <t>Celkové výdaje na projekt</t>
  </si>
  <si>
    <t>Návrh výdajů
na rok 2018 celkem</t>
  </si>
  <si>
    <t>Podíl MSK</t>
  </si>
  <si>
    <t>Evropské finanční zdroje
a státní rozpočet</t>
  </si>
  <si>
    <t>Návrh příjmů
na rok 2018</t>
  </si>
  <si>
    <t>celkem</t>
  </si>
  <si>
    <t>z toho financováno z úvěru ČSOB</t>
  </si>
  <si>
    <t>z toho
na splátku
za akce financované z úvěru ČSOB</t>
  </si>
  <si>
    <t>AKCE SPOLUFINANCOVANÉ Z EVROPSKÝCH FINANČNÍCH ZDROJŮ</t>
  </si>
  <si>
    <t>VLASTNÍ SPRÁVNÍ ČINNOST KRAJE A ČINNOST ZASTUPITELSTVA KRAJE:</t>
  </si>
  <si>
    <t>Návrh architektury ICT kraje a pokročilé využívání 
nástrojů eGovernmentu</t>
  </si>
  <si>
    <t>ODVĚTVÍ VLASTNÍ SPRÁVNÍ ČINNOST KRAJE
A ČINNOST ZASTUPITELSTVA KRAJE CELKEM</t>
  </si>
  <si>
    <t>ODVĚTVÍ  FINANCE A SPRÁVA MAJETKU</t>
  </si>
  <si>
    <t>Úplné elektronické podání – jednotné prostředí pro vyřízení elektronických žádostí v krajské korporaci</t>
  </si>
  <si>
    <t>ODVĚTVÍ FINANCE A SPRÁVA MAJETKU CELKEM</t>
  </si>
  <si>
    <t>Rekonstrukce MÚK Bazaly – I. etapa</t>
  </si>
  <si>
    <t>Silnice II/464 Mošnov - rekonstrukce (III/4809)</t>
  </si>
  <si>
    <t>Okružní křižovatky silnic II/475 a II/474, Horní Suchá</t>
  </si>
  <si>
    <t>Speciální výcvik jednotek hasičů pro připravenost
 zdolávání mimořádných událostí v oblasti chemie</t>
  </si>
  <si>
    <t>Specializovaný výcvik jednotek hasičů pro zdolávání 
mimořádných událostí v silničních a železničních tunelech</t>
  </si>
  <si>
    <t>Zvyšování akceschopnosti vyhledávacích
a záchranných modulů USAR a WASAR</t>
  </si>
  <si>
    <t xml:space="preserve"> NKP Zámek Bruntál - Revitalizace zámeckého parku</t>
  </si>
  <si>
    <t xml:space="preserve">Památník J. A. Komenského ve Fulneku - živé muzeum </t>
  </si>
  <si>
    <t>ODVĚTVÍ CESTOVNÍHO RUCHU</t>
  </si>
  <si>
    <t>Nákup bytů pro chráněné bydlení</t>
  </si>
  <si>
    <t>Podporujeme hrdinství, které není vidět II</t>
  </si>
  <si>
    <t xml:space="preserve">Odborné sociální poradenství ve Frýdku-Místku </t>
  </si>
  <si>
    <t>CELKEM AKCE SPOLUFINANCOVANÉ Z EVROPSKÝCH FINANČNÍCH ZDROJŮ</t>
  </si>
  <si>
    <t>AKCE REPRODUKCE MAJETKU KRAJE</t>
  </si>
  <si>
    <t>Revitalizace budovy Domova Letokruhy (Domov Letokruhy, příspěvková organizace, Budišov nad Budišovkou)</t>
  </si>
  <si>
    <t>CELKEM AKCE REPRODUKCE MAJETKU KRAJE</t>
  </si>
  <si>
    <t>NÁVRATNÁ FINANČNÍ VÝPOMOC PŘÍSPĚVKOVÝM ORGANIZACÍM NA PROFINANCOVÁNÍ PODÍLŮ STÁTNÍHO ROZPOČTU A EVROPSKÉ UNIE</t>
  </si>
  <si>
    <t>Návratná finanční výpomoc příspěvkovým organizacím v odvětví kultury</t>
  </si>
  <si>
    <t>Návratná finanční výpomoc příspěvkovým organizacím v odvětví zdravotnictví</t>
  </si>
  <si>
    <t>CELKEM NÁVRATNÁ FINANČNÍ VÝPOMOC PŘÍSPĚVKOVÝM ORGANIZACÍM NA PROFINANCOVÁNÍ PODÍLŮ STÁTNÍHO ROZPOČTU A EVROPSKÉ UNIE</t>
  </si>
  <si>
    <t>X</t>
  </si>
  <si>
    <t>OSTATNÍ AKCE</t>
  </si>
  <si>
    <t>Odstranění materiálů ze sanace lagun Ostramo v lokalitě Vratimov</t>
  </si>
  <si>
    <t>CELKEM OSTATNÍ AKCE</t>
  </si>
  <si>
    <t>PŘEHLED PŘÍJMŮ ZAŘAZENÝCH DO NÁVRHU ROZPOČTU NA ROK 2018 (v tis. Kč)</t>
  </si>
  <si>
    <t>Daňové příjmy</t>
  </si>
  <si>
    <t>Položka</t>
  </si>
  <si>
    <t>Název položky</t>
  </si>
  <si>
    <t>Příjem
(v tis. Kč)</t>
  </si>
  <si>
    <t>Komentář</t>
  </si>
  <si>
    <t>Daň z příjmů fyzických osob placená plátci</t>
  </si>
  <si>
    <t>Daň z příjmů fyzických osob placená plátci (ze závislé činnosti a funkčních požitků) - na základě zákona č. 243/2000 Sb., o rozpočtovém určení daní.</t>
  </si>
  <si>
    <t>Daň z příjmů fyzických osob placená poplatníky</t>
  </si>
  <si>
    <t>Daň z příjmů fyzických osob placená poplatníky (ze samostatné výdělečné činnosti) - na základě zákona č. 243/2000 Sb., o rozpočtovém určení daní.</t>
  </si>
  <si>
    <t>Daň z příjmů fyzických osob vybíraná srážkou</t>
  </si>
  <si>
    <t>Daň z příjmů fyzických osob vybíraná srážkou - na základě zákona č. 243/2000 Sb., o rozpočtovém určení daní.</t>
  </si>
  <si>
    <t xml:space="preserve">Daň z příjmů právnických osob </t>
  </si>
  <si>
    <t>Daň z příjmů právnických osob - na základě zákona č. 243/2000 Sb., o rozpočtovém určení daní.</t>
  </si>
  <si>
    <t>Daň z příjmů právnických osob za kraje</t>
  </si>
  <si>
    <t>Daň z příjmů právnických osob za kraj - na základě zákona č. 243/2000 Sb., o rozpočtovém určení daní.</t>
  </si>
  <si>
    <t>Daň z přidané hodnoty</t>
  </si>
  <si>
    <t>Daň z přidané hodnoty -  na základě zákona č. 243/2000 Sb., o rozpočtovém určení daní.</t>
  </si>
  <si>
    <t>Správní poplatky</t>
  </si>
  <si>
    <t>Správní poplatky - poplatky vybírané převážně na základě zákona č. 634/2004 Sb., o správních poplatcích, zákona č. 160/1992 Sb., o zdravotní péči v nestátních zdravotnických zařízeních a zákona č. 13/1997 Sb., o pozemních komunikacích.</t>
  </si>
  <si>
    <t>Daňové příjmy celkem</t>
  </si>
  <si>
    <t>Nedaňové příjmy</t>
  </si>
  <si>
    <t>Příjmy z poskytování služeb a výrobků</t>
  </si>
  <si>
    <t>Příjmy z refakturovaných nákladů za dodávky energií a poskytnuté služby související s užíváním nebytových prostor v budovách krajského úřadu cizími subjekty na základě uzavřených smluv.</t>
  </si>
  <si>
    <t>Příjem za prezentaci společností, které se podílejí na organizačním zajištění společenských akcí Moravskoslezského kraje.</t>
  </si>
  <si>
    <t>Příjem z refakturovaných nákladů za zabezpečení technické podpory a servisních služeb softwarových produktů v rámci Integrovaného bezpečnostního centra Moravskoslezského kraje.</t>
  </si>
  <si>
    <t>Příjmy z prodeje příkazových bloků.</t>
  </si>
  <si>
    <t>Ostatní příjmy z vlastní činnosti</t>
  </si>
  <si>
    <t>Příjmy za věcná břemena - dle obecně platných právních předpisů.</t>
  </si>
  <si>
    <t>Odvody příspěvkových organizací</t>
  </si>
  <si>
    <t xml:space="preserve">Odvod z fondu investic příspěvkové organizace Slezská nemocnice v Opavě na realizaci akce Pavilon H - stavební úpravy a přístavba a příspěvkové organizace Sdružené zdravotnické zařízení Krnov na realizaci akce Novostavba lékárny a onkologie </t>
  </si>
  <si>
    <t>Příjmy z pronájmu pozemků</t>
  </si>
  <si>
    <t>Příjem z pachtového Průmyslové zóny Nošovice na základě smlouvy 04105/2016/RRC.</t>
  </si>
  <si>
    <t>Příjmy z pronájmu ostatních nemovitostí a jejich částí</t>
  </si>
  <si>
    <t>Pronájem podniku společnost Letiště Ostrava a. s. - na základě usnesení RK č. 43/3413 z 28.6.2004 a smlouvy č. 0671/2004/POR včetně dodatků.</t>
  </si>
  <si>
    <t>Pronájem podniku Nemocnice v Novém Jičíně - na základě usnesení ZK č. 21/1723 ze dne 21. 9. 2011 a smlouvy o nájmu podniku č. 02262/2011/ZDR.</t>
  </si>
  <si>
    <t>Příjmy z pronájmu nebytových prostor v budovách krajského úřadu na základě smluv uzavřených s Regionální radou regionu soudržnosti Moravskoslezsko, Agenturou pro podporu podnikání a investic CzechInvest, Českou poštou a Sodexem.</t>
  </si>
  <si>
    <t>Ostatní příjmy z pronájmu majetku</t>
  </si>
  <si>
    <t>Příjmy z umístění zařízení v budově A krajského úřadu na základě smluv uzavřených se společnostmi - Česká telekomunikační infrastruktura, a.s., Copy Star a Automaty Kavamat Vending, s.r.o..</t>
  </si>
  <si>
    <t>Příjmy z úroků (část)</t>
  </si>
  <si>
    <t>Úroky - přijaté úroky z bankovních účtů zřízených Moravskoslezským krajem.</t>
  </si>
  <si>
    <t>Sankční platby přijaté od státu, obcí a krajů</t>
  </si>
  <si>
    <t>Přijaté sankční platby - pokuty podle zákona č. 117/2001 Sb., o veřejných sbírkách.</t>
  </si>
  <si>
    <t>Sankční platby přijaté od jiných subjektů</t>
  </si>
  <si>
    <t>Přijaté sankční platby - pokuty podle zákona č. 117/2001 Sb., o veřejných sbírkách, blokové pokuty, pokuty ve správním řízení KŽÚ podle § 8a, odst. 5-9 zákona č. 40/1995 Sb., o regulaci reklamy a o změně a doplnění zákona č. 468/1991, dále podle zákona č. 526/1990 Sb., § 17a, o cenách, pokuty právnickým osobám a podnikajícím fyzickým osobám dle zákona č. 129/2000 Sb.</t>
  </si>
  <si>
    <t>Pokuty a kauce -  na základě zákona č. 111/1994 Sb., o silniční dopravě, zákona č. 247/2000 Sb., o získávání a zdokonalování odborné způsobilosti k řízení motorových vozidel, zákona č. 56/2001 Sb., o podmínkách provozu vozidel na pozemních komunikacích a zákona č. 13/1997 Sb., o pozemních komunikacích.</t>
  </si>
  <si>
    <t>Přijaté nekapitálové příspěvky a náhrady</t>
  </si>
  <si>
    <t>Přijaté nekapitálové příspěvky a náhrady - náklady za správní řízení podle zákona č. 500/2004 Sb., správní řád, z titulu reklamací vůči České poště.</t>
  </si>
  <si>
    <t>Příjmy z inkasovaných dobropisů, vratky přeplatků záloh, náhrady za škody způsobené zaměstnanci.</t>
  </si>
  <si>
    <t>Zpracování posudků EIA - příjem kraje od žadatele za zprostředkování zpracování posudku krajským úřadem na základě zákona č. 100/2001 Sb., o posuzování vlivů na životní prostředí.</t>
  </si>
  <si>
    <t>Ostatní nedaňové příjmy jinde nezařazené</t>
  </si>
  <si>
    <t>Příspěvek společnosti Hyundai Motor Manufacturing Czech s.r.o na zabezpečení úkolů JPO IV - příspěvek poskytován na základě smlouvy č. 01865/2008/KH.</t>
  </si>
  <si>
    <t>Platby za odebrané množství podzemní vody a za správu vodních toků</t>
  </si>
  <si>
    <t>Příjmy za odebrané množství podzemní vody - kraj je příjemcem části zálohových plateb vybraných celním úřadem na poplatcích za odběr podzemní vody v souladu se zákonem č. 254/2001 Sb., o vodách.</t>
  </si>
  <si>
    <t>Splátky půjčených prostředků od podnikatelských nefinančních subjektů - právnických osob</t>
  </si>
  <si>
    <t>2420</t>
  </si>
  <si>
    <t>Splátky půjčených prostředků od obecně prospěšných společností a podobných subjektů</t>
  </si>
  <si>
    <t xml:space="preserve">Splátky návratných finančních výpomocí poskytnutých  v rámci „Programu pro poskytování návratných finančních výpomocí z Fondu sociálních služeb v roce 2018“ </t>
  </si>
  <si>
    <t>Splátky půjčených prostředků od obcí</t>
  </si>
  <si>
    <t>Splátky půjčených prostředků od příspěvkových organizací</t>
  </si>
  <si>
    <t>Vratka návratné finanční výpomoci na zajištění běžného chodu organizací v odvětví sociálních věcí.</t>
  </si>
  <si>
    <t>Vratky návratných finančních výpomocí poskytnutých příspěvkovým organizacím v odvětví kultury na zajištění běžného chodu organizací a na předfinancování podílů státu při realizaci projektů spolufinancovaných z evropských finančních zdrojů.</t>
  </si>
  <si>
    <t>Vratky návratných finančních výpomocí poskytnutých příspěvkovým organizacím v odvětví zdravotnictví na předfinancování podílů státu a EU při realizaci projektů spolufinancovaných z evropských finančních zdrojů.</t>
  </si>
  <si>
    <t>Nedaňové příjmy celkem</t>
  </si>
  <si>
    <t>Kapitálové příjmy</t>
  </si>
  <si>
    <t>Příjmy z prodeje pozemků</t>
  </si>
  <si>
    <t>Prodej pozemků - v souladu s požadavky Moravskoslezského kraje a § 36 zákona č. 129/2000 Sb., o krajích.</t>
  </si>
  <si>
    <t>Příjmy z prodeje ostatních nemovitostí a jejich částí</t>
  </si>
  <si>
    <t>Prodej ostatních nemovitostí a jejich částí - v souladu s požadavky Moravskoslezského kraje a § 36 zákona č. 129/2000 Sb., o krajích.</t>
  </si>
  <si>
    <t>Ostatní investiční příjmy jinde nezařazené</t>
  </si>
  <si>
    <t>Příspěvek společnosti Hyundai Motor Manufacturing Czech s.r.o. na zabezpečení úkolů JPO IV -  příspěvek poskytován na základě smlouvy č. 01865/2008/KH.</t>
  </si>
  <si>
    <t>Kapitálové příjmy celkem</t>
  </si>
  <si>
    <t>Přijaté dotace</t>
  </si>
  <si>
    <t>Souhrnný dotační vztah - na základě zákona o státním rozpočtu.</t>
  </si>
  <si>
    <t>Neinvestiční přijaté transfery ze státních fondů</t>
  </si>
  <si>
    <t>Ostatní neinvestiční přijaté transfery ze státního rozpočtu</t>
  </si>
  <si>
    <t>Odstranění materiálů ze sanace lagun Ostramo uložených v lokalitě Vratimov</t>
  </si>
  <si>
    <t>Dopravní obslužnost - drážní doprava</t>
  </si>
  <si>
    <t>Podpora činnosti sekretariátu a zajištění chodu Regionální stálé konference Moravskoslezského kraje v rámci Operačního programu Technická pomoc 2014-2020</t>
  </si>
  <si>
    <t>Zateplení budovy Domova Duha v Novém Jičíně</t>
  </si>
  <si>
    <t>Technická pomoc - Podpora aktivit v rámci Programu Interreg V-A ČR - PR</t>
  </si>
  <si>
    <t>Návrh architektury ICT kraje a pokročilé využívání
nástrojů eGovernmentu</t>
  </si>
  <si>
    <t>Specializovaný výcvik jednotek hasičů pro zdolávání
mimořádných událostí v silničních a železničních tunelech</t>
  </si>
  <si>
    <t xml:space="preserve"> Okružní křižovatky silnic II/475 a II/474, Horní Suchá</t>
  </si>
  <si>
    <t>Neinvestiční převody z Národního fondu</t>
  </si>
  <si>
    <t>Neinvestiční přijaté transfery od obcí</t>
  </si>
  <si>
    <t>Dotace obcí Moravskoslezského kraje do Fondu sociálních služeb</t>
  </si>
  <si>
    <t>Dopravní obslužnost - linková doprava</t>
  </si>
  <si>
    <t xml:space="preserve">Neinvestiční přijaté transfery od mezinárodních institucí </t>
  </si>
  <si>
    <t>Ostatní investiční přijaté transfery ze státního rozpočtu</t>
  </si>
  <si>
    <t xml:space="preserve">Silnice II/464 Mošnov - rekonstrukce (III/4809) </t>
  </si>
  <si>
    <t xml:space="preserve"> Silnice II/647 Ostrava, ul. Plzeňská Od vodárny po křižovatku se sil. I/11 včetně mostů</t>
  </si>
  <si>
    <t xml:space="preserve"> Silnice II/464 v úseku hr. okresu Opava – Bílovec</t>
  </si>
  <si>
    <t>Vybavení vzdělávacího střediska Zdravotnické záchranné služby Moravskoslezského kraje, p.o</t>
  </si>
  <si>
    <t>Energetické úspory ve SŠ průmyslové a umělecké v Opavě</t>
  </si>
  <si>
    <t>Energetické úspory ve SŠ technické v Opavě</t>
  </si>
  <si>
    <t>Energetické úspory v Gymnáziu Petra Bezruče ve Frýdku-Místku</t>
  </si>
  <si>
    <t>Silnice II/477 Frýdek - Místek - Baška - Frýdlant (+ III/48425) I. etapa</t>
  </si>
  <si>
    <t>Silnice II/477 Frýdek - Místek - Baška - Frýdlant (+ III/48425) II. etapa</t>
  </si>
  <si>
    <t>Kotlíkové dotace v Moravskoslezském kraji - 1. grantové schéma - obnovitelné zdroje</t>
  </si>
  <si>
    <t>Kotlíkové dotace v Moravskoslezském kraji - 2. grantové schéma</t>
  </si>
  <si>
    <t>Odstranění vlhkosti a zateplení budovy č. p. 151, domov Odry, příspěvková organizace</t>
  </si>
  <si>
    <t>Zateplení vybraných objektů Slezské nemocnice v Opavě – II. etapa, nepamátkový objekt</t>
  </si>
  <si>
    <t>Integrované výjezdové centrum v Českém Těšíně</t>
  </si>
  <si>
    <t>Investiční přijaté transfery od obcí</t>
  </si>
  <si>
    <t>Přijaté dotace celkem</t>
  </si>
  <si>
    <t>PŘÍJMY CELKEM</t>
  </si>
  <si>
    <t>RESOLVE – Sustainable mobility and the transition to a low-carbon retailing economy</t>
  </si>
  <si>
    <t>Vratka návratné finanční výpomoci na zajištění běžného chodu organizací v odvětví školství.</t>
  </si>
  <si>
    <t>Neinvestiční přijaté transfery ze státního rozpočtu v rámci souhrnného dotačního vztahu</t>
  </si>
  <si>
    <t>Splátky půjčených prostředků na základě operačních smluv s Fondy rozvoje měst.</t>
  </si>
  <si>
    <t>Celkem 89 mil. Kč.</t>
  </si>
  <si>
    <t>Celkem 51 mil. Kč.</t>
  </si>
  <si>
    <t>Pořízení meteohlásek (Správa silnic Moravskoslezského kraje, příspěvková organizace, Ostrava)</t>
  </si>
  <si>
    <t>Celkem 14 mil. Kč, rozhodne až ZK prosinec.</t>
  </si>
  <si>
    <t>Dotační program - Podpora vzdělávání a poradenství v oblasti životního prostředí</t>
  </si>
  <si>
    <t>Zámek Nová Horka - Muzeum pro veřejnost II</t>
  </si>
  <si>
    <t>Očekávané účelové dotace</t>
  </si>
  <si>
    <t>Úprava rozpočtu</t>
  </si>
  <si>
    <t xml:space="preserve">Schválený rozpočet </t>
  </si>
  <si>
    <t>2004 - Varianta II (RUD)</t>
  </si>
  <si>
    <t>2004 - Varianta I</t>
  </si>
  <si>
    <t>Upravený rozpočet</t>
  </si>
  <si>
    <t>Výdaje</t>
  </si>
  <si>
    <t>Příjmy</t>
  </si>
  <si>
    <t>převody+oček.dotace+ISPROFIN+oček.záloh.platby</t>
  </si>
  <si>
    <t>při schodkovém</t>
  </si>
  <si>
    <r>
      <t xml:space="preserve">Úprava rozpočtu </t>
    </r>
    <r>
      <rPr>
        <sz val="12"/>
        <rFont val="Times New Roman CE"/>
        <charset val="238"/>
      </rPr>
      <t>= tzn. o kolik se navýšil upravený rozpočet (tj. UR-SR=úprava rozpočtu)</t>
    </r>
  </si>
  <si>
    <t>Očekávané účelové dotace a převody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</si>
  <si>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</si>
  <si>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</si>
  <si>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</si>
  <si>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</si>
  <si>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</si>
  <si>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</si>
  <si>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</si>
  <si>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</si>
  <si>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</si>
  <si>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2007</t>
  </si>
  <si>
    <t>2005</t>
  </si>
  <si>
    <t>2004</t>
  </si>
  <si>
    <t>přebytkový - příjmy - nepřičítat převody!</t>
  </si>
  <si>
    <t>k 9/14(dle kalk.)</t>
  </si>
  <si>
    <t>Schválený rozpočet</t>
  </si>
  <si>
    <t>Příjmy po konsolidaci</t>
  </si>
  <si>
    <t xml:space="preserve">Daňové příjmy </t>
  </si>
  <si>
    <t>Výdaje po konsolidaci</t>
  </si>
  <si>
    <t>Kapitálové výdaje</t>
  </si>
  <si>
    <t>Běžné výdaje</t>
  </si>
  <si>
    <t>Celkem</t>
  </si>
  <si>
    <t>Ostatní přijaté dotace</t>
  </si>
  <si>
    <t>Přijatá dotace v rámci souhrnného finančního vztahu</t>
  </si>
  <si>
    <t>Přijatá dotace na drážní obslužnost</t>
  </si>
  <si>
    <t>Přijaté dotace na akce spolufinancované z evropských finančních zdrojů</t>
  </si>
  <si>
    <t>Rozpočet 2018</t>
  </si>
  <si>
    <t>Rozpočet 2017</t>
  </si>
  <si>
    <t>Rozpočet 2016</t>
  </si>
  <si>
    <t>Rozpočet 2015</t>
  </si>
  <si>
    <t>Rozpočet 2014</t>
  </si>
  <si>
    <t>Rozpočet 2013</t>
  </si>
  <si>
    <t>Rozpočet 2012</t>
  </si>
  <si>
    <t>Rozpočet 2011</t>
  </si>
  <si>
    <t>Rozpočet 2010</t>
  </si>
  <si>
    <t>Rozpočet 2009</t>
  </si>
  <si>
    <t>Rozpočet 2008</t>
  </si>
  <si>
    <t>Rozpočet 2007</t>
  </si>
  <si>
    <t>PŘÍJMY</t>
  </si>
  <si>
    <t>Finance a správa majetku</t>
  </si>
  <si>
    <t>Krajský úřad</t>
  </si>
  <si>
    <t>Územní plánování a stavební řád</t>
  </si>
  <si>
    <t xml:space="preserve">Regionální rozvoj </t>
  </si>
  <si>
    <t>odvětví</t>
  </si>
  <si>
    <t>Akce spolufinancované z EU a EHP</t>
  </si>
  <si>
    <t>Ostatní výdaje</t>
  </si>
  <si>
    <t>Průmyslová zóna Nošovice</t>
  </si>
  <si>
    <t>Akce spolufinancované z evropských finančních zdrojů</t>
  </si>
  <si>
    <t>Reprodukce majetku kraje vyjma akcí EU</t>
  </si>
  <si>
    <t>Návratné finanční výpomoci příspěvkovým organizacím</t>
  </si>
  <si>
    <t>Příspěvky PO celkem - provoz</t>
  </si>
  <si>
    <t>Samosprávné činnosti celkem</t>
  </si>
  <si>
    <t>Běžné výdaje na zastupitelstvo kraje a krajský úřad</t>
  </si>
  <si>
    <t>Činnost zastupitelstva</t>
  </si>
  <si>
    <t>VÝDAJE</t>
  </si>
  <si>
    <t xml:space="preserve">PŘEHLED AKCÍ SPOLUFINANCOVANÝCH Z EVROPSKÝCH FINANČNÍCH ZDROJŮ Z POHLEDU ZPŮSOBU FINANCOVÁNÍ
A PŘEHLED DALŠÍCH AKCÍ PŘEDFINANCOVANÝCH Z ÚVĚRU ČSOB V NÁVRHU ROZPOČTU KRAJE NA ROK 2018                </t>
  </si>
  <si>
    <t xml:space="preserve"> PŘEHLED AKCÍ SPOLUFINANCOVANÝCH Z EVROPSKÝCH FINANČNÍCH ZDROJŮ V NÁVRHU ROZPOČTU KRAJE
NA ROK 2018 VČETNĚ ZÁVAZKŮ KRAJE VYVOLANÝCH PRO ROK 2019 A DALŠÍ LÉTA (v tis. Kč)             </t>
  </si>
  <si>
    <t>Úplné elektronické podání - jednotné prostředí pro vyřízení elektronických žádostí
v krajské korporaci</t>
  </si>
  <si>
    <t>Rekonstrukce a modernizace silnice II/441
v úseku Odry - Jakubčovice n. Odrou</t>
  </si>
  <si>
    <t>Rekonstrukce a modernizace silnice II/442
v úseku Jakubčovice nad Odrou - hr. okresu Opava</t>
  </si>
  <si>
    <t>Specializovaný výcvik jednotek hasičů pro zdolávání mimořádných událostí v silničních
a železničních tunelech</t>
  </si>
  <si>
    <t>Vybudování expozice muzea Těšínska
v Jablunkově "Muzeum Trojmezí"</t>
  </si>
  <si>
    <t>Cyklovýlety na hrady a zámky
v Moravskoslezském a Žilinském kraji</t>
  </si>
  <si>
    <t>Chráněné bydlení organizace Sagapo
v Bruntále</t>
  </si>
  <si>
    <t xml:space="preserve">Optimalizace odborného sociálního poradenství a dluhového poradenství
v Moravskoslezském kraji </t>
  </si>
  <si>
    <t>Podpora a rozvoj náhradní rodinné péče
v Moravskoslezském kraji</t>
  </si>
  <si>
    <t>Energetické úspory v Obchodní akademii
a SOŠ logistické v Opavě</t>
  </si>
  <si>
    <t>Energetické úspory ve SŠ průmyslové
a umělecké v Opavě</t>
  </si>
  <si>
    <t>Energetické úspory ve SŠ teleinformatiky
v Ostravě</t>
  </si>
  <si>
    <t>Energetické úspory ve Střední škole
v Bohumíně</t>
  </si>
  <si>
    <t>Rozvoj dovedností žáků v přírodovědných
a technických oborech</t>
  </si>
  <si>
    <t>Implementace soustavy Natura 2000
v Moravskoslezském kraji, 2. vlna</t>
  </si>
  <si>
    <t>Požadavek na rozpočet kraje</t>
  </si>
  <si>
    <t>Přehled akcí v rámci aktivit chytrého regionu v návrhu rozpočtu kraje na rok 2018</t>
  </si>
  <si>
    <t>PŘEHLED AKCÍ V RÁMCI AKTIVIT CHYTRÉHO REGIONU V NÁVRHU ROZPOČTU KRAJE
NA ROK 2018 (v tis. Kč)</t>
  </si>
  <si>
    <t>Činnosti zajišťované obchodní společností Koordinátor ODIS, s.r.o.</t>
  </si>
  <si>
    <t>Příloha č. 10</t>
  </si>
  <si>
    <t>Program podpory financování akcí s podporou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</si>
</sst>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indexed="5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10"/>
      <name val="Arial"/>
      <family val="2"/>
      <charset val="238"/>
    </font>
    <font>
      <sz val="8"/>
      <color indexed="10"/>
      <name val="Tahoma"/>
      <family val="2"/>
      <charset val="238"/>
    </font>
    <font>
      <sz val="9"/>
      <name val="Tahoma"/>
      <family val="2"/>
      <charset val="238"/>
    </font>
    <font>
      <sz val="12"/>
      <name val="Times New Roman"/>
      <family val="1"/>
    </font>
    <font>
      <b/>
      <sz val="16"/>
      <name val="Tahoma"/>
      <family val="2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sz val="12"/>
      <color indexed="10"/>
      <name val="Tahoma"/>
      <family val="2"/>
      <charset val="238"/>
    </font>
    <font>
      <sz val="10"/>
      <name val="Tahoma"/>
      <family val="2"/>
      <charset val="238"/>
    </font>
    <font>
      <i/>
      <sz val="8"/>
      <name val="Tahoma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Tahoma"/>
      <family val="2"/>
      <charset val="238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i/>
      <sz val="8"/>
      <color rgb="FFFF0000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10"/>
      <name val="Arial CE"/>
      <charset val="238"/>
    </font>
    <font>
      <sz val="10"/>
      <color theme="0" tint="-0.249977111117893"/>
      <name val="Tahoma"/>
      <family val="2"/>
      <charset val="238"/>
    </font>
    <font>
      <b/>
      <sz val="12"/>
      <color theme="0" tint="-0.249977111117893"/>
      <name val="Tahoma"/>
      <family val="2"/>
      <charset val="238"/>
    </font>
    <font>
      <sz val="8"/>
      <color theme="0" tint="-0.249977111117893"/>
      <name val="Tahoma"/>
      <family val="2"/>
      <charset val="238"/>
    </font>
    <font>
      <sz val="12"/>
      <name val="Times New Roman CE"/>
      <charset val="238"/>
    </font>
    <font>
      <b/>
      <sz val="8"/>
      <color theme="0" tint="-0.249977111117893"/>
      <name val="Tahoma"/>
      <family val="2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2"/>
      <color indexed="12"/>
      <name val="Times New Roman CE"/>
      <family val="1"/>
      <charset val="238"/>
    </font>
    <font>
      <sz val="12"/>
      <color indexed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9" fillId="0" borderId="0"/>
    <xf numFmtId="0" fontId="27" fillId="0" borderId="0"/>
    <xf numFmtId="0" fontId="29" fillId="0" borderId="0"/>
    <xf numFmtId="0" fontId="32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2" fillId="0" borderId="0"/>
  </cellStyleXfs>
  <cellXfs count="533">
    <xf numFmtId="0" fontId="0" fillId="0" borderId="0" xfId="0"/>
    <xf numFmtId="0" fontId="4" fillId="0" borderId="0" xfId="1" applyFont="1"/>
    <xf numFmtId="0" fontId="5" fillId="2" borderId="1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0" xfId="1" applyFont="1"/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 wrapText="1"/>
    </xf>
    <xf numFmtId="3" fontId="4" fillId="0" borderId="6" xfId="1" applyNumberFormat="1" applyFont="1" applyFill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164" fontId="4" fillId="0" borderId="7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3" fontId="5" fillId="0" borderId="6" xfId="1" applyNumberFormat="1" applyFont="1" applyFill="1" applyBorder="1" applyAlignment="1">
      <alignment vertical="center" wrapText="1"/>
    </xf>
    <xf numFmtId="3" fontId="5" fillId="0" borderId="6" xfId="1" applyNumberFormat="1" applyFont="1" applyBorder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164" fontId="5" fillId="0" borderId="7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0" fontId="4" fillId="0" borderId="6" xfId="1" applyFont="1" applyFill="1" applyBorder="1" applyAlignment="1">
      <alignment vertical="center" wrapText="1"/>
    </xf>
    <xf numFmtId="164" fontId="4" fillId="0" borderId="7" xfId="1" applyNumberFormat="1" applyFont="1" applyBorder="1" applyAlignment="1">
      <alignment horizontal="right" vertical="center"/>
    </xf>
    <xf numFmtId="164" fontId="4" fillId="0" borderId="7" xfId="1" applyNumberFormat="1" applyFont="1" applyFill="1" applyBorder="1" applyAlignment="1">
      <alignment vertical="center"/>
    </xf>
    <xf numFmtId="3" fontId="4" fillId="0" borderId="6" xfId="1" applyNumberFormat="1" applyFont="1" applyBorder="1" applyAlignment="1">
      <alignment vertical="center" wrapText="1"/>
    </xf>
    <xf numFmtId="0" fontId="4" fillId="0" borderId="6" xfId="1" applyFont="1" applyFill="1" applyBorder="1" applyAlignment="1">
      <alignment vertical="center"/>
    </xf>
    <xf numFmtId="0" fontId="4" fillId="0" borderId="5" xfId="1" applyFont="1" applyFill="1" applyBorder="1" applyAlignment="1">
      <alignment horizontal="left" vertical="center" wrapText="1"/>
    </xf>
    <xf numFmtId="3" fontId="5" fillId="2" borderId="11" xfId="1" applyNumberFormat="1" applyFont="1" applyFill="1" applyBorder="1" applyAlignment="1">
      <alignment vertical="center" wrapText="1"/>
    </xf>
    <xf numFmtId="164" fontId="5" fillId="2" borderId="12" xfId="1" applyNumberFormat="1" applyFont="1" applyFill="1" applyBorder="1" applyAlignment="1">
      <alignment vertical="center"/>
    </xf>
    <xf numFmtId="0" fontId="4" fillId="3" borderId="0" xfId="1" applyFont="1" applyFill="1" applyBorder="1"/>
    <xf numFmtId="0" fontId="5" fillId="0" borderId="0" xfId="1" applyFont="1" applyFill="1" applyBorder="1" applyAlignment="1">
      <alignment horizontal="left" vertical="center"/>
    </xf>
    <xf numFmtId="4" fontId="5" fillId="0" borderId="0" xfId="1" applyNumberFormat="1" applyFont="1" applyFill="1" applyBorder="1" applyAlignment="1">
      <alignment vertical="center" wrapText="1"/>
    </xf>
    <xf numFmtId="4" fontId="7" fillId="0" borderId="0" xfId="1" applyNumberFormat="1" applyFont="1" applyFill="1" applyBorder="1" applyAlignment="1">
      <alignment vertical="center" wrapText="1"/>
    </xf>
    <xf numFmtId="4" fontId="5" fillId="0" borderId="0" xfId="1" applyNumberFormat="1" applyFont="1" applyFill="1" applyBorder="1" applyAlignment="1">
      <alignment vertical="center"/>
    </xf>
    <xf numFmtId="0" fontId="4" fillId="3" borderId="0" xfId="1" applyFont="1" applyFill="1" applyBorder="1" applyAlignment="1"/>
    <xf numFmtId="0" fontId="1" fillId="0" borderId="0" xfId="1" applyBorder="1" applyAlignment="1"/>
    <xf numFmtId="0" fontId="9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4" fillId="0" borderId="0" xfId="1" applyFont="1" applyBorder="1"/>
    <xf numFmtId="0" fontId="10" fillId="0" borderId="0" xfId="1" applyFont="1" applyFill="1"/>
    <xf numFmtId="0" fontId="10" fillId="0" borderId="0" xfId="1" applyFont="1"/>
    <xf numFmtId="0" fontId="11" fillId="0" borderId="0" xfId="1" applyFont="1" applyFill="1"/>
    <xf numFmtId="0" fontId="13" fillId="0" borderId="0" xfId="1" applyFont="1" applyAlignment="1"/>
    <xf numFmtId="0" fontId="14" fillId="0" borderId="0" xfId="1" applyFont="1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15" fillId="0" borderId="0" xfId="1" applyFont="1" applyFill="1" applyAlignment="1"/>
    <xf numFmtId="0" fontId="11" fillId="0" borderId="0" xfId="1" applyFont="1"/>
    <xf numFmtId="0" fontId="16" fillId="0" borderId="0" xfId="1" applyFont="1" applyFill="1"/>
    <xf numFmtId="164" fontId="5" fillId="0" borderId="7" xfId="1" applyNumberFormat="1" applyFont="1" applyBorder="1" applyAlignment="1">
      <alignment horizontal="right" vertical="center"/>
    </xf>
    <xf numFmtId="0" fontId="16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4" fontId="5" fillId="0" borderId="0" xfId="3" applyNumberFormat="1" applyFont="1" applyAlignment="1">
      <alignment horizontal="right" vertical="center"/>
    </xf>
    <xf numFmtId="4" fontId="5" fillId="0" borderId="0" xfId="3" applyNumberFormat="1" applyFont="1" applyAlignment="1">
      <alignment vertical="center"/>
    </xf>
    <xf numFmtId="49" fontId="5" fillId="2" borderId="6" xfId="4" applyNumberFormat="1" applyFont="1" applyFill="1" applyBorder="1" applyAlignment="1">
      <alignment horizontal="center" vertical="center" wrapText="1"/>
    </xf>
    <xf numFmtId="49" fontId="5" fillId="2" borderId="5" xfId="4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4" fillId="0" borderId="8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left" vertical="center" wrapText="1"/>
    </xf>
    <xf numFmtId="0" fontId="4" fillId="0" borderId="6" xfId="3" applyFont="1" applyFill="1" applyBorder="1" applyAlignment="1">
      <alignment horizontal="center" vertical="center" wrapText="1"/>
    </xf>
    <xf numFmtId="3" fontId="4" fillId="0" borderId="6" xfId="3" applyNumberFormat="1" applyFont="1" applyFill="1" applyBorder="1" applyAlignment="1">
      <alignment horizontal="right" vertical="center"/>
    </xf>
    <xf numFmtId="3" fontId="4" fillId="2" borderId="6" xfId="3" applyNumberFormat="1" applyFont="1" applyFill="1" applyBorder="1" applyAlignment="1">
      <alignment horizontal="right" vertical="center"/>
    </xf>
    <xf numFmtId="3" fontId="4" fillId="0" borderId="37" xfId="3" applyNumberFormat="1" applyFont="1" applyFill="1" applyBorder="1" applyAlignment="1">
      <alignment horizontal="right" vertical="center"/>
    </xf>
    <xf numFmtId="49" fontId="4" fillId="0" borderId="7" xfId="3" applyNumberFormat="1" applyFont="1" applyFill="1" applyBorder="1" applyAlignment="1">
      <alignment horizontal="justify" vertical="center"/>
    </xf>
    <xf numFmtId="0" fontId="4" fillId="0" borderId="8" xfId="3" applyFont="1" applyBorder="1" applyAlignment="1">
      <alignment horizontal="center" vertical="center" wrapText="1"/>
    </xf>
    <xf numFmtId="3" fontId="5" fillId="2" borderId="6" xfId="3" applyNumberFormat="1" applyFont="1" applyFill="1" applyBorder="1" applyAlignment="1">
      <alignment vertical="center" wrapText="1"/>
    </xf>
    <xf numFmtId="0" fontId="4" fillId="2" borderId="7" xfId="3" applyFont="1" applyFill="1" applyBorder="1" applyAlignment="1">
      <alignment horizontal="justify" vertical="center"/>
    </xf>
    <xf numFmtId="3" fontId="5" fillId="2" borderId="6" xfId="3" applyNumberFormat="1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6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0" xfId="3" applyFont="1" applyFill="1" applyAlignment="1">
      <alignment vertical="center"/>
    </xf>
    <xf numFmtId="3" fontId="10" fillId="0" borderId="6" xfId="3" applyNumberFormat="1" applyFont="1" applyFill="1" applyBorder="1" applyAlignment="1">
      <alignment horizontal="right" vertical="center"/>
    </xf>
    <xf numFmtId="3" fontId="4" fillId="0" borderId="0" xfId="3" applyNumberFormat="1" applyFont="1" applyAlignment="1">
      <alignment vertical="center"/>
    </xf>
    <xf numFmtId="0" fontId="4" fillId="0" borderId="15" xfId="3" applyFont="1" applyBorder="1" applyAlignment="1">
      <alignment vertical="center"/>
    </xf>
    <xf numFmtId="0" fontId="4" fillId="0" borderId="34" xfId="3" applyFont="1" applyFill="1" applyBorder="1" applyAlignment="1">
      <alignment vertical="center" wrapText="1"/>
    </xf>
    <xf numFmtId="3" fontId="4" fillId="0" borderId="34" xfId="3" applyNumberFormat="1" applyFont="1" applyBorder="1" applyAlignment="1">
      <alignment vertical="center" wrapText="1"/>
    </xf>
    <xf numFmtId="0" fontId="4" fillId="0" borderId="34" xfId="3" applyFont="1" applyBorder="1" applyAlignment="1">
      <alignment vertical="center" wrapText="1"/>
    </xf>
    <xf numFmtId="49" fontId="4" fillId="0" borderId="19" xfId="3" applyNumberFormat="1" applyFont="1" applyFill="1" applyBorder="1" applyAlignment="1">
      <alignment horizontal="justify" vertical="center"/>
    </xf>
    <xf numFmtId="0" fontId="5" fillId="2" borderId="16" xfId="3" applyFont="1" applyFill="1" applyBorder="1" applyAlignment="1">
      <alignment vertical="center" wrapText="1"/>
    </xf>
    <xf numFmtId="3" fontId="5" fillId="2" borderId="17" xfId="3" applyNumberFormat="1" applyFont="1" applyFill="1" applyBorder="1" applyAlignment="1">
      <alignment vertical="center" wrapText="1"/>
    </xf>
    <xf numFmtId="49" fontId="4" fillId="2" borderId="18" xfId="3" applyNumberFormat="1" applyFont="1" applyFill="1" applyBorder="1" applyAlignment="1">
      <alignment horizontal="justify" vertical="center"/>
    </xf>
    <xf numFmtId="3" fontId="16" fillId="0" borderId="0" xfId="3" applyNumberFormat="1" applyFont="1" applyAlignment="1">
      <alignment vertical="center"/>
    </xf>
    <xf numFmtId="0" fontId="17" fillId="0" borderId="0" xfId="5" applyFont="1" applyFill="1" applyAlignment="1">
      <alignment vertical="center"/>
    </xf>
    <xf numFmtId="0" fontId="16" fillId="0" borderId="0" xfId="3" applyFont="1" applyFill="1" applyAlignment="1">
      <alignment vertical="center"/>
    </xf>
    <xf numFmtId="4" fontId="4" fillId="0" borderId="0" xfId="3" applyNumberFormat="1" applyFont="1" applyFill="1" applyAlignment="1">
      <alignment vertical="center"/>
    </xf>
    <xf numFmtId="4" fontId="5" fillId="0" borderId="0" xfId="3" applyNumberFormat="1" applyFont="1" applyFill="1" applyBorder="1" applyAlignment="1">
      <alignment horizontal="right" vertical="center"/>
    </xf>
    <xf numFmtId="4" fontId="16" fillId="0" borderId="0" xfId="3" applyNumberFormat="1" applyFont="1" applyAlignment="1">
      <alignment vertical="center"/>
    </xf>
    <xf numFmtId="0" fontId="20" fillId="0" borderId="0" xfId="6" applyFont="1"/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Fill="1"/>
    <xf numFmtId="0" fontId="21" fillId="0" borderId="0" xfId="0" applyFont="1" applyAlignment="1">
      <alignment wrapText="1"/>
    </xf>
    <xf numFmtId="0" fontId="22" fillId="0" borderId="31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2" fillId="5" borderId="6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vertical="center"/>
    </xf>
    <xf numFmtId="3" fontId="23" fillId="0" borderId="0" xfId="0" applyNumberFormat="1" applyFont="1" applyBorder="1"/>
    <xf numFmtId="3" fontId="23" fillId="0" borderId="0" xfId="0" applyNumberFormat="1" applyFont="1" applyFill="1" applyBorder="1"/>
    <xf numFmtId="0" fontId="22" fillId="0" borderId="0" xfId="0" applyFont="1" applyBorder="1" applyAlignment="1">
      <alignment wrapText="1"/>
    </xf>
    <xf numFmtId="0" fontId="22" fillId="0" borderId="0" xfId="0" applyFont="1"/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3" fontId="22" fillId="0" borderId="0" xfId="0" applyNumberFormat="1" applyFo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vertical="center"/>
    </xf>
    <xf numFmtId="0" fontId="22" fillId="0" borderId="0" xfId="0" applyFont="1" applyFill="1"/>
    <xf numFmtId="0" fontId="22" fillId="0" borderId="39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4" fillId="0" borderId="2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26" fillId="0" borderId="0" xfId="0" applyFont="1"/>
    <xf numFmtId="3" fontId="22" fillId="4" borderId="20" xfId="0" applyNumberFormat="1" applyFont="1" applyFill="1" applyBorder="1" applyAlignment="1">
      <alignment vertical="center"/>
    </xf>
    <xf numFmtId="3" fontId="22" fillId="0" borderId="20" xfId="0" applyNumberFormat="1" applyFont="1" applyFill="1" applyBorder="1" applyAlignment="1">
      <alignment vertical="center"/>
    </xf>
    <xf numFmtId="3" fontId="23" fillId="4" borderId="6" xfId="0" applyNumberFormat="1" applyFont="1" applyFill="1" applyBorder="1" applyAlignment="1">
      <alignment vertical="center"/>
    </xf>
    <xf numFmtId="0" fontId="22" fillId="0" borderId="7" xfId="0" applyFont="1" applyFill="1" applyBorder="1" applyAlignment="1">
      <alignment vertical="center" wrapText="1"/>
    </xf>
    <xf numFmtId="3" fontId="22" fillId="4" borderId="6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2" fillId="0" borderId="7" xfId="0" applyFont="1" applyBorder="1" applyAlignment="1">
      <alignment vertical="center" wrapText="1"/>
    </xf>
    <xf numFmtId="3" fontId="23" fillId="4" borderId="20" xfId="0" applyNumberFormat="1" applyFont="1" applyFill="1" applyBorder="1" applyAlignment="1">
      <alignment vertical="center"/>
    </xf>
    <xf numFmtId="3" fontId="4" fillId="4" borderId="6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3" fontId="22" fillId="0" borderId="6" xfId="0" applyNumberFormat="1" applyFont="1" applyBorder="1" applyAlignment="1">
      <alignment vertical="center"/>
    </xf>
    <xf numFmtId="3" fontId="23" fillId="4" borderId="24" xfId="0" applyNumberFormat="1" applyFont="1" applyFill="1" applyBorder="1" applyAlignment="1">
      <alignment vertical="center"/>
    </xf>
    <xf numFmtId="3" fontId="23" fillId="4" borderId="17" xfId="0" applyNumberFormat="1" applyFont="1" applyFill="1" applyBorder="1" applyAlignment="1">
      <alignment vertical="center"/>
    </xf>
    <xf numFmtId="0" fontId="22" fillId="4" borderId="18" xfId="0" applyFont="1" applyFill="1" applyBorder="1" applyAlignment="1">
      <alignment vertical="center" wrapText="1"/>
    </xf>
    <xf numFmtId="0" fontId="22" fillId="4" borderId="7" xfId="0" applyFont="1" applyFill="1" applyBorder="1" applyAlignment="1">
      <alignment vertical="center" wrapText="1"/>
    </xf>
    <xf numFmtId="0" fontId="22" fillId="4" borderId="25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vertical="center"/>
    </xf>
    <xf numFmtId="0" fontId="23" fillId="0" borderId="34" xfId="0" applyFont="1" applyFill="1" applyBorder="1" applyAlignment="1">
      <alignment vertical="center"/>
    </xf>
    <xf numFmtId="0" fontId="23" fillId="0" borderId="19" xfId="0" applyFont="1" applyFill="1" applyBorder="1" applyAlignment="1">
      <alignment vertical="center"/>
    </xf>
    <xf numFmtId="0" fontId="23" fillId="0" borderId="0" xfId="0" applyFont="1" applyAlignment="1">
      <alignment horizontal="right" wrapText="1"/>
    </xf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5" fillId="0" borderId="0" xfId="1" applyFont="1" applyAlignment="1">
      <alignment vertical="center" wrapText="1"/>
    </xf>
    <xf numFmtId="4" fontId="5" fillId="0" borderId="0" xfId="1" applyNumberFormat="1" applyFont="1" applyAlignment="1">
      <alignment horizontal="right" vertical="center"/>
    </xf>
    <xf numFmtId="4" fontId="5" fillId="0" borderId="0" xfId="1" applyNumberFormat="1" applyFont="1" applyAlignment="1">
      <alignment vertical="center"/>
    </xf>
    <xf numFmtId="4" fontId="5" fillId="0" borderId="11" xfId="1" applyNumberFormat="1" applyFont="1" applyFill="1" applyBorder="1" applyAlignment="1">
      <alignment horizontal="center" vertical="center" wrapText="1"/>
    </xf>
    <xf numFmtId="4" fontId="5" fillId="2" borderId="45" xfId="1" applyNumberFormat="1" applyFont="1" applyFill="1" applyBorder="1" applyAlignment="1">
      <alignment horizontal="center" vertical="center" wrapText="1"/>
    </xf>
    <xf numFmtId="9" fontId="5" fillId="2" borderId="46" xfId="4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vertical="center" wrapText="1"/>
    </xf>
    <xf numFmtId="3" fontId="4" fillId="0" borderId="6" xfId="1" applyNumberFormat="1" applyFont="1" applyFill="1" applyBorder="1" applyAlignment="1">
      <alignment horizontal="right" vertical="center"/>
    </xf>
    <xf numFmtId="3" fontId="4" fillId="2" borderId="6" xfId="1" applyNumberFormat="1" applyFont="1" applyFill="1" applyBorder="1" applyAlignment="1">
      <alignment horizontal="right" vertical="center"/>
    </xf>
    <xf numFmtId="3" fontId="4" fillId="5" borderId="6" xfId="1" applyNumberFormat="1" applyFont="1" applyFill="1" applyBorder="1" applyAlignment="1">
      <alignment horizontal="right" vertical="center"/>
    </xf>
    <xf numFmtId="3" fontId="4" fillId="2" borderId="23" xfId="1" applyNumberFormat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right" vertical="center" wrapText="1"/>
    </xf>
    <xf numFmtId="3" fontId="5" fillId="2" borderId="7" xfId="1" applyNumberFormat="1" applyFont="1" applyFill="1" applyBorder="1" applyAlignment="1">
      <alignment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vertical="center" wrapText="1"/>
    </xf>
    <xf numFmtId="3" fontId="4" fillId="2" borderId="24" xfId="1" applyNumberFormat="1" applyFont="1" applyFill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3" fontId="30" fillId="5" borderId="6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3" fontId="17" fillId="0" borderId="0" xfId="1" applyNumberFormat="1" applyFont="1" applyAlignment="1">
      <alignment vertical="center"/>
    </xf>
    <xf numFmtId="3" fontId="4" fillId="2" borderId="7" xfId="1" applyNumberFormat="1" applyFont="1" applyFill="1" applyBorder="1" applyAlignment="1">
      <alignment horizontal="right" vertical="center"/>
    </xf>
    <xf numFmtId="0" fontId="31" fillId="0" borderId="0" xfId="1" applyFont="1" applyAlignment="1">
      <alignment vertical="center"/>
    </xf>
    <xf numFmtId="3" fontId="5" fillId="2" borderId="6" xfId="1" applyNumberFormat="1" applyFont="1" applyFill="1" applyBorder="1" applyAlignment="1">
      <alignment horizontal="right" vertical="center" wrapText="1"/>
    </xf>
    <xf numFmtId="3" fontId="5" fillId="2" borderId="7" xfId="1" applyNumberFormat="1" applyFont="1" applyFill="1" applyBorder="1" applyAlignment="1">
      <alignment horizontal="right" vertical="center" wrapText="1"/>
    </xf>
    <xf numFmtId="3" fontId="4" fillId="0" borderId="20" xfId="1" applyNumberFormat="1" applyFont="1" applyFill="1" applyBorder="1" applyAlignment="1">
      <alignment horizontal="right" vertical="center"/>
    </xf>
    <xf numFmtId="0" fontId="4" fillId="2" borderId="23" xfId="1" applyFont="1" applyFill="1" applyBorder="1" applyAlignment="1">
      <alignment vertical="center"/>
    </xf>
    <xf numFmtId="3" fontId="5" fillId="2" borderId="20" xfId="1" applyNumberFormat="1" applyFont="1" applyFill="1" applyBorder="1" applyAlignment="1">
      <alignment horizontal="right" vertical="center"/>
    </xf>
    <xf numFmtId="3" fontId="5" fillId="2" borderId="6" xfId="1" applyNumberFormat="1" applyFont="1" applyFill="1" applyBorder="1" applyAlignment="1">
      <alignment horizontal="right" vertical="center"/>
    </xf>
    <xf numFmtId="3" fontId="5" fillId="2" borderId="7" xfId="1" applyNumberFormat="1" applyFont="1" applyFill="1" applyBorder="1" applyAlignment="1">
      <alignment horizontal="right" vertical="center"/>
    </xf>
    <xf numFmtId="0" fontId="4" fillId="0" borderId="8" xfId="1" applyFont="1" applyFill="1" applyBorder="1" applyAlignment="1">
      <alignment horizontal="left" vertical="center" wrapText="1"/>
    </xf>
    <xf numFmtId="0" fontId="5" fillId="2" borderId="38" xfId="1" applyFont="1" applyFill="1" applyBorder="1" applyAlignment="1">
      <alignment horizontal="left" vertical="center" wrapText="1"/>
    </xf>
    <xf numFmtId="4" fontId="5" fillId="2" borderId="16" xfId="1" applyNumberFormat="1" applyFont="1" applyFill="1" applyBorder="1" applyAlignment="1">
      <alignment horizontal="right" vertical="center"/>
    </xf>
    <xf numFmtId="3" fontId="5" fillId="2" borderId="17" xfId="1" applyNumberFormat="1" applyFont="1" applyFill="1" applyBorder="1" applyAlignment="1">
      <alignment vertical="center" wrapText="1"/>
    </xf>
    <xf numFmtId="3" fontId="5" fillId="2" borderId="18" xfId="1" applyNumberFormat="1" applyFont="1" applyFill="1" applyBorder="1" applyAlignment="1">
      <alignment vertical="center" wrapText="1"/>
    </xf>
    <xf numFmtId="0" fontId="21" fillId="0" borderId="0" xfId="9" applyFont="1"/>
    <xf numFmtId="0" fontId="33" fillId="0" borderId="0" xfId="9" applyFont="1"/>
    <xf numFmtId="0" fontId="34" fillId="0" borderId="0" xfId="9" applyFont="1" applyAlignment="1">
      <alignment horizontal="center"/>
    </xf>
    <xf numFmtId="0" fontId="5" fillId="0" borderId="0" xfId="9" applyFont="1" applyAlignment="1">
      <alignment horizontal="left"/>
    </xf>
    <xf numFmtId="0" fontId="35" fillId="0" borderId="0" xfId="9" applyFont="1" applyAlignment="1"/>
    <xf numFmtId="3" fontId="35" fillId="0" borderId="0" xfId="9" applyNumberFormat="1" applyFont="1"/>
    <xf numFmtId="0" fontId="35" fillId="0" borderId="0" xfId="1" applyFont="1" applyAlignment="1">
      <alignment wrapText="1"/>
    </xf>
    <xf numFmtId="0" fontId="22" fillId="0" borderId="0" xfId="9" applyFont="1"/>
    <xf numFmtId="0" fontId="35" fillId="0" borderId="0" xfId="9" applyFont="1"/>
    <xf numFmtId="0" fontId="5" fillId="0" borderId="47" xfId="9" applyFont="1" applyBorder="1" applyAlignment="1">
      <alignment horizontal="center" vertical="center" wrapText="1"/>
    </xf>
    <xf numFmtId="0" fontId="5" fillId="0" borderId="48" xfId="9" applyFont="1" applyBorder="1" applyAlignment="1">
      <alignment horizontal="center" vertical="center" wrapText="1"/>
    </xf>
    <xf numFmtId="3" fontId="5" fillId="0" borderId="49" xfId="9" applyNumberFormat="1" applyFont="1" applyBorder="1" applyAlignment="1">
      <alignment horizontal="center" vertical="center" wrapText="1"/>
    </xf>
    <xf numFmtId="0" fontId="5" fillId="0" borderId="50" xfId="1" applyFont="1" applyBorder="1" applyAlignment="1">
      <alignment horizontal="center" vertical="center" wrapText="1"/>
    </xf>
    <xf numFmtId="0" fontId="4" fillId="0" borderId="4" xfId="9" applyNumberFormat="1" applyFont="1" applyFill="1" applyBorder="1" applyAlignment="1">
      <alignment horizontal="center" vertical="center"/>
    </xf>
    <xf numFmtId="0" fontId="4" fillId="0" borderId="6" xfId="10" applyFont="1" applyFill="1" applyBorder="1" applyAlignment="1">
      <alignment horizontal="left" vertical="center" wrapText="1"/>
    </xf>
    <xf numFmtId="3" fontId="4" fillId="0" borderId="6" xfId="9" applyNumberFormat="1" applyFont="1" applyFill="1" applyBorder="1" applyAlignment="1">
      <alignment vertical="center"/>
    </xf>
    <xf numFmtId="0" fontId="4" fillId="0" borderId="23" xfId="1" applyFont="1" applyFill="1" applyBorder="1" applyAlignment="1">
      <alignment horizontal="justify" vertical="center" wrapText="1"/>
    </xf>
    <xf numFmtId="0" fontId="4" fillId="0" borderId="51" xfId="1" applyFont="1" applyFill="1" applyBorder="1" applyAlignment="1">
      <alignment horizontal="center" vertical="center"/>
    </xf>
    <xf numFmtId="0" fontId="4" fillId="0" borderId="52" xfId="1" applyFont="1" applyFill="1" applyBorder="1" applyAlignment="1">
      <alignment horizontal="left" vertical="center" wrapText="1"/>
    </xf>
    <xf numFmtId="3" fontId="4" fillId="0" borderId="52" xfId="9" applyNumberFormat="1" applyFont="1" applyFill="1" applyBorder="1" applyAlignment="1">
      <alignment vertical="center"/>
    </xf>
    <xf numFmtId="0" fontId="4" fillId="0" borderId="53" xfId="1" applyFont="1" applyFill="1" applyBorder="1" applyAlignment="1">
      <alignment horizontal="justify" vertical="center" wrapText="1"/>
    </xf>
    <xf numFmtId="0" fontId="5" fillId="0" borderId="54" xfId="9" applyFont="1" applyFill="1" applyBorder="1" applyAlignment="1">
      <alignment horizontal="left"/>
    </xf>
    <xf numFmtId="0" fontId="5" fillId="0" borderId="55" xfId="9" applyFont="1" applyFill="1" applyBorder="1" applyAlignment="1"/>
    <xf numFmtId="3" fontId="5" fillId="0" borderId="56" xfId="1" applyNumberFormat="1" applyFont="1" applyFill="1" applyBorder="1" applyAlignment="1">
      <alignment wrapText="1"/>
    </xf>
    <xf numFmtId="0" fontId="37" fillId="0" borderId="57" xfId="1" applyFont="1" applyFill="1" applyBorder="1" applyAlignment="1">
      <alignment wrapText="1"/>
    </xf>
    <xf numFmtId="0" fontId="23" fillId="0" borderId="0" xfId="9" applyFont="1" applyFill="1"/>
    <xf numFmtId="0" fontId="37" fillId="0" borderId="0" xfId="9" applyFont="1" applyFill="1"/>
    <xf numFmtId="0" fontId="37" fillId="0" borderId="0" xfId="9" applyFont="1" applyFill="1" applyBorder="1" applyAlignment="1">
      <alignment horizontal="left"/>
    </xf>
    <xf numFmtId="0" fontId="37" fillId="0" borderId="0" xfId="9" applyFont="1" applyFill="1" applyBorder="1" applyAlignment="1"/>
    <xf numFmtId="3" fontId="37" fillId="0" borderId="0" xfId="9" applyNumberFormat="1" applyFont="1" applyFill="1" applyBorder="1"/>
    <xf numFmtId="0" fontId="37" fillId="0" borderId="0" xfId="1" applyFont="1" applyFill="1" applyBorder="1" applyAlignment="1">
      <alignment wrapText="1"/>
    </xf>
    <xf numFmtId="0" fontId="37" fillId="0" borderId="0" xfId="9" applyFont="1" applyFill="1" applyBorder="1" applyAlignment="1">
      <alignment horizontal="center"/>
    </xf>
    <xf numFmtId="0" fontId="5" fillId="0" borderId="0" xfId="9" applyFont="1" applyFill="1" applyBorder="1" applyAlignment="1">
      <alignment horizontal="left"/>
    </xf>
    <xf numFmtId="0" fontId="5" fillId="0" borderId="0" xfId="9" applyFont="1" applyFill="1" applyBorder="1" applyAlignment="1"/>
    <xf numFmtId="3" fontId="5" fillId="0" borderId="0" xfId="9" applyNumberFormat="1" applyFont="1" applyFill="1" applyBorder="1"/>
    <xf numFmtId="0" fontId="5" fillId="0" borderId="0" xfId="1" applyFont="1" applyFill="1" applyBorder="1" applyAlignment="1">
      <alignment wrapText="1"/>
    </xf>
    <xf numFmtId="3" fontId="5" fillId="0" borderId="48" xfId="9" applyNumberFormat="1" applyFont="1" applyBorder="1" applyAlignment="1">
      <alignment horizontal="center" vertical="center" wrapText="1"/>
    </xf>
    <xf numFmtId="0" fontId="22" fillId="0" borderId="0" xfId="9" applyFont="1" applyFill="1" applyBorder="1"/>
    <xf numFmtId="0" fontId="35" fillId="0" borderId="0" xfId="9" applyFont="1" applyFill="1" applyBorder="1"/>
    <xf numFmtId="0" fontId="35" fillId="0" borderId="0" xfId="9" applyFont="1" applyFill="1"/>
    <xf numFmtId="3" fontId="4" fillId="0" borderId="60" xfId="9" applyNumberFormat="1" applyFont="1" applyFill="1" applyBorder="1" applyAlignment="1">
      <alignment vertical="center"/>
    </xf>
    <xf numFmtId="0" fontId="4" fillId="0" borderId="61" xfId="1" applyFont="1" applyFill="1" applyBorder="1" applyAlignment="1">
      <alignment horizontal="justify" vertical="center" wrapText="1"/>
    </xf>
    <xf numFmtId="0" fontId="22" fillId="0" borderId="0" xfId="9" applyFont="1" applyBorder="1"/>
    <xf numFmtId="0" fontId="35" fillId="0" borderId="0" xfId="9" applyFont="1" applyBorder="1"/>
    <xf numFmtId="3" fontId="4" fillId="0" borderId="20" xfId="9" applyNumberFormat="1" applyFont="1" applyFill="1" applyBorder="1" applyAlignment="1">
      <alignment vertical="center"/>
    </xf>
    <xf numFmtId="0" fontId="4" fillId="0" borderId="21" xfId="1" applyFont="1" applyFill="1" applyBorder="1" applyAlignment="1">
      <alignment horizontal="justify" vertical="center" wrapText="1"/>
    </xf>
    <xf numFmtId="0" fontId="4" fillId="0" borderId="4" xfId="9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justify" vertical="center" wrapText="1"/>
    </xf>
    <xf numFmtId="0" fontId="4" fillId="0" borderId="32" xfId="9" applyFont="1" applyFill="1" applyBorder="1" applyAlignment="1">
      <alignment horizontal="center" vertical="center"/>
    </xf>
    <xf numFmtId="0" fontId="4" fillId="0" borderId="24" xfId="10" applyFont="1" applyFill="1" applyBorder="1" applyAlignment="1">
      <alignment horizontal="left" vertical="center" wrapText="1"/>
    </xf>
    <xf numFmtId="0" fontId="4" fillId="0" borderId="24" xfId="10" applyFont="1" applyFill="1" applyBorder="1" applyAlignment="1">
      <alignment vertical="center" wrapText="1"/>
    </xf>
    <xf numFmtId="0" fontId="4" fillId="0" borderId="31" xfId="9" applyFont="1" applyFill="1" applyBorder="1" applyAlignment="1">
      <alignment horizontal="center" vertical="center"/>
    </xf>
    <xf numFmtId="0" fontId="4" fillId="0" borderId="20" xfId="10" applyFont="1" applyFill="1" applyBorder="1" applyAlignment="1">
      <alignment horizontal="left" vertical="center" wrapText="1"/>
    </xf>
    <xf numFmtId="3" fontId="4" fillId="0" borderId="24" xfId="9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justify" vertical="center" wrapText="1"/>
    </xf>
    <xf numFmtId="0" fontId="22" fillId="0" borderId="64" xfId="9" applyFont="1" applyBorder="1" applyAlignment="1">
      <alignment wrapText="1"/>
    </xf>
    <xf numFmtId="0" fontId="22" fillId="0" borderId="0" xfId="9" applyFont="1" applyBorder="1" applyAlignment="1">
      <alignment wrapText="1"/>
    </xf>
    <xf numFmtId="0" fontId="4" fillId="0" borderId="67" xfId="1" applyFont="1" applyFill="1" applyBorder="1" applyAlignment="1">
      <alignment horizontal="justify" vertical="center" wrapText="1"/>
    </xf>
    <xf numFmtId="0" fontId="5" fillId="0" borderId="43" xfId="9" applyFont="1" applyFill="1" applyBorder="1" applyAlignment="1">
      <alignment horizontal="left"/>
    </xf>
    <xf numFmtId="0" fontId="37" fillId="0" borderId="44" xfId="9" applyFont="1" applyFill="1" applyBorder="1" applyAlignment="1"/>
    <xf numFmtId="3" fontId="5" fillId="0" borderId="44" xfId="9" applyNumberFormat="1" applyFont="1" applyFill="1" applyBorder="1"/>
    <xf numFmtId="0" fontId="37" fillId="0" borderId="68" xfId="1" applyFont="1" applyFill="1" applyBorder="1" applyAlignment="1">
      <alignment wrapText="1"/>
    </xf>
    <xf numFmtId="0" fontId="23" fillId="0" borderId="0" xfId="9" applyFont="1" applyBorder="1"/>
    <xf numFmtId="0" fontId="37" fillId="0" borderId="0" xfId="9" applyFont="1" applyBorder="1"/>
    <xf numFmtId="0" fontId="37" fillId="0" borderId="0" xfId="9" applyFont="1"/>
    <xf numFmtId="3" fontId="37" fillId="0" borderId="69" xfId="9" applyNumberFormat="1" applyFont="1" applyFill="1" applyBorder="1"/>
    <xf numFmtId="0" fontId="37" fillId="0" borderId="69" xfId="1" applyFont="1" applyFill="1" applyBorder="1" applyAlignment="1">
      <alignment wrapText="1"/>
    </xf>
    <xf numFmtId="0" fontId="35" fillId="0" borderId="0" xfId="1" applyFont="1" applyFill="1" applyBorder="1" applyAlignment="1">
      <alignment wrapText="1"/>
    </xf>
    <xf numFmtId="0" fontId="5" fillId="0" borderId="70" xfId="9" applyFont="1" applyFill="1" applyBorder="1" applyAlignment="1">
      <alignment horizontal="left"/>
    </xf>
    <xf numFmtId="0" fontId="5" fillId="0" borderId="70" xfId="9" applyFont="1" applyFill="1" applyBorder="1" applyAlignment="1"/>
    <xf numFmtId="3" fontId="5" fillId="0" borderId="70" xfId="9" applyNumberFormat="1" applyFont="1" applyFill="1" applyBorder="1"/>
    <xf numFmtId="0" fontId="4" fillId="0" borderId="70" xfId="1" applyFont="1" applyFill="1" applyBorder="1" applyAlignment="1">
      <alignment wrapText="1"/>
    </xf>
    <xf numFmtId="0" fontId="4" fillId="0" borderId="58" xfId="9" applyFont="1" applyFill="1" applyBorder="1" applyAlignment="1">
      <alignment horizontal="center" vertical="center"/>
    </xf>
    <xf numFmtId="0" fontId="4" fillId="0" borderId="59" xfId="10" applyFont="1" applyFill="1" applyBorder="1" applyAlignment="1">
      <alignment horizontal="left" vertical="center" wrapText="1"/>
    </xf>
    <xf numFmtId="0" fontId="4" fillId="0" borderId="51" xfId="9" applyFont="1" applyFill="1" applyBorder="1" applyAlignment="1">
      <alignment horizontal="center" vertical="center"/>
    </xf>
    <xf numFmtId="0" fontId="4" fillId="0" borderId="52" xfId="10" applyFont="1" applyFill="1" applyBorder="1" applyAlignment="1">
      <alignment horizontal="left" vertical="center" wrapText="1"/>
    </xf>
    <xf numFmtId="0" fontId="23" fillId="0" borderId="0" xfId="9" applyFont="1" applyFill="1" applyBorder="1"/>
    <xf numFmtId="0" fontId="37" fillId="0" borderId="0" xfId="9" applyFont="1" applyFill="1" applyBorder="1"/>
    <xf numFmtId="0" fontId="37" fillId="0" borderId="69" xfId="9" applyFont="1" applyFill="1" applyBorder="1" applyAlignment="1">
      <alignment horizontal="center"/>
    </xf>
    <xf numFmtId="0" fontId="37" fillId="0" borderId="69" xfId="9" applyFont="1" applyFill="1" applyBorder="1" applyAlignment="1"/>
    <xf numFmtId="0" fontId="35" fillId="0" borderId="69" xfId="1" applyFont="1" applyFill="1" applyBorder="1" applyAlignment="1">
      <alignment wrapText="1"/>
    </xf>
    <xf numFmtId="0" fontId="5" fillId="0" borderId="71" xfId="9" applyFont="1" applyBorder="1" applyAlignment="1">
      <alignment horizontal="center" vertical="center" wrapText="1"/>
    </xf>
    <xf numFmtId="0" fontId="5" fillId="0" borderId="72" xfId="9" applyFont="1" applyBorder="1" applyAlignment="1">
      <alignment horizontal="center" vertical="center" wrapText="1"/>
    </xf>
    <xf numFmtId="3" fontId="5" fillId="0" borderId="72" xfId="9" applyNumberFormat="1" applyFont="1" applyBorder="1" applyAlignment="1">
      <alignment horizontal="center" vertical="center" wrapText="1"/>
    </xf>
    <xf numFmtId="0" fontId="35" fillId="0" borderId="0" xfId="9" applyFont="1" applyFill="1" applyBorder="1" applyAlignment="1"/>
    <xf numFmtId="0" fontId="35" fillId="0" borderId="0" xfId="9" applyFont="1" applyFill="1" applyAlignment="1"/>
    <xf numFmtId="0" fontId="0" fillId="0" borderId="73" xfId="0" applyNumberFormat="1" applyBorder="1"/>
    <xf numFmtId="0" fontId="0" fillId="0" borderId="0" xfId="0" applyBorder="1"/>
    <xf numFmtId="0" fontId="35" fillId="0" borderId="0" xfId="9" applyFont="1" applyBorder="1" applyAlignment="1"/>
    <xf numFmtId="0" fontId="0" fillId="0" borderId="73" xfId="0" applyNumberFormat="1" applyFill="1" applyBorder="1"/>
    <xf numFmtId="0" fontId="0" fillId="0" borderId="0" xfId="0" applyFill="1" applyBorder="1"/>
    <xf numFmtId="0" fontId="33" fillId="0" borderId="0" xfId="1" applyFont="1" applyBorder="1" applyAlignment="1">
      <alignment horizontal="left"/>
    </xf>
    <xf numFmtId="3" fontId="5" fillId="0" borderId="74" xfId="9" applyNumberFormat="1" applyFont="1" applyFill="1" applyBorder="1"/>
    <xf numFmtId="0" fontId="37" fillId="0" borderId="18" xfId="1" applyFont="1" applyFill="1" applyBorder="1" applyAlignment="1">
      <alignment wrapText="1"/>
    </xf>
    <xf numFmtId="0" fontId="35" fillId="0" borderId="0" xfId="9" applyFont="1" applyAlignment="1">
      <alignment horizontal="center"/>
    </xf>
    <xf numFmtId="0" fontId="22" fillId="5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22" fillId="5" borderId="6" xfId="0" applyFont="1" applyFill="1" applyBorder="1" applyAlignment="1">
      <alignment horizontal="center" vertical="center"/>
    </xf>
    <xf numFmtId="3" fontId="36" fillId="0" borderId="0" xfId="11" applyNumberFormat="1"/>
    <xf numFmtId="3" fontId="36" fillId="0" borderId="0" xfId="11" applyNumberFormat="1" applyAlignment="1">
      <alignment horizontal="center"/>
    </xf>
    <xf numFmtId="3" fontId="38" fillId="0" borderId="0" xfId="11" applyNumberFormat="1" applyFont="1" applyAlignment="1">
      <alignment horizontal="center"/>
    </xf>
    <xf numFmtId="3" fontId="39" fillId="0" borderId="0" xfId="11" applyNumberFormat="1" applyFont="1"/>
    <xf numFmtId="3" fontId="38" fillId="0" borderId="6" xfId="11" applyNumberFormat="1" applyFont="1" applyBorder="1" applyAlignment="1">
      <alignment horizontal="center"/>
    </xf>
    <xf numFmtId="3" fontId="39" fillId="0" borderId="6" xfId="11" applyNumberFormat="1" applyFont="1" applyBorder="1"/>
    <xf numFmtId="49" fontId="39" fillId="0" borderId="6" xfId="11" applyNumberFormat="1" applyFont="1" applyBorder="1" applyAlignment="1">
      <alignment horizontal="center"/>
    </xf>
    <xf numFmtId="3" fontId="38" fillId="0" borderId="0" xfId="11" applyNumberFormat="1" applyFont="1"/>
    <xf numFmtId="49" fontId="39" fillId="0" borderId="6" xfId="11" applyNumberFormat="1" applyFont="1" applyBorder="1"/>
    <xf numFmtId="3" fontId="36" fillId="0" borderId="0" xfId="11" applyNumberFormat="1" applyFill="1"/>
    <xf numFmtId="3" fontId="36" fillId="0" borderId="0" xfId="11" applyNumberFormat="1" applyFill="1" applyAlignment="1">
      <alignment horizontal="center"/>
    </xf>
    <xf numFmtId="3" fontId="36" fillId="0" borderId="0" xfId="11" applyNumberFormat="1" applyFont="1"/>
    <xf numFmtId="3" fontId="36" fillId="0" borderId="0" xfId="11" applyNumberFormat="1" applyAlignment="1">
      <alignment horizontal="right"/>
    </xf>
    <xf numFmtId="3" fontId="40" fillId="0" borderId="0" xfId="11" applyNumberFormat="1" applyFont="1"/>
    <xf numFmtId="3" fontId="40" fillId="0" borderId="0" xfId="11" applyNumberFormat="1" applyFont="1" applyAlignment="1">
      <alignment horizontal="center"/>
    </xf>
    <xf numFmtId="3" fontId="36" fillId="0" borderId="0" xfId="11" applyNumberFormat="1" applyFill="1" applyBorder="1"/>
    <xf numFmtId="3" fontId="41" fillId="0" borderId="0" xfId="11" applyNumberFormat="1" applyFont="1" applyBorder="1"/>
    <xf numFmtId="3" fontId="36" fillId="0" borderId="6" xfId="11" applyNumberFormat="1" applyFont="1" applyFill="1" applyBorder="1"/>
    <xf numFmtId="3" fontId="36" fillId="0" borderId="6" xfId="11" applyNumberFormat="1" applyFill="1" applyBorder="1"/>
    <xf numFmtId="3" fontId="40" fillId="0" borderId="6" xfId="11" applyNumberFormat="1" applyFont="1" applyBorder="1" applyAlignment="1">
      <alignment horizontal="center"/>
    </xf>
    <xf numFmtId="3" fontId="36" fillId="0" borderId="6" xfId="11" applyNumberFormat="1" applyBorder="1" applyAlignment="1">
      <alignment horizontal="center"/>
    </xf>
    <xf numFmtId="3" fontId="41" fillId="6" borderId="6" xfId="11" applyNumberFormat="1" applyFont="1" applyFill="1" applyBorder="1"/>
    <xf numFmtId="3" fontId="36" fillId="7" borderId="6" xfId="11" applyNumberFormat="1" applyFill="1" applyBorder="1"/>
    <xf numFmtId="3" fontId="36" fillId="0" borderId="6" xfId="11" applyNumberFormat="1" applyFill="1" applyBorder="1" applyAlignment="1">
      <alignment horizontal="center"/>
    </xf>
    <xf numFmtId="3" fontId="36" fillId="0" borderId="6" xfId="11" applyNumberFormat="1" applyFont="1" applyBorder="1" applyAlignment="1">
      <alignment horizontal="center"/>
    </xf>
    <xf numFmtId="3" fontId="41" fillId="0" borderId="6" xfId="11" applyNumberFormat="1" applyFont="1" applyBorder="1"/>
    <xf numFmtId="3" fontId="36" fillId="8" borderId="6" xfId="11" applyNumberFormat="1" applyFill="1" applyBorder="1"/>
    <xf numFmtId="49" fontId="41" fillId="0" borderId="6" xfId="11" applyNumberFormat="1" applyFont="1" applyBorder="1" applyAlignment="1">
      <alignment horizontal="center"/>
    </xf>
    <xf numFmtId="3" fontId="36" fillId="0" borderId="0" xfId="11" applyNumberFormat="1" applyBorder="1"/>
    <xf numFmtId="3" fontId="36" fillId="0" borderId="6" xfId="11" applyNumberFormat="1" applyBorder="1"/>
    <xf numFmtId="3" fontId="41" fillId="0" borderId="0" xfId="11" applyNumberFormat="1" applyFont="1"/>
    <xf numFmtId="0" fontId="36" fillId="0" borderId="0" xfId="11"/>
    <xf numFmtId="3" fontId="42" fillId="8" borderId="6" xfId="11" applyNumberFormat="1" applyFont="1" applyFill="1" applyBorder="1"/>
    <xf numFmtId="3" fontId="42" fillId="0" borderId="6" xfId="11" applyNumberFormat="1" applyFont="1" applyFill="1" applyBorder="1"/>
    <xf numFmtId="3" fontId="41" fillId="0" borderId="6" xfId="12" applyNumberFormat="1" applyFont="1" applyFill="1" applyBorder="1" applyAlignment="1">
      <alignment horizontal="right" vertical="center"/>
    </xf>
    <xf numFmtId="0" fontId="41" fillId="0" borderId="6" xfId="12" applyFont="1" applyFill="1" applyBorder="1" applyAlignment="1">
      <alignment vertical="center"/>
    </xf>
    <xf numFmtId="3" fontId="36" fillId="0" borderId="6" xfId="11" applyNumberFormat="1" applyFont="1" applyBorder="1"/>
    <xf numFmtId="3" fontId="11" fillId="0" borderId="6" xfId="11" applyNumberFormat="1" applyFont="1" applyBorder="1" applyAlignment="1">
      <alignment horizontal="right"/>
    </xf>
    <xf numFmtId="3" fontId="43" fillId="0" borderId="6" xfId="12" applyNumberFormat="1" applyFont="1" applyFill="1" applyBorder="1" applyAlignment="1">
      <alignment horizontal="right"/>
    </xf>
    <xf numFmtId="3" fontId="43" fillId="0" borderId="6" xfId="12" applyNumberFormat="1" applyFont="1" applyFill="1" applyBorder="1"/>
    <xf numFmtId="0" fontId="43" fillId="0" borderId="6" xfId="12" applyFont="1" applyFill="1" applyBorder="1"/>
    <xf numFmtId="0" fontId="43" fillId="0" borderId="6" xfId="12" applyFont="1" applyFill="1" applyBorder="1" applyAlignment="1">
      <alignment horizontal="right"/>
    </xf>
    <xf numFmtId="3" fontId="36" fillId="8" borderId="6" xfId="11" applyNumberFormat="1" applyFont="1" applyFill="1" applyBorder="1"/>
    <xf numFmtId="0" fontId="42" fillId="8" borderId="6" xfId="11" applyFont="1" applyFill="1" applyBorder="1" applyAlignment="1">
      <alignment horizontal="center"/>
    </xf>
    <xf numFmtId="0" fontId="42" fillId="0" borderId="6" xfId="11" applyFont="1" applyFill="1" applyBorder="1" applyAlignment="1">
      <alignment horizontal="center"/>
    </xf>
    <xf numFmtId="0" fontId="41" fillId="0" borderId="24" xfId="11" applyFont="1" applyBorder="1" applyAlignment="1">
      <alignment horizontal="center"/>
    </xf>
    <xf numFmtId="0" fontId="36" fillId="0" borderId="24" xfId="11" applyFont="1" applyBorder="1"/>
    <xf numFmtId="3" fontId="44" fillId="0" borderId="6" xfId="11" applyNumberFormat="1" applyFont="1" applyFill="1" applyBorder="1" applyAlignment="1">
      <alignment vertical="center"/>
    </xf>
    <xf numFmtId="0" fontId="44" fillId="0" borderId="6" xfId="11" applyFont="1" applyFill="1" applyBorder="1" applyAlignment="1">
      <alignment vertical="center"/>
    </xf>
    <xf numFmtId="3" fontId="43" fillId="0" borderId="6" xfId="11" applyNumberFormat="1" applyFont="1" applyFill="1" applyBorder="1" applyAlignment="1">
      <alignment horizontal="right"/>
    </xf>
    <xf numFmtId="3" fontId="43" fillId="0" borderId="6" xfId="11" applyNumberFormat="1" applyFont="1" applyFill="1" applyBorder="1"/>
    <xf numFmtId="0" fontId="43" fillId="0" borderId="6" xfId="11" applyFont="1" applyFill="1" applyBorder="1"/>
    <xf numFmtId="0" fontId="41" fillId="0" borderId="6" xfId="11" applyFont="1" applyBorder="1" applyAlignment="1">
      <alignment horizontal="center"/>
    </xf>
    <xf numFmtId="0" fontId="36" fillId="0" borderId="6" xfId="11" applyBorder="1"/>
    <xf numFmtId="0" fontId="36" fillId="0" borderId="0" xfId="11" applyFill="1"/>
    <xf numFmtId="4" fontId="41" fillId="8" borderId="6" xfId="11" applyNumberFormat="1" applyFont="1" applyFill="1" applyBorder="1" applyAlignment="1">
      <alignment horizontal="right"/>
    </xf>
    <xf numFmtId="3" fontId="45" fillId="8" borderId="6" xfId="11" applyNumberFormat="1" applyFont="1" applyFill="1" applyBorder="1" applyAlignment="1">
      <alignment wrapText="1"/>
    </xf>
    <xf numFmtId="4" fontId="41" fillId="0" borderId="6" xfId="11" applyNumberFormat="1" applyFont="1" applyFill="1" applyBorder="1" applyAlignment="1">
      <alignment horizontal="right"/>
    </xf>
    <xf numFmtId="3" fontId="45" fillId="0" borderId="6" xfId="11" applyNumberFormat="1" applyFont="1" applyFill="1" applyBorder="1" applyAlignment="1">
      <alignment wrapText="1"/>
    </xf>
    <xf numFmtId="4" fontId="41" fillId="0" borderId="6" xfId="11" applyNumberFormat="1" applyFont="1" applyBorder="1" applyAlignment="1">
      <alignment horizontal="right"/>
    </xf>
    <xf numFmtId="3" fontId="45" fillId="0" borderId="6" xfId="11" applyNumberFormat="1" applyFont="1" applyBorder="1" applyAlignment="1">
      <alignment wrapText="1"/>
    </xf>
    <xf numFmtId="0" fontId="41" fillId="0" borderId="6" xfId="11" applyFont="1" applyBorder="1" applyAlignment="1">
      <alignment wrapText="1"/>
    </xf>
    <xf numFmtId="3" fontId="46" fillId="0" borderId="0" xfId="11" applyNumberFormat="1" applyFont="1"/>
    <xf numFmtId="3" fontId="46" fillId="0" borderId="0" xfId="11" applyNumberFormat="1" applyFont="1" applyFill="1"/>
    <xf numFmtId="4" fontId="43" fillId="8" borderId="6" xfId="11" applyNumberFormat="1" applyFont="1" applyFill="1" applyBorder="1" applyAlignment="1">
      <alignment horizontal="right"/>
    </xf>
    <xf numFmtId="3" fontId="43" fillId="8" borderId="6" xfId="11" applyNumberFormat="1" applyFont="1" applyFill="1" applyBorder="1" applyAlignment="1">
      <alignment wrapText="1"/>
    </xf>
    <xf numFmtId="4" fontId="43" fillId="0" borderId="6" xfId="11" applyNumberFormat="1" applyFont="1" applyFill="1" applyBorder="1" applyAlignment="1">
      <alignment horizontal="right"/>
    </xf>
    <xf numFmtId="3" fontId="43" fillId="0" borderId="6" xfId="11" applyNumberFormat="1" applyFont="1" applyFill="1" applyBorder="1" applyAlignment="1">
      <alignment wrapText="1"/>
    </xf>
    <xf numFmtId="4" fontId="43" fillId="0" borderId="6" xfId="11" applyNumberFormat="1" applyFont="1" applyBorder="1" applyAlignment="1">
      <alignment horizontal="right"/>
    </xf>
    <xf numFmtId="3" fontId="43" fillId="0" borderId="6" xfId="11" applyNumberFormat="1" applyFont="1" applyBorder="1" applyAlignment="1">
      <alignment wrapText="1"/>
    </xf>
    <xf numFmtId="0" fontId="43" fillId="0" borderId="6" xfId="11" applyFont="1" applyBorder="1" applyAlignment="1">
      <alignment wrapText="1"/>
    </xf>
    <xf numFmtId="3" fontId="43" fillId="3" borderId="6" xfId="11" applyNumberFormat="1" applyFont="1" applyFill="1" applyBorder="1" applyAlignment="1">
      <alignment wrapText="1"/>
    </xf>
    <xf numFmtId="0" fontId="43" fillId="0" borderId="6" xfId="11" applyFont="1" applyFill="1" applyBorder="1" applyAlignment="1">
      <alignment wrapText="1"/>
    </xf>
    <xf numFmtId="3" fontId="43" fillId="8" borderId="6" xfId="11" applyNumberFormat="1" applyFont="1" applyFill="1" applyBorder="1" applyAlignment="1"/>
    <xf numFmtId="3" fontId="43" fillId="0" borderId="6" xfId="11" applyNumberFormat="1" applyFont="1" applyFill="1" applyBorder="1" applyAlignment="1"/>
    <xf numFmtId="3" fontId="43" fillId="3" borderId="6" xfId="11" applyNumberFormat="1" applyFont="1" applyFill="1" applyBorder="1" applyAlignment="1"/>
    <xf numFmtId="0" fontId="43" fillId="0" borderId="6" xfId="11" applyFont="1" applyBorder="1" applyAlignment="1"/>
    <xf numFmtId="4" fontId="43" fillId="0" borderId="6" xfId="11" applyNumberFormat="1" applyFont="1" applyBorder="1" applyAlignment="1">
      <alignment wrapText="1"/>
    </xf>
    <xf numFmtId="4" fontId="41" fillId="8" borderId="6" xfId="11" applyNumberFormat="1" applyFont="1" applyFill="1" applyBorder="1" applyAlignment="1">
      <alignment horizontal="center" vertical="center" wrapText="1"/>
    </xf>
    <xf numFmtId="4" fontId="41" fillId="0" borderId="6" xfId="11" applyNumberFormat="1" applyFont="1" applyFill="1" applyBorder="1" applyAlignment="1">
      <alignment horizontal="center" vertical="center" wrapText="1"/>
    </xf>
    <xf numFmtId="4" fontId="41" fillId="0" borderId="6" xfId="11" applyNumberFormat="1" applyFont="1" applyBorder="1" applyAlignment="1">
      <alignment horizontal="center" vertical="center" wrapText="1"/>
    </xf>
    <xf numFmtId="0" fontId="41" fillId="0" borderId="6" xfId="11" applyFont="1" applyBorder="1" applyAlignment="1">
      <alignment horizontal="center" vertical="center" wrapText="1"/>
    </xf>
    <xf numFmtId="4" fontId="47" fillId="0" borderId="0" xfId="11" applyNumberFormat="1" applyFont="1"/>
    <xf numFmtId="4" fontId="47" fillId="0" borderId="0" xfId="11" applyNumberFormat="1" applyFont="1" applyFill="1"/>
    <xf numFmtId="3" fontId="16" fillId="8" borderId="37" xfId="13" applyNumberFormat="1" applyFont="1" applyFill="1" applyBorder="1"/>
    <xf numFmtId="4" fontId="47" fillId="8" borderId="75" xfId="13" applyNumberFormat="1" applyFont="1" applyFill="1" applyBorder="1"/>
    <xf numFmtId="4" fontId="47" fillId="0" borderId="75" xfId="13" applyNumberFormat="1" applyFont="1" applyFill="1" applyBorder="1"/>
    <xf numFmtId="4" fontId="11" fillId="0" borderId="6" xfId="14" applyNumberFormat="1" applyFont="1" applyFill="1" applyBorder="1"/>
    <xf numFmtId="0" fontId="11" fillId="0" borderId="4" xfId="14" applyFont="1" applyFill="1" applyBorder="1" applyAlignment="1">
      <alignment horizontal="left"/>
    </xf>
    <xf numFmtId="4" fontId="47" fillId="8" borderId="37" xfId="13" applyNumberFormat="1" applyFont="1" applyFill="1" applyBorder="1"/>
    <xf numFmtId="4" fontId="47" fillId="0" borderId="37" xfId="13" applyNumberFormat="1" applyFont="1" applyFill="1" applyBorder="1"/>
    <xf numFmtId="3" fontId="16" fillId="8" borderId="76" xfId="13" applyNumberFormat="1" applyFont="1" applyFill="1" applyBorder="1"/>
    <xf numFmtId="4" fontId="47" fillId="8" borderId="6" xfId="14" applyNumberFormat="1" applyFont="1" applyFill="1" applyBorder="1"/>
    <xf numFmtId="4" fontId="47" fillId="0" borderId="6" xfId="14" applyNumberFormat="1" applyFont="1" applyFill="1" applyBorder="1"/>
    <xf numFmtId="4" fontId="48" fillId="8" borderId="6" xfId="14" applyNumberFormat="1" applyFont="1" applyFill="1" applyBorder="1"/>
    <xf numFmtId="4" fontId="48" fillId="0" borderId="6" xfId="14" applyNumberFormat="1" applyFont="1" applyFill="1" applyBorder="1"/>
    <xf numFmtId="4" fontId="49" fillId="0" borderId="6" xfId="14" applyNumberFormat="1" applyFont="1" applyFill="1" applyBorder="1"/>
    <xf numFmtId="0" fontId="49" fillId="0" borderId="4" xfId="14" applyFont="1" applyFill="1" applyBorder="1" applyAlignment="1">
      <alignment horizontal="left"/>
    </xf>
    <xf numFmtId="49" fontId="48" fillId="0" borderId="0" xfId="11" applyNumberFormat="1" applyFont="1" applyAlignment="1">
      <alignment horizontal="right"/>
    </xf>
    <xf numFmtId="49" fontId="48" fillId="0" borderId="0" xfId="11" applyNumberFormat="1" applyFont="1" applyFill="1" applyAlignment="1">
      <alignment horizontal="right"/>
    </xf>
    <xf numFmtId="0" fontId="42" fillId="0" borderId="0" xfId="11" applyFont="1" applyFill="1"/>
    <xf numFmtId="0" fontId="42" fillId="0" borderId="0" xfId="11" applyFont="1"/>
    <xf numFmtId="3" fontId="48" fillId="8" borderId="6" xfId="11" applyNumberFormat="1" applyFont="1" applyFill="1" applyBorder="1" applyAlignment="1">
      <alignment wrapText="1"/>
    </xf>
    <xf numFmtId="3" fontId="48" fillId="0" borderId="6" xfId="11" applyNumberFormat="1" applyFont="1" applyFill="1" applyBorder="1" applyAlignment="1">
      <alignment wrapText="1"/>
    </xf>
    <xf numFmtId="3" fontId="41" fillId="0" borderId="6" xfId="11" applyNumberFormat="1" applyFont="1" applyFill="1" applyBorder="1" applyAlignment="1">
      <alignment wrapText="1"/>
    </xf>
    <xf numFmtId="3" fontId="41" fillId="0" borderId="6" xfId="11" applyNumberFormat="1" applyFont="1" applyBorder="1" applyAlignment="1">
      <alignment wrapText="1"/>
    </xf>
    <xf numFmtId="3" fontId="47" fillId="0" borderId="0" xfId="11" applyNumberFormat="1" applyFont="1" applyFill="1"/>
    <xf numFmtId="3" fontId="47" fillId="8" borderId="6" xfId="11" applyNumberFormat="1" applyFont="1" applyFill="1" applyBorder="1" applyAlignment="1">
      <alignment wrapText="1"/>
    </xf>
    <xf numFmtId="3" fontId="47" fillId="0" borderId="6" xfId="11" applyNumberFormat="1" applyFont="1" applyFill="1" applyBorder="1" applyAlignment="1">
      <alignment wrapText="1"/>
    </xf>
    <xf numFmtId="3" fontId="47" fillId="8" borderId="6" xfId="11" applyNumberFormat="1" applyFont="1" applyFill="1" applyBorder="1" applyAlignment="1"/>
    <xf numFmtId="3" fontId="47" fillId="0" borderId="6" xfId="11" applyNumberFormat="1" applyFont="1" applyFill="1" applyBorder="1" applyAlignment="1"/>
    <xf numFmtId="3" fontId="43" fillId="0" borderId="6" xfId="11" applyNumberFormat="1" applyFont="1" applyBorder="1" applyAlignment="1"/>
    <xf numFmtId="4" fontId="48" fillId="8" borderId="6" xfId="11" applyNumberFormat="1" applyFont="1" applyFill="1" applyBorder="1" applyAlignment="1">
      <alignment horizontal="center" vertical="center" wrapText="1"/>
    </xf>
    <xf numFmtId="4" fontId="48" fillId="0" borderId="6" xfId="11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vertical="center" wrapText="1"/>
    </xf>
    <xf numFmtId="0" fontId="4" fillId="0" borderId="0" xfId="3" applyFont="1" applyBorder="1" applyAlignment="1">
      <alignment horizontal="center" vertical="center"/>
    </xf>
    <xf numFmtId="0" fontId="3" fillId="0" borderId="0" xfId="1" applyFont="1" applyFill="1" applyAlignment="1"/>
    <xf numFmtId="0" fontId="11" fillId="0" borderId="0" xfId="1" applyFont="1" applyFill="1" applyAlignment="1"/>
    <xf numFmtId="3" fontId="36" fillId="9" borderId="6" xfId="11" applyNumberFormat="1" applyFont="1" applyFill="1" applyBorder="1"/>
    <xf numFmtId="3" fontId="36" fillId="9" borderId="0" xfId="11" applyNumberFormat="1" applyFill="1"/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left" wrapText="1"/>
    </xf>
    <xf numFmtId="0" fontId="3" fillId="0" borderId="0" xfId="1" applyFont="1" applyFill="1" applyAlignment="1">
      <alignment horizontal="left" wrapText="1"/>
    </xf>
    <xf numFmtId="0" fontId="4" fillId="3" borderId="8" xfId="1" applyFont="1" applyFill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2" fontId="2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wrapText="1"/>
    </xf>
    <xf numFmtId="0" fontId="5" fillId="3" borderId="8" xfId="1" applyFont="1" applyFill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4" fillId="0" borderId="8" xfId="1" applyFont="1" applyBorder="1" applyAlignment="1">
      <alignment horizontal="left" vertical="center" wrapText="1"/>
    </xf>
    <xf numFmtId="0" fontId="1" fillId="0" borderId="5" xfId="1" applyBorder="1" applyAlignment="1">
      <alignment wrapText="1"/>
    </xf>
    <xf numFmtId="0" fontId="5" fillId="3" borderId="8" xfId="1" applyFont="1" applyFill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2" borderId="9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5" fillId="2" borderId="9" xfId="1" applyFont="1" applyFill="1" applyBorder="1" applyAlignment="1">
      <alignment wrapText="1"/>
    </xf>
    <xf numFmtId="0" fontId="5" fillId="2" borderId="10" xfId="1" applyFont="1" applyFill="1" applyBorder="1" applyAlignment="1">
      <alignment wrapText="1"/>
    </xf>
    <xf numFmtId="0" fontId="5" fillId="0" borderId="8" xfId="3" applyFont="1" applyFill="1" applyBorder="1" applyAlignment="1">
      <alignment vertical="center" wrapText="1"/>
    </xf>
    <xf numFmtId="0" fontId="5" fillId="0" borderId="36" xfId="3" applyFont="1" applyFill="1" applyBorder="1" applyAlignment="1">
      <alignment vertical="center" wrapText="1"/>
    </xf>
    <xf numFmtId="0" fontId="5" fillId="0" borderId="23" xfId="3" applyFont="1" applyFill="1" applyBorder="1" applyAlignment="1">
      <alignment vertical="center" wrapText="1"/>
    </xf>
    <xf numFmtId="0" fontId="5" fillId="2" borderId="8" xfId="3" applyFont="1" applyFill="1" applyBorder="1" applyAlignment="1">
      <alignment vertical="center" wrapText="1"/>
    </xf>
    <xf numFmtId="0" fontId="5" fillId="2" borderId="5" xfId="3" applyFont="1" applyFill="1" applyBorder="1" applyAlignment="1">
      <alignment vertical="center" wrapText="1"/>
    </xf>
    <xf numFmtId="0" fontId="5" fillId="2" borderId="4" xfId="3" applyFont="1" applyFill="1" applyBorder="1" applyAlignment="1">
      <alignment vertical="center" wrapText="1"/>
    </xf>
    <xf numFmtId="0" fontId="4" fillId="0" borderId="6" xfId="3" applyFont="1" applyBorder="1" applyAlignment="1">
      <alignment vertical="center"/>
    </xf>
    <xf numFmtId="0" fontId="5" fillId="2" borderId="38" xfId="3" applyFont="1" applyFill="1" applyBorder="1" applyAlignment="1">
      <alignment horizontal="left" vertical="center" wrapText="1"/>
    </xf>
    <xf numFmtId="0" fontId="4" fillId="0" borderId="17" xfId="3" applyFont="1" applyBorder="1" applyAlignment="1">
      <alignment vertical="center"/>
    </xf>
    <xf numFmtId="0" fontId="5" fillId="0" borderId="8" xfId="3" applyFont="1" applyFill="1" applyBorder="1" applyAlignment="1">
      <alignment vertical="center"/>
    </xf>
    <xf numFmtId="0" fontId="5" fillId="0" borderId="36" xfId="3" applyFont="1" applyFill="1" applyBorder="1" applyAlignment="1">
      <alignment vertical="center"/>
    </xf>
    <xf numFmtId="0" fontId="5" fillId="0" borderId="23" xfId="3" applyFont="1" applyFill="1" applyBorder="1" applyAlignment="1">
      <alignment vertical="center"/>
    </xf>
    <xf numFmtId="0" fontId="2" fillId="0" borderId="0" xfId="3" applyFont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2" borderId="26" xfId="3" applyNumberFormat="1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/>
    </xf>
    <xf numFmtId="4" fontId="5" fillId="2" borderId="35" xfId="1" applyNumberFormat="1" applyFont="1" applyFill="1" applyBorder="1" applyAlignment="1">
      <alignment horizontal="center" vertical="center" wrapText="1"/>
    </xf>
    <xf numFmtId="0" fontId="18" fillId="0" borderId="27" xfId="1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0" fontId="5" fillId="2" borderId="28" xfId="3" applyFont="1" applyFill="1" applyBorder="1" applyAlignment="1">
      <alignment horizontal="center" vertical="center"/>
    </xf>
    <xf numFmtId="0" fontId="5" fillId="2" borderId="23" xfId="3" applyFont="1" applyFill="1" applyBorder="1" applyAlignment="1">
      <alignment horizontal="center" vertical="center"/>
    </xf>
    <xf numFmtId="0" fontId="5" fillId="0" borderId="29" xfId="3" applyFont="1" applyBorder="1" applyAlignment="1">
      <alignment vertical="center" wrapText="1"/>
    </xf>
    <xf numFmtId="0" fontId="5" fillId="0" borderId="30" xfId="3" applyFont="1" applyBorder="1" applyAlignment="1">
      <alignment vertical="center" wrapText="1"/>
    </xf>
    <xf numFmtId="0" fontId="5" fillId="0" borderId="22" xfId="3" applyFont="1" applyBorder="1" applyAlignment="1">
      <alignment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27" fillId="0" borderId="27" xfId="7" applyBorder="1" applyAlignment="1">
      <alignment horizontal="center" vertical="center" wrapText="1"/>
    </xf>
    <xf numFmtId="0" fontId="27" fillId="0" borderId="28" xfId="7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36" xfId="1" applyFont="1" applyFill="1" applyBorder="1" applyAlignment="1">
      <alignment horizontal="left" vertical="center" wrapText="1"/>
    </xf>
    <xf numFmtId="0" fontId="5" fillId="0" borderId="23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36" xfId="1" applyFont="1" applyFill="1" applyBorder="1" applyAlignment="1">
      <alignment horizontal="left" vertical="center"/>
    </xf>
    <xf numFmtId="0" fontId="5" fillId="0" borderId="23" xfId="1" applyFont="1" applyFill="1" applyBorder="1" applyAlignment="1">
      <alignment horizontal="left" vertical="center"/>
    </xf>
    <xf numFmtId="0" fontId="5" fillId="0" borderId="29" xfId="1" applyFont="1" applyBorder="1" applyAlignment="1">
      <alignment horizontal="left" vertical="center" wrapText="1"/>
    </xf>
    <xf numFmtId="0" fontId="5" fillId="0" borderId="30" xfId="1" applyFont="1" applyBorder="1" applyAlignment="1">
      <alignment horizontal="left" vertical="center" wrapText="1"/>
    </xf>
    <xf numFmtId="0" fontId="1" fillId="0" borderId="22" xfId="1" applyBorder="1" applyAlignment="1">
      <alignment vertical="center"/>
    </xf>
    <xf numFmtId="0" fontId="1" fillId="0" borderId="23" xfId="1" applyBorder="1" applyAlignment="1">
      <alignment vertical="center"/>
    </xf>
    <xf numFmtId="0" fontId="2" fillId="0" borderId="0" xfId="1" applyFont="1" applyFill="1" applyAlignment="1">
      <alignment horizontal="center" vertical="center" wrapText="1"/>
    </xf>
    <xf numFmtId="0" fontId="28" fillId="0" borderId="0" xfId="7" applyFont="1" applyFill="1" applyAlignment="1">
      <alignment vertical="center"/>
    </xf>
    <xf numFmtId="0" fontId="28" fillId="0" borderId="0" xfId="7" applyFont="1" applyFill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4" fontId="5" fillId="0" borderId="26" xfId="1" applyNumberFormat="1" applyFont="1" applyBorder="1" applyAlignment="1">
      <alignment horizontal="center" vertical="center" wrapText="1"/>
    </xf>
    <xf numFmtId="4" fontId="5" fillId="0" borderId="44" xfId="1" applyNumberFormat="1" applyFont="1" applyBorder="1" applyAlignment="1">
      <alignment horizontal="center" vertical="center" wrapText="1"/>
    </xf>
    <xf numFmtId="4" fontId="5" fillId="2" borderId="26" xfId="1" applyNumberFormat="1" applyFont="1" applyFill="1" applyBorder="1" applyAlignment="1">
      <alignment horizontal="center" vertical="center" wrapText="1"/>
    </xf>
    <xf numFmtId="4" fontId="5" fillId="2" borderId="44" xfId="1" applyNumberFormat="1" applyFont="1" applyFill="1" applyBorder="1" applyAlignment="1">
      <alignment horizontal="center" vertical="center"/>
    </xf>
    <xf numFmtId="4" fontId="5" fillId="0" borderId="26" xfId="1" applyNumberFormat="1" applyFont="1" applyFill="1" applyBorder="1" applyAlignment="1">
      <alignment horizontal="center" vertical="center" wrapText="1"/>
    </xf>
    <xf numFmtId="0" fontId="29" fillId="0" borderId="44" xfId="8" applyBorder="1" applyAlignment="1">
      <alignment horizontal="center" vertical="center"/>
    </xf>
    <xf numFmtId="4" fontId="5" fillId="0" borderId="35" xfId="1" applyNumberFormat="1" applyFont="1" applyFill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/>
    </xf>
    <xf numFmtId="0" fontId="1" fillId="0" borderId="28" xfId="1" applyBorder="1" applyAlignment="1">
      <alignment vertical="center"/>
    </xf>
    <xf numFmtId="0" fontId="23" fillId="4" borderId="33" xfId="0" applyFont="1" applyFill="1" applyBorder="1" applyAlignment="1">
      <alignment horizontal="left" vertical="center"/>
    </xf>
    <xf numFmtId="0" fontId="23" fillId="4" borderId="40" xfId="0" applyFont="1" applyFill="1" applyBorder="1" applyAlignment="1">
      <alignment horizontal="left" vertical="center"/>
    </xf>
    <xf numFmtId="0" fontId="23" fillId="4" borderId="41" xfId="0" applyFont="1" applyFill="1" applyBorder="1" applyAlignment="1">
      <alignment horizontal="left" vertical="center"/>
    </xf>
    <xf numFmtId="0" fontId="23" fillId="4" borderId="15" xfId="0" applyFont="1" applyFill="1" applyBorder="1" applyAlignment="1">
      <alignment horizontal="left" vertical="center"/>
    </xf>
    <xf numFmtId="0" fontId="23" fillId="4" borderId="34" xfId="0" applyFont="1" applyFill="1" applyBorder="1" applyAlignment="1">
      <alignment horizontal="left" vertical="center"/>
    </xf>
    <xf numFmtId="0" fontId="23" fillId="4" borderId="16" xfId="0" applyFont="1" applyFill="1" applyBorder="1" applyAlignment="1">
      <alignment horizontal="left" vertical="center"/>
    </xf>
    <xf numFmtId="0" fontId="23" fillId="4" borderId="8" xfId="0" applyFont="1" applyFill="1" applyBorder="1" applyAlignment="1">
      <alignment horizontal="left" vertical="center" wrapText="1"/>
    </xf>
    <xf numFmtId="0" fontId="23" fillId="4" borderId="36" xfId="0" applyFont="1" applyFill="1" applyBorder="1" applyAlignment="1">
      <alignment horizontal="left" vertical="center" wrapText="1"/>
    </xf>
    <xf numFmtId="0" fontId="23" fillId="4" borderId="5" xfId="0" applyFont="1" applyFill="1" applyBorder="1" applyAlignment="1">
      <alignment horizontal="left" vertical="center" wrapText="1"/>
    </xf>
    <xf numFmtId="0" fontId="23" fillId="4" borderId="8" xfId="0" applyFont="1" applyFill="1" applyBorder="1" applyAlignment="1">
      <alignment horizontal="left" vertical="center"/>
    </xf>
    <xf numFmtId="0" fontId="23" fillId="4" borderId="36" xfId="0" applyFont="1" applyFill="1" applyBorder="1" applyAlignment="1">
      <alignment horizontal="left" vertical="center"/>
    </xf>
    <xf numFmtId="0" fontId="23" fillId="4" borderId="5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4" fontId="5" fillId="2" borderId="1" xfId="3" applyNumberFormat="1" applyFont="1" applyFill="1" applyBorder="1" applyAlignment="1">
      <alignment horizontal="center" vertical="center" wrapText="1"/>
    </xf>
    <xf numFmtId="4" fontId="5" fillId="2" borderId="4" xfId="3" applyNumberFormat="1" applyFont="1" applyFill="1" applyBorder="1" applyAlignment="1">
      <alignment horizontal="center" vertical="center"/>
    </xf>
    <xf numFmtId="4" fontId="5" fillId="2" borderId="14" xfId="3" applyNumberFormat="1" applyFont="1" applyFill="1" applyBorder="1" applyAlignment="1">
      <alignment horizontal="center" vertical="center" wrapText="1"/>
    </xf>
    <xf numFmtId="4" fontId="5" fillId="2" borderId="5" xfId="3" applyNumberFormat="1" applyFont="1" applyFill="1" applyBorder="1" applyAlignment="1">
      <alignment horizontal="center" vertical="center"/>
    </xf>
    <xf numFmtId="4" fontId="5" fillId="4" borderId="2" xfId="3" applyNumberFormat="1" applyFont="1" applyFill="1" applyBorder="1" applyAlignment="1">
      <alignment horizontal="center" vertical="center" wrapText="1"/>
    </xf>
    <xf numFmtId="4" fontId="5" fillId="4" borderId="6" xfId="3" applyNumberFormat="1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4" fontId="5" fillId="2" borderId="3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/>
    </xf>
    <xf numFmtId="0" fontId="5" fillId="0" borderId="43" xfId="9" applyFont="1" applyFill="1" applyBorder="1" applyAlignment="1">
      <alignment horizontal="left"/>
    </xf>
    <xf numFmtId="0" fontId="16" fillId="0" borderId="44" xfId="1" applyFont="1" applyBorder="1" applyAlignment="1">
      <alignment horizontal="left"/>
    </xf>
    <xf numFmtId="0" fontId="5" fillId="0" borderId="15" xfId="9" applyFont="1" applyFill="1" applyBorder="1" applyAlignment="1">
      <alignment horizontal="left"/>
    </xf>
    <xf numFmtId="0" fontId="5" fillId="0" borderId="16" xfId="9" applyFont="1" applyFill="1" applyBorder="1" applyAlignment="1">
      <alignment horizontal="left"/>
    </xf>
    <xf numFmtId="0" fontId="4" fillId="0" borderId="32" xfId="9" applyFont="1" applyFill="1" applyBorder="1" applyAlignment="1">
      <alignment horizontal="center" vertical="center"/>
    </xf>
    <xf numFmtId="0" fontId="4" fillId="0" borderId="62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4" fillId="0" borderId="24" xfId="10" applyFont="1" applyFill="1" applyBorder="1" applyAlignment="1">
      <alignment horizontal="left" vertical="center" wrapText="1"/>
    </xf>
    <xf numFmtId="0" fontId="4" fillId="0" borderId="63" xfId="10" applyFont="1" applyFill="1" applyBorder="1" applyAlignment="1">
      <alignment horizontal="left" vertical="center" wrapText="1"/>
    </xf>
    <xf numFmtId="0" fontId="4" fillId="0" borderId="20" xfId="10" applyFont="1" applyFill="1" applyBorder="1" applyAlignment="1">
      <alignment horizontal="left" vertical="center" wrapText="1"/>
    </xf>
    <xf numFmtId="0" fontId="4" fillId="0" borderId="32" xfId="9" applyFont="1" applyFill="1" applyBorder="1" applyAlignment="1">
      <alignment horizontal="center" vertical="center" wrapText="1"/>
    </xf>
    <xf numFmtId="0" fontId="4" fillId="0" borderId="62" xfId="9" applyFont="1" applyFill="1" applyBorder="1" applyAlignment="1">
      <alignment horizontal="center" vertical="center" wrapText="1"/>
    </xf>
    <xf numFmtId="0" fontId="4" fillId="0" borderId="31" xfId="9" applyFont="1" applyFill="1" applyBorder="1" applyAlignment="1">
      <alignment horizontal="center" vertical="center" wrapText="1"/>
    </xf>
    <xf numFmtId="0" fontId="4" fillId="0" borderId="4" xfId="9" applyFont="1" applyFill="1" applyBorder="1" applyAlignment="1">
      <alignment horizontal="center" vertical="center"/>
    </xf>
    <xf numFmtId="0" fontId="4" fillId="0" borderId="65" xfId="9" applyFont="1" applyFill="1" applyBorder="1" applyAlignment="1">
      <alignment horizontal="center" vertical="center" wrapText="1"/>
    </xf>
    <xf numFmtId="0" fontId="4" fillId="0" borderId="66" xfId="10" applyFont="1" applyFill="1" applyBorder="1" applyAlignment="1">
      <alignment horizontal="left" vertical="center" wrapText="1"/>
    </xf>
    <xf numFmtId="0" fontId="4" fillId="0" borderId="6" xfId="10" applyFont="1" applyFill="1" applyBorder="1" applyAlignment="1">
      <alignment horizontal="left" vertical="center" wrapText="1"/>
    </xf>
    <xf numFmtId="0" fontId="2" fillId="0" borderId="0" xfId="9" applyFont="1" applyAlignment="1">
      <alignment horizontal="center"/>
    </xf>
    <xf numFmtId="0" fontId="4" fillId="0" borderId="58" xfId="9" applyFont="1" applyFill="1" applyBorder="1" applyAlignment="1">
      <alignment horizontal="center" vertical="center"/>
    </xf>
    <xf numFmtId="0" fontId="4" fillId="0" borderId="59" xfId="10" applyFont="1" applyFill="1" applyBorder="1" applyAlignment="1">
      <alignment horizontal="left" vertical="center" wrapText="1"/>
    </xf>
    <xf numFmtId="0" fontId="41" fillId="0" borderId="30" xfId="11" applyFont="1" applyBorder="1" applyAlignment="1">
      <alignment horizontal="center"/>
    </xf>
  </cellXfs>
  <cellStyles count="15">
    <cellStyle name="Normální" xfId="0" builtinId="0"/>
    <cellStyle name="Normální 2" xfId="1"/>
    <cellStyle name="Normální 3" xfId="2"/>
    <cellStyle name="Normální 3 2" xfId="7"/>
    <cellStyle name="Normální 4" xfId="8"/>
    <cellStyle name="Normální 4 2" xfId="14"/>
    <cellStyle name="normální_10_BILANCEE" xfId="13"/>
    <cellStyle name="normální_Akce EU - tabulka" xfId="5"/>
    <cellStyle name="normální_Akce EU - tabulka(tom)-final" xfId="6"/>
    <cellStyle name="normální_EU akce-upr 2" xfId="3"/>
    <cellStyle name="normální_Metodika k RS od 1.5.2005" xfId="10"/>
    <cellStyle name="normální_Rozborová tab. příjmů" xfId="9"/>
    <cellStyle name="normální_Rozpočet 12-2005 - Grafy" xfId="11"/>
    <cellStyle name="normální_Výroční zpráva 2002" xfId="12"/>
    <cellStyle name="Procenta 2" xfId="4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chartsheet" Target="chartsheets/sheet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6.xml"/><Relationship Id="rId10" Type="http://schemas.openxmlformats.org/officeDocument/2006/relationships/chartsheet" Target="chartsheets/sheet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chartsheet" Target="chartsheets/sheet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416666666666666E-2"/>
          <c:y val="1.6835016835016835E-2"/>
          <c:w val="0.97916666666666663"/>
          <c:h val="0.9663299663299663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758960"/>
        <c:axId val="370759744"/>
      </c:barChart>
      <c:catAx>
        <c:axId val="370758960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70759744"/>
        <c:crosses val="autoZero"/>
        <c:auto val="1"/>
        <c:lblAlgn val="ctr"/>
        <c:lblOffset val="100"/>
        <c:tickMarkSkip val="1"/>
        <c:noMultiLvlLbl val="0"/>
      </c:catAx>
      <c:valAx>
        <c:axId val="370759744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70758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/>
              <a:t>Graf č. 1 - Rozpočet Moravskoslezského kraje v letech 2014 až 2017, 
návrh rozpočtu Moravskoslezského kraje na rok 2018</a:t>
            </a:r>
          </a:p>
        </c:rich>
      </c:tx>
      <c:layout>
        <c:manualLayout>
          <c:xMode val="edge"/>
          <c:yMode val="edge"/>
          <c:x val="0.24957556693041849"/>
          <c:y val="8.8183279883101984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5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228155339805825"/>
          <c:y val="9.3474587802076098E-2"/>
          <c:w val="0.86286407766990292"/>
          <c:h val="0.8183435611351568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'Zdrojová data I.s'!$A$9</c:f>
              <c:strCache>
                <c:ptCount val="1"/>
                <c:pt idx="0">
                  <c:v>Schválený rozpočet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916385295496524E-2"/>
                  <c:y val="-2.2180493033751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03765418962496E-2"/>
                  <c:y val="-1.0070271590842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159050581660463E-2"/>
                  <c:y val="-3.3353101202914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853135009769427E-2"/>
                  <c:y val="-2.97858273972049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6188123634814585E-2"/>
                  <c:y val="-1.0380896128925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095927793840434E-2"/>
                  <c:y val="-3.7885572686114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241153876459118E-2"/>
                  <c:y val="-1.998779091014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4566491517525698E-2"/>
                  <c:y val="-7.0749663065894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I.s'!$O$8:$S$8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strCache>
            </c:strRef>
          </c:cat>
          <c:val>
            <c:numRef>
              <c:f>'Zdrojová data I.s'!$O$9:$S$9</c:f>
              <c:numCache>
                <c:formatCode>#,##0</c:formatCode>
                <c:ptCount val="5"/>
                <c:pt idx="0">
                  <c:v>8278538</c:v>
                </c:pt>
                <c:pt idx="1">
                  <c:v>9696615</c:v>
                </c:pt>
                <c:pt idx="2">
                  <c:v>8053332</c:v>
                </c:pt>
                <c:pt idx="3">
                  <c:v>7886430</c:v>
                </c:pt>
                <c:pt idx="4">
                  <c:v>9352498</c:v>
                </c:pt>
              </c:numCache>
            </c:numRef>
          </c:val>
        </c:ser>
        <c:ser>
          <c:idx val="1"/>
          <c:order val="1"/>
          <c:tx>
            <c:strRef>
              <c:f>'Zdrojová data I.s'!$A$10</c:f>
              <c:strCache>
                <c:ptCount val="1"/>
                <c:pt idx="0">
                  <c:v>Úprava rozpočtu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126689013361011E-2"/>
                  <c:y val="-8.1522891391468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607181208460294E-2"/>
                  <c:y val="-5.659234846199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4942169833505506E-2"/>
                  <c:y val="-4.1801841484848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280319475788844E-2"/>
                  <c:y val="2.0540396274858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971242886659628E-2"/>
                  <c:y val="-2.3485221359434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417556920803264E-2"/>
                  <c:y val="-2.3997042200427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5092280374925144E-2"/>
                  <c:y val="-4.908698806089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I.s'!$O$8:$S$8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strCache>
            </c:strRef>
          </c:cat>
          <c:val>
            <c:numRef>
              <c:f>'Zdrojová data I.s'!$O$10:$S$10</c:f>
              <c:numCache>
                <c:formatCode>#,##0</c:formatCode>
                <c:ptCount val="5"/>
                <c:pt idx="0">
                  <c:v>11432941</c:v>
                </c:pt>
                <c:pt idx="1">
                  <c:v>12535240</c:v>
                </c:pt>
                <c:pt idx="2">
                  <c:v>12351887</c:v>
                </c:pt>
                <c:pt idx="3">
                  <c:v>14032106</c:v>
                </c:pt>
              </c:numCache>
            </c:numRef>
          </c:val>
        </c:ser>
        <c:ser>
          <c:idx val="2"/>
          <c:order val="2"/>
          <c:tx>
            <c:strRef>
              <c:f>'Zdrojová data I.s'!$A$11</c:f>
              <c:strCache>
                <c:ptCount val="1"/>
                <c:pt idx="0">
                  <c:v>Očekávané účelové dotace a převody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1.78114576249230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2733093153023451E-2"/>
                  <c:y val="-3.8598734757687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6192234204475534E-2"/>
                  <c:y val="-3.300054994729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6182565570526341E-2"/>
                  <c:y val="-2.0089777294819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I.s'!$O$8:$S$8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strCache>
            </c:strRef>
          </c:cat>
          <c:val>
            <c:numRef>
              <c:f>'Zdrojová data I.s'!$O$11:$S$11</c:f>
              <c:numCache>
                <c:formatCode>#,##0</c:formatCode>
                <c:ptCount val="5"/>
                <c:pt idx="4">
                  <c:v>15217230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70754256"/>
        <c:axId val="370755040"/>
        <c:axId val="0"/>
      </c:bar3DChart>
      <c:catAx>
        <c:axId val="37075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699029126213591"/>
              <c:y val="0.93298220655279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37075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755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8.4951456310679609E-3"/>
              <c:y val="0.523810425985218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370754256"/>
        <c:crosses val="autoZero"/>
        <c:crossBetween val="between"/>
        <c:minorUnit val="59343.89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515115429831692"/>
          <c:y val="0.96296462150818019"/>
          <c:w val="0.71604819279569354"/>
          <c:h val="2.998241495538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2 - Schválený rozpočet příjmů Moravskoslezského kraje v letech 2014 až 2017,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příjmů Moravskoslezského kraje na rok 2018</a:t>
            </a:r>
            <a:endParaRPr lang="cs-CZ" sz="16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přijaté dotace, daňové, nedaňové a kapitálové příjmy</a:t>
            </a:r>
          </a:p>
        </c:rich>
      </c:tx>
      <c:layout>
        <c:manualLayout>
          <c:xMode val="edge"/>
          <c:yMode val="edge"/>
          <c:x val="0.15659722222222222"/>
          <c:y val="0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0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436126311786189E-2"/>
          <c:y val="8.1159130600326396E-2"/>
          <c:w val="0.89828570414572961"/>
          <c:h val="0.8599504823871100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049321959755092E-2"/>
                  <c:y val="-6.47825598020836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67191625774727E-2"/>
                  <c:y val="-3.6051727920113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549431321084862E-2"/>
                  <c:y val="-7.323474715786765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985958468437937E-2"/>
                  <c:y val="-4.5932098585759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4313478753023493E-3"/>
                  <c:y val="-6.7707249959356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356736657917719E-2"/>
                  <c:y val="-8.9481514019906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9.73782787945598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s'!$O$9:$S$9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'Zdrojová data II. a III. s'!$O$10:$S$10</c:f>
              <c:numCache>
                <c:formatCode>#,##0</c:formatCode>
                <c:ptCount val="5"/>
                <c:pt idx="0">
                  <c:v>4498900</c:v>
                </c:pt>
                <c:pt idx="1">
                  <c:v>4776650</c:v>
                </c:pt>
                <c:pt idx="2">
                  <c:v>5330950</c:v>
                </c:pt>
                <c:pt idx="3">
                  <c:v>5771300</c:v>
                </c:pt>
                <c:pt idx="4">
                  <c:v>6427050</c:v>
                </c:pt>
              </c:numCache>
            </c:numRef>
          </c:val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0256881489648878E-2"/>
                  <c:y val="-6.69634030503103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9746549205167597E-2"/>
                  <c:y val="-7.1903818569121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0475247624528638E-2"/>
                  <c:y val="-7.24911290259339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5339720939484601E-2"/>
                  <c:y val="-7.742987604912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0899396271426139E-3"/>
                  <c:y val="-8.23681262815141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1468527975607456E-2"/>
                  <c:y val="-7.0195279058394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8942439031229618E-2"/>
                  <c:y val="-4.51378118981419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0853410529078426E-2"/>
                  <c:y val="-4.4962619858468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s'!$O$9:$S$9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'Zdrojová data II. a III. s'!$O$11:$S$11</c:f>
              <c:numCache>
                <c:formatCode>#,##0</c:formatCode>
                <c:ptCount val="5"/>
                <c:pt idx="0">
                  <c:v>191852</c:v>
                </c:pt>
                <c:pt idx="1">
                  <c:v>162937</c:v>
                </c:pt>
                <c:pt idx="2">
                  <c:v>140391</c:v>
                </c:pt>
                <c:pt idx="3">
                  <c:v>164820</c:v>
                </c:pt>
                <c:pt idx="4">
                  <c:v>613120</c:v>
                </c:pt>
              </c:numCache>
            </c:numRef>
          </c:val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98668316438001E-2"/>
                  <c:y val="1.1257339920776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0363452102702646E-2"/>
                  <c:y val="2.31520451668437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5416008989033826E-2"/>
                  <c:y val="1.378177378770028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0497634770332947E-2"/>
                  <c:y val="-3.56223814004117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2225435593435289E-2"/>
                  <c:y val="-4.5280224072881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1869365012564975E-2"/>
                  <c:y val="-2.033896155836155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80845374904182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8.34670961096227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s'!$O$9:$S$9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'Zdrojová data II. a III. s'!$O$12:$S$12</c:f>
              <c:numCache>
                <c:formatCode>#,##0</c:formatCode>
                <c:ptCount val="5"/>
                <c:pt idx="0">
                  <c:v>85980</c:v>
                </c:pt>
                <c:pt idx="1">
                  <c:v>55980</c:v>
                </c:pt>
                <c:pt idx="2">
                  <c:v>40980</c:v>
                </c:pt>
                <c:pt idx="3">
                  <c:v>55000</c:v>
                </c:pt>
                <c:pt idx="4">
                  <c:v>66000</c:v>
                </c:pt>
              </c:numCache>
            </c:numRef>
          </c:val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964020122484751E-2"/>
                  <c:y val="-2.4594178249531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8080872386696703E-3"/>
                  <c:y val="-2.9534623360340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2887350309649781E-3"/>
                  <c:y val="-1.7639842652390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436679790026302E-2"/>
                  <c:y val="-3.9414258862882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738407699037595E-2"/>
                  <c:y val="-7.23176483923225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5475706584020368E-3"/>
                  <c:y val="-8.29652967731817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s'!$O$9:$S$9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'Zdrojová data II. a III. s'!$O$13:$S$13</c:f>
              <c:numCache>
                <c:formatCode>#,##0</c:formatCode>
                <c:ptCount val="5"/>
                <c:pt idx="0">
                  <c:v>2169460</c:v>
                </c:pt>
                <c:pt idx="1">
                  <c:v>3565454</c:v>
                </c:pt>
                <c:pt idx="2">
                  <c:v>2541011</c:v>
                </c:pt>
                <c:pt idx="3">
                  <c:v>974346</c:v>
                </c:pt>
                <c:pt idx="4">
                  <c:v>1130957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box"/>
        <c:axId val="416532408"/>
        <c:axId val="416528096"/>
        <c:axId val="0"/>
      </c:bar3DChart>
      <c:catAx>
        <c:axId val="4165324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6666666666666665"/>
              <c:y val="0.90067340067340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1652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528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16532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729166666666664"/>
          <c:y val="0.95117845117845112"/>
          <c:w val="0.5166666666666667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3 - Schválený rozpočet výdajů Moravskoslezského kraje v letech 2014 až 2017,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výdajů Moravskoslezského kraje na rok 2018</a:t>
            </a:r>
            <a:endParaRPr lang="cs-CZ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běžné a kapitálové výdaje</a:t>
            </a:r>
          </a:p>
        </c:rich>
      </c:tx>
      <c:layout>
        <c:manualLayout>
          <c:xMode val="edge"/>
          <c:yMode val="edge"/>
          <c:x val="0.16284722222222223"/>
          <c:y val="3.371199233571332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12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354166666666667"/>
          <c:y val="0.16835016835016836"/>
          <c:w val="0.87604166666666672"/>
          <c:h val="0.708754208754208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6923564723854529E-2"/>
                  <c:y val="-8.08678174386734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545713035870517E-2"/>
                  <c:y val="-3.0954996082773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587218525870101E-2"/>
                  <c:y val="-6.5215765987948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506583552055983E-2"/>
                  <c:y val="-6.580474917348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689765929556369E-2"/>
                  <c:y val="-8.3232852782906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3973695377522108E-2"/>
                  <c:y val="-1.3432831582541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3694746589733808E-2"/>
                  <c:y val="-7.7791723845148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3333333333333333E-2"/>
                  <c:y val="-2.2481624369939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s'!$O$2:$S$2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'Zdrojová data II. a III. s'!$O$3:$S$3</c:f>
              <c:numCache>
                <c:formatCode>#,##0</c:formatCode>
                <c:ptCount val="5"/>
                <c:pt idx="0">
                  <c:v>4749050</c:v>
                </c:pt>
                <c:pt idx="1">
                  <c:v>5225653</c:v>
                </c:pt>
                <c:pt idx="2">
                  <c:v>5123867</c:v>
                </c:pt>
                <c:pt idx="3">
                  <c:v>5704252</c:v>
                </c:pt>
                <c:pt idx="4">
                  <c:v>6456472</c:v>
                </c:pt>
              </c:numCache>
            </c:numRef>
          </c:val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8107477466051512E-2"/>
                  <c:y val="-6.4202179411848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645341389484144E-2"/>
                  <c:y val="-1.3653814020913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6862143010427564E-2"/>
                  <c:y val="-1.4074469175845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8804931642232178E-2"/>
                  <c:y val="-1.1648049958110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5494241604653235E-2"/>
                  <c:y val="-1.2949822948503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3952563524265597E-2"/>
                  <c:y val="-1.5133455109005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1185804899387577E-2"/>
                  <c:y val="-1.257023737408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7.3611111111111169E-2"/>
                  <c:y val="-1.12408121849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s'!$O$2:$S$2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'Zdrojová data II. a III. s'!$O$4:$S$4</c:f>
              <c:numCache>
                <c:formatCode>#,##0</c:formatCode>
                <c:ptCount val="5"/>
                <c:pt idx="0">
                  <c:v>3529488</c:v>
                </c:pt>
                <c:pt idx="1">
                  <c:v>4470962</c:v>
                </c:pt>
                <c:pt idx="2">
                  <c:v>1689119</c:v>
                </c:pt>
                <c:pt idx="3">
                  <c:v>2182178</c:v>
                </c:pt>
                <c:pt idx="4">
                  <c:v>2896026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16528880"/>
        <c:axId val="416527704"/>
        <c:axId val="0"/>
      </c:bar3DChart>
      <c:catAx>
        <c:axId val="4165288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904040404040404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16527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527704"/>
        <c:scaling>
          <c:orientation val="minMax"/>
          <c:max val="7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16528880"/>
        <c:crosses val="autoZero"/>
        <c:crossBetween val="between"/>
        <c:min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75000000000002"/>
          <c:y val="0.95117845117845112"/>
          <c:w val="0.2593750000000000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hfhfhgjgj</a:t>
            </a:r>
          </a:p>
        </c:rich>
      </c:tx>
      <c:layout>
        <c:manualLayout>
          <c:xMode val="edge"/>
          <c:yMode val="edge"/>
          <c:x val="0.45499410871158097"/>
          <c:y val="3.2500039672899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10662840690776E-2"/>
          <c:y val="0.15000018310569227"/>
          <c:w val="0.84833589916956009"/>
          <c:h val="0.667500814820330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s'!$B$10:$K$10</c:f>
              <c:numCache>
                <c:formatCode>#,##0</c:formatCode>
                <c:ptCount val="6"/>
                <c:pt idx="0">
                  <c:v>1245018</c:v>
                </c:pt>
                <c:pt idx="1">
                  <c:v>3847124</c:v>
                </c:pt>
                <c:pt idx="2">
                  <c:v>4045313</c:v>
                </c:pt>
                <c:pt idx="3">
                  <c:v>4328690</c:v>
                </c:pt>
                <c:pt idx="4">
                  <c:v>4532498</c:v>
                </c:pt>
                <c:pt idx="5">
                  <c:v>4121475</c:v>
                </c:pt>
              </c:numCache>
            </c:numRef>
          </c:val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s'!$B$11:$K$11</c:f>
              <c:numCache>
                <c:formatCode>#,##0</c:formatCode>
                <c:ptCount val="6"/>
                <c:pt idx="0">
                  <c:v>85840</c:v>
                </c:pt>
                <c:pt idx="1">
                  <c:v>131499</c:v>
                </c:pt>
                <c:pt idx="2">
                  <c:v>208296</c:v>
                </c:pt>
                <c:pt idx="3">
                  <c:v>97807</c:v>
                </c:pt>
                <c:pt idx="4">
                  <c:v>183697</c:v>
                </c:pt>
                <c:pt idx="5">
                  <c:v>169579</c:v>
                </c:pt>
              </c:numCache>
            </c:numRef>
          </c:val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s'!$B$12:$K$12</c:f>
              <c:numCache>
                <c:formatCode>#,##0</c:formatCode>
                <c:ptCount val="6"/>
                <c:pt idx="0">
                  <c:v>10300</c:v>
                </c:pt>
                <c:pt idx="1">
                  <c:v>40000</c:v>
                </c:pt>
                <c:pt idx="2">
                  <c:v>40000</c:v>
                </c:pt>
                <c:pt idx="3">
                  <c:v>40500</c:v>
                </c:pt>
                <c:pt idx="4">
                  <c:v>58500</c:v>
                </c:pt>
                <c:pt idx="5">
                  <c:v>45730</c:v>
                </c:pt>
              </c:numCache>
            </c:numRef>
          </c:val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s'!$B$9:$K$9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s'!$B$13:$K$13</c:f>
              <c:numCache>
                <c:formatCode>#,##0</c:formatCode>
                <c:ptCount val="6"/>
                <c:pt idx="0">
                  <c:v>2089000</c:v>
                </c:pt>
                <c:pt idx="1">
                  <c:v>680213</c:v>
                </c:pt>
                <c:pt idx="2">
                  <c:v>774335</c:v>
                </c:pt>
                <c:pt idx="3">
                  <c:v>1925572.7</c:v>
                </c:pt>
                <c:pt idx="4">
                  <c:v>2098388</c:v>
                </c:pt>
                <c:pt idx="5">
                  <c:v>1689276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16531232"/>
        <c:axId val="416533192"/>
      </c:barChart>
      <c:catAx>
        <c:axId val="4165312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1.9728741841152562E-2"/>
              <c:y val="0.430000524902984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16533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5331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16531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524059756991124"/>
          <c:y val="0.92250112610000745"/>
          <c:w val="0.53144298334604712"/>
          <c:h val="6.00000732422769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Schválený rozpočet Moravskoslezského kraje v letech 2001 až 2008,</a:t>
            </a:r>
          </a:p>
        </c:rich>
      </c:tx>
      <c:layout>
        <c:manualLayout>
          <c:xMode val="edge"/>
          <c:yMode val="edge"/>
          <c:x val="0.12890649586962866"/>
          <c:y val="2.75000335693769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968784272736116"/>
          <c:y val="0.1125001373292692"/>
          <c:w val="0.74609517306360829"/>
          <c:h val="0.7750009460460767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s'!$B$2:$K$2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s'!$B$3:$K$3</c:f>
              <c:numCache>
                <c:formatCode>#,##0</c:formatCode>
                <c:ptCount val="6"/>
                <c:pt idx="0">
                  <c:v>2804755</c:v>
                </c:pt>
                <c:pt idx="1">
                  <c:v>3835304</c:v>
                </c:pt>
                <c:pt idx="2">
                  <c:v>3597607</c:v>
                </c:pt>
                <c:pt idx="3">
                  <c:v>4148674</c:v>
                </c:pt>
                <c:pt idx="4">
                  <c:v>4386633</c:v>
                </c:pt>
                <c:pt idx="5">
                  <c:v>4426857</c:v>
                </c:pt>
              </c:numCache>
            </c:numRef>
          </c:val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s'!$B$2:$K$2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cat>
          <c:val>
            <c:numRef>
              <c:f>'Zdrojová data II. a III. s'!$B$4:$K$4</c:f>
              <c:numCache>
                <c:formatCode>#,##0</c:formatCode>
                <c:ptCount val="6"/>
                <c:pt idx="0">
                  <c:v>661403</c:v>
                </c:pt>
                <c:pt idx="1">
                  <c:v>1357532</c:v>
                </c:pt>
                <c:pt idx="2">
                  <c:v>1720337</c:v>
                </c:pt>
                <c:pt idx="3">
                  <c:v>3443896</c:v>
                </c:pt>
                <c:pt idx="4">
                  <c:v>3154116</c:v>
                </c:pt>
                <c:pt idx="5">
                  <c:v>3001307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16532016"/>
        <c:axId val="416533976"/>
        <c:axId val="0"/>
      </c:bar3DChart>
      <c:catAx>
        <c:axId val="4165320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hhfg</a:t>
                </a:r>
              </a:p>
            </c:rich>
          </c:tx>
          <c:layout>
            <c:manualLayout>
              <c:xMode val="edge"/>
              <c:yMode val="edge"/>
              <c:x val="7.4218891561301348E-2"/>
              <c:y val="0.4950006042487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16533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5339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165320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859433859698981"/>
          <c:y val="0.9475011566176228"/>
          <c:w val="0.38281323015829116"/>
          <c:h val="3.50000427246615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4 - Struktura návrhu rozpočtu Moravskoslezského kraje na rok 2018
PŘÍJMY</a:t>
            </a:r>
          </a:p>
        </c:rich>
      </c:tx>
      <c:layout>
        <c:manualLayout>
          <c:xMode val="edge"/>
          <c:yMode val="edge"/>
          <c:x val="0.1468375302238423"/>
          <c:y val="2.020205558396725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58333333333334E-2"/>
          <c:y val="0.19360269360269361"/>
          <c:w val="0.86354166666666665"/>
          <c:h val="0.553872053872053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7"/>
          <c:dPt>
            <c:idx val="0"/>
            <c:bubble3D val="0"/>
          </c:dPt>
          <c:dPt>
            <c:idx val="1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7.718121468064966E-2"/>
                  <c:y val="9.330064432996140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9226815398075935E-3"/>
                  <c:y val="-5.087696078831238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2827209098862643E-2"/>
                  <c:y val="-5.446002106830521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0303805774278195E-2"/>
                  <c:y val="3.424312644823386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2402110673665792"/>
                  <c:y val="0.1296961023791586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5138888888888885E-3"/>
                  <c:y val="0.132726328241132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6788057742782156E-3"/>
                  <c:y val="4.25543515396726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cs-CZ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IV.'!$A$2:$A$8</c:f>
              <c:strCache>
                <c:ptCount val="7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</c:strCache>
            </c:strRef>
          </c:cat>
          <c:val>
            <c:numRef>
              <c:f>'Zdrojová data IV.'!$X$2:$X$8</c:f>
              <c:numCache>
                <c:formatCode>#,##0</c:formatCode>
                <c:ptCount val="7"/>
                <c:pt idx="0">
                  <c:v>613120</c:v>
                </c:pt>
                <c:pt idx="1">
                  <c:v>6427050</c:v>
                </c:pt>
                <c:pt idx="2">
                  <c:v>66000</c:v>
                </c:pt>
                <c:pt idx="3">
                  <c:v>701761</c:v>
                </c:pt>
                <c:pt idx="4">
                  <c:v>210904</c:v>
                </c:pt>
                <c:pt idx="5">
                  <c:v>130188</c:v>
                </c:pt>
                <c:pt idx="6">
                  <c:v>88104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37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IV.'!$A$2:$A$8</c:f>
              <c:strCache>
                <c:ptCount val="7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</c:strCache>
            </c:strRef>
          </c:cat>
          <c:val>
            <c:numRef>
              <c:f>'Zdrojová data IV.'!$Y$2:$Y$8</c:f>
              <c:numCache>
                <c:formatCode>#,##0.00</c:formatCode>
                <c:ptCount val="7"/>
                <c:pt idx="0">
                  <c:v>7.4433719426688461</c:v>
                </c:pt>
                <c:pt idx="1">
                  <c:v>78.02538433606766</c:v>
                </c:pt>
                <c:pt idx="2">
                  <c:v>0.80125024174083992</c:v>
                </c:pt>
                <c:pt idx="3">
                  <c:v>8.5194874377923284</c:v>
                </c:pt>
                <c:pt idx="4">
                  <c:v>2.5604072876380322</c:v>
                </c:pt>
                <c:pt idx="5">
                  <c:v>1.5805025222993405</c:v>
                </c:pt>
                <c:pt idx="6">
                  <c:v>1.0695962317929539</c:v>
                </c:pt>
              </c:numCache>
            </c:numRef>
          </c:val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5 - Struktura návrhu rozpočtu Moravskoslezského kraje na rok 2018
VÝDAJE</a:t>
            </a:r>
          </a:p>
        </c:rich>
      </c:tx>
      <c:layout>
        <c:manualLayout>
          <c:xMode val="edge"/>
          <c:yMode val="edge"/>
          <c:x val="0.14409722222222221"/>
          <c:y val="2.0201971446104968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875"/>
          <c:y val="0.2356902356902357"/>
          <c:w val="0.65312499999999996"/>
          <c:h val="0.658249158249158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2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23794214785651793"/>
                  <c:y val="-5.665098445965625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Běžné výdaje na zastupitelstvo kraje a krajský úřad
6,5%</a:t>
                    </a: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4312554680664885E-2"/>
                  <c:y val="-9.489513136705288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Finance a správa majetku
2,5%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748552337259449E-2"/>
                  <c:y val="-0.20771851195455121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Samosprávné činnosti celkem
31,5%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776639082560827E-2"/>
                  <c:y val="1.957077996599666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Příspěvky na</a:t>
                    </a:r>
                    <a:r>
                      <a:rPr lang="en-US" baseline="0"/>
                      <a:t> provoz příspěvkovým organizacím</a:t>
                    </a:r>
                    <a:r>
                      <a:rPr lang="en-US"/>
                      <a:t>
26,5%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05530581255912"/>
                      <c:h val="7.5403382249279491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9.2085520559930072E-3"/>
                  <c:y val="9.4314728727446617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Návratné finanční výpomoci příspěvkovým organizacím
2,5%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58033645020586"/>
                      <c:h val="8.8355479196470049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9.0255929657304928E-3"/>
                  <c:y val="-0.18977384809481684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Reprodukce majetku kraje vyjma akcí EU
8,1%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13719739515056"/>
                      <c:h val="7.5610380665317556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6.8293963254592921E-3"/>
                  <c:y val="-6.274231916188503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Akce spolufinancované z evropských finančních zdrojů
22,4%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VI.'!$A$3:$A$9</c:f>
              <c:strCache>
                <c:ptCount val="7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 celkem</c:v>
                </c:pt>
                <c:pt idx="3">
                  <c:v>Příspěvky PO celkem - provoz</c:v>
                </c:pt>
                <c:pt idx="4">
                  <c:v>Návratné finanční výpomoci příspěvkovým organizacím</c:v>
                </c:pt>
                <c:pt idx="5">
                  <c:v>Reprodukce majetku kraje vyjma akcí EU</c:v>
                </c:pt>
                <c:pt idx="6">
                  <c:v>Akce spolufinancované z evropských finančních zdrojů</c:v>
                </c:pt>
              </c:strCache>
            </c:strRef>
          </c:cat>
          <c:val>
            <c:numRef>
              <c:f>'Zdrojová data V.a VI.'!$X$3:$X$9</c:f>
              <c:numCache>
                <c:formatCode>#,##0</c:formatCode>
                <c:ptCount val="7"/>
                <c:pt idx="0">
                  <c:v>611017</c:v>
                </c:pt>
                <c:pt idx="1">
                  <c:v>230412</c:v>
                </c:pt>
                <c:pt idx="2">
                  <c:v>2943633</c:v>
                </c:pt>
                <c:pt idx="3">
                  <c:v>2478254</c:v>
                </c:pt>
                <c:pt idx="4">
                  <c:v>236950</c:v>
                </c:pt>
                <c:pt idx="5">
                  <c:v>759267</c:v>
                </c:pt>
                <c:pt idx="6">
                  <c:v>2092965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12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VI.'!$A$3:$A$9</c:f>
              <c:strCache>
                <c:ptCount val="7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 celkem</c:v>
                </c:pt>
                <c:pt idx="3">
                  <c:v>Příspěvky PO celkem - provoz</c:v>
                </c:pt>
                <c:pt idx="4">
                  <c:v>Návratné finanční výpomoci příspěvkovým organizacím</c:v>
                </c:pt>
                <c:pt idx="5">
                  <c:v>Reprodukce majetku kraje vyjma akcí EU</c:v>
                </c:pt>
                <c:pt idx="6">
                  <c:v>Akce spolufinancované z evropských finančních zdrojů</c:v>
                </c:pt>
              </c:strCache>
            </c:strRef>
          </c:cat>
          <c:val>
            <c:numRef>
              <c:f>'Zdrojová data V.a VI.'!$Y$3:$Y$9</c:f>
              <c:numCache>
                <c:formatCode>#,##0.00</c:formatCode>
                <c:ptCount val="7"/>
                <c:pt idx="0">
                  <c:v>6.5331957301674919</c:v>
                </c:pt>
                <c:pt idx="1">
                  <c:v>2.4636412646118719</c:v>
                </c:pt>
                <c:pt idx="2">
                  <c:v>31.47429702738242</c:v>
                </c:pt>
                <c:pt idx="3">
                  <c:v>26.498310932544438</c:v>
                </c:pt>
                <c:pt idx="4">
                  <c:v>2.5335477216889006</c:v>
                </c:pt>
                <c:pt idx="5">
                  <c:v>8.1183337328700844</c:v>
                </c:pt>
                <c:pt idx="6">
                  <c:v>22.378673590734795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6 - Struktura návrhu rozpočtu Moravskoslezského kraje na rok 2018
Objemy výdajů na akce spolufinancované z evropských finančních zdrojů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pro rok 2018 v členění dle odvětví</a:t>
            </a:r>
          </a:p>
        </c:rich>
      </c:tx>
      <c:layout>
        <c:manualLayout>
          <c:xMode val="edge"/>
          <c:yMode val="edge"/>
          <c:x val="0.11597222222222223"/>
          <c:y val="2.0201952254694497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194439119735413"/>
          <c:y val="0.28077148887442221"/>
          <c:w val="0.69791666666666663"/>
          <c:h val="0.5370370370370370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3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7558684374633808E-2"/>
                  <c:y val="9.783552433619696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Doprava a chytrý region
866,2 mil. Kč
41,4%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741513560804899"/>
                  <c:y val="2.0883481812365885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Krizové řízení
5,0 mil. Kč
0,2%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100174978127735E-2"/>
                  <c:y val="-1.221690412808648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Kultura
295,1 mil. Kč
14,1%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5125327328668922"/>
                  <c:y val="-4.761532014366168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Regionální rozvoj
61,3 mil. Kč
2,9%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9829833770778653E-2"/>
                  <c:y val="-6.147555928793791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Cestovní ruch
7,2 mil. Kč
0,4%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6314632545931758E-2"/>
                  <c:y val="-3.77411596765336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Sociální věci
64,1 mil. Kč
3,1%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7065651806994684E-2"/>
                  <c:y val="-4.7001815925652925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Školství
435,3 mil. Kč
20,8%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7.1546697287839023E-2"/>
                  <c:y val="2.433149031219010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Zdravotnictví
96,6 mil. Kč
4,6%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6.0567366579177627E-2"/>
                  <c:y val="8.0584650928237411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Životní prostředí
141,7 mil. Kč
6,8%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56522458465958E-3"/>
                  <c:y val="6.103982274612047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Krajský úřad
67,9 mil. Kč
3,2%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4053859417301209"/>
                  <c:y val="4.3185645740787107E-2"/>
                </c:manualLayout>
              </c:layout>
              <c:tx>
                <c:rich>
                  <a:bodyPr/>
                  <a:lstStyle/>
                  <a:p>
                    <a:fld id="{93A69D3D-7380-4CC0-A023-C0CCF930F930}" type="CATEGORYNAME">
                      <a:rPr lang="en-US"/>
                      <a:pPr/>
                      <a:t>[NÁZEV KATEGORIE]</a:t>
                    </a:fld>
                    <a:endParaRPr lang="en-US"/>
                  </a:p>
                  <a:p>
                    <a:r>
                      <a:rPr lang="en-US" baseline="0"/>
                      <a:t>52,6 mil. Kč</a:t>
                    </a:r>
                  </a:p>
                  <a:p>
                    <a:r>
                      <a:rPr lang="en-US"/>
                      <a:t>2,5%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75504207931547"/>
                      <c:h val="9.0766343372690933E-2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VI.'!$A$20:$A$31</c:f>
              <c:strCache>
                <c:ptCount val="11"/>
                <c:pt idx="0">
                  <c:v>Doprava a chytrý region</c:v>
                </c:pt>
                <c:pt idx="1">
                  <c:v>Krizové řízení</c:v>
                </c:pt>
                <c:pt idx="2">
                  <c:v>Kultura</c:v>
                </c:pt>
                <c:pt idx="3">
                  <c:v>Regionální rozvoj </c:v>
                </c:pt>
                <c:pt idx="4">
                  <c:v>Cestovní ruch</c:v>
                </c:pt>
                <c:pt idx="5">
                  <c:v>Sociální věci</c:v>
                </c:pt>
                <c:pt idx="6">
                  <c:v>Školství</c:v>
                </c:pt>
                <c:pt idx="7">
                  <c:v>Zdravotnictví</c:v>
                </c:pt>
                <c:pt idx="8">
                  <c:v>Životní prostředí</c:v>
                </c:pt>
                <c:pt idx="9">
                  <c:v>Krajský úřad</c:v>
                </c:pt>
                <c:pt idx="10">
                  <c:v>Finance a správa majetku</c:v>
                </c:pt>
              </c:strCache>
            </c:strRef>
          </c:cat>
          <c:val>
            <c:numRef>
              <c:f>'Zdrojová data V.a VI.'!$X$20:$X$31</c:f>
              <c:numCache>
                <c:formatCode>#,##0</c:formatCode>
                <c:ptCount val="11"/>
                <c:pt idx="0">
                  <c:v>866210</c:v>
                </c:pt>
                <c:pt idx="1">
                  <c:v>5032</c:v>
                </c:pt>
                <c:pt idx="2">
                  <c:v>295049</c:v>
                </c:pt>
                <c:pt idx="3">
                  <c:v>61321</c:v>
                </c:pt>
                <c:pt idx="4">
                  <c:v>7220</c:v>
                </c:pt>
                <c:pt idx="5">
                  <c:v>64071</c:v>
                </c:pt>
                <c:pt idx="6">
                  <c:v>435288</c:v>
                </c:pt>
                <c:pt idx="7">
                  <c:v>96590</c:v>
                </c:pt>
                <c:pt idx="8">
                  <c:v>141727</c:v>
                </c:pt>
                <c:pt idx="9">
                  <c:v>67857</c:v>
                </c:pt>
                <c:pt idx="10">
                  <c:v>52600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3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VI.'!$A$20:$A$31</c:f>
              <c:strCache>
                <c:ptCount val="11"/>
                <c:pt idx="0">
                  <c:v>Doprava a chytrý region</c:v>
                </c:pt>
                <c:pt idx="1">
                  <c:v>Krizové řízení</c:v>
                </c:pt>
                <c:pt idx="2">
                  <c:v>Kultura</c:v>
                </c:pt>
                <c:pt idx="3">
                  <c:v>Regionální rozvoj </c:v>
                </c:pt>
                <c:pt idx="4">
                  <c:v>Cestovní ruch</c:v>
                </c:pt>
                <c:pt idx="5">
                  <c:v>Sociální věci</c:v>
                </c:pt>
                <c:pt idx="6">
                  <c:v>Školství</c:v>
                </c:pt>
                <c:pt idx="7">
                  <c:v>Zdravotnictví</c:v>
                </c:pt>
                <c:pt idx="8">
                  <c:v>Životní prostředí</c:v>
                </c:pt>
                <c:pt idx="9">
                  <c:v>Krajský úřad</c:v>
                </c:pt>
                <c:pt idx="10">
                  <c:v>Finance a správa majetku</c:v>
                </c:pt>
              </c:strCache>
            </c:strRef>
          </c:cat>
          <c:val>
            <c:numRef>
              <c:f>'Zdrojová data V.a VI.'!$Y$20:$Y$31</c:f>
              <c:numCache>
                <c:formatCode>#,##0.00</c:formatCode>
                <c:ptCount val="11"/>
                <c:pt idx="0">
                  <c:v>41.386740819841705</c:v>
                </c:pt>
                <c:pt idx="1">
                  <c:v>0.24042446959218144</c:v>
                </c:pt>
                <c:pt idx="2">
                  <c:v>14.097177927007856</c:v>
                </c:pt>
                <c:pt idx="3">
                  <c:v>2.9298626589551189</c:v>
                </c:pt>
                <c:pt idx="4">
                  <c:v>0.34496515708576109</c:v>
                </c:pt>
                <c:pt idx="5">
                  <c:v>3.0612552049365376</c:v>
                </c:pt>
                <c:pt idx="6">
                  <c:v>20.797672201876285</c:v>
                </c:pt>
                <c:pt idx="7">
                  <c:v>4.6149840059437208</c:v>
                </c:pt>
                <c:pt idx="8">
                  <c:v>6.7715895870212828</c:v>
                </c:pt>
                <c:pt idx="9">
                  <c:v>3.2421469064222288</c:v>
                </c:pt>
                <c:pt idx="10">
                  <c:v>2.5131810613173178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1"/>
          <c:showBubbleSize val="0"/>
          <c:separator>
</c:separator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8740157480314965" right="0.78740157480314965" top="0.98425196850393704" bottom="0.59055118110236227" header="0.51181102362204722" footer="0.31496062992125984"/>
  <pageSetup paperSize="9" firstPageNumber="26" orientation="landscape" useFirstPageNumber="1" horizontalDpi="4294967295" r:id="rId1"/>
  <headerFooter alignWithMargins="0">
    <oddHeader>&amp;L&amp;"Tahoma,Kurzíva"&amp;9Návrh rozpočtu na rok 2018
Příloha č. 10&amp;R&amp;"Tahoma,Kurzíva"&amp;9Graf č. 1</oddHeader>
    <oddFooter>&amp;C&amp;"Tahoma,Obyčejné"&amp;P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7" orientation="landscape" useFirstPageNumber="1" r:id="rId1"/>
  <headerFooter alignWithMargins="0">
    <oddHeader>&amp;L&amp;"Tahoma,Kurzíva"&amp;9Návrh rozpočtu na rok 2018
Příloha č. 10&amp;R&amp;"Tahoma,Kurzíva"&amp;9Graf č. 2</oddHeader>
    <oddFooter>&amp;C&amp;"Tahoma,Obyčejné"&amp;P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8" orientation="landscape" useFirstPageNumber="1" r:id="rId1"/>
  <headerFooter alignWithMargins="0">
    <oddHeader>&amp;L&amp;"Tahoma,Kurzíva"&amp;9Návrh rozpočtu na rok 2018
Příloha č. 10&amp;R&amp;"Tahoma,Kurzíva"&amp;9Graf č. 3</oddHeader>
    <oddFooter>&amp;C&amp;"Tahoma,Obyčejné"&amp;P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9" orientation="landscape" useFirstPageNumber="1" r:id="rId1"/>
  <headerFooter alignWithMargins="0">
    <oddHeader>&amp;L&amp;"Tahoma,Kurzíva"&amp;9Návrh rozpočtu na rok 2018
Příloha č. 10&amp;R&amp;"Tahoma,Kurzíva"&amp;9Graf č. 4</oddHeader>
    <oddFooter>&amp;C&amp;"Tahoma,Obyčejné"&amp;P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30" orientation="landscape" useFirstPageNumber="1" r:id="rId1"/>
  <headerFooter alignWithMargins="0">
    <oddHeader>&amp;L&amp;"Tahoma,Kurzíva"&amp;9Návrh rozpočtu na rok 2018
Příloha č. 10&amp;R&amp;"Tahoma,Kurzíva"&amp;9Graf č. 5</oddHeader>
    <oddFooter>&amp;C&amp;"Tahoma,Obyčejné"&amp;P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31" orientation="landscape" useFirstPageNumber="1" r:id="rId1"/>
  <headerFooter alignWithMargins="0">
    <oddHeader>&amp;L&amp;"Tahoma,Kurzíva"&amp;9Návrh rozpočtu na rok 2018
Příloha č. 10&amp;R&amp;"Tahoma,Kurzíva"&amp;9Graf č. 6</oddHeader>
    <oddFooter>&amp;C&amp;"Tahoma,Obyčejné"&amp;P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600456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0.0105</cdr:x>
      <cdr:y>0.02075</cdr:y>
    </cdr:from>
    <cdr:to>
      <cdr:x>0.86825</cdr:x>
      <cdr:y>0.9745</cdr:y>
    </cdr:to>
    <cdr:graphicFrame macro="">
      <cdr:nvGraphicFramePr>
        <cdr:cNvPr id="11265" name="Chart 1"/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32277" cy="599518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32277" cy="599518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14</xdr:row>
      <xdr:rowOff>104775</xdr:rowOff>
    </xdr:from>
    <xdr:to>
      <xdr:col>14</xdr:col>
      <xdr:colOff>180975</xdr:colOff>
      <xdr:row>33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15</xdr:row>
      <xdr:rowOff>19050</xdr:rowOff>
    </xdr:from>
    <xdr:to>
      <xdr:col>5</xdr:col>
      <xdr:colOff>857250</xdr:colOff>
      <xdr:row>34</xdr:row>
      <xdr:rowOff>28575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32277" cy="599518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32277" cy="599518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32277" cy="599518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zoomScaleSheetLayoutView="100" workbookViewId="0">
      <selection activeCell="E4" sqref="E4"/>
    </sheetView>
  </sheetViews>
  <sheetFormatPr defaultRowHeight="15.75" x14ac:dyDescent="0.25"/>
  <cols>
    <col min="1" max="4" width="9.140625" style="47"/>
    <col min="5" max="5" width="38.5703125" style="47" customWidth="1"/>
    <col min="6" max="16384" width="9.140625" style="47"/>
  </cols>
  <sheetData>
    <row r="1" spans="1:10" s="38" customFormat="1" ht="15.75" customHeight="1" x14ac:dyDescent="0.2">
      <c r="A1" s="48" t="s">
        <v>563</v>
      </c>
      <c r="C1" s="37"/>
    </row>
    <row r="2" spans="1:10" s="39" customFormat="1" ht="18" customHeight="1" x14ac:dyDescent="0.25"/>
    <row r="3" spans="1:10" s="41" customFormat="1" ht="42" customHeight="1" x14ac:dyDescent="0.25">
      <c r="A3" s="404" t="s">
        <v>313</v>
      </c>
      <c r="B3" s="405"/>
      <c r="C3" s="405"/>
      <c r="D3" s="405"/>
      <c r="E3" s="405"/>
      <c r="F3" s="405"/>
      <c r="G3" s="40"/>
      <c r="H3" s="40"/>
      <c r="I3" s="40"/>
      <c r="J3" s="40"/>
    </row>
    <row r="4" spans="1:10" s="42" customFormat="1" ht="36" customHeight="1" x14ac:dyDescent="0.2"/>
    <row r="5" spans="1:10" s="42" customFormat="1" ht="15.75" customHeight="1" x14ac:dyDescent="0.2">
      <c r="A5" s="43" t="s">
        <v>52</v>
      </c>
      <c r="F5" s="44" t="s">
        <v>53</v>
      </c>
    </row>
    <row r="6" spans="1:10" s="42" customFormat="1" ht="15" x14ac:dyDescent="0.2"/>
    <row r="7" spans="1:10" s="42" customFormat="1" ht="15" x14ac:dyDescent="0.2">
      <c r="A7" s="406" t="s">
        <v>278</v>
      </c>
      <c r="B7" s="406"/>
      <c r="C7" s="406"/>
      <c r="D7" s="406"/>
      <c r="E7" s="406"/>
      <c r="F7" s="400">
        <v>2</v>
      </c>
    </row>
    <row r="8" spans="1:10" s="42" customFormat="1" ht="15" x14ac:dyDescent="0.2">
      <c r="A8" s="45"/>
      <c r="B8" s="45"/>
      <c r="C8" s="45"/>
      <c r="D8" s="45"/>
      <c r="E8" s="45"/>
      <c r="F8" s="46"/>
    </row>
    <row r="9" spans="1:10" s="42" customFormat="1" ht="48" customHeight="1" x14ac:dyDescent="0.2">
      <c r="A9" s="407" t="s">
        <v>279</v>
      </c>
      <c r="B9" s="407"/>
      <c r="C9" s="407"/>
      <c r="D9" s="407"/>
      <c r="E9" s="407"/>
      <c r="F9" s="400">
        <v>4</v>
      </c>
    </row>
    <row r="10" spans="1:10" s="42" customFormat="1" ht="15" x14ac:dyDescent="0.2">
      <c r="A10" s="45"/>
      <c r="B10" s="45"/>
      <c r="C10" s="45"/>
      <c r="D10" s="45"/>
      <c r="E10" s="45"/>
      <c r="F10" s="46"/>
    </row>
    <row r="11" spans="1:10" s="42" customFormat="1" ht="48" customHeight="1" x14ac:dyDescent="0.2">
      <c r="A11" s="407" t="s">
        <v>311</v>
      </c>
      <c r="B11" s="407"/>
      <c r="C11" s="407"/>
      <c r="D11" s="407"/>
      <c r="E11" s="407"/>
      <c r="F11" s="400">
        <v>13</v>
      </c>
    </row>
    <row r="12" spans="1:10" s="42" customFormat="1" ht="15" x14ac:dyDescent="0.2">
      <c r="A12" s="45"/>
      <c r="B12" s="45"/>
      <c r="C12" s="45"/>
      <c r="D12" s="45"/>
      <c r="E12" s="45"/>
      <c r="F12" s="46"/>
    </row>
    <row r="13" spans="1:10" s="42" customFormat="1" ht="31.5" customHeight="1" x14ac:dyDescent="0.2">
      <c r="A13" s="407" t="s">
        <v>560</v>
      </c>
      <c r="B13" s="407"/>
      <c r="C13" s="407"/>
      <c r="D13" s="407"/>
      <c r="E13" s="407"/>
      <c r="F13" s="400">
        <v>21</v>
      </c>
    </row>
    <row r="14" spans="1:10" x14ac:dyDescent="0.25">
      <c r="A14" s="39"/>
      <c r="B14" s="39"/>
      <c r="C14" s="39"/>
      <c r="D14" s="39"/>
      <c r="E14" s="39"/>
      <c r="F14" s="39"/>
    </row>
    <row r="15" spans="1:10" s="42" customFormat="1" ht="15" x14ac:dyDescent="0.2">
      <c r="A15" s="406" t="s">
        <v>312</v>
      </c>
      <c r="B15" s="406"/>
      <c r="C15" s="406"/>
      <c r="D15" s="406"/>
      <c r="E15" s="406"/>
      <c r="F15" s="400">
        <v>22</v>
      </c>
    </row>
    <row r="16" spans="1:10" s="42" customFormat="1" ht="24" customHeight="1" x14ac:dyDescent="0.2">
      <c r="A16" s="147"/>
      <c r="B16" s="147"/>
      <c r="C16" s="147"/>
      <c r="D16" s="147"/>
      <c r="E16" s="147"/>
      <c r="F16" s="46"/>
    </row>
    <row r="17" spans="1:6" ht="31.5" customHeight="1" x14ac:dyDescent="0.25">
      <c r="A17" s="407" t="s">
        <v>314</v>
      </c>
      <c r="B17" s="407"/>
      <c r="C17" s="407"/>
      <c r="D17" s="407"/>
      <c r="E17" s="407"/>
      <c r="F17" s="400">
        <v>26</v>
      </c>
    </row>
    <row r="18" spans="1:6" ht="15" customHeight="1" x14ac:dyDescent="0.25">
      <c r="A18" s="147"/>
      <c r="B18" s="147"/>
      <c r="C18" s="148"/>
      <c r="D18" s="147"/>
      <c r="E18" s="147"/>
      <c r="F18" s="401"/>
    </row>
    <row r="19" spans="1:6" ht="46.5" customHeight="1" x14ac:dyDescent="0.25">
      <c r="A19" s="407" t="s">
        <v>315</v>
      </c>
      <c r="B19" s="407"/>
      <c r="C19" s="407"/>
      <c r="D19" s="407"/>
      <c r="E19" s="407"/>
      <c r="F19" s="400">
        <v>27</v>
      </c>
    </row>
    <row r="20" spans="1:6" ht="15" customHeight="1" x14ac:dyDescent="0.25">
      <c r="A20" s="147"/>
      <c r="B20" s="147"/>
      <c r="C20" s="147"/>
      <c r="D20" s="147"/>
      <c r="E20" s="147"/>
      <c r="F20" s="401"/>
    </row>
    <row r="21" spans="1:6" ht="46.5" customHeight="1" x14ac:dyDescent="0.25">
      <c r="A21" s="407" t="s">
        <v>316</v>
      </c>
      <c r="B21" s="407"/>
      <c r="C21" s="407"/>
      <c r="D21" s="407"/>
      <c r="E21" s="407"/>
      <c r="F21" s="400">
        <v>28</v>
      </c>
    </row>
    <row r="22" spans="1:6" ht="15" customHeight="1" x14ac:dyDescent="0.25">
      <c r="A22" s="147"/>
      <c r="B22" s="147"/>
      <c r="C22" s="147"/>
      <c r="D22" s="147"/>
      <c r="E22" s="147"/>
      <c r="F22" s="401"/>
    </row>
    <row r="23" spans="1:6" ht="31.5" customHeight="1" x14ac:dyDescent="0.25">
      <c r="A23" s="407" t="s">
        <v>317</v>
      </c>
      <c r="B23" s="407"/>
      <c r="C23" s="407"/>
      <c r="D23" s="407"/>
      <c r="E23" s="407"/>
      <c r="F23" s="400">
        <v>29</v>
      </c>
    </row>
    <row r="24" spans="1:6" ht="15" customHeight="1" x14ac:dyDescent="0.25">
      <c r="A24" s="147"/>
      <c r="B24" s="147"/>
      <c r="C24" s="147"/>
      <c r="D24" s="147"/>
      <c r="E24" s="147"/>
      <c r="F24" s="401"/>
    </row>
    <row r="25" spans="1:6" ht="31.5" customHeight="1" x14ac:dyDescent="0.25">
      <c r="A25" s="407" t="s">
        <v>318</v>
      </c>
      <c r="B25" s="407"/>
      <c r="C25" s="407"/>
      <c r="D25" s="407"/>
      <c r="E25" s="407"/>
      <c r="F25" s="400">
        <v>30</v>
      </c>
    </row>
    <row r="26" spans="1:6" ht="15" customHeight="1" x14ac:dyDescent="0.25">
      <c r="A26" s="147"/>
      <c r="B26" s="147"/>
      <c r="C26" s="147"/>
      <c r="D26" s="147"/>
      <c r="E26" s="147"/>
      <c r="F26" s="401"/>
    </row>
    <row r="27" spans="1:6" ht="46.5" customHeight="1" x14ac:dyDescent="0.25">
      <c r="A27" s="407" t="s">
        <v>319</v>
      </c>
      <c r="B27" s="407"/>
      <c r="C27" s="407"/>
      <c r="D27" s="407"/>
      <c r="E27" s="407"/>
      <c r="F27" s="400">
        <v>31</v>
      </c>
    </row>
    <row r="28" spans="1:6" x14ac:dyDescent="0.25">
      <c r="A28" s="39"/>
      <c r="B28" s="39"/>
      <c r="C28" s="39"/>
      <c r="D28" s="39"/>
      <c r="E28" s="39"/>
    </row>
    <row r="29" spans="1:6" x14ac:dyDescent="0.25">
      <c r="A29" s="39"/>
      <c r="B29" s="39"/>
      <c r="C29" s="39"/>
      <c r="D29" s="39"/>
      <c r="E29" s="39"/>
    </row>
  </sheetData>
  <mergeCells count="12">
    <mergeCell ref="A27:E27"/>
    <mergeCell ref="A11:E11"/>
    <mergeCell ref="A15:E15"/>
    <mergeCell ref="A17:E17"/>
    <mergeCell ref="A19:E19"/>
    <mergeCell ref="A21:E21"/>
    <mergeCell ref="A13:E13"/>
    <mergeCell ref="A3:F3"/>
    <mergeCell ref="A7:E7"/>
    <mergeCell ref="A9:E9"/>
    <mergeCell ref="A23:E23"/>
    <mergeCell ref="A25:E25"/>
  </mergeCells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&amp;C&amp;"Tahoma,Obyčejné"&amp;P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Y31"/>
  <sheetViews>
    <sheetView workbookViewId="0">
      <selection activeCell="A6" sqref="A6"/>
    </sheetView>
  </sheetViews>
  <sheetFormatPr defaultColWidth="10.28515625" defaultRowHeight="15.75" x14ac:dyDescent="0.25"/>
  <cols>
    <col min="1" max="1" width="48.85546875" style="313" customWidth="1"/>
    <col min="2" max="2" width="18.42578125" style="313" hidden="1" customWidth="1"/>
    <col min="3" max="3" width="10.28515625" style="313" hidden="1" customWidth="1"/>
    <col min="4" max="4" width="17.7109375" style="313" hidden="1" customWidth="1"/>
    <col min="5" max="5" width="15" style="313" hidden="1" customWidth="1"/>
    <col min="6" max="6" width="17.140625" style="336" hidden="1" customWidth="1"/>
    <col min="7" max="7" width="10.28515625" style="336" hidden="1" customWidth="1"/>
    <col min="8" max="8" width="17.140625" style="365" hidden="1" customWidth="1"/>
    <col min="9" max="9" width="10.28515625" style="336" hidden="1" customWidth="1"/>
    <col min="10" max="10" width="17.140625" style="364" hidden="1" customWidth="1"/>
    <col min="11" max="11" width="10.28515625" style="313" hidden="1" customWidth="1"/>
    <col min="12" max="12" width="17.140625" style="364" hidden="1" customWidth="1"/>
    <col min="13" max="13" width="10.28515625" style="313" hidden="1" customWidth="1"/>
    <col min="14" max="14" width="17.140625" style="364" customWidth="1"/>
    <col min="15" max="15" width="10.28515625" style="313" customWidth="1"/>
    <col min="16" max="16" width="17.140625" style="364" customWidth="1"/>
    <col min="17" max="17" width="10.28515625" style="313"/>
    <col min="18" max="18" width="17.140625" style="364" customWidth="1"/>
    <col min="19" max="19" width="11.5703125" style="313" customWidth="1"/>
    <col min="20" max="20" width="17.140625" style="364" customWidth="1"/>
    <col min="21" max="21" width="11.5703125" style="313" customWidth="1"/>
    <col min="22" max="22" width="17.140625" style="364" customWidth="1"/>
    <col min="23" max="23" width="11.5703125" style="313" customWidth="1"/>
    <col min="24" max="24" width="17.140625" style="364" customWidth="1"/>
    <col min="25" max="25" width="11.5703125" style="313" customWidth="1"/>
    <col min="26" max="16384" width="10.28515625" style="313"/>
  </cols>
  <sheetData>
    <row r="1" spans="1:25" ht="35.25" customHeight="1" x14ac:dyDescent="0.25">
      <c r="A1" s="363" t="s">
        <v>541</v>
      </c>
      <c r="B1" s="362" t="s">
        <v>524</v>
      </c>
      <c r="C1" s="362"/>
      <c r="D1" s="361" t="s">
        <v>523</v>
      </c>
      <c r="E1" s="361"/>
      <c r="F1" s="361" t="s">
        <v>522</v>
      </c>
      <c r="G1" s="361"/>
      <c r="H1" s="395" t="s">
        <v>521</v>
      </c>
      <c r="I1" s="361"/>
      <c r="J1" s="394" t="s">
        <v>520</v>
      </c>
      <c r="K1" s="360"/>
      <c r="L1" s="394" t="s">
        <v>519</v>
      </c>
      <c r="M1" s="360"/>
      <c r="N1" s="394" t="s">
        <v>518</v>
      </c>
      <c r="O1" s="360"/>
      <c r="P1" s="394" t="s">
        <v>517</v>
      </c>
      <c r="Q1" s="360"/>
      <c r="R1" s="394" t="s">
        <v>516</v>
      </c>
      <c r="S1" s="360"/>
      <c r="T1" s="394" t="s">
        <v>515</v>
      </c>
      <c r="U1" s="360"/>
      <c r="V1" s="394" t="s">
        <v>514</v>
      </c>
      <c r="W1" s="360"/>
      <c r="X1" s="394" t="s">
        <v>513</v>
      </c>
      <c r="Y1" s="360"/>
    </row>
    <row r="2" spans="1:25" x14ac:dyDescent="0.25">
      <c r="A2" s="352" t="s">
        <v>540</v>
      </c>
      <c r="B2" s="351">
        <v>33878</v>
      </c>
      <c r="C2" s="350">
        <f>(B2/$B$13)*100</f>
        <v>0.63705070982319489</v>
      </c>
      <c r="D2" s="349">
        <v>39564</v>
      </c>
      <c r="E2" s="348">
        <f>(D2/$D$13)*100</f>
        <v>0.52307207405401746</v>
      </c>
      <c r="F2" s="349">
        <v>42663</v>
      </c>
      <c r="G2" s="348">
        <f>(F2/$D$13)*100</f>
        <v>0.56404367342449069</v>
      </c>
      <c r="H2" s="390">
        <v>40336</v>
      </c>
      <c r="I2" s="348">
        <f t="shared" ref="I2:I11" si="0">(H2/$H$13)*100</f>
        <v>0.54301439763580883</v>
      </c>
      <c r="J2" s="389">
        <v>40321</v>
      </c>
      <c r="K2" s="346">
        <f t="shared" ref="K2:K11" si="1">(J2/$J$13)*100</f>
        <v>0.4855577254448698</v>
      </c>
      <c r="L2" s="389">
        <v>40362</v>
      </c>
      <c r="M2" s="346">
        <f t="shared" ref="M2:M11" si="2">(L2/$L$13)*100</f>
        <v>0.44750190228776782</v>
      </c>
      <c r="N2" s="389">
        <v>40362</v>
      </c>
      <c r="O2" s="346">
        <f t="shared" ref="O2:O11" si="3">(N2/$N$13)*100</f>
        <v>0.53042833513945131</v>
      </c>
      <c r="P2" s="389">
        <v>0</v>
      </c>
      <c r="Q2" s="346">
        <f t="shared" ref="Q2:Q11" si="4">(P2/$P$13)*100</f>
        <v>0</v>
      </c>
      <c r="R2" s="389"/>
      <c r="S2" s="346">
        <f t="shared" ref="S2:S11" si="5">(R2/$R$13)*100</f>
        <v>0</v>
      </c>
      <c r="T2" s="389"/>
      <c r="U2" s="346">
        <f t="shared" ref="U2:U11" si="6">(T2/$T$13)*100</f>
        <v>0</v>
      </c>
      <c r="V2" s="389"/>
      <c r="W2" s="346">
        <f t="shared" ref="W2:W11" si="7">(V2/$V$13)*100</f>
        <v>0</v>
      </c>
      <c r="X2" s="389"/>
      <c r="Y2" s="346">
        <f t="shared" ref="Y2:Y11" si="8">(X2/$X$13)*100</f>
        <v>0</v>
      </c>
    </row>
    <row r="3" spans="1:25" x14ac:dyDescent="0.25">
      <c r="A3" s="352" t="s">
        <v>539</v>
      </c>
      <c r="B3" s="351">
        <v>325186</v>
      </c>
      <c r="C3" s="350">
        <f>(B3/$B$13)*100</f>
        <v>6.1148819919878816</v>
      </c>
      <c r="D3" s="349">
        <v>345169</v>
      </c>
      <c r="E3" s="348">
        <f>(D3/$D$13)*100</f>
        <v>4.563448203648548</v>
      </c>
      <c r="F3" s="349">
        <v>390214</v>
      </c>
      <c r="G3" s="348">
        <f>(F3/$D$13)*100</f>
        <v>5.158984084139985</v>
      </c>
      <c r="H3" s="390">
        <v>376007</v>
      </c>
      <c r="I3" s="348">
        <f t="shared" si="0"/>
        <v>5.0619103186197822</v>
      </c>
      <c r="J3" s="389">
        <v>368162</v>
      </c>
      <c r="K3" s="346">
        <f t="shared" si="1"/>
        <v>4.4335185961467758</v>
      </c>
      <c r="L3" s="389">
        <v>380226</v>
      </c>
      <c r="M3" s="346">
        <f t="shared" si="2"/>
        <v>4.2156448713955896</v>
      </c>
      <c r="N3" s="389">
        <v>371351</v>
      </c>
      <c r="O3" s="346">
        <f t="shared" si="3"/>
        <v>4.8802114038543776</v>
      </c>
      <c r="P3" s="389">
        <v>454831</v>
      </c>
      <c r="Q3" s="346">
        <f t="shared" si="4"/>
        <v>5.4940981124928099</v>
      </c>
      <c r="R3" s="389">
        <v>462728</v>
      </c>
      <c r="S3" s="346">
        <f t="shared" si="5"/>
        <v>4.7720570528993882</v>
      </c>
      <c r="T3" s="389">
        <f>487135+729</f>
        <v>487864</v>
      </c>
      <c r="U3" s="346">
        <f t="shared" si="6"/>
        <v>7.1607955748037648</v>
      </c>
      <c r="V3" s="389">
        <v>552029</v>
      </c>
      <c r="W3" s="346">
        <f t="shared" si="7"/>
        <v>6.9997324518191375</v>
      </c>
      <c r="X3" s="389">
        <v>611017</v>
      </c>
      <c r="Y3" s="346">
        <f t="shared" si="8"/>
        <v>6.5331957301674919</v>
      </c>
    </row>
    <row r="4" spans="1:25" x14ac:dyDescent="0.25">
      <c r="A4" s="352" t="s">
        <v>526</v>
      </c>
      <c r="B4" s="351"/>
      <c r="C4" s="350"/>
      <c r="D4" s="349">
        <v>125289</v>
      </c>
      <c r="E4" s="348">
        <f>(D4/$D$13)*100</f>
        <v>1.6564345639003588</v>
      </c>
      <c r="F4" s="349">
        <v>118503</v>
      </c>
      <c r="G4" s="348">
        <f>(F4/$D$13)*100</f>
        <v>1.5667174702159343</v>
      </c>
      <c r="H4" s="390">
        <v>174848</v>
      </c>
      <c r="I4" s="348">
        <f t="shared" si="0"/>
        <v>2.3538521766616891</v>
      </c>
      <c r="J4" s="389">
        <v>292666</v>
      </c>
      <c r="K4" s="346">
        <f t="shared" si="1"/>
        <v>3.5243728398365182</v>
      </c>
      <c r="L4" s="389">
        <v>224176</v>
      </c>
      <c r="M4" s="346">
        <f t="shared" si="2"/>
        <v>2.4854860127660334</v>
      </c>
      <c r="N4" s="389">
        <v>190510</v>
      </c>
      <c r="O4" s="346">
        <f t="shared" si="3"/>
        <v>2.5036396146726347</v>
      </c>
      <c r="P4" s="389">
        <f>208012-6000-3000</f>
        <v>199012</v>
      </c>
      <c r="Q4" s="346">
        <f t="shared" si="4"/>
        <v>2.403951035798833</v>
      </c>
      <c r="R4" s="389">
        <v>224902</v>
      </c>
      <c r="S4" s="346">
        <f t="shared" si="5"/>
        <v>2.3193867138171411</v>
      </c>
      <c r="T4" s="389">
        <v>284745</v>
      </c>
      <c r="U4" s="346">
        <f t="shared" si="6"/>
        <v>4.1794449599632228</v>
      </c>
      <c r="V4" s="389">
        <v>215385</v>
      </c>
      <c r="W4" s="346">
        <f t="shared" si="7"/>
        <v>2.7310836462125447</v>
      </c>
      <c r="X4" s="389">
        <v>230412</v>
      </c>
      <c r="Y4" s="346">
        <f t="shared" si="8"/>
        <v>2.4636412646118719</v>
      </c>
    </row>
    <row r="5" spans="1:25" x14ac:dyDescent="0.25">
      <c r="A5" s="352" t="s">
        <v>538</v>
      </c>
      <c r="B5" s="351">
        <v>1394294</v>
      </c>
      <c r="C5" s="350">
        <f>(B5/$B$13)*100</f>
        <v>26.218666462076325</v>
      </c>
      <c r="D5" s="349">
        <f>1495788+150887</f>
        <v>1646675</v>
      </c>
      <c r="E5" s="348">
        <f>(D5/$D$13)*100</f>
        <v>21.770541591924456</v>
      </c>
      <c r="F5" s="349">
        <f>1712209+262884</f>
        <v>1975093</v>
      </c>
      <c r="G5" s="348">
        <f>(F5/$D$13)*100</f>
        <v>26.112526336052255</v>
      </c>
      <c r="H5" s="390">
        <v>1885784</v>
      </c>
      <c r="I5" s="348">
        <f t="shared" si="0"/>
        <v>25.386946222512051</v>
      </c>
      <c r="J5" s="389">
        <v>1869609</v>
      </c>
      <c r="K5" s="346">
        <f t="shared" si="1"/>
        <v>22.514399283531102</v>
      </c>
      <c r="L5" s="389">
        <v>2074408</v>
      </c>
      <c r="M5" s="346">
        <f t="shared" si="2"/>
        <v>22.999393640576876</v>
      </c>
      <c r="N5" s="389">
        <v>1874367</v>
      </c>
      <c r="O5" s="346">
        <f t="shared" si="3"/>
        <v>24.632509966065307</v>
      </c>
      <c r="P5" s="389">
        <f>1820014+113000+6000+3000</f>
        <v>1942014</v>
      </c>
      <c r="Q5" s="346">
        <f t="shared" si="4"/>
        <v>23.45841741621528</v>
      </c>
      <c r="R5" s="389">
        <f>1861624+230600+242000</f>
        <v>2334224</v>
      </c>
      <c r="S5" s="346">
        <f t="shared" si="5"/>
        <v>24.072565529311003</v>
      </c>
      <c r="T5" s="389">
        <f>1987183+273550+20000</f>
        <v>2280733</v>
      </c>
      <c r="U5" s="346">
        <f t="shared" si="6"/>
        <v>33.476261363226051</v>
      </c>
      <c r="V5" s="389">
        <v>2620033</v>
      </c>
      <c r="W5" s="346">
        <f t="shared" si="7"/>
        <v>33.22204089809965</v>
      </c>
      <c r="X5" s="389">
        <v>2943633</v>
      </c>
      <c r="Y5" s="346">
        <f t="shared" si="8"/>
        <v>31.47429702738242</v>
      </c>
    </row>
    <row r="6" spans="1:25" x14ac:dyDescent="0.25">
      <c r="A6" s="359" t="s">
        <v>537</v>
      </c>
      <c r="B6" s="351">
        <v>1799286</v>
      </c>
      <c r="C6" s="350">
        <f>(B6/$B$13)*100</f>
        <v>33.834241202991237</v>
      </c>
      <c r="D6" s="349">
        <f>1694248+56311</f>
        <v>1750559</v>
      </c>
      <c r="E6" s="348">
        <f>(D6/$D$13)*100</f>
        <v>23.143982582244636</v>
      </c>
      <c r="F6" s="349">
        <f>1777470+153597</f>
        <v>1931067</v>
      </c>
      <c r="G6" s="348">
        <f>(F6/$D$13)*100</f>
        <v>25.530462562614233</v>
      </c>
      <c r="H6" s="390">
        <v>1988860</v>
      </c>
      <c r="I6" s="348">
        <f t="shared" si="0"/>
        <v>26.774583867561354</v>
      </c>
      <c r="J6" s="389">
        <v>1979289</v>
      </c>
      <c r="K6" s="346">
        <f t="shared" si="1"/>
        <v>23.835199147790256</v>
      </c>
      <c r="L6" s="389">
        <v>2074003</v>
      </c>
      <c r="M6" s="346">
        <f t="shared" si="2"/>
        <v>22.994903321206515</v>
      </c>
      <c r="N6" s="389">
        <v>2033921</v>
      </c>
      <c r="O6" s="346">
        <f t="shared" si="3"/>
        <v>26.729332784182347</v>
      </c>
      <c r="P6" s="389">
        <v>1941642</v>
      </c>
      <c r="Q6" s="346">
        <f t="shared" si="4"/>
        <v>23.453923869166271</v>
      </c>
      <c r="R6" s="389">
        <v>1959543</v>
      </c>
      <c r="S6" s="346">
        <f t="shared" si="5"/>
        <v>20.208526377503901</v>
      </c>
      <c r="T6" s="389">
        <v>2082143</v>
      </c>
      <c r="U6" s="346">
        <f t="shared" si="6"/>
        <v>30.561386739969816</v>
      </c>
      <c r="V6" s="389">
        <v>2161804</v>
      </c>
      <c r="W6" s="346">
        <f t="shared" si="7"/>
        <v>27.411693250304637</v>
      </c>
      <c r="X6" s="389">
        <v>2478254</v>
      </c>
      <c r="Y6" s="346">
        <f t="shared" si="8"/>
        <v>26.498310932544438</v>
      </c>
    </row>
    <row r="7" spans="1:25" ht="31.5" x14ac:dyDescent="0.25">
      <c r="A7" s="359" t="s">
        <v>536</v>
      </c>
      <c r="B7" s="351"/>
      <c r="C7" s="350"/>
      <c r="D7" s="349"/>
      <c r="E7" s="348"/>
      <c r="F7" s="349"/>
      <c r="G7" s="348"/>
      <c r="H7" s="390">
        <v>40000</v>
      </c>
      <c r="I7" s="348">
        <f t="shared" si="0"/>
        <v>0.53849107262575246</v>
      </c>
      <c r="J7" s="389">
        <v>70000</v>
      </c>
      <c r="K7" s="346">
        <f t="shared" si="1"/>
        <v>0.84296125545350775</v>
      </c>
      <c r="L7" s="389">
        <v>50000</v>
      </c>
      <c r="M7" s="346">
        <f t="shared" si="2"/>
        <v>0.55436041609405851</v>
      </c>
      <c r="N7" s="389">
        <v>50000</v>
      </c>
      <c r="O7" s="346">
        <f t="shared" si="3"/>
        <v>0.65708876559567331</v>
      </c>
      <c r="P7" s="389">
        <v>90000</v>
      </c>
      <c r="Q7" s="346">
        <f t="shared" si="4"/>
        <v>1.0871484795986925</v>
      </c>
      <c r="R7" s="389">
        <v>70000</v>
      </c>
      <c r="S7" s="346">
        <f t="shared" si="5"/>
        <v>0.72190140579985906</v>
      </c>
      <c r="T7" s="389">
        <v>70000</v>
      </c>
      <c r="U7" s="346">
        <f t="shared" si="6"/>
        <v>1.0274496380882039</v>
      </c>
      <c r="V7" s="389">
        <v>165800</v>
      </c>
      <c r="W7" s="346">
        <f t="shared" si="7"/>
        <v>2.1023454211855048</v>
      </c>
      <c r="X7" s="389">
        <v>236950</v>
      </c>
      <c r="Y7" s="346">
        <f t="shared" si="8"/>
        <v>2.5335477216889006</v>
      </c>
    </row>
    <row r="8" spans="1:25" x14ac:dyDescent="0.25">
      <c r="A8" s="354" t="s">
        <v>535</v>
      </c>
      <c r="B8" s="349">
        <v>625731</v>
      </c>
      <c r="C8" s="350">
        <f>(B8/$B$13)*100</f>
        <v>11.76640822092147</v>
      </c>
      <c r="D8" s="349">
        <v>630375</v>
      </c>
      <c r="E8" s="348">
        <f>(D8/$D$13)*100</f>
        <v>8.3341309948893265</v>
      </c>
      <c r="F8" s="349">
        <v>716272</v>
      </c>
      <c r="G8" s="348">
        <f>(F8/$D$13)*100</f>
        <v>9.4697674812157313</v>
      </c>
      <c r="H8" s="390">
        <v>579775</v>
      </c>
      <c r="I8" s="348">
        <f t="shared" si="0"/>
        <v>7.8050915407898911</v>
      </c>
      <c r="J8" s="389">
        <v>756498</v>
      </c>
      <c r="K8" s="346">
        <f t="shared" si="1"/>
        <v>9.1099786261152538</v>
      </c>
      <c r="L8" s="389">
        <v>587036</v>
      </c>
      <c r="M8" s="346">
        <f t="shared" si="2"/>
        <v>6.5085904244438346</v>
      </c>
      <c r="N8" s="389">
        <v>506722</v>
      </c>
      <c r="O8" s="346">
        <f t="shared" si="3"/>
        <v>6.6592266696034157</v>
      </c>
      <c r="P8" s="389">
        <v>183261</v>
      </c>
      <c r="Q8" s="346">
        <f t="shared" si="4"/>
        <v>2.2136879724415111</v>
      </c>
      <c r="R8" s="389">
        <v>156739</v>
      </c>
      <c r="S8" s="346">
        <f t="shared" si="5"/>
        <v>1.6164300634809157</v>
      </c>
      <c r="T8" s="389">
        <v>441415</v>
      </c>
      <c r="U8" s="346">
        <f t="shared" si="6"/>
        <v>6.4790240285243508</v>
      </c>
      <c r="V8" s="389">
        <v>623094</v>
      </c>
      <c r="W8" s="346">
        <f t="shared" si="7"/>
        <v>7.9008372609659885</v>
      </c>
      <c r="X8" s="389">
        <v>759267</v>
      </c>
      <c r="Y8" s="346">
        <f t="shared" si="8"/>
        <v>8.1183337328700844</v>
      </c>
    </row>
    <row r="9" spans="1:25" x14ac:dyDescent="0.25">
      <c r="A9" s="358" t="s">
        <v>534</v>
      </c>
      <c r="B9" s="393">
        <v>385294</v>
      </c>
      <c r="C9" s="350">
        <f>(B9/$B$13)*100</f>
        <v>7.245168433514908</v>
      </c>
      <c r="D9" s="356">
        <v>2490523</v>
      </c>
      <c r="E9" s="348">
        <f>(D9/$D$13)*100</f>
        <v>32.926979857679548</v>
      </c>
      <c r="F9" s="356">
        <v>2137285</v>
      </c>
      <c r="G9" s="348">
        <f>(F9/$D$13)*100</f>
        <v>28.256852133114464</v>
      </c>
      <c r="H9" s="392">
        <v>2314492</v>
      </c>
      <c r="I9" s="348">
        <f t="shared" si="0"/>
        <v>31.15833199159308</v>
      </c>
      <c r="J9" s="391">
        <v>2908422</v>
      </c>
      <c r="K9" s="346">
        <f t="shared" si="1"/>
        <v>35.024100864408595</v>
      </c>
      <c r="L9" s="391">
        <v>3580869</v>
      </c>
      <c r="M9" s="346">
        <f t="shared" si="2"/>
        <v>39.701840576366308</v>
      </c>
      <c r="N9" s="391">
        <v>2533958</v>
      </c>
      <c r="O9" s="346">
        <f t="shared" si="3"/>
        <v>33.300706685825624</v>
      </c>
      <c r="P9" s="391">
        <v>3467778</v>
      </c>
      <c r="Q9" s="346">
        <f t="shared" si="4"/>
        <v>41.888773114286607</v>
      </c>
      <c r="R9" s="391">
        <v>4488479</v>
      </c>
      <c r="S9" s="346">
        <f t="shared" si="5"/>
        <v>46.289132857187795</v>
      </c>
      <c r="T9" s="389">
        <v>1166086</v>
      </c>
      <c r="U9" s="346">
        <f t="shared" si="6"/>
        <v>17.115637695424589</v>
      </c>
      <c r="V9" s="389">
        <v>1548285</v>
      </c>
      <c r="W9" s="346">
        <f t="shared" si="7"/>
        <v>19.632267071412539</v>
      </c>
      <c r="X9" s="389">
        <v>2092965</v>
      </c>
      <c r="Y9" s="346">
        <f t="shared" si="8"/>
        <v>22.378673590734795</v>
      </c>
    </row>
    <row r="10" spans="1:25" hidden="1" x14ac:dyDescent="0.25">
      <c r="A10" s="358" t="s">
        <v>533</v>
      </c>
      <c r="B10" s="393">
        <v>646760</v>
      </c>
      <c r="C10" s="350">
        <f>(B10/$B$13)*100</f>
        <v>12.161842997970645</v>
      </c>
      <c r="D10" s="356">
        <v>485340</v>
      </c>
      <c r="E10" s="348">
        <f>(D10/$D$13)*100</f>
        <v>6.4166363467135987</v>
      </c>
      <c r="F10" s="356">
        <v>221336</v>
      </c>
      <c r="G10" s="348">
        <f>(F10/$D$13)*100</f>
        <v>2.9262632843701351</v>
      </c>
      <c r="H10" s="392">
        <v>20036</v>
      </c>
      <c r="I10" s="348">
        <f t="shared" si="0"/>
        <v>0.26973017827823942</v>
      </c>
      <c r="J10" s="391">
        <v>11067</v>
      </c>
      <c r="K10" s="346">
        <f t="shared" si="1"/>
        <v>0.13327217448719958</v>
      </c>
      <c r="L10" s="391"/>
      <c r="M10" s="346">
        <f t="shared" si="2"/>
        <v>0</v>
      </c>
      <c r="N10" s="391"/>
      <c r="O10" s="346">
        <f t="shared" si="3"/>
        <v>0</v>
      </c>
      <c r="P10" s="391"/>
      <c r="Q10" s="346">
        <f t="shared" si="4"/>
        <v>0</v>
      </c>
      <c r="R10" s="391"/>
      <c r="S10" s="346">
        <f t="shared" si="5"/>
        <v>0</v>
      </c>
      <c r="T10" s="391"/>
      <c r="U10" s="346">
        <f t="shared" si="6"/>
        <v>0</v>
      </c>
      <c r="V10" s="391"/>
      <c r="W10" s="346">
        <f t="shared" si="7"/>
        <v>0</v>
      </c>
      <c r="X10" s="391"/>
      <c r="Y10" s="346">
        <f t="shared" si="8"/>
        <v>0</v>
      </c>
    </row>
    <row r="11" spans="1:25" x14ac:dyDescent="0.25">
      <c r="A11" s="352" t="s">
        <v>532</v>
      </c>
      <c r="B11" s="351">
        <v>107515</v>
      </c>
      <c r="C11" s="350">
        <f>(B11/$B$13)*100</f>
        <v>2.0217399807143512</v>
      </c>
      <c r="D11" s="349">
        <v>50282</v>
      </c>
      <c r="E11" s="348">
        <f>(D11/$D$13)*100</f>
        <v>0.66477378494550865</v>
      </c>
      <c r="F11" s="349">
        <v>8316</v>
      </c>
      <c r="G11" s="348">
        <f>(F11/$D$13)*100</f>
        <v>0.10994508562918838</v>
      </c>
      <c r="H11" s="390">
        <v>8026</v>
      </c>
      <c r="I11" s="348">
        <f t="shared" si="0"/>
        <v>0.10804823372235724</v>
      </c>
      <c r="J11" s="389">
        <v>8025</v>
      </c>
      <c r="K11" s="346">
        <f t="shared" si="1"/>
        <v>9.6639486785919992E-2</v>
      </c>
      <c r="L11" s="389">
        <v>8323</v>
      </c>
      <c r="M11" s="346">
        <f t="shared" si="2"/>
        <v>9.2278834863016995E-2</v>
      </c>
      <c r="N11" s="389">
        <v>8131</v>
      </c>
      <c r="O11" s="346">
        <f t="shared" si="3"/>
        <v>0.10685577506116839</v>
      </c>
      <c r="P11" s="389">
        <v>0</v>
      </c>
      <c r="Q11" s="346">
        <f t="shared" si="4"/>
        <v>0</v>
      </c>
      <c r="R11" s="389"/>
      <c r="S11" s="346">
        <f t="shared" si="5"/>
        <v>0</v>
      </c>
      <c r="T11" s="389"/>
      <c r="U11" s="346">
        <f t="shared" si="6"/>
        <v>0</v>
      </c>
      <c r="V11" s="389"/>
      <c r="W11" s="346">
        <f t="shared" si="7"/>
        <v>0</v>
      </c>
      <c r="X11" s="389"/>
      <c r="Y11" s="346">
        <f t="shared" si="8"/>
        <v>0</v>
      </c>
    </row>
    <row r="12" spans="1:25" x14ac:dyDescent="0.25">
      <c r="B12" s="282"/>
      <c r="D12" s="291"/>
      <c r="E12" s="336"/>
      <c r="F12" s="291"/>
      <c r="H12" s="388"/>
      <c r="J12" s="388"/>
      <c r="K12" s="336"/>
      <c r="L12" s="388"/>
      <c r="M12" s="336"/>
      <c r="N12" s="388"/>
      <c r="O12" s="336"/>
      <c r="P12" s="388"/>
      <c r="Q12" s="336"/>
      <c r="R12" s="388"/>
      <c r="S12" s="336"/>
      <c r="T12" s="388"/>
      <c r="U12" s="336"/>
      <c r="V12" s="388"/>
      <c r="W12" s="336"/>
      <c r="X12" s="388"/>
      <c r="Y12" s="336"/>
    </row>
    <row r="13" spans="1:25" x14ac:dyDescent="0.25">
      <c r="A13" s="343" t="s">
        <v>508</v>
      </c>
      <c r="B13" s="387">
        <f>SUM(B2:B12)</f>
        <v>5317944</v>
      </c>
      <c r="C13" s="341">
        <f>SUM(C2:C11)</f>
        <v>100.00000000000003</v>
      </c>
      <c r="D13" s="386">
        <f>SUM(D2:D12)</f>
        <v>7563776</v>
      </c>
      <c r="E13" s="339">
        <f>SUM(E2:E11)</f>
        <v>100</v>
      </c>
      <c r="F13" s="386">
        <f>SUM(F2:F12)</f>
        <v>7540749</v>
      </c>
      <c r="G13" s="339">
        <f>SUM(G2:G11)</f>
        <v>99.695562110776422</v>
      </c>
      <c r="H13" s="385">
        <f>SUM(H2:H12)</f>
        <v>7428164</v>
      </c>
      <c r="I13" s="339">
        <f>SUM(I2:I11)</f>
        <v>100</v>
      </c>
      <c r="J13" s="384">
        <f>SUM(J2:J12)</f>
        <v>8304059</v>
      </c>
      <c r="K13" s="337">
        <f>SUM(K2:K11)</f>
        <v>100</v>
      </c>
      <c r="L13" s="384">
        <f>SUM(L2:L12)</f>
        <v>9019403</v>
      </c>
      <c r="M13" s="337">
        <f>SUM(M2:M11)</f>
        <v>100</v>
      </c>
      <c r="N13" s="384">
        <f>SUM(N2:N12)</f>
        <v>7609322</v>
      </c>
      <c r="O13" s="337">
        <f>SUM(O2:O11)</f>
        <v>99.999999999999986</v>
      </c>
      <c r="P13" s="384">
        <f>SUM(P2:P12)</f>
        <v>8278538</v>
      </c>
      <c r="Q13" s="337">
        <f>SUM(Q2:Q11)</f>
        <v>100</v>
      </c>
      <c r="R13" s="384">
        <f>SUM(R2:R12)</f>
        <v>9696615</v>
      </c>
      <c r="S13" s="337">
        <f>SUM(S2:S11)</f>
        <v>100</v>
      </c>
      <c r="T13" s="384">
        <f>SUM(T2:T12)</f>
        <v>6812986</v>
      </c>
      <c r="U13" s="337">
        <f>SUM(U2:U11)</f>
        <v>100</v>
      </c>
      <c r="V13" s="384">
        <f>SUM(V2:V12)</f>
        <v>7886430</v>
      </c>
      <c r="W13" s="337">
        <f>SUM(W2:W11)</f>
        <v>100</v>
      </c>
      <c r="X13" s="384">
        <f>SUM(X2:X12)</f>
        <v>9352498</v>
      </c>
      <c r="Y13" s="337">
        <f>SUM(Y2:Y11)</f>
        <v>100</v>
      </c>
    </row>
    <row r="18" spans="1:25" x14ac:dyDescent="0.25">
      <c r="A18" s="383" t="s">
        <v>531</v>
      </c>
      <c r="B18" s="383">
        <v>2008</v>
      </c>
      <c r="F18" s="382">
        <v>2009</v>
      </c>
      <c r="H18" s="381" t="s">
        <v>496</v>
      </c>
      <c r="J18" s="380" t="s">
        <v>495</v>
      </c>
      <c r="L18" s="380" t="s">
        <v>494</v>
      </c>
      <c r="N18" s="380" t="s">
        <v>493</v>
      </c>
      <c r="P18" s="380" t="s">
        <v>492</v>
      </c>
      <c r="R18" s="380" t="s">
        <v>491</v>
      </c>
      <c r="T18" s="380" t="s">
        <v>490</v>
      </c>
      <c r="V18" s="380" t="s">
        <v>489</v>
      </c>
      <c r="X18" s="380" t="s">
        <v>488</v>
      </c>
    </row>
    <row r="19" spans="1:25" x14ac:dyDescent="0.25">
      <c r="A19" s="379" t="s">
        <v>530</v>
      </c>
      <c r="B19" s="378">
        <f>SUM(B20:B30)</f>
        <v>2490523</v>
      </c>
      <c r="C19" s="348">
        <f>SUM(C20:C30)</f>
        <v>100</v>
      </c>
      <c r="D19" s="313">
        <f>SUM(D20:D30)</f>
        <v>99.99</v>
      </c>
      <c r="F19" s="378">
        <f t="shared" ref="F19:W19" si="9">SUM(F20:F30)</f>
        <v>2137285</v>
      </c>
      <c r="G19" s="348">
        <f t="shared" si="9"/>
        <v>100.00000000000001</v>
      </c>
      <c r="H19" s="377">
        <f t="shared" si="9"/>
        <v>2314492</v>
      </c>
      <c r="I19" s="348">
        <f t="shared" si="9"/>
        <v>100</v>
      </c>
      <c r="J19" s="376">
        <f t="shared" si="9"/>
        <v>2908422</v>
      </c>
      <c r="K19" s="346">
        <f t="shared" si="9"/>
        <v>100.00000000000003</v>
      </c>
      <c r="L19" s="376">
        <f t="shared" si="9"/>
        <v>3580869</v>
      </c>
      <c r="M19" s="346">
        <f t="shared" si="9"/>
        <v>100</v>
      </c>
      <c r="N19" s="376">
        <f t="shared" si="9"/>
        <v>2533958</v>
      </c>
      <c r="O19" s="346">
        <f t="shared" si="9"/>
        <v>100</v>
      </c>
      <c r="P19" s="376">
        <f t="shared" si="9"/>
        <v>3467778</v>
      </c>
      <c r="Q19" s="346">
        <f t="shared" si="9"/>
        <v>100</v>
      </c>
      <c r="R19" s="376">
        <f t="shared" si="9"/>
        <v>4488479</v>
      </c>
      <c r="S19" s="346">
        <f t="shared" si="9"/>
        <v>100</v>
      </c>
      <c r="T19" s="376">
        <f t="shared" si="9"/>
        <v>1166086</v>
      </c>
      <c r="U19" s="346">
        <f t="shared" si="9"/>
        <v>99.999999999999986</v>
      </c>
      <c r="V19" s="376">
        <f t="shared" si="9"/>
        <v>1548285</v>
      </c>
      <c r="W19" s="346">
        <f t="shared" si="9"/>
        <v>100.00000000000001</v>
      </c>
      <c r="X19" s="376">
        <f>SUM(X20:X31)</f>
        <v>2092965</v>
      </c>
      <c r="Y19" s="346">
        <f>SUM(Y20:Y31)</f>
        <v>100</v>
      </c>
    </row>
    <row r="20" spans="1:25" x14ac:dyDescent="0.25">
      <c r="A20" s="370" t="s">
        <v>62</v>
      </c>
      <c r="B20" s="369">
        <v>1279000</v>
      </c>
      <c r="C20" s="348">
        <f>B20/$B$19*100</f>
        <v>51.354675303139139</v>
      </c>
      <c r="D20" s="313">
        <v>51.35</v>
      </c>
      <c r="F20" s="369">
        <v>796441</v>
      </c>
      <c r="G20" s="348">
        <f>F20/$F$19*100</f>
        <v>37.264145867303611</v>
      </c>
      <c r="H20" s="375">
        <v>1450100</v>
      </c>
      <c r="I20" s="348">
        <f t="shared" ref="I20:I30" si="10">H20/$H$19*100</f>
        <v>62.653057344765074</v>
      </c>
      <c r="J20" s="374">
        <v>1863488</v>
      </c>
      <c r="K20" s="346">
        <f t="shared" ref="K20:K30" si="11">J20/$J$19*100</f>
        <v>64.072132585986481</v>
      </c>
      <c r="L20" s="374">
        <v>2103220</v>
      </c>
      <c r="M20" s="346">
        <f t="shared" ref="M20:M30" si="12">L20/$L$19*100</f>
        <v>58.734904851308443</v>
      </c>
      <c r="N20" s="374">
        <v>1458090</v>
      </c>
      <c r="O20" s="346">
        <f t="shared" ref="O20:O30" si="13">N20/$N$19*100</f>
        <v>57.54199556583022</v>
      </c>
      <c r="P20" s="373">
        <v>1962744</v>
      </c>
      <c r="Q20" s="346">
        <f t="shared" ref="Q20:Q30" si="14">P20/$P$19*100</f>
        <v>56.599470900386365</v>
      </c>
      <c r="R20" s="373">
        <v>2009867</v>
      </c>
      <c r="S20" s="346">
        <f t="shared" ref="S20:S30" si="15">R20/$R$19*100</f>
        <v>44.778353647193178</v>
      </c>
      <c r="T20" s="373">
        <v>386450</v>
      </c>
      <c r="U20" s="346">
        <f t="shared" ref="U20:U30" si="16">T20/$T$19*100</f>
        <v>33.140780354107676</v>
      </c>
      <c r="V20" s="373">
        <v>556055</v>
      </c>
      <c r="W20" s="346">
        <f t="shared" ref="W20:W30" si="17">V20/$V$19*100</f>
        <v>35.914253512757668</v>
      </c>
      <c r="X20" s="373">
        <v>866210</v>
      </c>
      <c r="Y20" s="346">
        <f t="shared" ref="Y20:Y31" si="18">X20/$X$19*100</f>
        <v>41.386740819841705</v>
      </c>
    </row>
    <row r="21" spans="1:25" x14ac:dyDescent="0.25">
      <c r="A21" s="370" t="s">
        <v>39</v>
      </c>
      <c r="B21" s="369">
        <v>60000</v>
      </c>
      <c r="C21" s="348">
        <f>B21/$B$19*100</f>
        <v>2.409132539631234</v>
      </c>
      <c r="D21" s="313">
        <v>2.41</v>
      </c>
      <c r="F21" s="369">
        <v>391001</v>
      </c>
      <c r="G21" s="348">
        <f>F21/$F$19*100</f>
        <v>18.294284571313607</v>
      </c>
      <c r="H21" s="372">
        <v>264859</v>
      </c>
      <c r="I21" s="348">
        <f t="shared" si="10"/>
        <v>11.443504665386616</v>
      </c>
      <c r="J21" s="371">
        <v>22717</v>
      </c>
      <c r="K21" s="346">
        <f t="shared" si="11"/>
        <v>0.78107647377168787</v>
      </c>
      <c r="L21" s="371"/>
      <c r="M21" s="346">
        <f t="shared" si="12"/>
        <v>0</v>
      </c>
      <c r="N21" s="371">
        <v>9330</v>
      </c>
      <c r="O21" s="346">
        <f t="shared" si="13"/>
        <v>0.36819868364037606</v>
      </c>
      <c r="P21" s="373">
        <v>188525</v>
      </c>
      <c r="Q21" s="346">
        <f t="shared" si="14"/>
        <v>5.4364783443461491</v>
      </c>
      <c r="R21" s="373">
        <v>828700</v>
      </c>
      <c r="S21" s="346">
        <f t="shared" si="15"/>
        <v>18.462824489097532</v>
      </c>
      <c r="T21" s="373">
        <v>7000</v>
      </c>
      <c r="U21" s="346">
        <f t="shared" si="16"/>
        <v>0.60029877727714764</v>
      </c>
      <c r="V21" s="373">
        <v>7154</v>
      </c>
      <c r="W21" s="346">
        <f t="shared" si="17"/>
        <v>0.4620596337237653</v>
      </c>
      <c r="X21" s="373">
        <v>5032</v>
      </c>
      <c r="Y21" s="346">
        <f t="shared" si="18"/>
        <v>0.24042446959218144</v>
      </c>
    </row>
    <row r="22" spans="1:25" x14ac:dyDescent="0.25">
      <c r="A22" s="370" t="s">
        <v>40</v>
      </c>
      <c r="B22" s="369">
        <v>308150</v>
      </c>
      <c r="C22" s="348">
        <f>B22/$B$19*100</f>
        <v>12.372903201456079</v>
      </c>
      <c r="D22" s="313">
        <v>12.37</v>
      </c>
      <c r="F22" s="369">
        <v>420602</v>
      </c>
      <c r="G22" s="348">
        <f>F22/$F$19*100</f>
        <v>19.679265984648747</v>
      </c>
      <c r="H22" s="372">
        <v>17222</v>
      </c>
      <c r="I22" s="348">
        <f t="shared" si="10"/>
        <v>0.7440941683963479</v>
      </c>
      <c r="J22" s="371">
        <v>17200</v>
      </c>
      <c r="K22" s="346">
        <f t="shared" si="11"/>
        <v>0.59138598181419344</v>
      </c>
      <c r="L22" s="371"/>
      <c r="M22" s="346">
        <f t="shared" si="12"/>
        <v>0</v>
      </c>
      <c r="N22" s="371">
        <v>1260</v>
      </c>
      <c r="O22" s="346">
        <f t="shared" si="13"/>
        <v>4.9724581070404478E-2</v>
      </c>
      <c r="P22" s="373">
        <v>24496</v>
      </c>
      <c r="Q22" s="346">
        <f t="shared" si="14"/>
        <v>0.70638893262486813</v>
      </c>
      <c r="R22" s="373">
        <v>44177</v>
      </c>
      <c r="S22" s="346">
        <f t="shared" si="15"/>
        <v>0.98423096108949149</v>
      </c>
      <c r="T22" s="373">
        <v>60000</v>
      </c>
      <c r="U22" s="346">
        <f t="shared" si="16"/>
        <v>5.14541809094698</v>
      </c>
      <c r="V22" s="373">
        <v>150630</v>
      </c>
      <c r="W22" s="346">
        <f t="shared" si="17"/>
        <v>9.7288289946618356</v>
      </c>
      <c r="X22" s="373">
        <v>295049</v>
      </c>
      <c r="Y22" s="346">
        <f t="shared" si="18"/>
        <v>14.097177927007856</v>
      </c>
    </row>
    <row r="23" spans="1:25" x14ac:dyDescent="0.25">
      <c r="A23" s="370" t="s">
        <v>529</v>
      </c>
      <c r="B23" s="369">
        <f>372042+500+5000-5648+1+2</f>
        <v>371897</v>
      </c>
      <c r="C23" s="348">
        <f>B23/$B$19*100</f>
        <v>14.932486068187284</v>
      </c>
      <c r="D23" s="313">
        <v>14.93</v>
      </c>
      <c r="F23" s="369">
        <v>43630</v>
      </c>
      <c r="G23" s="348">
        <f>F23/$F$19*100</f>
        <v>2.041374921921971</v>
      </c>
      <c r="H23" s="372">
        <v>19316</v>
      </c>
      <c r="I23" s="348">
        <f t="shared" si="10"/>
        <v>0.83456758545719756</v>
      </c>
      <c r="J23" s="371">
        <v>15030</v>
      </c>
      <c r="K23" s="346">
        <f t="shared" si="11"/>
        <v>0.51677507596903061</v>
      </c>
      <c r="L23" s="371">
        <v>34567</v>
      </c>
      <c r="M23" s="346">
        <f t="shared" si="12"/>
        <v>0.96532433886858182</v>
      </c>
      <c r="N23" s="371">
        <v>24746</v>
      </c>
      <c r="O23" s="346">
        <f t="shared" si="13"/>
        <v>0.97657498664145193</v>
      </c>
      <c r="P23" s="366">
        <v>44823</v>
      </c>
      <c r="Q23" s="346">
        <f t="shared" si="14"/>
        <v>1.2925567899675239</v>
      </c>
      <c r="R23" s="366">
        <v>41540</v>
      </c>
      <c r="S23" s="346">
        <f t="shared" si="15"/>
        <v>0.92548054697370752</v>
      </c>
      <c r="T23" s="366">
        <v>65098</v>
      </c>
      <c r="U23" s="346">
        <f t="shared" si="16"/>
        <v>5.5826071147411085</v>
      </c>
      <c r="V23" s="366">
        <v>107573</v>
      </c>
      <c r="W23" s="346">
        <f t="shared" si="17"/>
        <v>6.9478810425729103</v>
      </c>
      <c r="X23" s="366">
        <v>61321</v>
      </c>
      <c r="Y23" s="346">
        <f t="shared" si="18"/>
        <v>2.9298626589551189</v>
      </c>
    </row>
    <row r="24" spans="1:25" x14ac:dyDescent="0.25">
      <c r="A24" s="370" t="s">
        <v>42</v>
      </c>
      <c r="B24" s="369"/>
      <c r="C24" s="348"/>
      <c r="F24" s="369"/>
      <c r="G24" s="348"/>
      <c r="H24" s="372">
        <v>55523</v>
      </c>
      <c r="I24" s="348">
        <f t="shared" si="10"/>
        <v>2.3989281449233784</v>
      </c>
      <c r="J24" s="371">
        <v>39289</v>
      </c>
      <c r="K24" s="346">
        <f t="shared" si="11"/>
        <v>1.3508699906684793</v>
      </c>
      <c r="L24" s="371">
        <v>38437</v>
      </c>
      <c r="M24" s="346">
        <f t="shared" si="12"/>
        <v>1.0733986638438882</v>
      </c>
      <c r="N24" s="371">
        <v>41699</v>
      </c>
      <c r="O24" s="346">
        <f t="shared" si="13"/>
        <v>1.6456073857577751</v>
      </c>
      <c r="P24" s="366">
        <v>20590</v>
      </c>
      <c r="Q24" s="346">
        <f t="shared" si="14"/>
        <v>0.59375196451445278</v>
      </c>
      <c r="R24" s="366">
        <v>16078</v>
      </c>
      <c r="S24" s="346">
        <f t="shared" si="15"/>
        <v>0.35820597578823477</v>
      </c>
      <c r="T24" s="366">
        <v>7150</v>
      </c>
      <c r="U24" s="346">
        <f t="shared" si="16"/>
        <v>0.61316232250451508</v>
      </c>
      <c r="V24" s="366">
        <v>12100</v>
      </c>
      <c r="W24" s="346">
        <f t="shared" si="17"/>
        <v>0.78150986414000001</v>
      </c>
      <c r="X24" s="366">
        <v>7220</v>
      </c>
      <c r="Y24" s="346">
        <f t="shared" si="18"/>
        <v>0.34496515708576109</v>
      </c>
    </row>
    <row r="25" spans="1:25" x14ac:dyDescent="0.25">
      <c r="A25" s="370" t="s">
        <v>43</v>
      </c>
      <c r="B25" s="369">
        <v>104688</v>
      </c>
      <c r="C25" s="348">
        <f t="shared" ref="C25:C30" si="19">B25/$B$19*100</f>
        <v>4.2034544551485773</v>
      </c>
      <c r="D25" s="313">
        <v>4.2</v>
      </c>
      <c r="F25" s="369">
        <v>31820</v>
      </c>
      <c r="G25" s="348">
        <f t="shared" ref="G25:G30" si="20">F25/$F$19*100</f>
        <v>1.4888047218784579</v>
      </c>
      <c r="H25" s="372">
        <f>57028+1170</f>
        <v>58198</v>
      </c>
      <c r="I25" s="348">
        <f t="shared" si="10"/>
        <v>2.5145042627064602</v>
      </c>
      <c r="J25" s="371">
        <v>208227</v>
      </c>
      <c r="K25" s="346">
        <f t="shared" si="11"/>
        <v>7.1594493508851196</v>
      </c>
      <c r="L25" s="371">
        <v>304068</v>
      </c>
      <c r="M25" s="346">
        <f t="shared" si="12"/>
        <v>8.4914583582923591</v>
      </c>
      <c r="N25" s="371">
        <v>176970</v>
      </c>
      <c r="O25" s="346">
        <f t="shared" si="13"/>
        <v>6.9839358031980003</v>
      </c>
      <c r="P25" s="366">
        <v>228943</v>
      </c>
      <c r="Q25" s="346">
        <f t="shared" si="14"/>
        <v>6.6020085484134228</v>
      </c>
      <c r="R25" s="366">
        <v>237960</v>
      </c>
      <c r="S25" s="346">
        <f t="shared" si="15"/>
        <v>5.3015732055335452</v>
      </c>
      <c r="T25" s="366">
        <v>13535</v>
      </c>
      <c r="U25" s="346">
        <f t="shared" si="16"/>
        <v>1.1607205643494563</v>
      </c>
      <c r="V25" s="366">
        <v>62827</v>
      </c>
      <c r="W25" s="346">
        <f t="shared" si="17"/>
        <v>4.0578446474647754</v>
      </c>
      <c r="X25" s="366">
        <v>64071</v>
      </c>
      <c r="Y25" s="346">
        <f t="shared" si="18"/>
        <v>3.0612552049365376</v>
      </c>
    </row>
    <row r="26" spans="1:25" x14ac:dyDescent="0.25">
      <c r="A26" s="370" t="s">
        <v>44</v>
      </c>
      <c r="B26" s="369">
        <f>301250+7000</f>
        <v>308250</v>
      </c>
      <c r="C26" s="348">
        <f t="shared" si="19"/>
        <v>12.376918422355466</v>
      </c>
      <c r="D26" s="313">
        <v>12.38</v>
      </c>
      <c r="F26" s="369">
        <v>418475</v>
      </c>
      <c r="G26" s="348">
        <f t="shared" si="20"/>
        <v>19.579747202642604</v>
      </c>
      <c r="H26" s="372">
        <f>255388-258+23964</f>
        <v>279094</v>
      </c>
      <c r="I26" s="348">
        <f t="shared" si="10"/>
        <v>12.058542436093967</v>
      </c>
      <c r="J26" s="371">
        <v>399843</v>
      </c>
      <c r="K26" s="346">
        <f t="shared" si="11"/>
        <v>13.747764251542588</v>
      </c>
      <c r="L26" s="371">
        <v>431871</v>
      </c>
      <c r="M26" s="346">
        <f t="shared" si="12"/>
        <v>12.060508217418734</v>
      </c>
      <c r="N26" s="371">
        <v>405753</v>
      </c>
      <c r="O26" s="346">
        <f t="shared" si="13"/>
        <v>16.012617415126847</v>
      </c>
      <c r="P26" s="366">
        <v>454070</v>
      </c>
      <c r="Q26" s="346">
        <f t="shared" si="14"/>
        <v>13.09397545056229</v>
      </c>
      <c r="R26" s="366">
        <v>605840</v>
      </c>
      <c r="S26" s="346">
        <f t="shared" si="15"/>
        <v>13.497668141033966</v>
      </c>
      <c r="T26" s="366">
        <v>76028</v>
      </c>
      <c r="U26" s="346">
        <f t="shared" si="16"/>
        <v>6.5199307769752828</v>
      </c>
      <c r="V26" s="366">
        <v>90966</v>
      </c>
      <c r="W26" s="346">
        <f t="shared" si="17"/>
        <v>5.8752749009387806</v>
      </c>
      <c r="X26" s="366">
        <v>435288</v>
      </c>
      <c r="Y26" s="346">
        <f t="shared" si="18"/>
        <v>20.797672201876285</v>
      </c>
    </row>
    <row r="27" spans="1:25" ht="15.75" hidden="1" customHeight="1" x14ac:dyDescent="0.25">
      <c r="A27" s="370" t="s">
        <v>528</v>
      </c>
      <c r="B27" s="369">
        <v>1800</v>
      </c>
      <c r="C27" s="348">
        <f t="shared" si="19"/>
        <v>7.2273976188937022E-2</v>
      </c>
      <c r="D27" s="313">
        <v>7.0000000000000007E-2</v>
      </c>
      <c r="F27" s="369">
        <v>3386</v>
      </c>
      <c r="G27" s="348">
        <f t="shared" si="20"/>
        <v>0.15842529190070578</v>
      </c>
      <c r="H27" s="372">
        <v>18000</v>
      </c>
      <c r="I27" s="348">
        <f t="shared" si="10"/>
        <v>0.77770845611045536</v>
      </c>
      <c r="J27" s="371">
        <v>0</v>
      </c>
      <c r="K27" s="346">
        <f t="shared" si="11"/>
        <v>0</v>
      </c>
      <c r="L27" s="371"/>
      <c r="M27" s="346">
        <f t="shared" si="12"/>
        <v>0</v>
      </c>
      <c r="N27" s="371"/>
      <c r="O27" s="346">
        <f t="shared" si="13"/>
        <v>0</v>
      </c>
      <c r="P27" s="364">
        <v>0</v>
      </c>
      <c r="Q27" s="346">
        <f t="shared" si="14"/>
        <v>0</v>
      </c>
      <c r="S27" s="346">
        <f t="shared" si="15"/>
        <v>0</v>
      </c>
      <c r="U27" s="346">
        <f t="shared" si="16"/>
        <v>0</v>
      </c>
      <c r="W27" s="346">
        <f t="shared" si="17"/>
        <v>0</v>
      </c>
      <c r="Y27" s="346">
        <f t="shared" si="18"/>
        <v>0</v>
      </c>
    </row>
    <row r="28" spans="1:25" x14ac:dyDescent="0.25">
      <c r="A28" s="370" t="s">
        <v>45</v>
      </c>
      <c r="B28" s="369">
        <v>33000</v>
      </c>
      <c r="C28" s="348">
        <f t="shared" si="19"/>
        <v>1.3250228967971787</v>
      </c>
      <c r="D28" s="313">
        <v>1.33</v>
      </c>
      <c r="F28" s="369">
        <v>10700</v>
      </c>
      <c r="G28" s="348">
        <f t="shared" si="20"/>
        <v>0.50063515160589256</v>
      </c>
      <c r="H28" s="372">
        <v>114431</v>
      </c>
      <c r="I28" s="348">
        <f t="shared" si="10"/>
        <v>4.9441086856208623</v>
      </c>
      <c r="J28" s="371">
        <v>324149</v>
      </c>
      <c r="K28" s="346">
        <f t="shared" si="11"/>
        <v>11.145184570877266</v>
      </c>
      <c r="L28" s="371">
        <v>591057</v>
      </c>
      <c r="M28" s="346">
        <f t="shared" si="12"/>
        <v>16.505965451403</v>
      </c>
      <c r="N28" s="371">
        <v>312314</v>
      </c>
      <c r="O28" s="346">
        <f t="shared" si="13"/>
        <v>12.325145089224051</v>
      </c>
      <c r="P28" s="366">
        <v>418203</v>
      </c>
      <c r="Q28" s="346">
        <f t="shared" si="14"/>
        <v>12.059682021167445</v>
      </c>
      <c r="R28" s="366">
        <v>651384</v>
      </c>
      <c r="S28" s="346">
        <f t="shared" si="15"/>
        <v>14.512354853392429</v>
      </c>
      <c r="T28" s="366">
        <v>36800</v>
      </c>
      <c r="U28" s="346">
        <f t="shared" si="16"/>
        <v>3.1558564291141478</v>
      </c>
      <c r="V28" s="366">
        <v>111988</v>
      </c>
      <c r="W28" s="346">
        <f t="shared" si="17"/>
        <v>7.2330352615958953</v>
      </c>
      <c r="X28" s="366">
        <v>96590</v>
      </c>
      <c r="Y28" s="346">
        <f t="shared" si="18"/>
        <v>4.6149840059437208</v>
      </c>
    </row>
    <row r="29" spans="1:25" x14ac:dyDescent="0.25">
      <c r="A29" s="370" t="s">
        <v>46</v>
      </c>
      <c r="B29" s="369">
        <v>16738</v>
      </c>
      <c r="C29" s="348">
        <f t="shared" si="19"/>
        <v>0.6720676741391266</v>
      </c>
      <c r="D29" s="313">
        <v>0.67</v>
      </c>
      <c r="F29" s="369">
        <v>20230</v>
      </c>
      <c r="G29" s="348">
        <f t="shared" si="20"/>
        <v>0.94652795485861729</v>
      </c>
      <c r="H29" s="372">
        <v>19305</v>
      </c>
      <c r="I29" s="348">
        <f t="shared" si="10"/>
        <v>0.83409231917846338</v>
      </c>
      <c r="J29" s="371">
        <v>8863</v>
      </c>
      <c r="K29" s="346">
        <f t="shared" si="11"/>
        <v>0.30473569516390675</v>
      </c>
      <c r="L29" s="371">
        <v>10636</v>
      </c>
      <c r="M29" s="346">
        <f t="shared" si="12"/>
        <v>0.2970228734980252</v>
      </c>
      <c r="N29" s="371">
        <v>23446</v>
      </c>
      <c r="O29" s="346">
        <f t="shared" si="13"/>
        <v>0.92527184744182811</v>
      </c>
      <c r="P29" s="366">
        <v>19042</v>
      </c>
      <c r="Q29" s="346">
        <f t="shared" si="14"/>
        <v>0.54911242876562449</v>
      </c>
      <c r="R29" s="366">
        <v>3306</v>
      </c>
      <c r="S29" s="346">
        <f t="shared" si="15"/>
        <v>7.3655240450050008E-2</v>
      </c>
      <c r="T29" s="366">
        <v>511200</v>
      </c>
      <c r="U29" s="346">
        <f t="shared" si="16"/>
        <v>43.838962134868268</v>
      </c>
      <c r="V29" s="366">
        <v>441740</v>
      </c>
      <c r="W29" s="346">
        <f t="shared" si="17"/>
        <v>28.530922924396997</v>
      </c>
      <c r="X29" s="366">
        <v>141727</v>
      </c>
      <c r="Y29" s="346">
        <f t="shared" si="18"/>
        <v>6.7715895870212828</v>
      </c>
    </row>
    <row r="30" spans="1:25" x14ac:dyDescent="0.25">
      <c r="A30" s="370" t="s">
        <v>527</v>
      </c>
      <c r="B30" s="369">
        <f>5000+2000</f>
        <v>7000</v>
      </c>
      <c r="C30" s="348">
        <f t="shared" si="19"/>
        <v>0.28106546295697732</v>
      </c>
      <c r="D30" s="313">
        <v>0.28000000000000003</v>
      </c>
      <c r="F30" s="369">
        <v>1000</v>
      </c>
      <c r="G30" s="348">
        <f t="shared" si="20"/>
        <v>4.6788331925784347E-2</v>
      </c>
      <c r="H30" s="368">
        <v>18444</v>
      </c>
      <c r="I30" s="348">
        <f t="shared" si="10"/>
        <v>0.79689193136117997</v>
      </c>
      <c r="J30" s="367">
        <v>9616</v>
      </c>
      <c r="K30" s="346">
        <f t="shared" si="11"/>
        <v>0.33062602332123742</v>
      </c>
      <c r="L30" s="367">
        <v>67013</v>
      </c>
      <c r="M30" s="346">
        <f t="shared" si="12"/>
        <v>1.8714172453669766</v>
      </c>
      <c r="N30" s="367">
        <v>80350</v>
      </c>
      <c r="O30" s="346">
        <f t="shared" si="13"/>
        <v>3.1709286420690477</v>
      </c>
      <c r="P30" s="366">
        <v>106342</v>
      </c>
      <c r="Q30" s="346">
        <f t="shared" si="14"/>
        <v>3.0665746192518668</v>
      </c>
      <c r="R30" s="366">
        <v>49627</v>
      </c>
      <c r="S30" s="346">
        <f t="shared" si="15"/>
        <v>1.1056529394478618</v>
      </c>
      <c r="T30" s="366">
        <v>2825</v>
      </c>
      <c r="U30" s="346">
        <f t="shared" si="16"/>
        <v>0.24226343511542028</v>
      </c>
      <c r="V30" s="366">
        <v>7252</v>
      </c>
      <c r="W30" s="346">
        <f t="shared" si="17"/>
        <v>0.46838921774737857</v>
      </c>
      <c r="X30" s="366">
        <v>67857</v>
      </c>
      <c r="Y30" s="346">
        <f t="shared" si="18"/>
        <v>3.2421469064222288</v>
      </c>
    </row>
    <row r="31" spans="1:25" x14ac:dyDescent="0.25">
      <c r="A31" s="313" t="s">
        <v>526</v>
      </c>
      <c r="X31" s="366">
        <v>52600</v>
      </c>
      <c r="Y31" s="346">
        <f t="shared" si="18"/>
        <v>2.5131810613173178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zoomScaleNormal="100" zoomScaleSheetLayoutView="100" workbookViewId="0">
      <selection activeCell="I18" sqref="I18"/>
    </sheetView>
  </sheetViews>
  <sheetFormatPr defaultColWidth="9.140625" defaultRowHeight="10.5" x14ac:dyDescent="0.15"/>
  <cols>
    <col min="1" max="1" width="6.42578125" style="26" customWidth="1"/>
    <col min="2" max="2" width="55.7109375" style="11" customWidth="1"/>
    <col min="3" max="3" width="10.7109375" style="11" customWidth="1"/>
    <col min="4" max="5" width="10.7109375" style="33" customWidth="1"/>
    <col min="6" max="6" width="10.7109375" style="11" customWidth="1"/>
    <col min="7" max="7" width="8" style="11" customWidth="1"/>
    <col min="8" max="16384" width="9.140625" style="1"/>
  </cols>
  <sheetData>
    <row r="1" spans="1:8" ht="36" customHeight="1" thickBot="1" x14ac:dyDescent="0.25">
      <c r="A1" s="410" t="s">
        <v>280</v>
      </c>
      <c r="B1" s="411"/>
      <c r="C1" s="411"/>
      <c r="D1" s="411"/>
      <c r="E1" s="411"/>
      <c r="F1" s="411"/>
      <c r="G1" s="411"/>
    </row>
    <row r="2" spans="1:8" ht="36" customHeight="1" x14ac:dyDescent="0.15">
      <c r="A2" s="2" t="s">
        <v>0</v>
      </c>
      <c r="B2" s="3" t="s">
        <v>1</v>
      </c>
      <c r="C2" s="3" t="s">
        <v>47</v>
      </c>
      <c r="D2" s="3" t="s">
        <v>48</v>
      </c>
      <c r="E2" s="3" t="s">
        <v>49</v>
      </c>
      <c r="F2" s="3" t="s">
        <v>50</v>
      </c>
      <c r="G2" s="4" t="s">
        <v>51</v>
      </c>
      <c r="H2" s="5"/>
    </row>
    <row r="3" spans="1:8" s="11" customFormat="1" ht="23.25" customHeight="1" x14ac:dyDescent="0.25">
      <c r="A3" s="408" t="s">
        <v>61</v>
      </c>
      <c r="B3" s="409"/>
      <c r="C3" s="8">
        <v>0</v>
      </c>
      <c r="D3" s="8">
        <v>2500</v>
      </c>
      <c r="E3" s="8">
        <v>0</v>
      </c>
      <c r="F3" s="9">
        <v>0</v>
      </c>
      <c r="G3" s="19" t="s">
        <v>10</v>
      </c>
    </row>
    <row r="4" spans="1:8" s="11" customFormat="1" ht="13.5" customHeight="1" x14ac:dyDescent="0.25">
      <c r="A4" s="412" t="s">
        <v>60</v>
      </c>
      <c r="B4" s="413"/>
      <c r="C4" s="12">
        <f>SUM(C3)</f>
        <v>0</v>
      </c>
      <c r="D4" s="12">
        <f>SUM(D3)</f>
        <v>2500</v>
      </c>
      <c r="E4" s="12">
        <f>SUM(E3)</f>
        <v>0</v>
      </c>
      <c r="F4" s="14">
        <f>SUM(F3)</f>
        <v>0</v>
      </c>
      <c r="G4" s="49" t="s">
        <v>10</v>
      </c>
    </row>
    <row r="5" spans="1:8" s="11" customFormat="1" ht="13.5" customHeight="1" x14ac:dyDescent="0.25">
      <c r="A5" s="408" t="s">
        <v>54</v>
      </c>
      <c r="B5" s="409"/>
      <c r="C5" s="8">
        <v>750</v>
      </c>
      <c r="D5" s="8">
        <v>250</v>
      </c>
      <c r="E5" s="8">
        <v>0</v>
      </c>
      <c r="F5" s="9">
        <v>0</v>
      </c>
      <c r="G5" s="10">
        <f t="shared" ref="G5:G15" si="0">F5/C5*100</f>
        <v>0</v>
      </c>
    </row>
    <row r="6" spans="1:8" s="11" customFormat="1" ht="13.5" customHeight="1" x14ac:dyDescent="0.25">
      <c r="A6" s="412" t="s">
        <v>2</v>
      </c>
      <c r="B6" s="413"/>
      <c r="C6" s="12">
        <f>SUM(C5)</f>
        <v>750</v>
      </c>
      <c r="D6" s="12">
        <f>SUM(D5)</f>
        <v>250</v>
      </c>
      <c r="E6" s="12">
        <f>SUM(E5)</f>
        <v>0</v>
      </c>
      <c r="F6" s="14">
        <f>SUM(F5)</f>
        <v>0</v>
      </c>
      <c r="G6" s="15">
        <f t="shared" si="0"/>
        <v>0</v>
      </c>
    </row>
    <row r="7" spans="1:8" s="11" customFormat="1" ht="23.25" customHeight="1" x14ac:dyDescent="0.25">
      <c r="A7" s="6">
        <v>147</v>
      </c>
      <c r="B7" s="7" t="s">
        <v>3</v>
      </c>
      <c r="C7" s="8">
        <v>10000</v>
      </c>
      <c r="D7" s="8">
        <v>10271.219999999999</v>
      </c>
      <c r="E7" s="8">
        <v>1371.518</v>
      </c>
      <c r="F7" s="9">
        <v>11000</v>
      </c>
      <c r="G7" s="10">
        <f t="shared" si="0"/>
        <v>110.00000000000001</v>
      </c>
    </row>
    <row r="8" spans="1:8" s="11" customFormat="1" ht="13.5" customHeight="1" x14ac:dyDescent="0.25">
      <c r="A8" s="6">
        <v>148</v>
      </c>
      <c r="B8" s="7" t="s">
        <v>4</v>
      </c>
      <c r="C8" s="8">
        <v>10000</v>
      </c>
      <c r="D8" s="8">
        <v>10000</v>
      </c>
      <c r="E8" s="8">
        <v>9104.6450000000004</v>
      </c>
      <c r="F8" s="9">
        <v>11000</v>
      </c>
      <c r="G8" s="10">
        <f t="shared" si="0"/>
        <v>110.00000000000001</v>
      </c>
    </row>
    <row r="9" spans="1:8" s="11" customFormat="1" ht="23.25" customHeight="1" x14ac:dyDescent="0.25">
      <c r="A9" s="6">
        <v>149</v>
      </c>
      <c r="B9" s="7" t="s">
        <v>5</v>
      </c>
      <c r="C9" s="8">
        <v>1500</v>
      </c>
      <c r="D9" s="8">
        <v>1500</v>
      </c>
      <c r="E9" s="8">
        <v>1070</v>
      </c>
      <c r="F9" s="9">
        <v>1650</v>
      </c>
      <c r="G9" s="10">
        <f t="shared" si="0"/>
        <v>110.00000000000001</v>
      </c>
    </row>
    <row r="10" spans="1:8" s="11" customFormat="1" ht="13.5" customHeight="1" x14ac:dyDescent="0.25">
      <c r="A10" s="412" t="s">
        <v>6</v>
      </c>
      <c r="B10" s="413"/>
      <c r="C10" s="12">
        <f>SUM(C7:C9)</f>
        <v>21500</v>
      </c>
      <c r="D10" s="13">
        <f>SUM(D7:D9)</f>
        <v>21771.22</v>
      </c>
      <c r="E10" s="13">
        <f>SUM(E7:E9)</f>
        <v>11546.163</v>
      </c>
      <c r="F10" s="14">
        <f>SUM(F7:F9)</f>
        <v>23650</v>
      </c>
      <c r="G10" s="15">
        <f t="shared" si="0"/>
        <v>110.00000000000001</v>
      </c>
    </row>
    <row r="11" spans="1:8" s="11" customFormat="1" ht="13.5" customHeight="1" x14ac:dyDescent="0.25">
      <c r="A11" s="6">
        <v>211</v>
      </c>
      <c r="B11" s="7" t="s">
        <v>7</v>
      </c>
      <c r="C11" s="8">
        <v>20000</v>
      </c>
      <c r="D11" s="8">
        <v>27856.02</v>
      </c>
      <c r="E11" s="8">
        <v>20786.947</v>
      </c>
      <c r="F11" s="9">
        <v>25000</v>
      </c>
      <c r="G11" s="10">
        <f t="shared" si="0"/>
        <v>125</v>
      </c>
    </row>
    <row r="12" spans="1:8" s="11" customFormat="1" ht="13.5" customHeight="1" x14ac:dyDescent="0.25">
      <c r="A12" s="6">
        <v>212</v>
      </c>
      <c r="B12" s="7" t="s">
        <v>8</v>
      </c>
      <c r="C12" s="8">
        <v>15000</v>
      </c>
      <c r="D12" s="8">
        <v>22365.67</v>
      </c>
      <c r="E12" s="8">
        <v>13482.261</v>
      </c>
      <c r="F12" s="9">
        <v>20000</v>
      </c>
      <c r="G12" s="10">
        <f t="shared" si="0"/>
        <v>133.33333333333331</v>
      </c>
    </row>
    <row r="13" spans="1:8" s="11" customFormat="1" ht="13.5" customHeight="1" x14ac:dyDescent="0.25">
      <c r="A13" s="6">
        <v>213</v>
      </c>
      <c r="B13" s="16" t="s">
        <v>9</v>
      </c>
      <c r="C13" s="8">
        <v>15000</v>
      </c>
      <c r="D13" s="8">
        <v>27219.25</v>
      </c>
      <c r="E13" s="8">
        <v>5819.1090000000004</v>
      </c>
      <c r="F13" s="9">
        <v>15000</v>
      </c>
      <c r="G13" s="10">
        <f t="shared" si="0"/>
        <v>100</v>
      </c>
    </row>
    <row r="14" spans="1:8" s="11" customFormat="1" ht="13.5" customHeight="1" x14ac:dyDescent="0.25">
      <c r="A14" s="6">
        <v>214</v>
      </c>
      <c r="B14" s="17" t="s">
        <v>64</v>
      </c>
      <c r="C14" s="8">
        <v>3000</v>
      </c>
      <c r="D14" s="8">
        <v>6935.25</v>
      </c>
      <c r="E14" s="8">
        <v>2612.636</v>
      </c>
      <c r="F14" s="9">
        <v>8000</v>
      </c>
      <c r="G14" s="10">
        <f t="shared" si="0"/>
        <v>266.66666666666663</v>
      </c>
    </row>
    <row r="15" spans="1:8" s="11" customFormat="1" ht="13.5" customHeight="1" x14ac:dyDescent="0.25">
      <c r="A15" s="6">
        <v>215</v>
      </c>
      <c r="B15" s="18" t="s">
        <v>564</v>
      </c>
      <c r="C15" s="8">
        <v>20000</v>
      </c>
      <c r="D15" s="8">
        <v>36000</v>
      </c>
      <c r="E15" s="8">
        <v>3211</v>
      </c>
      <c r="F15" s="9">
        <v>20000</v>
      </c>
      <c r="G15" s="10">
        <f t="shared" si="0"/>
        <v>100</v>
      </c>
    </row>
    <row r="16" spans="1:8" s="11" customFormat="1" ht="13.5" customHeight="1" x14ac:dyDescent="0.25">
      <c r="A16" s="6">
        <v>216</v>
      </c>
      <c r="B16" s="18" t="s">
        <v>65</v>
      </c>
      <c r="C16" s="8">
        <v>3000</v>
      </c>
      <c r="D16" s="8">
        <v>3000</v>
      </c>
      <c r="E16" s="8">
        <v>0</v>
      </c>
      <c r="F16" s="9">
        <v>5000</v>
      </c>
      <c r="G16" s="10">
        <f>F16/C16*100</f>
        <v>166.66666666666669</v>
      </c>
    </row>
    <row r="17" spans="1:7" s="11" customFormat="1" ht="13.5" customHeight="1" x14ac:dyDescent="0.25">
      <c r="A17" s="6">
        <v>217</v>
      </c>
      <c r="B17" s="18" t="s">
        <v>66</v>
      </c>
      <c r="C17" s="8">
        <v>500</v>
      </c>
      <c r="D17" s="8">
        <v>500</v>
      </c>
      <c r="E17" s="8">
        <v>500</v>
      </c>
      <c r="F17" s="9">
        <v>1500</v>
      </c>
      <c r="G17" s="19" t="s">
        <v>10</v>
      </c>
    </row>
    <row r="18" spans="1:7" s="11" customFormat="1" ht="13.5" customHeight="1" x14ac:dyDescent="0.25">
      <c r="A18" s="412" t="s">
        <v>11</v>
      </c>
      <c r="B18" s="413"/>
      <c r="C18" s="12">
        <f>SUM(C11:C17)</f>
        <v>76500</v>
      </c>
      <c r="D18" s="12">
        <f>SUM(D11:D17)</f>
        <v>123876.19</v>
      </c>
      <c r="E18" s="12">
        <f>SUM(E11:E17)</f>
        <v>46411.952999999994</v>
      </c>
      <c r="F18" s="14">
        <f>SUM(F11:F17)</f>
        <v>94500</v>
      </c>
      <c r="G18" s="15">
        <f t="shared" ref="G18:G23" si="1">F18/C18*100</f>
        <v>123.52941176470588</v>
      </c>
    </row>
    <row r="19" spans="1:7" s="11" customFormat="1" ht="13.5" customHeight="1" x14ac:dyDescent="0.25">
      <c r="A19" s="6">
        <v>246</v>
      </c>
      <c r="B19" s="7" t="s">
        <v>12</v>
      </c>
      <c r="C19" s="8">
        <v>3500</v>
      </c>
      <c r="D19" s="8">
        <v>2545.02</v>
      </c>
      <c r="E19" s="8">
        <v>986.024</v>
      </c>
      <c r="F19" s="9">
        <v>3000</v>
      </c>
      <c r="G19" s="20">
        <f t="shared" si="1"/>
        <v>85.714285714285708</v>
      </c>
    </row>
    <row r="20" spans="1:7" s="11" customFormat="1" ht="13.5" customHeight="1" x14ac:dyDescent="0.25">
      <c r="A20" s="6">
        <v>247</v>
      </c>
      <c r="B20" s="7" t="s">
        <v>13</v>
      </c>
      <c r="C20" s="8">
        <v>2000</v>
      </c>
      <c r="D20" s="8">
        <v>3215</v>
      </c>
      <c r="E20" s="8">
        <v>933.12</v>
      </c>
      <c r="F20" s="9">
        <v>3000</v>
      </c>
      <c r="G20" s="10">
        <f t="shared" si="1"/>
        <v>150</v>
      </c>
    </row>
    <row r="21" spans="1:7" s="11" customFormat="1" ht="13.5" customHeight="1" x14ac:dyDescent="0.25">
      <c r="A21" s="6">
        <v>248</v>
      </c>
      <c r="B21" s="17" t="s">
        <v>14</v>
      </c>
      <c r="C21" s="8">
        <v>4500</v>
      </c>
      <c r="D21" s="8">
        <v>7209.01</v>
      </c>
      <c r="E21" s="8">
        <v>3109.3490000000002</v>
      </c>
      <c r="F21" s="9">
        <v>5500</v>
      </c>
      <c r="G21" s="10">
        <f t="shared" si="1"/>
        <v>122.22222222222223</v>
      </c>
    </row>
    <row r="22" spans="1:7" s="11" customFormat="1" ht="13.5" customHeight="1" x14ac:dyDescent="0.25">
      <c r="A22" s="6">
        <v>249</v>
      </c>
      <c r="B22" s="17" t="s">
        <v>15</v>
      </c>
      <c r="C22" s="8">
        <v>1000</v>
      </c>
      <c r="D22" s="8">
        <f>1206+199.8</f>
        <v>1405.8</v>
      </c>
      <c r="E22" s="8">
        <f>603+99.9</f>
        <v>702.9</v>
      </c>
      <c r="F22" s="9">
        <v>3000</v>
      </c>
      <c r="G22" s="10">
        <f t="shared" si="1"/>
        <v>300</v>
      </c>
    </row>
    <row r="23" spans="1:7" s="11" customFormat="1" ht="13.5" customHeight="1" x14ac:dyDescent="0.25">
      <c r="A23" s="6">
        <v>250</v>
      </c>
      <c r="B23" s="22" t="s">
        <v>16</v>
      </c>
      <c r="C23" s="8">
        <v>6000</v>
      </c>
      <c r="D23" s="8">
        <v>5748.75</v>
      </c>
      <c r="E23" s="8">
        <v>3782.4870000000001</v>
      </c>
      <c r="F23" s="9">
        <v>6000</v>
      </c>
      <c r="G23" s="10">
        <f t="shared" si="1"/>
        <v>100</v>
      </c>
    </row>
    <row r="24" spans="1:7" s="11" customFormat="1" ht="13.5" customHeight="1" x14ac:dyDescent="0.25">
      <c r="A24" s="6">
        <v>251</v>
      </c>
      <c r="B24" s="22" t="s">
        <v>55</v>
      </c>
      <c r="C24" s="8">
        <v>0</v>
      </c>
      <c r="D24" s="21">
        <v>0</v>
      </c>
      <c r="E24" s="21">
        <v>0</v>
      </c>
      <c r="F24" s="9">
        <v>10000</v>
      </c>
      <c r="G24" s="19" t="s">
        <v>10</v>
      </c>
    </row>
    <row r="25" spans="1:7" s="11" customFormat="1" ht="13.5" customHeight="1" x14ac:dyDescent="0.25">
      <c r="A25" s="412" t="s">
        <v>17</v>
      </c>
      <c r="B25" s="413"/>
      <c r="C25" s="12">
        <f>SUM(C19:C24)</f>
        <v>17000</v>
      </c>
      <c r="D25" s="12">
        <f>SUM(D19:D24)</f>
        <v>20123.580000000002</v>
      </c>
      <c r="E25" s="12">
        <f>SUM(E19:E24)</f>
        <v>9513.880000000001</v>
      </c>
      <c r="F25" s="14">
        <f>SUM(F19:F24)</f>
        <v>30500</v>
      </c>
      <c r="G25" s="15">
        <f t="shared" ref="G25:G33" si="2">F25/C25*100</f>
        <v>179.41176470588235</v>
      </c>
    </row>
    <row r="26" spans="1:7" s="11" customFormat="1" ht="13.5" customHeight="1" x14ac:dyDescent="0.25">
      <c r="A26" s="6">
        <v>279</v>
      </c>
      <c r="B26" s="7" t="s">
        <v>67</v>
      </c>
      <c r="C26" s="8">
        <v>0</v>
      </c>
      <c r="D26" s="8">
        <v>1154.7</v>
      </c>
      <c r="E26" s="8">
        <v>0</v>
      </c>
      <c r="F26" s="9">
        <v>3000</v>
      </c>
      <c r="G26" s="19" t="s">
        <v>10</v>
      </c>
    </row>
    <row r="27" spans="1:7" s="11" customFormat="1" ht="13.5" customHeight="1" x14ac:dyDescent="0.25">
      <c r="A27" s="6">
        <v>280</v>
      </c>
      <c r="B27" s="7" t="s">
        <v>18</v>
      </c>
      <c r="C27" s="8">
        <v>700</v>
      </c>
      <c r="D27" s="8">
        <v>700</v>
      </c>
      <c r="E27" s="8">
        <v>664.3</v>
      </c>
      <c r="F27" s="9">
        <v>800</v>
      </c>
      <c r="G27" s="10">
        <f t="shared" si="2"/>
        <v>114.28571428571428</v>
      </c>
    </row>
    <row r="28" spans="1:7" s="11" customFormat="1" ht="23.25" customHeight="1" x14ac:dyDescent="0.25">
      <c r="A28" s="6">
        <v>281</v>
      </c>
      <c r="B28" s="7" t="s">
        <v>19</v>
      </c>
      <c r="C28" s="8">
        <v>2800</v>
      </c>
      <c r="D28" s="8">
        <v>2800</v>
      </c>
      <c r="E28" s="8">
        <v>2800</v>
      </c>
      <c r="F28" s="9">
        <v>4000</v>
      </c>
      <c r="G28" s="10">
        <f t="shared" si="2"/>
        <v>142.85714285714286</v>
      </c>
    </row>
    <row r="29" spans="1:7" s="11" customFormat="1" ht="23.25" customHeight="1" x14ac:dyDescent="0.25">
      <c r="A29" s="6">
        <v>282</v>
      </c>
      <c r="B29" s="7" t="s">
        <v>20</v>
      </c>
      <c r="C29" s="8">
        <v>15000</v>
      </c>
      <c r="D29" s="8">
        <v>16524.2</v>
      </c>
      <c r="E29" s="8">
        <v>500</v>
      </c>
      <c r="F29" s="9">
        <v>25000</v>
      </c>
      <c r="G29" s="10">
        <f t="shared" si="2"/>
        <v>166.66666666666669</v>
      </c>
    </row>
    <row r="30" spans="1:7" s="11" customFormat="1" ht="23.25" customHeight="1" x14ac:dyDescent="0.25">
      <c r="A30" s="6">
        <v>284</v>
      </c>
      <c r="B30" s="7" t="s">
        <v>21</v>
      </c>
      <c r="C30" s="8">
        <v>3200</v>
      </c>
      <c r="D30" s="8">
        <v>3200</v>
      </c>
      <c r="E30" s="8">
        <v>3200</v>
      </c>
      <c r="F30" s="9">
        <v>3200</v>
      </c>
      <c r="G30" s="10">
        <f t="shared" si="2"/>
        <v>100</v>
      </c>
    </row>
    <row r="31" spans="1:7" s="11" customFormat="1" ht="23.25" customHeight="1" x14ac:dyDescent="0.25">
      <c r="A31" s="6">
        <v>285</v>
      </c>
      <c r="B31" s="7" t="s">
        <v>22</v>
      </c>
      <c r="C31" s="8">
        <v>50000</v>
      </c>
      <c r="D31" s="8">
        <f>48975.8</f>
        <v>48975.8</v>
      </c>
      <c r="E31" s="8">
        <v>0</v>
      </c>
      <c r="F31" s="9">
        <v>60000</v>
      </c>
      <c r="G31" s="10">
        <f t="shared" si="2"/>
        <v>120</v>
      </c>
    </row>
    <row r="32" spans="1:7" s="11" customFormat="1" ht="23.25" customHeight="1" x14ac:dyDescent="0.25">
      <c r="A32" s="6">
        <v>287</v>
      </c>
      <c r="B32" s="7" t="s">
        <v>23</v>
      </c>
      <c r="C32" s="8">
        <v>500</v>
      </c>
      <c r="D32" s="8">
        <v>500</v>
      </c>
      <c r="E32" s="8">
        <v>500</v>
      </c>
      <c r="F32" s="9">
        <v>500</v>
      </c>
      <c r="G32" s="10">
        <f t="shared" si="2"/>
        <v>100</v>
      </c>
    </row>
    <row r="33" spans="1:7" s="11" customFormat="1" ht="23.25" customHeight="1" x14ac:dyDescent="0.25">
      <c r="A33" s="6">
        <v>288</v>
      </c>
      <c r="B33" s="7" t="s">
        <v>24</v>
      </c>
      <c r="C33" s="8">
        <v>12731</v>
      </c>
      <c r="D33" s="8">
        <v>12331</v>
      </c>
      <c r="E33" s="8">
        <v>12331</v>
      </c>
      <c r="F33" s="9">
        <v>39687</v>
      </c>
      <c r="G33" s="10">
        <f t="shared" si="2"/>
        <v>311.735134710549</v>
      </c>
    </row>
    <row r="34" spans="1:7" s="11" customFormat="1" ht="13.5" customHeight="1" x14ac:dyDescent="0.25">
      <c r="A34" s="408" t="s">
        <v>63</v>
      </c>
      <c r="B34" s="409"/>
      <c r="C34" s="8">
        <v>0</v>
      </c>
      <c r="D34" s="8">
        <f>207.68</f>
        <v>207.68</v>
      </c>
      <c r="E34" s="8">
        <f>207.679</f>
        <v>207.679</v>
      </c>
      <c r="F34" s="9">
        <v>0</v>
      </c>
      <c r="G34" s="19" t="s">
        <v>10</v>
      </c>
    </row>
    <row r="35" spans="1:7" s="11" customFormat="1" ht="13.5" customHeight="1" x14ac:dyDescent="0.25">
      <c r="A35" s="412" t="s">
        <v>25</v>
      </c>
      <c r="B35" s="413"/>
      <c r="C35" s="12">
        <f>SUM(C26:C34)</f>
        <v>84931</v>
      </c>
      <c r="D35" s="12">
        <f>SUM(D26:D34)</f>
        <v>86393.38</v>
      </c>
      <c r="E35" s="12">
        <f>SUM(E26:E34)</f>
        <v>20202.978999999999</v>
      </c>
      <c r="F35" s="14">
        <f>SUM(F26:F34)</f>
        <v>136187</v>
      </c>
      <c r="G35" s="15">
        <f t="shared" ref="G35:G41" si="3">F35/C35*100</f>
        <v>160.35016660583295</v>
      </c>
    </row>
    <row r="36" spans="1:7" s="11" customFormat="1" ht="13.5" customHeight="1" x14ac:dyDescent="0.25">
      <c r="A36" s="6">
        <v>360</v>
      </c>
      <c r="B36" s="23" t="s">
        <v>26</v>
      </c>
      <c r="C36" s="8">
        <v>29250</v>
      </c>
      <c r="D36" s="8">
        <v>30346.9</v>
      </c>
      <c r="E36" s="8">
        <v>27606.579000000002</v>
      </c>
      <c r="F36" s="9">
        <v>21000</v>
      </c>
      <c r="G36" s="10">
        <f t="shared" si="3"/>
        <v>71.794871794871796</v>
      </c>
    </row>
    <row r="37" spans="1:7" s="11" customFormat="1" ht="13.5" customHeight="1" x14ac:dyDescent="0.25">
      <c r="A37" s="6">
        <v>361</v>
      </c>
      <c r="B37" s="23" t="s">
        <v>27</v>
      </c>
      <c r="C37" s="8">
        <v>27000</v>
      </c>
      <c r="D37" s="8">
        <v>25123.5</v>
      </c>
      <c r="E37" s="8">
        <v>25123.5</v>
      </c>
      <c r="F37" s="9">
        <v>27000</v>
      </c>
      <c r="G37" s="10">
        <f t="shared" si="3"/>
        <v>100</v>
      </c>
    </row>
    <row r="38" spans="1:7" s="11" customFormat="1" ht="23.25" customHeight="1" x14ac:dyDescent="0.25">
      <c r="A38" s="6">
        <v>362</v>
      </c>
      <c r="B38" s="23" t="s">
        <v>68</v>
      </c>
      <c r="C38" s="8">
        <v>0</v>
      </c>
      <c r="D38" s="8">
        <v>5000</v>
      </c>
      <c r="E38" s="8">
        <v>0</v>
      </c>
      <c r="F38" s="9">
        <v>26000</v>
      </c>
      <c r="G38" s="19" t="s">
        <v>10</v>
      </c>
    </row>
    <row r="39" spans="1:7" s="11" customFormat="1" ht="23.25" customHeight="1" x14ac:dyDescent="0.25">
      <c r="A39" s="6">
        <v>363</v>
      </c>
      <c r="B39" s="7" t="s">
        <v>28</v>
      </c>
      <c r="C39" s="8">
        <v>2200</v>
      </c>
      <c r="D39" s="8">
        <v>2200</v>
      </c>
      <c r="E39" s="8">
        <v>2040.9</v>
      </c>
      <c r="F39" s="9">
        <v>3500</v>
      </c>
      <c r="G39" s="10">
        <f t="shared" si="3"/>
        <v>159.09090909090909</v>
      </c>
    </row>
    <row r="40" spans="1:7" s="11" customFormat="1" ht="13.5" customHeight="1" x14ac:dyDescent="0.25">
      <c r="A40" s="6">
        <v>364</v>
      </c>
      <c r="B40" s="7" t="s">
        <v>29</v>
      </c>
      <c r="C40" s="8">
        <v>1500</v>
      </c>
      <c r="D40" s="8">
        <f>1230.7+269.3</f>
        <v>1500</v>
      </c>
      <c r="E40" s="8">
        <f>1150.7+269.3</f>
        <v>1420</v>
      </c>
      <c r="F40" s="9">
        <v>2000</v>
      </c>
      <c r="G40" s="10">
        <f t="shared" si="3"/>
        <v>133.33333333333331</v>
      </c>
    </row>
    <row r="41" spans="1:7" s="11" customFormat="1" ht="23.25" customHeight="1" x14ac:dyDescent="0.25">
      <c r="A41" s="6">
        <v>365</v>
      </c>
      <c r="B41" s="7" t="s">
        <v>30</v>
      </c>
      <c r="C41" s="8">
        <v>349</v>
      </c>
      <c r="D41" s="8">
        <v>1161.75</v>
      </c>
      <c r="E41" s="8">
        <v>993.1</v>
      </c>
      <c r="F41" s="9">
        <v>346</v>
      </c>
      <c r="G41" s="10">
        <f t="shared" si="3"/>
        <v>99.140401146131808</v>
      </c>
    </row>
    <row r="42" spans="1:7" s="11" customFormat="1" ht="13.5" customHeight="1" x14ac:dyDescent="0.25">
      <c r="A42" s="416" t="s">
        <v>31</v>
      </c>
      <c r="B42" s="417"/>
      <c r="C42" s="12">
        <f>SUM(C36:C41)</f>
        <v>60299</v>
      </c>
      <c r="D42" s="12">
        <f>SUM(D36:D41)</f>
        <v>65332.15</v>
      </c>
      <c r="E42" s="12">
        <f>SUM(E36:E41)</f>
        <v>57184.078999999998</v>
      </c>
      <c r="F42" s="14">
        <f>SUM(F36:F41)</f>
        <v>79846</v>
      </c>
      <c r="G42" s="15">
        <f>F42/C42*100</f>
        <v>132.4167896648369</v>
      </c>
    </row>
    <row r="43" spans="1:7" s="11" customFormat="1" ht="13.5" customHeight="1" x14ac:dyDescent="0.25">
      <c r="A43" s="6">
        <v>472</v>
      </c>
      <c r="B43" s="7" t="s">
        <v>32</v>
      </c>
      <c r="C43" s="8">
        <v>4000</v>
      </c>
      <c r="D43" s="8">
        <v>3700</v>
      </c>
      <c r="E43" s="8">
        <v>2458</v>
      </c>
      <c r="F43" s="9">
        <v>1000</v>
      </c>
      <c r="G43" s="10">
        <f>F43/C43*100</f>
        <v>25</v>
      </c>
    </row>
    <row r="44" spans="1:7" s="11" customFormat="1" ht="23.25" customHeight="1" x14ac:dyDescent="0.25">
      <c r="A44" s="6">
        <v>473</v>
      </c>
      <c r="B44" s="7" t="s">
        <v>33</v>
      </c>
      <c r="C44" s="8">
        <v>1000</v>
      </c>
      <c r="D44" s="8">
        <v>984</v>
      </c>
      <c r="E44" s="8">
        <v>363.4</v>
      </c>
      <c r="F44" s="9">
        <v>1000</v>
      </c>
      <c r="G44" s="10">
        <f>F44/C44*100</f>
        <v>100</v>
      </c>
    </row>
    <row r="45" spans="1:7" s="11" customFormat="1" ht="13.5" customHeight="1" x14ac:dyDescent="0.25">
      <c r="A45" s="6">
        <v>474</v>
      </c>
      <c r="B45" s="7" t="s">
        <v>56</v>
      </c>
      <c r="C45" s="8">
        <v>0</v>
      </c>
      <c r="D45" s="8">
        <v>0</v>
      </c>
      <c r="E45" s="21">
        <v>0</v>
      </c>
      <c r="F45" s="9">
        <v>3000</v>
      </c>
      <c r="G45" s="19" t="s">
        <v>10</v>
      </c>
    </row>
    <row r="46" spans="1:7" s="11" customFormat="1" ht="13.5" customHeight="1" x14ac:dyDescent="0.25">
      <c r="A46" s="412" t="s">
        <v>34</v>
      </c>
      <c r="B46" s="413"/>
      <c r="C46" s="12">
        <f>SUM(C43:C45)</f>
        <v>5000</v>
      </c>
      <c r="D46" s="12">
        <f>SUM(D43:D45)</f>
        <v>4684</v>
      </c>
      <c r="E46" s="12">
        <f>SUM(E43:E45)</f>
        <v>2821.4</v>
      </c>
      <c r="F46" s="14">
        <f>SUM(F43:F45)</f>
        <v>5000</v>
      </c>
      <c r="G46" s="15">
        <f>F46/C46*100</f>
        <v>100</v>
      </c>
    </row>
    <row r="47" spans="1:7" s="11" customFormat="1" ht="13.5" customHeight="1" x14ac:dyDescent="0.25">
      <c r="A47" s="6">
        <v>533</v>
      </c>
      <c r="B47" s="7" t="s">
        <v>35</v>
      </c>
      <c r="C47" s="8">
        <v>15000</v>
      </c>
      <c r="D47" s="8">
        <v>25129.77</v>
      </c>
      <c r="E47" s="8">
        <v>5929.6040000000003</v>
      </c>
      <c r="F47" s="9">
        <v>15000</v>
      </c>
      <c r="G47" s="10">
        <f>F47/C47*100</f>
        <v>100</v>
      </c>
    </row>
    <row r="48" spans="1:7" s="11" customFormat="1" ht="13.5" customHeight="1" x14ac:dyDescent="0.25">
      <c r="A48" s="6">
        <v>534</v>
      </c>
      <c r="B48" s="7" t="s">
        <v>69</v>
      </c>
      <c r="C48" s="8">
        <v>0</v>
      </c>
      <c r="D48" s="8">
        <v>0</v>
      </c>
      <c r="E48" s="8">
        <v>0</v>
      </c>
      <c r="F48" s="9">
        <v>2000</v>
      </c>
      <c r="G48" s="19" t="s">
        <v>10</v>
      </c>
    </row>
    <row r="49" spans="1:7" s="11" customFormat="1" ht="13.5" customHeight="1" x14ac:dyDescent="0.25">
      <c r="A49" s="6">
        <v>535</v>
      </c>
      <c r="B49" s="7" t="s">
        <v>70</v>
      </c>
      <c r="C49" s="8">
        <v>3000</v>
      </c>
      <c r="D49" s="8">
        <v>1670</v>
      </c>
      <c r="E49" s="8">
        <v>1421.8</v>
      </c>
      <c r="F49" s="9">
        <v>3500</v>
      </c>
      <c r="G49" s="10">
        <f>F49/C49*100</f>
        <v>116.66666666666667</v>
      </c>
    </row>
    <row r="50" spans="1:7" s="11" customFormat="1" ht="13.5" customHeight="1" x14ac:dyDescent="0.25">
      <c r="A50" s="408" t="s">
        <v>59</v>
      </c>
      <c r="B50" s="409"/>
      <c r="C50" s="8">
        <v>0</v>
      </c>
      <c r="D50" s="8">
        <f>7081.04+(5500+2792.2)</f>
        <v>15373.240000000002</v>
      </c>
      <c r="E50" s="8">
        <f>7080.976+(0+1651.922)</f>
        <v>8732.8979999999992</v>
      </c>
      <c r="F50" s="9">
        <v>0</v>
      </c>
      <c r="G50" s="19" t="s">
        <v>10</v>
      </c>
    </row>
    <row r="51" spans="1:7" s="11" customFormat="1" ht="13.5" customHeight="1" x14ac:dyDescent="0.25">
      <c r="A51" s="412" t="s">
        <v>36</v>
      </c>
      <c r="B51" s="413"/>
      <c r="C51" s="12">
        <f>SUM(C47:C50)</f>
        <v>18000</v>
      </c>
      <c r="D51" s="12">
        <f>SUM(D47:D50)</f>
        <v>42173.01</v>
      </c>
      <c r="E51" s="12">
        <f>SUM(E47:E50)</f>
        <v>16084.302</v>
      </c>
      <c r="F51" s="14">
        <f>SUM(F47:F50)</f>
        <v>20500</v>
      </c>
      <c r="G51" s="15">
        <f>F51/C51*100</f>
        <v>113.88888888888889</v>
      </c>
    </row>
    <row r="52" spans="1:7" s="11" customFormat="1" ht="13.5" customHeight="1" thickBot="1" x14ac:dyDescent="0.3">
      <c r="A52" s="418" t="s">
        <v>37</v>
      </c>
      <c r="B52" s="419"/>
      <c r="C52" s="24">
        <f>C4+C6+C10+C18+C25+C35+C42+C46+C51</f>
        <v>283980</v>
      </c>
      <c r="D52" s="24">
        <f>D4+D6+D10+D18+D25+D35+D42+D46+D51</f>
        <v>367103.53</v>
      </c>
      <c r="E52" s="24">
        <f>E4+E6+E10+E18+E25+E35+E42+E46+E51</f>
        <v>163764.75599999999</v>
      </c>
      <c r="F52" s="24">
        <f>F4+F6+F10+F18+F25+F35+F42+F46+F51</f>
        <v>390183</v>
      </c>
      <c r="G52" s="25">
        <f>F52/C52*100</f>
        <v>137.39805620114092</v>
      </c>
    </row>
    <row r="53" spans="1:7" ht="11.25" thickBot="1" x14ac:dyDescent="0.2">
      <c r="B53" s="27"/>
      <c r="C53" s="28"/>
      <c r="D53" s="29"/>
      <c r="E53" s="29"/>
      <c r="F53" s="28"/>
      <c r="G53" s="30"/>
    </row>
    <row r="54" spans="1:7" ht="36" customHeight="1" x14ac:dyDescent="0.15">
      <c r="A54" s="420" t="s">
        <v>38</v>
      </c>
      <c r="B54" s="421"/>
      <c r="C54" s="3" t="s">
        <v>47</v>
      </c>
      <c r="D54" s="3" t="s">
        <v>48</v>
      </c>
      <c r="E54" s="3" t="s">
        <v>49</v>
      </c>
      <c r="F54" s="3" t="s">
        <v>50</v>
      </c>
      <c r="G54" s="4" t="s">
        <v>51</v>
      </c>
    </row>
    <row r="55" spans="1:7" ht="13.5" customHeight="1" x14ac:dyDescent="0.2">
      <c r="A55" s="414" t="s">
        <v>62</v>
      </c>
      <c r="B55" s="415"/>
      <c r="C55" s="21">
        <f>C4</f>
        <v>0</v>
      </c>
      <c r="D55" s="21">
        <f>D4</f>
        <v>2500</v>
      </c>
      <c r="E55" s="21">
        <f>E4</f>
        <v>0</v>
      </c>
      <c r="F55" s="9">
        <f>F4</f>
        <v>0</v>
      </c>
      <c r="G55" s="19" t="s">
        <v>10</v>
      </c>
    </row>
    <row r="56" spans="1:7" ht="13.5" customHeight="1" x14ac:dyDescent="0.2">
      <c r="A56" s="414" t="s">
        <v>39</v>
      </c>
      <c r="B56" s="415"/>
      <c r="C56" s="21">
        <f>C6</f>
        <v>750</v>
      </c>
      <c r="D56" s="21">
        <f>D6</f>
        <v>250</v>
      </c>
      <c r="E56" s="21">
        <f>E6</f>
        <v>0</v>
      </c>
      <c r="F56" s="9">
        <f>F6</f>
        <v>0</v>
      </c>
      <c r="G56" s="20">
        <f t="shared" ref="G56:G64" si="4">F56/C56*100</f>
        <v>0</v>
      </c>
    </row>
    <row r="57" spans="1:7" ht="13.5" customHeight="1" x14ac:dyDescent="0.2">
      <c r="A57" s="414" t="s">
        <v>40</v>
      </c>
      <c r="B57" s="415"/>
      <c r="C57" s="21">
        <f>C10</f>
        <v>21500</v>
      </c>
      <c r="D57" s="21">
        <f>D10</f>
        <v>21771.22</v>
      </c>
      <c r="E57" s="21">
        <f>E10</f>
        <v>11546.163</v>
      </c>
      <c r="F57" s="9">
        <f>F10</f>
        <v>23650</v>
      </c>
      <c r="G57" s="20">
        <f t="shared" si="4"/>
        <v>110.00000000000001</v>
      </c>
    </row>
    <row r="58" spans="1:7" ht="13.5" customHeight="1" x14ac:dyDescent="0.2">
      <c r="A58" s="414" t="s">
        <v>41</v>
      </c>
      <c r="B58" s="415"/>
      <c r="C58" s="21">
        <f>C18</f>
        <v>76500</v>
      </c>
      <c r="D58" s="21">
        <f>D18</f>
        <v>123876.19</v>
      </c>
      <c r="E58" s="21">
        <f>E18</f>
        <v>46411.952999999994</v>
      </c>
      <c r="F58" s="9">
        <f>F18</f>
        <v>94500</v>
      </c>
      <c r="G58" s="20">
        <f t="shared" si="4"/>
        <v>123.52941176470588</v>
      </c>
    </row>
    <row r="59" spans="1:7" ht="13.5" customHeight="1" x14ac:dyDescent="0.2">
      <c r="A59" s="414" t="s">
        <v>42</v>
      </c>
      <c r="B59" s="415"/>
      <c r="C59" s="21">
        <f>C25</f>
        <v>17000</v>
      </c>
      <c r="D59" s="21">
        <f>D25</f>
        <v>20123.580000000002</v>
      </c>
      <c r="E59" s="21">
        <f>E25</f>
        <v>9513.880000000001</v>
      </c>
      <c r="F59" s="9">
        <f>F25</f>
        <v>30500</v>
      </c>
      <c r="G59" s="20">
        <f t="shared" si="4"/>
        <v>179.41176470588235</v>
      </c>
    </row>
    <row r="60" spans="1:7" ht="13.5" customHeight="1" x14ac:dyDescent="0.2">
      <c r="A60" s="414" t="s">
        <v>43</v>
      </c>
      <c r="B60" s="415"/>
      <c r="C60" s="21">
        <f>C35</f>
        <v>84931</v>
      </c>
      <c r="D60" s="21">
        <f>D35</f>
        <v>86393.38</v>
      </c>
      <c r="E60" s="21">
        <f>E35</f>
        <v>20202.978999999999</v>
      </c>
      <c r="F60" s="9">
        <f>F35</f>
        <v>136187</v>
      </c>
      <c r="G60" s="20">
        <f t="shared" si="4"/>
        <v>160.35016660583295</v>
      </c>
    </row>
    <row r="61" spans="1:7" ht="13.5" customHeight="1" x14ac:dyDescent="0.2">
      <c r="A61" s="414" t="s">
        <v>44</v>
      </c>
      <c r="B61" s="415"/>
      <c r="C61" s="21">
        <f>C42</f>
        <v>60299</v>
      </c>
      <c r="D61" s="21">
        <f>D42</f>
        <v>65332.15</v>
      </c>
      <c r="E61" s="21">
        <f>E42</f>
        <v>57184.078999999998</v>
      </c>
      <c r="F61" s="9">
        <f>F42</f>
        <v>79846</v>
      </c>
      <c r="G61" s="20">
        <f t="shared" si="4"/>
        <v>132.4167896648369</v>
      </c>
    </row>
    <row r="62" spans="1:7" ht="13.5" customHeight="1" x14ac:dyDescent="0.2">
      <c r="A62" s="414" t="s">
        <v>45</v>
      </c>
      <c r="B62" s="415"/>
      <c r="C62" s="21">
        <f>C46</f>
        <v>5000</v>
      </c>
      <c r="D62" s="21">
        <f>D46</f>
        <v>4684</v>
      </c>
      <c r="E62" s="21">
        <f>E46</f>
        <v>2821.4</v>
      </c>
      <c r="F62" s="9">
        <f>F46</f>
        <v>5000</v>
      </c>
      <c r="G62" s="20">
        <f t="shared" si="4"/>
        <v>100</v>
      </c>
    </row>
    <row r="63" spans="1:7" ht="13.5" customHeight="1" x14ac:dyDescent="0.2">
      <c r="A63" s="414" t="s">
        <v>46</v>
      </c>
      <c r="B63" s="415"/>
      <c r="C63" s="21">
        <f>C51</f>
        <v>18000</v>
      </c>
      <c r="D63" s="21">
        <f>D51</f>
        <v>42173.01</v>
      </c>
      <c r="E63" s="21">
        <f>E51</f>
        <v>16084.302</v>
      </c>
      <c r="F63" s="9">
        <f>F51</f>
        <v>20500</v>
      </c>
      <c r="G63" s="20">
        <f t="shared" si="4"/>
        <v>113.88888888888889</v>
      </c>
    </row>
    <row r="64" spans="1:7" ht="13.5" customHeight="1" thickBot="1" x14ac:dyDescent="0.2">
      <c r="A64" s="422" t="s">
        <v>37</v>
      </c>
      <c r="B64" s="423"/>
      <c r="C64" s="24">
        <f>SUM(C55:C63)</f>
        <v>283980</v>
      </c>
      <c r="D64" s="24">
        <f>SUM(D55:D63)</f>
        <v>367103.53</v>
      </c>
      <c r="E64" s="24">
        <f>SUM(E55:E63)</f>
        <v>163764.75599999999</v>
      </c>
      <c r="F64" s="24">
        <f>SUM(F55:F63)</f>
        <v>390183</v>
      </c>
      <c r="G64" s="25">
        <f t="shared" si="4"/>
        <v>137.39805620114092</v>
      </c>
    </row>
    <row r="65" spans="1:7" ht="12.75" x14ac:dyDescent="0.2">
      <c r="A65" s="31"/>
      <c r="B65" s="32"/>
    </row>
    <row r="66" spans="1:7" s="36" customFormat="1" ht="12.75" x14ac:dyDescent="0.2">
      <c r="A66" s="31"/>
      <c r="B66" s="32"/>
      <c r="C66" s="34"/>
      <c r="D66" s="35"/>
      <c r="E66" s="35"/>
      <c r="F66" s="34"/>
      <c r="G66" s="34"/>
    </row>
    <row r="67" spans="1:7" s="36" customFormat="1" x14ac:dyDescent="0.15">
      <c r="A67" s="26"/>
      <c r="B67" s="34"/>
      <c r="C67" s="34"/>
      <c r="D67" s="35"/>
      <c r="E67" s="35"/>
      <c r="F67" s="34"/>
      <c r="G67" s="34"/>
    </row>
    <row r="68" spans="1:7" s="36" customFormat="1" x14ac:dyDescent="0.15">
      <c r="A68" s="26"/>
      <c r="B68" s="34"/>
      <c r="C68" s="34"/>
      <c r="D68" s="35"/>
      <c r="E68" s="35"/>
      <c r="F68" s="34"/>
      <c r="G68" s="34"/>
    </row>
    <row r="69" spans="1:7" s="36" customFormat="1" x14ac:dyDescent="0.15">
      <c r="A69" s="26"/>
      <c r="B69" s="34"/>
      <c r="C69" s="34"/>
      <c r="D69" s="35"/>
      <c r="E69" s="35"/>
      <c r="F69" s="34"/>
      <c r="G69" s="34"/>
    </row>
    <row r="70" spans="1:7" s="36" customFormat="1" x14ac:dyDescent="0.15">
      <c r="A70" s="26"/>
      <c r="B70" s="34"/>
      <c r="C70" s="34"/>
      <c r="D70" s="35"/>
      <c r="E70" s="35"/>
      <c r="F70" s="34"/>
      <c r="G70" s="34"/>
    </row>
    <row r="71" spans="1:7" s="36" customFormat="1" x14ac:dyDescent="0.15">
      <c r="A71" s="26"/>
      <c r="B71" s="34"/>
      <c r="C71" s="34"/>
      <c r="D71" s="35"/>
      <c r="E71" s="35"/>
      <c r="F71" s="34"/>
      <c r="G71" s="34"/>
    </row>
    <row r="72" spans="1:7" s="36" customFormat="1" x14ac:dyDescent="0.15">
      <c r="A72" s="26"/>
      <c r="B72" s="34"/>
      <c r="C72" s="34"/>
      <c r="D72" s="35"/>
      <c r="E72" s="35"/>
      <c r="F72" s="34"/>
      <c r="G72" s="34"/>
    </row>
    <row r="73" spans="1:7" s="36" customFormat="1" x14ac:dyDescent="0.15">
      <c r="A73" s="26"/>
      <c r="B73" s="34"/>
      <c r="C73" s="34"/>
      <c r="D73" s="35"/>
      <c r="E73" s="35"/>
      <c r="F73" s="34"/>
      <c r="G73" s="34"/>
    </row>
    <row r="74" spans="1:7" s="36" customFormat="1" x14ac:dyDescent="0.15">
      <c r="A74" s="26"/>
      <c r="B74" s="34"/>
      <c r="C74" s="34"/>
      <c r="D74" s="35"/>
      <c r="E74" s="35"/>
      <c r="F74" s="34"/>
      <c r="G74" s="34"/>
    </row>
    <row r="75" spans="1:7" s="36" customFormat="1" x14ac:dyDescent="0.15">
      <c r="A75" s="26"/>
      <c r="B75" s="34"/>
      <c r="C75" s="34"/>
      <c r="D75" s="35"/>
      <c r="E75" s="35"/>
      <c r="F75" s="34"/>
      <c r="G75" s="34"/>
    </row>
    <row r="76" spans="1:7" s="36" customFormat="1" x14ac:dyDescent="0.15">
      <c r="A76" s="26"/>
      <c r="B76" s="34"/>
      <c r="C76" s="34"/>
      <c r="D76" s="35"/>
      <c r="E76" s="35"/>
      <c r="F76" s="34"/>
      <c r="G76" s="34"/>
    </row>
    <row r="77" spans="1:7" s="36" customFormat="1" x14ac:dyDescent="0.15">
      <c r="A77" s="26"/>
      <c r="B77" s="34"/>
      <c r="C77" s="34"/>
      <c r="D77" s="35"/>
      <c r="E77" s="35"/>
      <c r="F77" s="34"/>
      <c r="G77" s="34"/>
    </row>
    <row r="78" spans="1:7" s="36" customFormat="1" x14ac:dyDescent="0.15">
      <c r="A78" s="26"/>
      <c r="B78" s="34"/>
      <c r="C78" s="34"/>
      <c r="D78" s="35"/>
      <c r="E78" s="35"/>
      <c r="F78" s="34"/>
      <c r="G78" s="34"/>
    </row>
  </sheetData>
  <mergeCells count="26">
    <mergeCell ref="A60:B60"/>
    <mergeCell ref="A61:B61"/>
    <mergeCell ref="A62:B62"/>
    <mergeCell ref="A63:B63"/>
    <mergeCell ref="A64:B64"/>
    <mergeCell ref="A58:B58"/>
    <mergeCell ref="A59:B59"/>
    <mergeCell ref="A35:B35"/>
    <mergeCell ref="A42:B42"/>
    <mergeCell ref="A46:B46"/>
    <mergeCell ref="A51:B51"/>
    <mergeCell ref="A52:B52"/>
    <mergeCell ref="A54:B54"/>
    <mergeCell ref="A56:B56"/>
    <mergeCell ref="A57:B57"/>
    <mergeCell ref="A50:B50"/>
    <mergeCell ref="A55:B55"/>
    <mergeCell ref="A34:B34"/>
    <mergeCell ref="A1:G1"/>
    <mergeCell ref="A6:B6"/>
    <mergeCell ref="A10:B10"/>
    <mergeCell ref="A18:B18"/>
    <mergeCell ref="A25:B25"/>
    <mergeCell ref="A5:B5"/>
    <mergeCell ref="A3:B3"/>
    <mergeCell ref="A4:B4"/>
  </mergeCells>
  <printOptions horizontalCentered="1"/>
  <pageMargins left="0.31496062992125984" right="0.31496062992125984" top="0.98425196850393704" bottom="0.39370078740157483" header="0.51181102362204722" footer="0.11811023622047245"/>
  <pageSetup paperSize="9" scale="86" firstPageNumber="2" fitToHeight="0" orientation="portrait" useFirstPageNumber="1" r:id="rId1"/>
  <headerFooter>
    <oddHeader>&amp;L&amp;"Tahoma,Kurzíva"&amp;10Návrh rozpočtu na rok 2018
Příloha č. 10&amp;R&amp;"Tahoma,Kurzíva"&amp;10Přehled dotačních programů v návrhu rozpočtu kraje na rok 2018</oddHeader>
    <oddFooter>&amp;C&amp;"Tahoma,Obyčejné"&amp;P</oddFooter>
  </headerFooter>
  <rowBreaks count="1" manualBreakCount="1">
    <brk id="5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R163"/>
  <sheetViews>
    <sheetView zoomScaleNormal="100" zoomScaleSheetLayoutView="100" workbookViewId="0">
      <pane ySplit="4" topLeftCell="A5" activePane="bottomLeft" state="frozen"/>
      <selection activeCell="G90" sqref="G90"/>
      <selection pane="bottomLeft" activeCell="M1" sqref="M1"/>
    </sheetView>
  </sheetViews>
  <sheetFormatPr defaultRowHeight="12.75" x14ac:dyDescent="0.25"/>
  <cols>
    <col min="1" max="1" width="6.5703125" style="50" customWidth="1"/>
    <col min="2" max="2" width="32" style="50" customWidth="1"/>
    <col min="3" max="3" width="7.140625" style="50" hidden="1" customWidth="1"/>
    <col min="4" max="4" width="9.85546875" style="50" customWidth="1"/>
    <col min="5" max="6" width="9.42578125" style="50" customWidth="1"/>
    <col min="7" max="10" width="10.140625" style="50" customWidth="1"/>
    <col min="11" max="11" width="32.140625" style="50" customWidth="1"/>
    <col min="12" max="12" width="8" style="50" hidden="1" customWidth="1"/>
    <col min="13" max="254" width="9.140625" style="50"/>
    <col min="255" max="255" width="5.5703125" style="50" customWidth="1"/>
    <col min="256" max="256" width="32" style="50" customWidth="1"/>
    <col min="257" max="258" width="9.85546875" style="50" customWidth="1"/>
    <col min="259" max="260" width="9.42578125" style="50" customWidth="1"/>
    <col min="261" max="261" width="11.140625" style="50" customWidth="1"/>
    <col min="262" max="264" width="8.5703125" style="50" customWidth="1"/>
    <col min="265" max="265" width="32.140625" style="50" customWidth="1"/>
    <col min="266" max="266" width="8" style="50" hidden="1" customWidth="1"/>
    <col min="267" max="510" width="9.140625" style="50"/>
    <col min="511" max="511" width="5.5703125" style="50" customWidth="1"/>
    <col min="512" max="512" width="32" style="50" customWidth="1"/>
    <col min="513" max="514" width="9.85546875" style="50" customWidth="1"/>
    <col min="515" max="516" width="9.42578125" style="50" customWidth="1"/>
    <col min="517" max="517" width="11.140625" style="50" customWidth="1"/>
    <col min="518" max="520" width="8.5703125" style="50" customWidth="1"/>
    <col min="521" max="521" width="32.140625" style="50" customWidth="1"/>
    <col min="522" max="522" width="8" style="50" hidden="1" customWidth="1"/>
    <col min="523" max="766" width="9.140625" style="50"/>
    <col min="767" max="767" width="5.5703125" style="50" customWidth="1"/>
    <col min="768" max="768" width="32" style="50" customWidth="1"/>
    <col min="769" max="770" width="9.85546875" style="50" customWidth="1"/>
    <col min="771" max="772" width="9.42578125" style="50" customWidth="1"/>
    <col min="773" max="773" width="11.140625" style="50" customWidth="1"/>
    <col min="774" max="776" width="8.5703125" style="50" customWidth="1"/>
    <col min="777" max="777" width="32.140625" style="50" customWidth="1"/>
    <col min="778" max="778" width="8" style="50" hidden="1" customWidth="1"/>
    <col min="779" max="1022" width="9.140625" style="50"/>
    <col min="1023" max="1023" width="5.5703125" style="50" customWidth="1"/>
    <col min="1024" max="1024" width="32" style="50" customWidth="1"/>
    <col min="1025" max="1026" width="9.85546875" style="50" customWidth="1"/>
    <col min="1027" max="1028" width="9.42578125" style="50" customWidth="1"/>
    <col min="1029" max="1029" width="11.140625" style="50" customWidth="1"/>
    <col min="1030" max="1032" width="8.5703125" style="50" customWidth="1"/>
    <col min="1033" max="1033" width="32.140625" style="50" customWidth="1"/>
    <col min="1034" max="1034" width="8" style="50" hidden="1" customWidth="1"/>
    <col min="1035" max="1278" width="9.140625" style="50"/>
    <col min="1279" max="1279" width="5.5703125" style="50" customWidth="1"/>
    <col min="1280" max="1280" width="32" style="50" customWidth="1"/>
    <col min="1281" max="1282" width="9.85546875" style="50" customWidth="1"/>
    <col min="1283" max="1284" width="9.42578125" style="50" customWidth="1"/>
    <col min="1285" max="1285" width="11.140625" style="50" customWidth="1"/>
    <col min="1286" max="1288" width="8.5703125" style="50" customWidth="1"/>
    <col min="1289" max="1289" width="32.140625" style="50" customWidth="1"/>
    <col min="1290" max="1290" width="8" style="50" hidden="1" customWidth="1"/>
    <col min="1291" max="1534" width="9.140625" style="50"/>
    <col min="1535" max="1535" width="5.5703125" style="50" customWidth="1"/>
    <col min="1536" max="1536" width="32" style="50" customWidth="1"/>
    <col min="1537" max="1538" width="9.85546875" style="50" customWidth="1"/>
    <col min="1539" max="1540" width="9.42578125" style="50" customWidth="1"/>
    <col min="1541" max="1541" width="11.140625" style="50" customWidth="1"/>
    <col min="1542" max="1544" width="8.5703125" style="50" customWidth="1"/>
    <col min="1545" max="1545" width="32.140625" style="50" customWidth="1"/>
    <col min="1546" max="1546" width="8" style="50" hidden="1" customWidth="1"/>
    <col min="1547" max="1790" width="9.140625" style="50"/>
    <col min="1791" max="1791" width="5.5703125" style="50" customWidth="1"/>
    <col min="1792" max="1792" width="32" style="50" customWidth="1"/>
    <col min="1793" max="1794" width="9.85546875" style="50" customWidth="1"/>
    <col min="1795" max="1796" width="9.42578125" style="50" customWidth="1"/>
    <col min="1797" max="1797" width="11.140625" style="50" customWidth="1"/>
    <col min="1798" max="1800" width="8.5703125" style="50" customWidth="1"/>
    <col min="1801" max="1801" width="32.140625" style="50" customWidth="1"/>
    <col min="1802" max="1802" width="8" style="50" hidden="1" customWidth="1"/>
    <col min="1803" max="2046" width="9.140625" style="50"/>
    <col min="2047" max="2047" width="5.5703125" style="50" customWidth="1"/>
    <col min="2048" max="2048" width="32" style="50" customWidth="1"/>
    <col min="2049" max="2050" width="9.85546875" style="50" customWidth="1"/>
    <col min="2051" max="2052" width="9.42578125" style="50" customWidth="1"/>
    <col min="2053" max="2053" width="11.140625" style="50" customWidth="1"/>
    <col min="2054" max="2056" width="8.5703125" style="50" customWidth="1"/>
    <col min="2057" max="2057" width="32.140625" style="50" customWidth="1"/>
    <col min="2058" max="2058" width="8" style="50" hidden="1" customWidth="1"/>
    <col min="2059" max="2302" width="9.140625" style="50"/>
    <col min="2303" max="2303" width="5.5703125" style="50" customWidth="1"/>
    <col min="2304" max="2304" width="32" style="50" customWidth="1"/>
    <col min="2305" max="2306" width="9.85546875" style="50" customWidth="1"/>
    <col min="2307" max="2308" width="9.42578125" style="50" customWidth="1"/>
    <col min="2309" max="2309" width="11.140625" style="50" customWidth="1"/>
    <col min="2310" max="2312" width="8.5703125" style="50" customWidth="1"/>
    <col min="2313" max="2313" width="32.140625" style="50" customWidth="1"/>
    <col min="2314" max="2314" width="8" style="50" hidden="1" customWidth="1"/>
    <col min="2315" max="2558" width="9.140625" style="50"/>
    <col min="2559" max="2559" width="5.5703125" style="50" customWidth="1"/>
    <col min="2560" max="2560" width="32" style="50" customWidth="1"/>
    <col min="2561" max="2562" width="9.85546875" style="50" customWidth="1"/>
    <col min="2563" max="2564" width="9.42578125" style="50" customWidth="1"/>
    <col min="2565" max="2565" width="11.140625" style="50" customWidth="1"/>
    <col min="2566" max="2568" width="8.5703125" style="50" customWidth="1"/>
    <col min="2569" max="2569" width="32.140625" style="50" customWidth="1"/>
    <col min="2570" max="2570" width="8" style="50" hidden="1" customWidth="1"/>
    <col min="2571" max="2814" width="9.140625" style="50"/>
    <col min="2815" max="2815" width="5.5703125" style="50" customWidth="1"/>
    <col min="2816" max="2816" width="32" style="50" customWidth="1"/>
    <col min="2817" max="2818" width="9.85546875" style="50" customWidth="1"/>
    <col min="2819" max="2820" width="9.42578125" style="50" customWidth="1"/>
    <col min="2821" max="2821" width="11.140625" style="50" customWidth="1"/>
    <col min="2822" max="2824" width="8.5703125" style="50" customWidth="1"/>
    <col min="2825" max="2825" width="32.140625" style="50" customWidth="1"/>
    <col min="2826" max="2826" width="8" style="50" hidden="1" customWidth="1"/>
    <col min="2827" max="3070" width="9.140625" style="50"/>
    <col min="3071" max="3071" width="5.5703125" style="50" customWidth="1"/>
    <col min="3072" max="3072" width="32" style="50" customWidth="1"/>
    <col min="3073" max="3074" width="9.85546875" style="50" customWidth="1"/>
    <col min="3075" max="3076" width="9.42578125" style="50" customWidth="1"/>
    <col min="3077" max="3077" width="11.140625" style="50" customWidth="1"/>
    <col min="3078" max="3080" width="8.5703125" style="50" customWidth="1"/>
    <col min="3081" max="3081" width="32.140625" style="50" customWidth="1"/>
    <col min="3082" max="3082" width="8" style="50" hidden="1" customWidth="1"/>
    <col min="3083" max="3326" width="9.140625" style="50"/>
    <col min="3327" max="3327" width="5.5703125" style="50" customWidth="1"/>
    <col min="3328" max="3328" width="32" style="50" customWidth="1"/>
    <col min="3329" max="3330" width="9.85546875" style="50" customWidth="1"/>
    <col min="3331" max="3332" width="9.42578125" style="50" customWidth="1"/>
    <col min="3333" max="3333" width="11.140625" style="50" customWidth="1"/>
    <col min="3334" max="3336" width="8.5703125" style="50" customWidth="1"/>
    <col min="3337" max="3337" width="32.140625" style="50" customWidth="1"/>
    <col min="3338" max="3338" width="8" style="50" hidden="1" customWidth="1"/>
    <col min="3339" max="3582" width="9.140625" style="50"/>
    <col min="3583" max="3583" width="5.5703125" style="50" customWidth="1"/>
    <col min="3584" max="3584" width="32" style="50" customWidth="1"/>
    <col min="3585" max="3586" width="9.85546875" style="50" customWidth="1"/>
    <col min="3587" max="3588" width="9.42578125" style="50" customWidth="1"/>
    <col min="3589" max="3589" width="11.140625" style="50" customWidth="1"/>
    <col min="3590" max="3592" width="8.5703125" style="50" customWidth="1"/>
    <col min="3593" max="3593" width="32.140625" style="50" customWidth="1"/>
    <col min="3594" max="3594" width="8" style="50" hidden="1" customWidth="1"/>
    <col min="3595" max="3838" width="9.140625" style="50"/>
    <col min="3839" max="3839" width="5.5703125" style="50" customWidth="1"/>
    <col min="3840" max="3840" width="32" style="50" customWidth="1"/>
    <col min="3841" max="3842" width="9.85546875" style="50" customWidth="1"/>
    <col min="3843" max="3844" width="9.42578125" style="50" customWidth="1"/>
    <col min="3845" max="3845" width="11.140625" style="50" customWidth="1"/>
    <col min="3846" max="3848" width="8.5703125" style="50" customWidth="1"/>
    <col min="3849" max="3849" width="32.140625" style="50" customWidth="1"/>
    <col min="3850" max="3850" width="8" style="50" hidden="1" customWidth="1"/>
    <col min="3851" max="4094" width="9.140625" style="50"/>
    <col min="4095" max="4095" width="5.5703125" style="50" customWidth="1"/>
    <col min="4096" max="4096" width="32" style="50" customWidth="1"/>
    <col min="4097" max="4098" width="9.85546875" style="50" customWidth="1"/>
    <col min="4099" max="4100" width="9.42578125" style="50" customWidth="1"/>
    <col min="4101" max="4101" width="11.140625" style="50" customWidth="1"/>
    <col min="4102" max="4104" width="8.5703125" style="50" customWidth="1"/>
    <col min="4105" max="4105" width="32.140625" style="50" customWidth="1"/>
    <col min="4106" max="4106" width="8" style="50" hidden="1" customWidth="1"/>
    <col min="4107" max="4350" width="9.140625" style="50"/>
    <col min="4351" max="4351" width="5.5703125" style="50" customWidth="1"/>
    <col min="4352" max="4352" width="32" style="50" customWidth="1"/>
    <col min="4353" max="4354" width="9.85546875" style="50" customWidth="1"/>
    <col min="4355" max="4356" width="9.42578125" style="50" customWidth="1"/>
    <col min="4357" max="4357" width="11.140625" style="50" customWidth="1"/>
    <col min="4358" max="4360" width="8.5703125" style="50" customWidth="1"/>
    <col min="4361" max="4361" width="32.140625" style="50" customWidth="1"/>
    <col min="4362" max="4362" width="8" style="50" hidden="1" customWidth="1"/>
    <col min="4363" max="4606" width="9.140625" style="50"/>
    <col min="4607" max="4607" width="5.5703125" style="50" customWidth="1"/>
    <col min="4608" max="4608" width="32" style="50" customWidth="1"/>
    <col min="4609" max="4610" width="9.85546875" style="50" customWidth="1"/>
    <col min="4611" max="4612" width="9.42578125" style="50" customWidth="1"/>
    <col min="4613" max="4613" width="11.140625" style="50" customWidth="1"/>
    <col min="4614" max="4616" width="8.5703125" style="50" customWidth="1"/>
    <col min="4617" max="4617" width="32.140625" style="50" customWidth="1"/>
    <col min="4618" max="4618" width="8" style="50" hidden="1" customWidth="1"/>
    <col min="4619" max="4862" width="9.140625" style="50"/>
    <col min="4863" max="4863" width="5.5703125" style="50" customWidth="1"/>
    <col min="4864" max="4864" width="32" style="50" customWidth="1"/>
    <col min="4865" max="4866" width="9.85546875" style="50" customWidth="1"/>
    <col min="4867" max="4868" width="9.42578125" style="50" customWidth="1"/>
    <col min="4869" max="4869" width="11.140625" style="50" customWidth="1"/>
    <col min="4870" max="4872" width="8.5703125" style="50" customWidth="1"/>
    <col min="4873" max="4873" width="32.140625" style="50" customWidth="1"/>
    <col min="4874" max="4874" width="8" style="50" hidden="1" customWidth="1"/>
    <col min="4875" max="5118" width="9.140625" style="50"/>
    <col min="5119" max="5119" width="5.5703125" style="50" customWidth="1"/>
    <col min="5120" max="5120" width="32" style="50" customWidth="1"/>
    <col min="5121" max="5122" width="9.85546875" style="50" customWidth="1"/>
    <col min="5123" max="5124" width="9.42578125" style="50" customWidth="1"/>
    <col min="5125" max="5125" width="11.140625" style="50" customWidth="1"/>
    <col min="5126" max="5128" width="8.5703125" style="50" customWidth="1"/>
    <col min="5129" max="5129" width="32.140625" style="50" customWidth="1"/>
    <col min="5130" max="5130" width="8" style="50" hidden="1" customWidth="1"/>
    <col min="5131" max="5374" width="9.140625" style="50"/>
    <col min="5375" max="5375" width="5.5703125" style="50" customWidth="1"/>
    <col min="5376" max="5376" width="32" style="50" customWidth="1"/>
    <col min="5377" max="5378" width="9.85546875" style="50" customWidth="1"/>
    <col min="5379" max="5380" width="9.42578125" style="50" customWidth="1"/>
    <col min="5381" max="5381" width="11.140625" style="50" customWidth="1"/>
    <col min="5382" max="5384" width="8.5703125" style="50" customWidth="1"/>
    <col min="5385" max="5385" width="32.140625" style="50" customWidth="1"/>
    <col min="5386" max="5386" width="8" style="50" hidden="1" customWidth="1"/>
    <col min="5387" max="5630" width="9.140625" style="50"/>
    <col min="5631" max="5631" width="5.5703125" style="50" customWidth="1"/>
    <col min="5632" max="5632" width="32" style="50" customWidth="1"/>
    <col min="5633" max="5634" width="9.85546875" style="50" customWidth="1"/>
    <col min="5635" max="5636" width="9.42578125" style="50" customWidth="1"/>
    <col min="5637" max="5637" width="11.140625" style="50" customWidth="1"/>
    <col min="5638" max="5640" width="8.5703125" style="50" customWidth="1"/>
    <col min="5641" max="5641" width="32.140625" style="50" customWidth="1"/>
    <col min="5642" max="5642" width="8" style="50" hidden="1" customWidth="1"/>
    <col min="5643" max="5886" width="9.140625" style="50"/>
    <col min="5887" max="5887" width="5.5703125" style="50" customWidth="1"/>
    <col min="5888" max="5888" width="32" style="50" customWidth="1"/>
    <col min="5889" max="5890" width="9.85546875" style="50" customWidth="1"/>
    <col min="5891" max="5892" width="9.42578125" style="50" customWidth="1"/>
    <col min="5893" max="5893" width="11.140625" style="50" customWidth="1"/>
    <col min="5894" max="5896" width="8.5703125" style="50" customWidth="1"/>
    <col min="5897" max="5897" width="32.140625" style="50" customWidth="1"/>
    <col min="5898" max="5898" width="8" style="50" hidden="1" customWidth="1"/>
    <col min="5899" max="6142" width="9.140625" style="50"/>
    <col min="6143" max="6143" width="5.5703125" style="50" customWidth="1"/>
    <col min="6144" max="6144" width="32" style="50" customWidth="1"/>
    <col min="6145" max="6146" width="9.85546875" style="50" customWidth="1"/>
    <col min="6147" max="6148" width="9.42578125" style="50" customWidth="1"/>
    <col min="6149" max="6149" width="11.140625" style="50" customWidth="1"/>
    <col min="6150" max="6152" width="8.5703125" style="50" customWidth="1"/>
    <col min="6153" max="6153" width="32.140625" style="50" customWidth="1"/>
    <col min="6154" max="6154" width="8" style="50" hidden="1" customWidth="1"/>
    <col min="6155" max="6398" width="9.140625" style="50"/>
    <col min="6399" max="6399" width="5.5703125" style="50" customWidth="1"/>
    <col min="6400" max="6400" width="32" style="50" customWidth="1"/>
    <col min="6401" max="6402" width="9.85546875" style="50" customWidth="1"/>
    <col min="6403" max="6404" width="9.42578125" style="50" customWidth="1"/>
    <col min="6405" max="6405" width="11.140625" style="50" customWidth="1"/>
    <col min="6406" max="6408" width="8.5703125" style="50" customWidth="1"/>
    <col min="6409" max="6409" width="32.140625" style="50" customWidth="1"/>
    <col min="6410" max="6410" width="8" style="50" hidden="1" customWidth="1"/>
    <col min="6411" max="6654" width="9.140625" style="50"/>
    <col min="6655" max="6655" width="5.5703125" style="50" customWidth="1"/>
    <col min="6656" max="6656" width="32" style="50" customWidth="1"/>
    <col min="6657" max="6658" width="9.85546875" style="50" customWidth="1"/>
    <col min="6659" max="6660" width="9.42578125" style="50" customWidth="1"/>
    <col min="6661" max="6661" width="11.140625" style="50" customWidth="1"/>
    <col min="6662" max="6664" width="8.5703125" style="50" customWidth="1"/>
    <col min="6665" max="6665" width="32.140625" style="50" customWidth="1"/>
    <col min="6666" max="6666" width="8" style="50" hidden="1" customWidth="1"/>
    <col min="6667" max="6910" width="9.140625" style="50"/>
    <col min="6911" max="6911" width="5.5703125" style="50" customWidth="1"/>
    <col min="6912" max="6912" width="32" style="50" customWidth="1"/>
    <col min="6913" max="6914" width="9.85546875" style="50" customWidth="1"/>
    <col min="6915" max="6916" width="9.42578125" style="50" customWidth="1"/>
    <col min="6917" max="6917" width="11.140625" style="50" customWidth="1"/>
    <col min="6918" max="6920" width="8.5703125" style="50" customWidth="1"/>
    <col min="6921" max="6921" width="32.140625" style="50" customWidth="1"/>
    <col min="6922" max="6922" width="8" style="50" hidden="1" customWidth="1"/>
    <col min="6923" max="7166" width="9.140625" style="50"/>
    <col min="7167" max="7167" width="5.5703125" style="50" customWidth="1"/>
    <col min="7168" max="7168" width="32" style="50" customWidth="1"/>
    <col min="7169" max="7170" width="9.85546875" style="50" customWidth="1"/>
    <col min="7171" max="7172" width="9.42578125" style="50" customWidth="1"/>
    <col min="7173" max="7173" width="11.140625" style="50" customWidth="1"/>
    <col min="7174" max="7176" width="8.5703125" style="50" customWidth="1"/>
    <col min="7177" max="7177" width="32.140625" style="50" customWidth="1"/>
    <col min="7178" max="7178" width="8" style="50" hidden="1" customWidth="1"/>
    <col min="7179" max="7422" width="9.140625" style="50"/>
    <col min="7423" max="7423" width="5.5703125" style="50" customWidth="1"/>
    <col min="7424" max="7424" width="32" style="50" customWidth="1"/>
    <col min="7425" max="7426" width="9.85546875" style="50" customWidth="1"/>
    <col min="7427" max="7428" width="9.42578125" style="50" customWidth="1"/>
    <col min="7429" max="7429" width="11.140625" style="50" customWidth="1"/>
    <col min="7430" max="7432" width="8.5703125" style="50" customWidth="1"/>
    <col min="7433" max="7433" width="32.140625" style="50" customWidth="1"/>
    <col min="7434" max="7434" width="8" style="50" hidden="1" customWidth="1"/>
    <col min="7435" max="7678" width="9.140625" style="50"/>
    <col min="7679" max="7679" width="5.5703125" style="50" customWidth="1"/>
    <col min="7680" max="7680" width="32" style="50" customWidth="1"/>
    <col min="7681" max="7682" width="9.85546875" style="50" customWidth="1"/>
    <col min="7683" max="7684" width="9.42578125" style="50" customWidth="1"/>
    <col min="7685" max="7685" width="11.140625" style="50" customWidth="1"/>
    <col min="7686" max="7688" width="8.5703125" style="50" customWidth="1"/>
    <col min="7689" max="7689" width="32.140625" style="50" customWidth="1"/>
    <col min="7690" max="7690" width="8" style="50" hidden="1" customWidth="1"/>
    <col min="7691" max="7934" width="9.140625" style="50"/>
    <col min="7935" max="7935" width="5.5703125" style="50" customWidth="1"/>
    <col min="7936" max="7936" width="32" style="50" customWidth="1"/>
    <col min="7937" max="7938" width="9.85546875" style="50" customWidth="1"/>
    <col min="7939" max="7940" width="9.42578125" style="50" customWidth="1"/>
    <col min="7941" max="7941" width="11.140625" style="50" customWidth="1"/>
    <col min="7942" max="7944" width="8.5703125" style="50" customWidth="1"/>
    <col min="7945" max="7945" width="32.140625" style="50" customWidth="1"/>
    <col min="7946" max="7946" width="8" style="50" hidden="1" customWidth="1"/>
    <col min="7947" max="8190" width="9.140625" style="50"/>
    <col min="8191" max="8191" width="5.5703125" style="50" customWidth="1"/>
    <col min="8192" max="8192" width="32" style="50" customWidth="1"/>
    <col min="8193" max="8194" width="9.85546875" style="50" customWidth="1"/>
    <col min="8195" max="8196" width="9.42578125" style="50" customWidth="1"/>
    <col min="8197" max="8197" width="11.140625" style="50" customWidth="1"/>
    <col min="8198" max="8200" width="8.5703125" style="50" customWidth="1"/>
    <col min="8201" max="8201" width="32.140625" style="50" customWidth="1"/>
    <col min="8202" max="8202" width="8" style="50" hidden="1" customWidth="1"/>
    <col min="8203" max="8446" width="9.140625" style="50"/>
    <col min="8447" max="8447" width="5.5703125" style="50" customWidth="1"/>
    <col min="8448" max="8448" width="32" style="50" customWidth="1"/>
    <col min="8449" max="8450" width="9.85546875" style="50" customWidth="1"/>
    <col min="8451" max="8452" width="9.42578125" style="50" customWidth="1"/>
    <col min="8453" max="8453" width="11.140625" style="50" customWidth="1"/>
    <col min="8454" max="8456" width="8.5703125" style="50" customWidth="1"/>
    <col min="8457" max="8457" width="32.140625" style="50" customWidth="1"/>
    <col min="8458" max="8458" width="8" style="50" hidden="1" customWidth="1"/>
    <col min="8459" max="8702" width="9.140625" style="50"/>
    <col min="8703" max="8703" width="5.5703125" style="50" customWidth="1"/>
    <col min="8704" max="8704" width="32" style="50" customWidth="1"/>
    <col min="8705" max="8706" width="9.85546875" style="50" customWidth="1"/>
    <col min="8707" max="8708" width="9.42578125" style="50" customWidth="1"/>
    <col min="8709" max="8709" width="11.140625" style="50" customWidth="1"/>
    <col min="8710" max="8712" width="8.5703125" style="50" customWidth="1"/>
    <col min="8713" max="8713" width="32.140625" style="50" customWidth="1"/>
    <col min="8714" max="8714" width="8" style="50" hidden="1" customWidth="1"/>
    <col min="8715" max="8958" width="9.140625" style="50"/>
    <col min="8959" max="8959" width="5.5703125" style="50" customWidth="1"/>
    <col min="8960" max="8960" width="32" style="50" customWidth="1"/>
    <col min="8961" max="8962" width="9.85546875" style="50" customWidth="1"/>
    <col min="8963" max="8964" width="9.42578125" style="50" customWidth="1"/>
    <col min="8965" max="8965" width="11.140625" style="50" customWidth="1"/>
    <col min="8966" max="8968" width="8.5703125" style="50" customWidth="1"/>
    <col min="8969" max="8969" width="32.140625" style="50" customWidth="1"/>
    <col min="8970" max="8970" width="8" style="50" hidden="1" customWidth="1"/>
    <col min="8971" max="9214" width="9.140625" style="50"/>
    <col min="9215" max="9215" width="5.5703125" style="50" customWidth="1"/>
    <col min="9216" max="9216" width="32" style="50" customWidth="1"/>
    <col min="9217" max="9218" width="9.85546875" style="50" customWidth="1"/>
    <col min="9219" max="9220" width="9.42578125" style="50" customWidth="1"/>
    <col min="9221" max="9221" width="11.140625" style="50" customWidth="1"/>
    <col min="9222" max="9224" width="8.5703125" style="50" customWidth="1"/>
    <col min="9225" max="9225" width="32.140625" style="50" customWidth="1"/>
    <col min="9226" max="9226" width="8" style="50" hidden="1" customWidth="1"/>
    <col min="9227" max="9470" width="9.140625" style="50"/>
    <col min="9471" max="9471" width="5.5703125" style="50" customWidth="1"/>
    <col min="9472" max="9472" width="32" style="50" customWidth="1"/>
    <col min="9473" max="9474" width="9.85546875" style="50" customWidth="1"/>
    <col min="9475" max="9476" width="9.42578125" style="50" customWidth="1"/>
    <col min="9477" max="9477" width="11.140625" style="50" customWidth="1"/>
    <col min="9478" max="9480" width="8.5703125" style="50" customWidth="1"/>
    <col min="9481" max="9481" width="32.140625" style="50" customWidth="1"/>
    <col min="9482" max="9482" width="8" style="50" hidden="1" customWidth="1"/>
    <col min="9483" max="9726" width="9.140625" style="50"/>
    <col min="9727" max="9727" width="5.5703125" style="50" customWidth="1"/>
    <col min="9728" max="9728" width="32" style="50" customWidth="1"/>
    <col min="9729" max="9730" width="9.85546875" style="50" customWidth="1"/>
    <col min="9731" max="9732" width="9.42578125" style="50" customWidth="1"/>
    <col min="9733" max="9733" width="11.140625" style="50" customWidth="1"/>
    <col min="9734" max="9736" width="8.5703125" style="50" customWidth="1"/>
    <col min="9737" max="9737" width="32.140625" style="50" customWidth="1"/>
    <col min="9738" max="9738" width="8" style="50" hidden="1" customWidth="1"/>
    <col min="9739" max="9982" width="9.140625" style="50"/>
    <col min="9983" max="9983" width="5.5703125" style="50" customWidth="1"/>
    <col min="9984" max="9984" width="32" style="50" customWidth="1"/>
    <col min="9985" max="9986" width="9.85546875" style="50" customWidth="1"/>
    <col min="9987" max="9988" width="9.42578125" style="50" customWidth="1"/>
    <col min="9989" max="9989" width="11.140625" style="50" customWidth="1"/>
    <col min="9990" max="9992" width="8.5703125" style="50" customWidth="1"/>
    <col min="9993" max="9993" width="32.140625" style="50" customWidth="1"/>
    <col min="9994" max="9994" width="8" style="50" hidden="1" customWidth="1"/>
    <col min="9995" max="10238" width="9.140625" style="50"/>
    <col min="10239" max="10239" width="5.5703125" style="50" customWidth="1"/>
    <col min="10240" max="10240" width="32" style="50" customWidth="1"/>
    <col min="10241" max="10242" width="9.85546875" style="50" customWidth="1"/>
    <col min="10243" max="10244" width="9.42578125" style="50" customWidth="1"/>
    <col min="10245" max="10245" width="11.140625" style="50" customWidth="1"/>
    <col min="10246" max="10248" width="8.5703125" style="50" customWidth="1"/>
    <col min="10249" max="10249" width="32.140625" style="50" customWidth="1"/>
    <col min="10250" max="10250" width="8" style="50" hidden="1" customWidth="1"/>
    <col min="10251" max="10494" width="9.140625" style="50"/>
    <col min="10495" max="10495" width="5.5703125" style="50" customWidth="1"/>
    <col min="10496" max="10496" width="32" style="50" customWidth="1"/>
    <col min="10497" max="10498" width="9.85546875" style="50" customWidth="1"/>
    <col min="10499" max="10500" width="9.42578125" style="50" customWidth="1"/>
    <col min="10501" max="10501" width="11.140625" style="50" customWidth="1"/>
    <col min="10502" max="10504" width="8.5703125" style="50" customWidth="1"/>
    <col min="10505" max="10505" width="32.140625" style="50" customWidth="1"/>
    <col min="10506" max="10506" width="8" style="50" hidden="1" customWidth="1"/>
    <col min="10507" max="10750" width="9.140625" style="50"/>
    <col min="10751" max="10751" width="5.5703125" style="50" customWidth="1"/>
    <col min="10752" max="10752" width="32" style="50" customWidth="1"/>
    <col min="10753" max="10754" width="9.85546875" style="50" customWidth="1"/>
    <col min="10755" max="10756" width="9.42578125" style="50" customWidth="1"/>
    <col min="10757" max="10757" width="11.140625" style="50" customWidth="1"/>
    <col min="10758" max="10760" width="8.5703125" style="50" customWidth="1"/>
    <col min="10761" max="10761" width="32.140625" style="50" customWidth="1"/>
    <col min="10762" max="10762" width="8" style="50" hidden="1" customWidth="1"/>
    <col min="10763" max="11006" width="9.140625" style="50"/>
    <col min="11007" max="11007" width="5.5703125" style="50" customWidth="1"/>
    <col min="11008" max="11008" width="32" style="50" customWidth="1"/>
    <col min="11009" max="11010" width="9.85546875" style="50" customWidth="1"/>
    <col min="11011" max="11012" width="9.42578125" style="50" customWidth="1"/>
    <col min="11013" max="11013" width="11.140625" style="50" customWidth="1"/>
    <col min="11014" max="11016" width="8.5703125" style="50" customWidth="1"/>
    <col min="11017" max="11017" width="32.140625" style="50" customWidth="1"/>
    <col min="11018" max="11018" width="8" style="50" hidden="1" customWidth="1"/>
    <col min="11019" max="11262" width="9.140625" style="50"/>
    <col min="11263" max="11263" width="5.5703125" style="50" customWidth="1"/>
    <col min="11264" max="11264" width="32" style="50" customWidth="1"/>
    <col min="11265" max="11266" width="9.85546875" style="50" customWidth="1"/>
    <col min="11267" max="11268" width="9.42578125" style="50" customWidth="1"/>
    <col min="11269" max="11269" width="11.140625" style="50" customWidth="1"/>
    <col min="11270" max="11272" width="8.5703125" style="50" customWidth="1"/>
    <col min="11273" max="11273" width="32.140625" style="50" customWidth="1"/>
    <col min="11274" max="11274" width="8" style="50" hidden="1" customWidth="1"/>
    <col min="11275" max="11518" width="9.140625" style="50"/>
    <col min="11519" max="11519" width="5.5703125" style="50" customWidth="1"/>
    <col min="11520" max="11520" width="32" style="50" customWidth="1"/>
    <col min="11521" max="11522" width="9.85546875" style="50" customWidth="1"/>
    <col min="11523" max="11524" width="9.42578125" style="50" customWidth="1"/>
    <col min="11525" max="11525" width="11.140625" style="50" customWidth="1"/>
    <col min="11526" max="11528" width="8.5703125" style="50" customWidth="1"/>
    <col min="11529" max="11529" width="32.140625" style="50" customWidth="1"/>
    <col min="11530" max="11530" width="8" style="50" hidden="1" customWidth="1"/>
    <col min="11531" max="11774" width="9.140625" style="50"/>
    <col min="11775" max="11775" width="5.5703125" style="50" customWidth="1"/>
    <col min="11776" max="11776" width="32" style="50" customWidth="1"/>
    <col min="11777" max="11778" width="9.85546875" style="50" customWidth="1"/>
    <col min="11779" max="11780" width="9.42578125" style="50" customWidth="1"/>
    <col min="11781" max="11781" width="11.140625" style="50" customWidth="1"/>
    <col min="11782" max="11784" width="8.5703125" style="50" customWidth="1"/>
    <col min="11785" max="11785" width="32.140625" style="50" customWidth="1"/>
    <col min="11786" max="11786" width="8" style="50" hidden="1" customWidth="1"/>
    <col min="11787" max="12030" width="9.140625" style="50"/>
    <col min="12031" max="12031" width="5.5703125" style="50" customWidth="1"/>
    <col min="12032" max="12032" width="32" style="50" customWidth="1"/>
    <col min="12033" max="12034" width="9.85546875" style="50" customWidth="1"/>
    <col min="12035" max="12036" width="9.42578125" style="50" customWidth="1"/>
    <col min="12037" max="12037" width="11.140625" style="50" customWidth="1"/>
    <col min="12038" max="12040" width="8.5703125" style="50" customWidth="1"/>
    <col min="12041" max="12041" width="32.140625" style="50" customWidth="1"/>
    <col min="12042" max="12042" width="8" style="50" hidden="1" customWidth="1"/>
    <col min="12043" max="12286" width="9.140625" style="50"/>
    <col min="12287" max="12287" width="5.5703125" style="50" customWidth="1"/>
    <col min="12288" max="12288" width="32" style="50" customWidth="1"/>
    <col min="12289" max="12290" width="9.85546875" style="50" customWidth="1"/>
    <col min="12291" max="12292" width="9.42578125" style="50" customWidth="1"/>
    <col min="12293" max="12293" width="11.140625" style="50" customWidth="1"/>
    <col min="12294" max="12296" width="8.5703125" style="50" customWidth="1"/>
    <col min="12297" max="12297" width="32.140625" style="50" customWidth="1"/>
    <col min="12298" max="12298" width="8" style="50" hidden="1" customWidth="1"/>
    <col min="12299" max="12542" width="9.140625" style="50"/>
    <col min="12543" max="12543" width="5.5703125" style="50" customWidth="1"/>
    <col min="12544" max="12544" width="32" style="50" customWidth="1"/>
    <col min="12545" max="12546" width="9.85546875" style="50" customWidth="1"/>
    <col min="12547" max="12548" width="9.42578125" style="50" customWidth="1"/>
    <col min="12549" max="12549" width="11.140625" style="50" customWidth="1"/>
    <col min="12550" max="12552" width="8.5703125" style="50" customWidth="1"/>
    <col min="12553" max="12553" width="32.140625" style="50" customWidth="1"/>
    <col min="12554" max="12554" width="8" style="50" hidden="1" customWidth="1"/>
    <col min="12555" max="12798" width="9.140625" style="50"/>
    <col min="12799" max="12799" width="5.5703125" style="50" customWidth="1"/>
    <col min="12800" max="12800" width="32" style="50" customWidth="1"/>
    <col min="12801" max="12802" width="9.85546875" style="50" customWidth="1"/>
    <col min="12803" max="12804" width="9.42578125" style="50" customWidth="1"/>
    <col min="12805" max="12805" width="11.140625" style="50" customWidth="1"/>
    <col min="12806" max="12808" width="8.5703125" style="50" customWidth="1"/>
    <col min="12809" max="12809" width="32.140625" style="50" customWidth="1"/>
    <col min="12810" max="12810" width="8" style="50" hidden="1" customWidth="1"/>
    <col min="12811" max="13054" width="9.140625" style="50"/>
    <col min="13055" max="13055" width="5.5703125" style="50" customWidth="1"/>
    <col min="13056" max="13056" width="32" style="50" customWidth="1"/>
    <col min="13057" max="13058" width="9.85546875" style="50" customWidth="1"/>
    <col min="13059" max="13060" width="9.42578125" style="50" customWidth="1"/>
    <col min="13061" max="13061" width="11.140625" style="50" customWidth="1"/>
    <col min="13062" max="13064" width="8.5703125" style="50" customWidth="1"/>
    <col min="13065" max="13065" width="32.140625" style="50" customWidth="1"/>
    <col min="13066" max="13066" width="8" style="50" hidden="1" customWidth="1"/>
    <col min="13067" max="13310" width="9.140625" style="50"/>
    <col min="13311" max="13311" width="5.5703125" style="50" customWidth="1"/>
    <col min="13312" max="13312" width="32" style="50" customWidth="1"/>
    <col min="13313" max="13314" width="9.85546875" style="50" customWidth="1"/>
    <col min="13315" max="13316" width="9.42578125" style="50" customWidth="1"/>
    <col min="13317" max="13317" width="11.140625" style="50" customWidth="1"/>
    <col min="13318" max="13320" width="8.5703125" style="50" customWidth="1"/>
    <col min="13321" max="13321" width="32.140625" style="50" customWidth="1"/>
    <col min="13322" max="13322" width="8" style="50" hidden="1" customWidth="1"/>
    <col min="13323" max="13566" width="9.140625" style="50"/>
    <col min="13567" max="13567" width="5.5703125" style="50" customWidth="1"/>
    <col min="13568" max="13568" width="32" style="50" customWidth="1"/>
    <col min="13569" max="13570" width="9.85546875" style="50" customWidth="1"/>
    <col min="13571" max="13572" width="9.42578125" style="50" customWidth="1"/>
    <col min="13573" max="13573" width="11.140625" style="50" customWidth="1"/>
    <col min="13574" max="13576" width="8.5703125" style="50" customWidth="1"/>
    <col min="13577" max="13577" width="32.140625" style="50" customWidth="1"/>
    <col min="13578" max="13578" width="8" style="50" hidden="1" customWidth="1"/>
    <col min="13579" max="13822" width="9.140625" style="50"/>
    <col min="13823" max="13823" width="5.5703125" style="50" customWidth="1"/>
    <col min="13824" max="13824" width="32" style="50" customWidth="1"/>
    <col min="13825" max="13826" width="9.85546875" style="50" customWidth="1"/>
    <col min="13827" max="13828" width="9.42578125" style="50" customWidth="1"/>
    <col min="13829" max="13829" width="11.140625" style="50" customWidth="1"/>
    <col min="13830" max="13832" width="8.5703125" style="50" customWidth="1"/>
    <col min="13833" max="13833" width="32.140625" style="50" customWidth="1"/>
    <col min="13834" max="13834" width="8" style="50" hidden="1" customWidth="1"/>
    <col min="13835" max="14078" width="9.140625" style="50"/>
    <col min="14079" max="14079" width="5.5703125" style="50" customWidth="1"/>
    <col min="14080" max="14080" width="32" style="50" customWidth="1"/>
    <col min="14081" max="14082" width="9.85546875" style="50" customWidth="1"/>
    <col min="14083" max="14084" width="9.42578125" style="50" customWidth="1"/>
    <col min="14085" max="14085" width="11.140625" style="50" customWidth="1"/>
    <col min="14086" max="14088" width="8.5703125" style="50" customWidth="1"/>
    <col min="14089" max="14089" width="32.140625" style="50" customWidth="1"/>
    <col min="14090" max="14090" width="8" style="50" hidden="1" customWidth="1"/>
    <col min="14091" max="14334" width="9.140625" style="50"/>
    <col min="14335" max="14335" width="5.5703125" style="50" customWidth="1"/>
    <col min="14336" max="14336" width="32" style="50" customWidth="1"/>
    <col min="14337" max="14338" width="9.85546875" style="50" customWidth="1"/>
    <col min="14339" max="14340" width="9.42578125" style="50" customWidth="1"/>
    <col min="14341" max="14341" width="11.140625" style="50" customWidth="1"/>
    <col min="14342" max="14344" width="8.5703125" style="50" customWidth="1"/>
    <col min="14345" max="14345" width="32.140625" style="50" customWidth="1"/>
    <col min="14346" max="14346" width="8" style="50" hidden="1" customWidth="1"/>
    <col min="14347" max="14590" width="9.140625" style="50"/>
    <col min="14591" max="14591" width="5.5703125" style="50" customWidth="1"/>
    <col min="14592" max="14592" width="32" style="50" customWidth="1"/>
    <col min="14593" max="14594" width="9.85546875" style="50" customWidth="1"/>
    <col min="14595" max="14596" width="9.42578125" style="50" customWidth="1"/>
    <col min="14597" max="14597" width="11.140625" style="50" customWidth="1"/>
    <col min="14598" max="14600" width="8.5703125" style="50" customWidth="1"/>
    <col min="14601" max="14601" width="32.140625" style="50" customWidth="1"/>
    <col min="14602" max="14602" width="8" style="50" hidden="1" customWidth="1"/>
    <col min="14603" max="14846" width="9.140625" style="50"/>
    <col min="14847" max="14847" width="5.5703125" style="50" customWidth="1"/>
    <col min="14848" max="14848" width="32" style="50" customWidth="1"/>
    <col min="14849" max="14850" width="9.85546875" style="50" customWidth="1"/>
    <col min="14851" max="14852" width="9.42578125" style="50" customWidth="1"/>
    <col min="14853" max="14853" width="11.140625" style="50" customWidth="1"/>
    <col min="14854" max="14856" width="8.5703125" style="50" customWidth="1"/>
    <col min="14857" max="14857" width="32.140625" style="50" customWidth="1"/>
    <col min="14858" max="14858" width="8" style="50" hidden="1" customWidth="1"/>
    <col min="14859" max="15102" width="9.140625" style="50"/>
    <col min="15103" max="15103" width="5.5703125" style="50" customWidth="1"/>
    <col min="15104" max="15104" width="32" style="50" customWidth="1"/>
    <col min="15105" max="15106" width="9.85546875" style="50" customWidth="1"/>
    <col min="15107" max="15108" width="9.42578125" style="50" customWidth="1"/>
    <col min="15109" max="15109" width="11.140625" style="50" customWidth="1"/>
    <col min="15110" max="15112" width="8.5703125" style="50" customWidth="1"/>
    <col min="15113" max="15113" width="32.140625" style="50" customWidth="1"/>
    <col min="15114" max="15114" width="8" style="50" hidden="1" customWidth="1"/>
    <col min="15115" max="15358" width="9.140625" style="50"/>
    <col min="15359" max="15359" width="5.5703125" style="50" customWidth="1"/>
    <col min="15360" max="15360" width="32" style="50" customWidth="1"/>
    <col min="15361" max="15362" width="9.85546875" style="50" customWidth="1"/>
    <col min="15363" max="15364" width="9.42578125" style="50" customWidth="1"/>
    <col min="15365" max="15365" width="11.140625" style="50" customWidth="1"/>
    <col min="15366" max="15368" width="8.5703125" style="50" customWidth="1"/>
    <col min="15369" max="15369" width="32.140625" style="50" customWidth="1"/>
    <col min="15370" max="15370" width="8" style="50" hidden="1" customWidth="1"/>
    <col min="15371" max="15614" width="9.140625" style="50"/>
    <col min="15615" max="15615" width="5.5703125" style="50" customWidth="1"/>
    <col min="15616" max="15616" width="32" style="50" customWidth="1"/>
    <col min="15617" max="15618" width="9.85546875" style="50" customWidth="1"/>
    <col min="15619" max="15620" width="9.42578125" style="50" customWidth="1"/>
    <col min="15621" max="15621" width="11.140625" style="50" customWidth="1"/>
    <col min="15622" max="15624" width="8.5703125" style="50" customWidth="1"/>
    <col min="15625" max="15625" width="32.140625" style="50" customWidth="1"/>
    <col min="15626" max="15626" width="8" style="50" hidden="1" customWidth="1"/>
    <col min="15627" max="15870" width="9.140625" style="50"/>
    <col min="15871" max="15871" width="5.5703125" style="50" customWidth="1"/>
    <col min="15872" max="15872" width="32" style="50" customWidth="1"/>
    <col min="15873" max="15874" width="9.85546875" style="50" customWidth="1"/>
    <col min="15875" max="15876" width="9.42578125" style="50" customWidth="1"/>
    <col min="15877" max="15877" width="11.140625" style="50" customWidth="1"/>
    <col min="15878" max="15880" width="8.5703125" style="50" customWidth="1"/>
    <col min="15881" max="15881" width="32.140625" style="50" customWidth="1"/>
    <col min="15882" max="15882" width="8" style="50" hidden="1" customWidth="1"/>
    <col min="15883" max="16126" width="9.140625" style="50"/>
    <col min="16127" max="16127" width="5.5703125" style="50" customWidth="1"/>
    <col min="16128" max="16128" width="32" style="50" customWidth="1"/>
    <col min="16129" max="16130" width="9.85546875" style="50" customWidth="1"/>
    <col min="16131" max="16132" width="9.42578125" style="50" customWidth="1"/>
    <col min="16133" max="16133" width="11.140625" style="50" customWidth="1"/>
    <col min="16134" max="16136" width="8.5703125" style="50" customWidth="1"/>
    <col min="16137" max="16137" width="32.140625" style="50" customWidth="1"/>
    <col min="16138" max="16138" width="8" style="50" hidden="1" customWidth="1"/>
    <col min="16139" max="16384" width="9.140625" style="50"/>
  </cols>
  <sheetData>
    <row r="1" spans="1:15" ht="40.5" customHeight="1" x14ac:dyDescent="0.25">
      <c r="A1" s="436" t="s">
        <v>543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</row>
    <row r="2" spans="1:15" ht="13.5" thickBot="1" x14ac:dyDescent="0.3">
      <c r="B2" s="51"/>
      <c r="C2" s="51"/>
      <c r="D2" s="52"/>
      <c r="E2" s="52"/>
      <c r="F2" s="53"/>
      <c r="G2" s="53"/>
      <c r="H2" s="53"/>
      <c r="I2" s="53"/>
      <c r="J2" s="53"/>
      <c r="K2" s="52" t="s">
        <v>57</v>
      </c>
    </row>
    <row r="3" spans="1:15" ht="24.75" customHeight="1" x14ac:dyDescent="0.25">
      <c r="A3" s="437" t="s">
        <v>0</v>
      </c>
      <c r="B3" s="439" t="s">
        <v>72</v>
      </c>
      <c r="C3" s="396"/>
      <c r="D3" s="441" t="s">
        <v>93</v>
      </c>
      <c r="E3" s="443" t="s">
        <v>94</v>
      </c>
      <c r="F3" s="443" t="s">
        <v>73</v>
      </c>
      <c r="G3" s="441" t="s">
        <v>95</v>
      </c>
      <c r="H3" s="446" t="s">
        <v>559</v>
      </c>
      <c r="I3" s="447"/>
      <c r="J3" s="448"/>
      <c r="K3" s="449" t="s">
        <v>74</v>
      </c>
    </row>
    <row r="4" spans="1:15" ht="21" customHeight="1" x14ac:dyDescent="0.25">
      <c r="A4" s="438"/>
      <c r="B4" s="440"/>
      <c r="C4" s="397"/>
      <c r="D4" s="442"/>
      <c r="E4" s="444"/>
      <c r="F4" s="444"/>
      <c r="G4" s="445"/>
      <c r="H4" s="54" t="s">
        <v>75</v>
      </c>
      <c r="I4" s="55" t="s">
        <v>96</v>
      </c>
      <c r="J4" s="55" t="s">
        <v>76</v>
      </c>
      <c r="K4" s="450"/>
    </row>
    <row r="5" spans="1:15" s="56" customFormat="1" ht="18" customHeight="1" x14ac:dyDescent="0.25">
      <c r="A5" s="433" t="s">
        <v>309</v>
      </c>
      <c r="B5" s="434"/>
      <c r="C5" s="434"/>
      <c r="D5" s="434"/>
      <c r="E5" s="434"/>
      <c r="F5" s="434"/>
      <c r="G5" s="434"/>
      <c r="H5" s="434"/>
      <c r="I5" s="434"/>
      <c r="J5" s="434"/>
      <c r="K5" s="435"/>
    </row>
    <row r="6" spans="1:15" s="56" customFormat="1" ht="34.5" customHeight="1" x14ac:dyDescent="0.25">
      <c r="A6" s="57">
        <v>15</v>
      </c>
      <c r="B6" s="58" t="s">
        <v>97</v>
      </c>
      <c r="C6" s="59" t="s">
        <v>98</v>
      </c>
      <c r="D6" s="60">
        <v>2990</v>
      </c>
      <c r="E6" s="60">
        <v>0</v>
      </c>
      <c r="F6" s="60">
        <v>831</v>
      </c>
      <c r="G6" s="61">
        <v>100</v>
      </c>
      <c r="H6" s="60">
        <v>0</v>
      </c>
      <c r="I6" s="60">
        <v>0</v>
      </c>
      <c r="J6" s="62">
        <v>0</v>
      </c>
      <c r="K6" s="63" t="s">
        <v>99</v>
      </c>
      <c r="L6" s="64"/>
      <c r="N6" s="78"/>
      <c r="O6" s="78"/>
    </row>
    <row r="7" spans="1:15" s="56" customFormat="1" ht="34.5" customHeight="1" x14ac:dyDescent="0.25">
      <c r="A7" s="57">
        <v>17</v>
      </c>
      <c r="B7" s="58" t="s">
        <v>100</v>
      </c>
      <c r="C7" s="59">
        <v>3396</v>
      </c>
      <c r="D7" s="60">
        <v>4900</v>
      </c>
      <c r="E7" s="60">
        <v>0</v>
      </c>
      <c r="F7" s="60">
        <v>794</v>
      </c>
      <c r="G7" s="61">
        <v>636</v>
      </c>
      <c r="H7" s="60">
        <v>20</v>
      </c>
      <c r="I7" s="60">
        <v>0</v>
      </c>
      <c r="J7" s="62">
        <v>0</v>
      </c>
      <c r="K7" s="63" t="s">
        <v>99</v>
      </c>
      <c r="L7" s="64"/>
      <c r="N7" s="78"/>
      <c r="O7" s="78"/>
    </row>
    <row r="8" spans="1:15" s="56" customFormat="1" ht="34.5" customHeight="1" x14ac:dyDescent="0.25">
      <c r="A8" s="57">
        <v>18</v>
      </c>
      <c r="B8" s="58" t="s">
        <v>101</v>
      </c>
      <c r="C8" s="59">
        <v>3311</v>
      </c>
      <c r="D8" s="60">
        <v>5070</v>
      </c>
      <c r="E8" s="60">
        <v>1417.26</v>
      </c>
      <c r="F8" s="60">
        <v>2599</v>
      </c>
      <c r="G8" s="61">
        <v>121</v>
      </c>
      <c r="H8" s="60">
        <v>0</v>
      </c>
      <c r="I8" s="60">
        <v>0</v>
      </c>
      <c r="J8" s="62">
        <v>0</v>
      </c>
      <c r="K8" s="63" t="s">
        <v>99</v>
      </c>
      <c r="L8" s="64"/>
      <c r="N8" s="78"/>
      <c r="O8" s="78"/>
    </row>
    <row r="9" spans="1:15" s="56" customFormat="1" ht="24" customHeight="1" x14ac:dyDescent="0.25">
      <c r="A9" s="57">
        <v>19</v>
      </c>
      <c r="B9" s="58" t="s">
        <v>102</v>
      </c>
      <c r="C9" s="59" t="s">
        <v>103</v>
      </c>
      <c r="D9" s="60">
        <v>14000</v>
      </c>
      <c r="E9" s="60">
        <v>493</v>
      </c>
      <c r="F9" s="60">
        <f>2757-2150</f>
        <v>607</v>
      </c>
      <c r="G9" s="61">
        <f>10750+2150</f>
        <v>12900</v>
      </c>
      <c r="H9" s="60">
        <v>0</v>
      </c>
      <c r="I9" s="60">
        <v>0</v>
      </c>
      <c r="J9" s="62">
        <v>0</v>
      </c>
      <c r="K9" s="63" t="s">
        <v>80</v>
      </c>
      <c r="L9" s="64"/>
      <c r="N9" s="78"/>
      <c r="O9" s="78"/>
    </row>
    <row r="10" spans="1:15" s="56" customFormat="1" ht="24" customHeight="1" x14ac:dyDescent="0.25">
      <c r="A10" s="57">
        <v>21</v>
      </c>
      <c r="B10" s="58" t="s">
        <v>104</v>
      </c>
      <c r="C10" s="59">
        <v>3255</v>
      </c>
      <c r="D10" s="60">
        <v>52000</v>
      </c>
      <c r="E10" s="60">
        <v>188</v>
      </c>
      <c r="F10" s="60">
        <f>15512-12600</f>
        <v>2912</v>
      </c>
      <c r="G10" s="61">
        <f>36300+12600</f>
        <v>48900</v>
      </c>
      <c r="H10" s="60">
        <v>0</v>
      </c>
      <c r="I10" s="60">
        <v>0</v>
      </c>
      <c r="J10" s="62">
        <v>0</v>
      </c>
      <c r="K10" s="63" t="s">
        <v>80</v>
      </c>
      <c r="L10" s="64"/>
      <c r="N10" s="78"/>
      <c r="O10" s="78"/>
    </row>
    <row r="11" spans="1:15" s="56" customFormat="1" ht="34.5" customHeight="1" x14ac:dyDescent="0.25">
      <c r="A11" s="57">
        <v>22</v>
      </c>
      <c r="B11" s="58" t="s">
        <v>105</v>
      </c>
      <c r="C11" s="59">
        <v>3309</v>
      </c>
      <c r="D11" s="60">
        <v>10199</v>
      </c>
      <c r="E11" s="60">
        <v>0</v>
      </c>
      <c r="F11" s="60">
        <v>3195</v>
      </c>
      <c r="G11" s="61">
        <v>5200</v>
      </c>
      <c r="H11" s="60">
        <v>0</v>
      </c>
      <c r="I11" s="60">
        <v>0</v>
      </c>
      <c r="J11" s="62">
        <v>0</v>
      </c>
      <c r="K11" s="63" t="s">
        <v>99</v>
      </c>
      <c r="L11" s="64"/>
      <c r="N11" s="78"/>
      <c r="O11" s="78"/>
    </row>
    <row r="12" spans="1:15" s="56" customFormat="1" ht="26.25" customHeight="1" x14ac:dyDescent="0.25">
      <c r="A12" s="427" t="s">
        <v>310</v>
      </c>
      <c r="B12" s="428"/>
      <c r="C12" s="398"/>
      <c r="D12" s="65">
        <f t="shared" ref="D12:J12" si="0">SUM(D6:D11)</f>
        <v>89159</v>
      </c>
      <c r="E12" s="65">
        <f t="shared" si="0"/>
        <v>2098.2600000000002</v>
      </c>
      <c r="F12" s="65">
        <f t="shared" si="0"/>
        <v>10938</v>
      </c>
      <c r="G12" s="65">
        <f t="shared" si="0"/>
        <v>67857</v>
      </c>
      <c r="H12" s="65">
        <f t="shared" si="0"/>
        <v>20</v>
      </c>
      <c r="I12" s="65">
        <f t="shared" si="0"/>
        <v>0</v>
      </c>
      <c r="J12" s="65">
        <f t="shared" si="0"/>
        <v>0</v>
      </c>
      <c r="K12" s="66"/>
      <c r="N12" s="78"/>
      <c r="O12" s="78"/>
    </row>
    <row r="13" spans="1:15" s="56" customFormat="1" ht="18" customHeight="1" x14ac:dyDescent="0.25">
      <c r="A13" s="433" t="s">
        <v>78</v>
      </c>
      <c r="B13" s="434"/>
      <c r="C13" s="434"/>
      <c r="D13" s="434"/>
      <c r="E13" s="434"/>
      <c r="F13" s="434"/>
      <c r="G13" s="434"/>
      <c r="H13" s="434"/>
      <c r="I13" s="434"/>
      <c r="J13" s="434"/>
      <c r="K13" s="435"/>
      <c r="N13" s="78"/>
      <c r="O13" s="78"/>
    </row>
    <row r="14" spans="1:15" s="56" customFormat="1" ht="24" customHeight="1" x14ac:dyDescent="0.25">
      <c r="A14" s="57">
        <v>45</v>
      </c>
      <c r="B14" s="58" t="s">
        <v>106</v>
      </c>
      <c r="C14" s="59" t="s">
        <v>107</v>
      </c>
      <c r="D14" s="60">
        <v>89000</v>
      </c>
      <c r="E14" s="60">
        <v>0</v>
      </c>
      <c r="F14" s="60">
        <v>400</v>
      </c>
      <c r="G14" s="61">
        <v>600</v>
      </c>
      <c r="H14" s="60">
        <v>75000</v>
      </c>
      <c r="I14" s="60">
        <v>13000</v>
      </c>
      <c r="J14" s="60">
        <v>0</v>
      </c>
      <c r="K14" s="63" t="s">
        <v>80</v>
      </c>
      <c r="N14" s="78"/>
      <c r="O14" s="78"/>
    </row>
    <row r="15" spans="1:15" s="56" customFormat="1" ht="24" customHeight="1" x14ac:dyDescent="0.25">
      <c r="A15" s="57">
        <v>46</v>
      </c>
      <c r="B15" s="58" t="s">
        <v>108</v>
      </c>
      <c r="C15" s="59" t="s">
        <v>109</v>
      </c>
      <c r="D15" s="60">
        <v>84080</v>
      </c>
      <c r="E15" s="60">
        <v>0</v>
      </c>
      <c r="F15" s="60">
        <v>452</v>
      </c>
      <c r="G15" s="61">
        <v>51000</v>
      </c>
      <c r="H15" s="60">
        <v>0</v>
      </c>
      <c r="I15" s="60">
        <v>32628</v>
      </c>
      <c r="J15" s="62">
        <v>0</v>
      </c>
      <c r="K15" s="63" t="s">
        <v>80</v>
      </c>
      <c r="N15" s="78"/>
      <c r="O15" s="78"/>
    </row>
    <row r="16" spans="1:15" s="56" customFormat="1" ht="34.5" customHeight="1" x14ac:dyDescent="0.25">
      <c r="A16" s="68">
        <v>47</v>
      </c>
      <c r="B16" s="58" t="s">
        <v>544</v>
      </c>
      <c r="C16" s="71">
        <v>3397</v>
      </c>
      <c r="D16" s="60">
        <v>51000</v>
      </c>
      <c r="E16" s="60">
        <v>0</v>
      </c>
      <c r="F16" s="60">
        <v>0</v>
      </c>
      <c r="G16" s="61">
        <v>1000</v>
      </c>
      <c r="H16" s="60">
        <v>50000</v>
      </c>
      <c r="I16" s="60">
        <v>0</v>
      </c>
      <c r="J16" s="62">
        <v>0</v>
      </c>
      <c r="K16" s="63" t="s">
        <v>80</v>
      </c>
      <c r="L16" s="399"/>
      <c r="N16" s="78"/>
      <c r="O16" s="78"/>
    </row>
    <row r="17" spans="1:15" s="56" customFormat="1" ht="15.75" customHeight="1" x14ac:dyDescent="0.25">
      <c r="A17" s="429" t="s">
        <v>79</v>
      </c>
      <c r="B17" s="430"/>
      <c r="C17" s="398"/>
      <c r="D17" s="67">
        <f>SUM(D14:D16)</f>
        <v>224080</v>
      </c>
      <c r="E17" s="67">
        <f t="shared" ref="E17:J17" si="1">SUM(E14:E16)</f>
        <v>0</v>
      </c>
      <c r="F17" s="67">
        <f t="shared" si="1"/>
        <v>852</v>
      </c>
      <c r="G17" s="67">
        <f t="shared" si="1"/>
        <v>52600</v>
      </c>
      <c r="H17" s="67">
        <f t="shared" si="1"/>
        <v>125000</v>
      </c>
      <c r="I17" s="67">
        <f t="shared" si="1"/>
        <v>45628</v>
      </c>
      <c r="J17" s="67">
        <f t="shared" si="1"/>
        <v>0</v>
      </c>
      <c r="K17" s="66"/>
      <c r="N17" s="78"/>
      <c r="O17" s="78"/>
    </row>
    <row r="18" spans="1:15" s="56" customFormat="1" ht="18" customHeight="1" x14ac:dyDescent="0.25">
      <c r="A18" s="451" t="s">
        <v>110</v>
      </c>
      <c r="B18" s="452"/>
      <c r="C18" s="452"/>
      <c r="D18" s="452"/>
      <c r="E18" s="452"/>
      <c r="F18" s="452"/>
      <c r="G18" s="452"/>
      <c r="H18" s="452"/>
      <c r="I18" s="452"/>
      <c r="J18" s="452"/>
      <c r="K18" s="453"/>
      <c r="N18" s="78"/>
      <c r="O18" s="78"/>
    </row>
    <row r="19" spans="1:15" s="56" customFormat="1" ht="15" customHeight="1" x14ac:dyDescent="0.25">
      <c r="A19" s="68">
        <v>85</v>
      </c>
      <c r="B19" s="58" t="s">
        <v>111</v>
      </c>
      <c r="C19" s="59">
        <v>3317</v>
      </c>
      <c r="D19" s="60">
        <v>275000</v>
      </c>
      <c r="E19" s="60">
        <v>0</v>
      </c>
      <c r="F19" s="60">
        <v>500</v>
      </c>
      <c r="G19" s="61">
        <v>70000</v>
      </c>
      <c r="H19" s="60">
        <v>204500</v>
      </c>
      <c r="I19" s="60">
        <v>0</v>
      </c>
      <c r="J19" s="60">
        <v>0</v>
      </c>
      <c r="K19" s="63" t="s">
        <v>80</v>
      </c>
      <c r="L19" s="69"/>
      <c r="N19" s="78"/>
      <c r="O19" s="78"/>
    </row>
    <row r="20" spans="1:15" s="56" customFormat="1" ht="24" customHeight="1" x14ac:dyDescent="0.25">
      <c r="A20" s="57">
        <v>86</v>
      </c>
      <c r="B20" s="58" t="s">
        <v>545</v>
      </c>
      <c r="C20" s="59">
        <v>3363</v>
      </c>
      <c r="D20" s="60">
        <v>29000</v>
      </c>
      <c r="E20" s="60">
        <v>0</v>
      </c>
      <c r="F20" s="60">
        <v>500</v>
      </c>
      <c r="G20" s="61">
        <v>28500</v>
      </c>
      <c r="H20" s="60">
        <v>0</v>
      </c>
      <c r="I20" s="60">
        <v>0</v>
      </c>
      <c r="J20" s="60">
        <v>0</v>
      </c>
      <c r="K20" s="63" t="s">
        <v>80</v>
      </c>
      <c r="N20" s="78"/>
      <c r="O20" s="78"/>
    </row>
    <row r="21" spans="1:15" s="56" customFormat="1" ht="34.5" customHeight="1" x14ac:dyDescent="0.25">
      <c r="A21" s="57">
        <v>87</v>
      </c>
      <c r="B21" s="58" t="s">
        <v>546</v>
      </c>
      <c r="C21" s="59">
        <v>3362</v>
      </c>
      <c r="D21" s="60">
        <v>81000</v>
      </c>
      <c r="E21" s="60">
        <v>0</v>
      </c>
      <c r="F21" s="60">
        <v>500</v>
      </c>
      <c r="G21" s="61">
        <v>80500</v>
      </c>
      <c r="H21" s="60">
        <v>0</v>
      </c>
      <c r="I21" s="60">
        <v>0</v>
      </c>
      <c r="J21" s="60">
        <v>0</v>
      </c>
      <c r="K21" s="63" t="s">
        <v>80</v>
      </c>
      <c r="N21" s="78"/>
      <c r="O21" s="78"/>
    </row>
    <row r="22" spans="1:15" s="56" customFormat="1" ht="24" customHeight="1" x14ac:dyDescent="0.25">
      <c r="A22" s="57">
        <v>88</v>
      </c>
      <c r="B22" s="58" t="s">
        <v>114</v>
      </c>
      <c r="C22" s="59">
        <v>3367</v>
      </c>
      <c r="D22" s="60">
        <v>43400</v>
      </c>
      <c r="E22" s="60">
        <v>0</v>
      </c>
      <c r="F22" s="60">
        <v>500</v>
      </c>
      <c r="G22" s="61">
        <v>42900</v>
      </c>
      <c r="H22" s="60">
        <v>0</v>
      </c>
      <c r="I22" s="60">
        <v>0</v>
      </c>
      <c r="J22" s="60">
        <v>0</v>
      </c>
      <c r="K22" s="63" t="s">
        <v>80</v>
      </c>
      <c r="N22" s="78"/>
      <c r="O22" s="78"/>
    </row>
    <row r="23" spans="1:15" s="56" customFormat="1" ht="15" customHeight="1" x14ac:dyDescent="0.25">
      <c r="A23" s="68">
        <v>89</v>
      </c>
      <c r="B23" s="58" t="s">
        <v>115</v>
      </c>
      <c r="C23" s="59">
        <v>3368</v>
      </c>
      <c r="D23" s="60">
        <v>56500</v>
      </c>
      <c r="E23" s="60">
        <v>0</v>
      </c>
      <c r="F23" s="60">
        <v>500</v>
      </c>
      <c r="G23" s="61">
        <v>56000</v>
      </c>
      <c r="H23" s="60">
        <v>0</v>
      </c>
      <c r="I23" s="60">
        <v>0</v>
      </c>
      <c r="J23" s="60">
        <v>0</v>
      </c>
      <c r="K23" s="63" t="s">
        <v>80</v>
      </c>
      <c r="L23" s="69"/>
      <c r="N23" s="78"/>
      <c r="O23" s="78"/>
    </row>
    <row r="24" spans="1:15" s="56" customFormat="1" ht="24" customHeight="1" x14ac:dyDescent="0.25">
      <c r="A24" s="68">
        <v>90</v>
      </c>
      <c r="B24" s="58" t="s">
        <v>116</v>
      </c>
      <c r="C24" s="59">
        <v>3323</v>
      </c>
      <c r="D24" s="60">
        <v>51500</v>
      </c>
      <c r="E24" s="60">
        <v>0</v>
      </c>
      <c r="F24" s="60">
        <v>500</v>
      </c>
      <c r="G24" s="61">
        <v>51000</v>
      </c>
      <c r="H24" s="60">
        <v>0</v>
      </c>
      <c r="I24" s="60">
        <v>0</v>
      </c>
      <c r="J24" s="60">
        <v>0</v>
      </c>
      <c r="K24" s="63" t="s">
        <v>80</v>
      </c>
      <c r="L24" s="69"/>
      <c r="N24" s="78"/>
      <c r="O24" s="78"/>
    </row>
    <row r="25" spans="1:15" s="56" customFormat="1" ht="24" customHeight="1" x14ac:dyDescent="0.25">
      <c r="A25" s="68">
        <v>91</v>
      </c>
      <c r="B25" s="58" t="s">
        <v>117</v>
      </c>
      <c r="C25" s="59">
        <v>3322</v>
      </c>
      <c r="D25" s="60">
        <v>22000</v>
      </c>
      <c r="E25" s="60">
        <v>0</v>
      </c>
      <c r="F25" s="60">
        <v>500</v>
      </c>
      <c r="G25" s="61">
        <v>21500</v>
      </c>
      <c r="H25" s="60">
        <v>0</v>
      </c>
      <c r="I25" s="60">
        <v>0</v>
      </c>
      <c r="J25" s="60">
        <v>0</v>
      </c>
      <c r="K25" s="63" t="s">
        <v>80</v>
      </c>
      <c r="L25" s="69"/>
      <c r="N25" s="78"/>
      <c r="O25" s="78"/>
    </row>
    <row r="26" spans="1:15" s="56" customFormat="1" ht="24" customHeight="1" x14ac:dyDescent="0.25">
      <c r="A26" s="68">
        <v>92</v>
      </c>
      <c r="B26" s="58" t="s">
        <v>118</v>
      </c>
      <c r="C26" s="59">
        <v>3325</v>
      </c>
      <c r="D26" s="60">
        <v>68000</v>
      </c>
      <c r="E26" s="60">
        <v>0</v>
      </c>
      <c r="F26" s="60">
        <f>15000-6300</f>
        <v>8700</v>
      </c>
      <c r="G26" s="61">
        <f>53000+6300</f>
        <v>59300</v>
      </c>
      <c r="H26" s="60">
        <v>0</v>
      </c>
      <c r="I26" s="60">
        <v>0</v>
      </c>
      <c r="J26" s="60">
        <v>0</v>
      </c>
      <c r="K26" s="63" t="s">
        <v>80</v>
      </c>
      <c r="L26" s="69"/>
      <c r="N26" s="78"/>
      <c r="O26" s="78"/>
    </row>
    <row r="27" spans="1:15" s="56" customFormat="1" ht="24" customHeight="1" x14ac:dyDescent="0.25">
      <c r="A27" s="68">
        <v>93</v>
      </c>
      <c r="B27" s="58" t="s">
        <v>119</v>
      </c>
      <c r="C27" s="59">
        <v>3369</v>
      </c>
      <c r="D27" s="60">
        <v>61000</v>
      </c>
      <c r="E27" s="60">
        <v>0</v>
      </c>
      <c r="F27" s="60">
        <f>15000-8700</f>
        <v>6300</v>
      </c>
      <c r="G27" s="61">
        <f>46000+8700</f>
        <v>54700</v>
      </c>
      <c r="H27" s="60">
        <v>0</v>
      </c>
      <c r="I27" s="60">
        <v>0</v>
      </c>
      <c r="J27" s="60">
        <v>0</v>
      </c>
      <c r="K27" s="63" t="s">
        <v>80</v>
      </c>
      <c r="L27" s="69"/>
      <c r="N27" s="78"/>
      <c r="O27" s="78"/>
    </row>
    <row r="28" spans="1:15" s="56" customFormat="1" ht="24" customHeight="1" x14ac:dyDescent="0.25">
      <c r="A28" s="68">
        <v>94</v>
      </c>
      <c r="B28" s="58" t="s">
        <v>120</v>
      </c>
      <c r="C28" s="59">
        <v>3370</v>
      </c>
      <c r="D28" s="60">
        <v>48000</v>
      </c>
      <c r="E28" s="60">
        <v>0</v>
      </c>
      <c r="F28" s="60">
        <v>500</v>
      </c>
      <c r="G28" s="61">
        <v>47500</v>
      </c>
      <c r="H28" s="60">
        <v>0</v>
      </c>
      <c r="I28" s="60">
        <v>0</v>
      </c>
      <c r="J28" s="60">
        <v>0</v>
      </c>
      <c r="K28" s="63" t="s">
        <v>80</v>
      </c>
      <c r="L28" s="69"/>
      <c r="N28" s="78"/>
      <c r="O28" s="78"/>
    </row>
    <row r="29" spans="1:15" s="56" customFormat="1" ht="15" customHeight="1" x14ac:dyDescent="0.25">
      <c r="A29" s="68">
        <v>95</v>
      </c>
      <c r="B29" s="58" t="s">
        <v>121</v>
      </c>
      <c r="C29" s="59">
        <v>3321</v>
      </c>
      <c r="D29" s="60">
        <v>134000</v>
      </c>
      <c r="E29" s="60">
        <v>0</v>
      </c>
      <c r="F29" s="60">
        <f>15000-6500</f>
        <v>8500</v>
      </c>
      <c r="G29" s="61">
        <f>72000+6500</f>
        <v>78500</v>
      </c>
      <c r="H29" s="60">
        <v>47000</v>
      </c>
      <c r="I29" s="60">
        <v>0</v>
      </c>
      <c r="J29" s="60">
        <v>0</v>
      </c>
      <c r="K29" s="63" t="s">
        <v>80</v>
      </c>
      <c r="L29" s="69"/>
      <c r="N29" s="78"/>
      <c r="O29" s="78"/>
    </row>
    <row r="30" spans="1:15" s="56" customFormat="1" ht="34.5" customHeight="1" x14ac:dyDescent="0.25">
      <c r="A30" s="68">
        <v>96</v>
      </c>
      <c r="B30" s="58" t="s">
        <v>122</v>
      </c>
      <c r="C30" s="59">
        <v>3318</v>
      </c>
      <c r="D30" s="60">
        <v>163400</v>
      </c>
      <c r="E30" s="60">
        <v>0</v>
      </c>
      <c r="F30" s="60">
        <v>120000</v>
      </c>
      <c r="G30" s="61">
        <v>43400</v>
      </c>
      <c r="H30" s="60">
        <v>0</v>
      </c>
      <c r="I30" s="60">
        <v>0</v>
      </c>
      <c r="J30" s="60">
        <v>0</v>
      </c>
      <c r="K30" s="63" t="s">
        <v>80</v>
      </c>
      <c r="L30" s="69"/>
      <c r="N30" s="78"/>
      <c r="O30" s="78"/>
    </row>
    <row r="31" spans="1:15" s="56" customFormat="1" ht="34.5" customHeight="1" x14ac:dyDescent="0.25">
      <c r="A31" s="68">
        <v>97</v>
      </c>
      <c r="B31" s="58" t="s">
        <v>123</v>
      </c>
      <c r="C31" s="59">
        <v>3319</v>
      </c>
      <c r="D31" s="60">
        <v>330000</v>
      </c>
      <c r="E31" s="60">
        <v>224</v>
      </c>
      <c r="F31" s="60">
        <v>484</v>
      </c>
      <c r="G31" s="61">
        <v>161000</v>
      </c>
      <c r="H31" s="60">
        <v>168292</v>
      </c>
      <c r="I31" s="60">
        <v>0</v>
      </c>
      <c r="J31" s="60">
        <v>0</v>
      </c>
      <c r="K31" s="63" t="s">
        <v>80</v>
      </c>
      <c r="L31" s="69"/>
      <c r="N31" s="78"/>
      <c r="O31" s="78"/>
    </row>
    <row r="32" spans="1:15" s="56" customFormat="1" ht="15" customHeight="1" x14ac:dyDescent="0.25">
      <c r="A32" s="68">
        <v>98</v>
      </c>
      <c r="B32" s="58" t="s">
        <v>124</v>
      </c>
      <c r="C32" s="59">
        <v>3326</v>
      </c>
      <c r="D32" s="60">
        <v>50000</v>
      </c>
      <c r="E32" s="60">
        <v>0</v>
      </c>
      <c r="F32" s="60">
        <v>10500</v>
      </c>
      <c r="G32" s="61">
        <v>39500</v>
      </c>
      <c r="H32" s="60">
        <v>0</v>
      </c>
      <c r="I32" s="60">
        <v>0</v>
      </c>
      <c r="J32" s="60">
        <v>0</v>
      </c>
      <c r="K32" s="63" t="s">
        <v>80</v>
      </c>
      <c r="L32" s="69"/>
      <c r="N32" s="78"/>
      <c r="O32" s="78"/>
    </row>
    <row r="33" spans="1:15" s="56" customFormat="1" ht="24" customHeight="1" x14ac:dyDescent="0.25">
      <c r="A33" s="68">
        <v>100</v>
      </c>
      <c r="B33" s="58" t="s">
        <v>125</v>
      </c>
      <c r="C33" s="59">
        <v>3392</v>
      </c>
      <c r="D33" s="60">
        <v>103000</v>
      </c>
      <c r="E33" s="60">
        <v>0</v>
      </c>
      <c r="F33" s="60">
        <v>500</v>
      </c>
      <c r="G33" s="61">
        <v>500</v>
      </c>
      <c r="H33" s="60">
        <v>10000</v>
      </c>
      <c r="I33" s="60">
        <v>46000</v>
      </c>
      <c r="J33" s="60">
        <v>46000</v>
      </c>
      <c r="K33" s="63" t="s">
        <v>80</v>
      </c>
      <c r="L33" s="69"/>
      <c r="N33" s="78"/>
      <c r="O33" s="78"/>
    </row>
    <row r="34" spans="1:15" s="56" customFormat="1" ht="24" customHeight="1" x14ac:dyDescent="0.25">
      <c r="A34" s="68">
        <v>101</v>
      </c>
      <c r="B34" s="58" t="s">
        <v>281</v>
      </c>
      <c r="C34" s="59" t="s">
        <v>126</v>
      </c>
      <c r="D34" s="60">
        <v>4614</v>
      </c>
      <c r="E34" s="60">
        <v>183</v>
      </c>
      <c r="F34" s="60">
        <v>1426</v>
      </c>
      <c r="G34" s="61">
        <v>1410</v>
      </c>
      <c r="H34" s="60">
        <v>580</v>
      </c>
      <c r="I34" s="60">
        <v>290</v>
      </c>
      <c r="J34" s="60">
        <v>725</v>
      </c>
      <c r="K34" s="63" t="s">
        <v>80</v>
      </c>
      <c r="L34" s="69"/>
      <c r="N34" s="78"/>
      <c r="O34" s="78"/>
    </row>
    <row r="35" spans="1:15" s="56" customFormat="1" ht="34.5" customHeight="1" x14ac:dyDescent="0.25">
      <c r="A35" s="68">
        <v>103</v>
      </c>
      <c r="B35" s="58" t="s">
        <v>127</v>
      </c>
      <c r="C35" s="59">
        <v>3999</v>
      </c>
      <c r="D35" s="60">
        <v>30000</v>
      </c>
      <c r="E35" s="60" t="s">
        <v>10</v>
      </c>
      <c r="F35" s="60">
        <v>25500</v>
      </c>
      <c r="G35" s="61">
        <v>30000</v>
      </c>
      <c r="H35" s="60">
        <v>30000</v>
      </c>
      <c r="I35" s="60">
        <v>30000</v>
      </c>
      <c r="J35" s="62">
        <v>30000</v>
      </c>
      <c r="K35" s="63" t="s">
        <v>128</v>
      </c>
      <c r="L35" s="69"/>
      <c r="N35" s="78"/>
      <c r="O35" s="78"/>
    </row>
    <row r="36" spans="1:15" s="56" customFormat="1" ht="26.25" customHeight="1" x14ac:dyDescent="0.25">
      <c r="A36" s="429" t="s">
        <v>81</v>
      </c>
      <c r="B36" s="430"/>
      <c r="C36" s="398"/>
      <c r="D36" s="65">
        <f t="shared" ref="D36:J36" si="2">SUM(D19:D35)</f>
        <v>1550414</v>
      </c>
      <c r="E36" s="65">
        <f t="shared" si="2"/>
        <v>407</v>
      </c>
      <c r="F36" s="65">
        <f t="shared" si="2"/>
        <v>185910</v>
      </c>
      <c r="G36" s="65">
        <f t="shared" si="2"/>
        <v>866210</v>
      </c>
      <c r="H36" s="65">
        <f t="shared" si="2"/>
        <v>460372</v>
      </c>
      <c r="I36" s="65">
        <f t="shared" si="2"/>
        <v>76290</v>
      </c>
      <c r="J36" s="65">
        <f t="shared" si="2"/>
        <v>76725</v>
      </c>
      <c r="K36" s="66"/>
      <c r="N36" s="78"/>
      <c r="O36" s="78"/>
    </row>
    <row r="37" spans="1:15" s="56" customFormat="1" ht="18" customHeight="1" x14ac:dyDescent="0.25">
      <c r="A37" s="424" t="s">
        <v>82</v>
      </c>
      <c r="B37" s="425"/>
      <c r="C37" s="425"/>
      <c r="D37" s="425"/>
      <c r="E37" s="425"/>
      <c r="F37" s="425"/>
      <c r="G37" s="425"/>
      <c r="H37" s="425"/>
      <c r="I37" s="425"/>
      <c r="J37" s="425"/>
      <c r="K37" s="426"/>
      <c r="N37" s="78"/>
      <c r="O37" s="78"/>
    </row>
    <row r="38" spans="1:15" s="56" customFormat="1" ht="24" customHeight="1" x14ac:dyDescent="0.25">
      <c r="A38" s="68">
        <v>139</v>
      </c>
      <c r="B38" s="58" t="s">
        <v>129</v>
      </c>
      <c r="C38" s="59">
        <v>3599</v>
      </c>
      <c r="D38" s="60">
        <v>200000</v>
      </c>
      <c r="E38" s="60">
        <v>0</v>
      </c>
      <c r="F38" s="60">
        <v>0</v>
      </c>
      <c r="G38" s="61">
        <v>1500</v>
      </c>
      <c r="H38" s="60">
        <v>48500</v>
      </c>
      <c r="I38" s="60">
        <v>150000</v>
      </c>
      <c r="J38" s="62">
        <v>0</v>
      </c>
      <c r="K38" s="63" t="s">
        <v>80</v>
      </c>
      <c r="L38" s="64"/>
      <c r="N38" s="78"/>
      <c r="O38" s="78"/>
    </row>
    <row r="39" spans="1:15" s="56" customFormat="1" ht="54.75" customHeight="1" x14ac:dyDescent="0.25">
      <c r="A39" s="68">
        <v>140</v>
      </c>
      <c r="B39" s="58" t="s">
        <v>130</v>
      </c>
      <c r="C39" s="59">
        <v>3315</v>
      </c>
      <c r="D39" s="60">
        <v>2654</v>
      </c>
      <c r="E39" s="60">
        <v>0</v>
      </c>
      <c r="F39" s="60">
        <v>899</v>
      </c>
      <c r="G39" s="61">
        <v>123</v>
      </c>
      <c r="H39" s="60">
        <v>0</v>
      </c>
      <c r="I39" s="60">
        <v>0</v>
      </c>
      <c r="J39" s="62">
        <v>0</v>
      </c>
      <c r="K39" s="63" t="s">
        <v>131</v>
      </c>
      <c r="L39" s="64"/>
      <c r="N39" s="78"/>
      <c r="O39" s="78"/>
    </row>
    <row r="40" spans="1:15" s="56" customFormat="1" ht="54.75" customHeight="1" x14ac:dyDescent="0.25">
      <c r="A40" s="57">
        <v>141</v>
      </c>
      <c r="B40" s="58" t="s">
        <v>547</v>
      </c>
      <c r="C40" s="59">
        <v>3312</v>
      </c>
      <c r="D40" s="60">
        <v>7303</v>
      </c>
      <c r="E40" s="60">
        <v>0</v>
      </c>
      <c r="F40" s="60">
        <v>2340</v>
      </c>
      <c r="G40" s="61">
        <v>2740</v>
      </c>
      <c r="H40" s="60">
        <v>0</v>
      </c>
      <c r="I40" s="60">
        <v>0</v>
      </c>
      <c r="J40" s="62">
        <v>0</v>
      </c>
      <c r="K40" s="63" t="s">
        <v>131</v>
      </c>
      <c r="L40" s="64"/>
      <c r="N40" s="78"/>
      <c r="O40" s="78"/>
    </row>
    <row r="41" spans="1:15" s="56" customFormat="1" ht="34.5" customHeight="1" x14ac:dyDescent="0.25">
      <c r="A41" s="68">
        <v>142</v>
      </c>
      <c r="B41" s="58" t="s">
        <v>340</v>
      </c>
      <c r="C41" s="59">
        <v>3313</v>
      </c>
      <c r="D41" s="60">
        <v>9724</v>
      </c>
      <c r="E41" s="60">
        <v>0</v>
      </c>
      <c r="F41" s="60">
        <v>2857</v>
      </c>
      <c r="G41" s="61">
        <v>337</v>
      </c>
      <c r="H41" s="60">
        <v>197</v>
      </c>
      <c r="I41" s="60">
        <v>0</v>
      </c>
      <c r="J41" s="62">
        <v>0</v>
      </c>
      <c r="K41" s="63" t="s">
        <v>132</v>
      </c>
      <c r="L41" s="64"/>
      <c r="N41" s="78"/>
      <c r="O41" s="78"/>
    </row>
    <row r="42" spans="1:15" s="56" customFormat="1" ht="34.5" customHeight="1" x14ac:dyDescent="0.25">
      <c r="A42" s="68">
        <v>143</v>
      </c>
      <c r="B42" s="58" t="s">
        <v>133</v>
      </c>
      <c r="C42" s="59">
        <v>3314</v>
      </c>
      <c r="D42" s="60">
        <v>8650</v>
      </c>
      <c r="E42" s="60">
        <v>0</v>
      </c>
      <c r="F42" s="60">
        <v>2699</v>
      </c>
      <c r="G42" s="61">
        <v>332</v>
      </c>
      <c r="H42" s="60">
        <v>0</v>
      </c>
      <c r="I42" s="60">
        <v>0</v>
      </c>
      <c r="J42" s="62">
        <v>0</v>
      </c>
      <c r="K42" s="63" t="s">
        <v>132</v>
      </c>
      <c r="L42" s="64"/>
      <c r="N42" s="78"/>
      <c r="O42" s="78"/>
    </row>
    <row r="43" spans="1:15" s="56" customFormat="1" ht="15.75" customHeight="1" x14ac:dyDescent="0.25">
      <c r="A43" s="429" t="s">
        <v>83</v>
      </c>
      <c r="B43" s="430"/>
      <c r="C43" s="398"/>
      <c r="D43" s="65">
        <f>SUM(D38:D42)</f>
        <v>228331</v>
      </c>
      <c r="E43" s="65">
        <f t="shared" ref="E43:J43" si="3">SUM(E38:E42)</f>
        <v>0</v>
      </c>
      <c r="F43" s="65">
        <f t="shared" si="3"/>
        <v>8795</v>
      </c>
      <c r="G43" s="65">
        <f t="shared" si="3"/>
        <v>5032</v>
      </c>
      <c r="H43" s="65">
        <f t="shared" si="3"/>
        <v>48697</v>
      </c>
      <c r="I43" s="65">
        <f t="shared" si="3"/>
        <v>150000</v>
      </c>
      <c r="J43" s="65">
        <f t="shared" si="3"/>
        <v>0</v>
      </c>
      <c r="K43" s="66"/>
      <c r="N43" s="78"/>
      <c r="O43" s="78"/>
    </row>
    <row r="44" spans="1:15" s="56" customFormat="1" ht="18" customHeight="1" x14ac:dyDescent="0.25">
      <c r="A44" s="424" t="s">
        <v>84</v>
      </c>
      <c r="B44" s="425"/>
      <c r="C44" s="425"/>
      <c r="D44" s="425"/>
      <c r="E44" s="425"/>
      <c r="F44" s="425"/>
      <c r="G44" s="425"/>
      <c r="H44" s="425"/>
      <c r="I44" s="425"/>
      <c r="J44" s="425"/>
      <c r="K44" s="426"/>
      <c r="N44" s="78"/>
      <c r="O44" s="78"/>
    </row>
    <row r="45" spans="1:15" s="56" customFormat="1" ht="15" customHeight="1" x14ac:dyDescent="0.25">
      <c r="A45" s="57">
        <v>182</v>
      </c>
      <c r="B45" s="58" t="s">
        <v>134</v>
      </c>
      <c r="C45" s="59" t="s">
        <v>135</v>
      </c>
      <c r="D45" s="60">
        <v>110500</v>
      </c>
      <c r="E45" s="60">
        <v>0</v>
      </c>
      <c r="F45" s="60">
        <v>2500</v>
      </c>
      <c r="G45" s="61">
        <v>1000</v>
      </c>
      <c r="H45" s="60">
        <v>35000</v>
      </c>
      <c r="I45" s="60">
        <v>72000</v>
      </c>
      <c r="J45" s="62">
        <v>0</v>
      </c>
      <c r="K45" s="63" t="s">
        <v>80</v>
      </c>
      <c r="L45" s="64"/>
      <c r="N45" s="78"/>
      <c r="O45" s="78"/>
    </row>
    <row r="46" spans="1:15" s="56" customFormat="1" ht="15" customHeight="1" x14ac:dyDescent="0.25">
      <c r="A46" s="57">
        <v>183</v>
      </c>
      <c r="B46" s="58" t="s">
        <v>136</v>
      </c>
      <c r="C46" s="59" t="s">
        <v>137</v>
      </c>
      <c r="D46" s="60">
        <v>122999</v>
      </c>
      <c r="E46" s="60">
        <v>52</v>
      </c>
      <c r="F46" s="60">
        <v>2000</v>
      </c>
      <c r="G46" s="61">
        <v>40000</v>
      </c>
      <c r="H46" s="60">
        <v>50000</v>
      </c>
      <c r="I46" s="60">
        <v>30947</v>
      </c>
      <c r="J46" s="62">
        <v>0</v>
      </c>
      <c r="K46" s="63" t="s">
        <v>80</v>
      </c>
      <c r="L46" s="64"/>
      <c r="N46" s="78"/>
      <c r="O46" s="78"/>
    </row>
    <row r="47" spans="1:15" s="56" customFormat="1" ht="24" customHeight="1" x14ac:dyDescent="0.25">
      <c r="A47" s="57">
        <v>184</v>
      </c>
      <c r="B47" s="58" t="s">
        <v>138</v>
      </c>
      <c r="C47" s="59">
        <v>3253</v>
      </c>
      <c r="D47" s="60">
        <v>31523</v>
      </c>
      <c r="E47" s="60">
        <v>208</v>
      </c>
      <c r="F47" s="60">
        <f>2000-1349</f>
        <v>651</v>
      </c>
      <c r="G47" s="61">
        <f>29315+1349</f>
        <v>30664</v>
      </c>
      <c r="H47" s="60">
        <v>0</v>
      </c>
      <c r="I47" s="60">
        <v>0</v>
      </c>
      <c r="J47" s="62">
        <v>0</v>
      </c>
      <c r="K47" s="63" t="s">
        <v>80</v>
      </c>
      <c r="L47" s="64"/>
      <c r="N47" s="78"/>
      <c r="O47" s="78"/>
    </row>
    <row r="48" spans="1:15" s="56" customFormat="1" ht="24" customHeight="1" x14ac:dyDescent="0.25">
      <c r="A48" s="57">
        <v>185</v>
      </c>
      <c r="B48" s="58" t="s">
        <v>139</v>
      </c>
      <c r="C48" s="59" t="s">
        <v>140</v>
      </c>
      <c r="D48" s="60">
        <v>23716</v>
      </c>
      <c r="E48" s="60">
        <v>0</v>
      </c>
      <c r="F48" s="60">
        <v>500</v>
      </c>
      <c r="G48" s="61">
        <v>6000</v>
      </c>
      <c r="H48" s="60">
        <v>17216</v>
      </c>
      <c r="I48" s="60">
        <v>0</v>
      </c>
      <c r="J48" s="62">
        <v>0</v>
      </c>
      <c r="K48" s="63" t="s">
        <v>80</v>
      </c>
      <c r="L48" s="64"/>
      <c r="N48" s="78"/>
      <c r="O48" s="78"/>
    </row>
    <row r="49" spans="1:15" s="56" customFormat="1" ht="24" customHeight="1" x14ac:dyDescent="0.25">
      <c r="A49" s="57">
        <v>186</v>
      </c>
      <c r="B49" s="58" t="s">
        <v>141</v>
      </c>
      <c r="C49" s="59">
        <v>3250</v>
      </c>
      <c r="D49" s="60">
        <v>31500</v>
      </c>
      <c r="E49" s="60">
        <v>199</v>
      </c>
      <c r="F49" s="60">
        <f>3500-2939</f>
        <v>561</v>
      </c>
      <c r="G49" s="61">
        <f>23000+2939</f>
        <v>25939</v>
      </c>
      <c r="H49" s="60">
        <v>4801</v>
      </c>
      <c r="I49" s="60">
        <v>0</v>
      </c>
      <c r="J49" s="62">
        <v>0</v>
      </c>
      <c r="K49" s="63" t="s">
        <v>80</v>
      </c>
      <c r="L49" s="64"/>
      <c r="N49" s="78"/>
      <c r="O49" s="78"/>
    </row>
    <row r="50" spans="1:15" s="56" customFormat="1" ht="24" customHeight="1" x14ac:dyDescent="0.25">
      <c r="A50" s="57">
        <v>188</v>
      </c>
      <c r="B50" s="58" t="s">
        <v>142</v>
      </c>
      <c r="C50" s="59" t="s">
        <v>143</v>
      </c>
      <c r="D50" s="60">
        <v>119686</v>
      </c>
      <c r="E50" s="60">
        <v>4991</v>
      </c>
      <c r="F50" s="60">
        <f>12000-11150</f>
        <v>850</v>
      </c>
      <c r="G50" s="61">
        <f>53000+11150</f>
        <v>64150</v>
      </c>
      <c r="H50" s="60">
        <v>49695</v>
      </c>
      <c r="I50" s="60">
        <v>0</v>
      </c>
      <c r="J50" s="62">
        <v>0</v>
      </c>
      <c r="K50" s="63" t="s">
        <v>80</v>
      </c>
      <c r="L50" s="64"/>
      <c r="N50" s="78"/>
      <c r="O50" s="78"/>
    </row>
    <row r="51" spans="1:15" s="56" customFormat="1" ht="24" customHeight="1" x14ac:dyDescent="0.25">
      <c r="A51" s="57">
        <v>189</v>
      </c>
      <c r="B51" s="58" t="s">
        <v>144</v>
      </c>
      <c r="C51" s="59" t="s">
        <v>145</v>
      </c>
      <c r="D51" s="60">
        <v>57081</v>
      </c>
      <c r="E51" s="60">
        <v>1038</v>
      </c>
      <c r="F51" s="60">
        <f>10000-9052</f>
        <v>948</v>
      </c>
      <c r="G51" s="61">
        <f>46043+9052</f>
        <v>55095</v>
      </c>
      <c r="H51" s="60">
        <v>0</v>
      </c>
      <c r="I51" s="60">
        <v>0</v>
      </c>
      <c r="J51" s="62">
        <v>0</v>
      </c>
      <c r="K51" s="63" t="s">
        <v>80</v>
      </c>
      <c r="L51" s="64"/>
      <c r="N51" s="78"/>
      <c r="O51" s="78"/>
    </row>
    <row r="52" spans="1:15" s="56" customFormat="1" ht="24" customHeight="1" x14ac:dyDescent="0.25">
      <c r="A52" s="57">
        <v>190</v>
      </c>
      <c r="B52" s="58" t="s">
        <v>548</v>
      </c>
      <c r="C52" s="59" t="s">
        <v>147</v>
      </c>
      <c r="D52" s="60">
        <f>SUM(E52:J52)</f>
        <v>51000</v>
      </c>
      <c r="E52" s="60">
        <v>0</v>
      </c>
      <c r="F52" s="60">
        <f>1000-1000</f>
        <v>0</v>
      </c>
      <c r="G52" s="61">
        <v>10500</v>
      </c>
      <c r="H52" s="60">
        <v>28500</v>
      </c>
      <c r="I52" s="60">
        <v>12000</v>
      </c>
      <c r="J52" s="62">
        <v>0</v>
      </c>
      <c r="K52" s="63" t="s">
        <v>80</v>
      </c>
      <c r="L52" s="64"/>
      <c r="N52" s="78"/>
      <c r="O52" s="78"/>
    </row>
    <row r="53" spans="1:15" s="56" customFormat="1" ht="15" customHeight="1" x14ac:dyDescent="0.25">
      <c r="A53" s="57">
        <v>191</v>
      </c>
      <c r="B53" s="58" t="s">
        <v>148</v>
      </c>
      <c r="C53" s="59" t="s">
        <v>149</v>
      </c>
      <c r="D53" s="60">
        <v>24835</v>
      </c>
      <c r="E53" s="60">
        <v>8</v>
      </c>
      <c r="F53" s="60">
        <f>2000-1729</f>
        <v>271</v>
      </c>
      <c r="G53" s="61">
        <f>17827+1729</f>
        <v>19556</v>
      </c>
      <c r="H53" s="60">
        <v>5000</v>
      </c>
      <c r="I53" s="60">
        <v>0</v>
      </c>
      <c r="J53" s="62">
        <v>0</v>
      </c>
      <c r="K53" s="63" t="s">
        <v>80</v>
      </c>
      <c r="L53" s="64"/>
      <c r="N53" s="78"/>
      <c r="O53" s="78"/>
    </row>
    <row r="54" spans="1:15" s="56" customFormat="1" ht="24" customHeight="1" x14ac:dyDescent="0.25">
      <c r="A54" s="57">
        <v>192</v>
      </c>
      <c r="B54" s="58" t="s">
        <v>282</v>
      </c>
      <c r="C54" s="59" t="s">
        <v>150</v>
      </c>
      <c r="D54" s="60">
        <v>40000</v>
      </c>
      <c r="E54" s="60">
        <v>0</v>
      </c>
      <c r="F54" s="60">
        <v>1000</v>
      </c>
      <c r="G54" s="61">
        <v>1000</v>
      </c>
      <c r="H54" s="60">
        <v>18000</v>
      </c>
      <c r="I54" s="60">
        <v>20000</v>
      </c>
      <c r="J54" s="62">
        <v>0</v>
      </c>
      <c r="K54" s="63" t="s">
        <v>80</v>
      </c>
      <c r="L54" s="64"/>
      <c r="N54" s="78"/>
      <c r="O54" s="78"/>
    </row>
    <row r="55" spans="1:15" s="56" customFormat="1" ht="24" customHeight="1" x14ac:dyDescent="0.25">
      <c r="A55" s="57">
        <v>193</v>
      </c>
      <c r="B55" s="58" t="s">
        <v>151</v>
      </c>
      <c r="C55" s="59" t="s">
        <v>152</v>
      </c>
      <c r="D55" s="60">
        <v>27000</v>
      </c>
      <c r="E55" s="60">
        <v>0</v>
      </c>
      <c r="F55" s="60">
        <v>490</v>
      </c>
      <c r="G55" s="61">
        <v>26510</v>
      </c>
      <c r="H55" s="60">
        <v>0</v>
      </c>
      <c r="I55" s="60">
        <v>0</v>
      </c>
      <c r="J55" s="62">
        <v>0</v>
      </c>
      <c r="K55" s="63" t="s">
        <v>80</v>
      </c>
      <c r="L55" s="64"/>
      <c r="N55" s="78"/>
      <c r="O55" s="78"/>
    </row>
    <row r="56" spans="1:15" s="56" customFormat="1" ht="15" customHeight="1" x14ac:dyDescent="0.25">
      <c r="A56" s="57">
        <v>194</v>
      </c>
      <c r="B56" s="58" t="s">
        <v>153</v>
      </c>
      <c r="C56" s="59">
        <v>3327</v>
      </c>
      <c r="D56" s="60">
        <v>12800</v>
      </c>
      <c r="E56" s="60">
        <v>0</v>
      </c>
      <c r="F56" s="60">
        <f>3600-3440</f>
        <v>160</v>
      </c>
      <c r="G56" s="61">
        <f>9200+3440</f>
        <v>12640</v>
      </c>
      <c r="H56" s="60">
        <v>0</v>
      </c>
      <c r="I56" s="60">
        <v>0</v>
      </c>
      <c r="J56" s="62">
        <v>0</v>
      </c>
      <c r="K56" s="63" t="s">
        <v>80</v>
      </c>
      <c r="L56" s="64"/>
      <c r="N56" s="78"/>
      <c r="O56" s="78"/>
    </row>
    <row r="57" spans="1:15" s="56" customFormat="1" ht="24" customHeight="1" x14ac:dyDescent="0.25">
      <c r="A57" s="57">
        <v>195</v>
      </c>
      <c r="B57" s="58" t="s">
        <v>154</v>
      </c>
      <c r="C57" s="59" t="s">
        <v>155</v>
      </c>
      <c r="D57" s="60">
        <v>27025</v>
      </c>
      <c r="E57" s="60">
        <v>0</v>
      </c>
      <c r="F57" s="60">
        <v>68</v>
      </c>
      <c r="G57" s="61">
        <v>1995</v>
      </c>
      <c r="H57" s="60">
        <v>943</v>
      </c>
      <c r="I57" s="60">
        <v>0</v>
      </c>
      <c r="J57" s="62">
        <v>0</v>
      </c>
      <c r="K57" s="63" t="s">
        <v>156</v>
      </c>
      <c r="L57" s="64"/>
      <c r="N57" s="78"/>
      <c r="O57" s="78"/>
    </row>
    <row r="58" spans="1:15" s="56" customFormat="1" ht="15.75" customHeight="1" x14ac:dyDescent="0.25">
      <c r="A58" s="429" t="s">
        <v>85</v>
      </c>
      <c r="B58" s="430"/>
      <c r="C58" s="398"/>
      <c r="D58" s="65">
        <f t="shared" ref="D58:J58" si="4">SUM(D45:D57)</f>
        <v>679665</v>
      </c>
      <c r="E58" s="65">
        <f t="shared" si="4"/>
        <v>6496</v>
      </c>
      <c r="F58" s="65">
        <f t="shared" si="4"/>
        <v>9999</v>
      </c>
      <c r="G58" s="65">
        <f t="shared" si="4"/>
        <v>295049</v>
      </c>
      <c r="H58" s="65">
        <f t="shared" si="4"/>
        <v>209155</v>
      </c>
      <c r="I58" s="65">
        <f t="shared" si="4"/>
        <v>134947</v>
      </c>
      <c r="J58" s="65">
        <f t="shared" si="4"/>
        <v>0</v>
      </c>
      <c r="K58" s="66"/>
      <c r="N58" s="78"/>
      <c r="O58" s="78"/>
    </row>
    <row r="59" spans="1:15" s="56" customFormat="1" ht="18" customHeight="1" x14ac:dyDescent="0.25">
      <c r="A59" s="433" t="s">
        <v>157</v>
      </c>
      <c r="B59" s="434"/>
      <c r="C59" s="434"/>
      <c r="D59" s="434"/>
      <c r="E59" s="434"/>
      <c r="F59" s="434"/>
      <c r="G59" s="434"/>
      <c r="H59" s="434"/>
      <c r="I59" s="434"/>
      <c r="J59" s="434"/>
      <c r="K59" s="435"/>
      <c r="N59" s="78"/>
      <c r="O59" s="78"/>
    </row>
    <row r="60" spans="1:15" s="56" customFormat="1" ht="45" customHeight="1" x14ac:dyDescent="0.25">
      <c r="A60" s="57">
        <v>236</v>
      </c>
      <c r="B60" s="70" t="s">
        <v>158</v>
      </c>
      <c r="C60" s="71">
        <v>3331</v>
      </c>
      <c r="D60" s="60">
        <v>25000</v>
      </c>
      <c r="E60" s="60">
        <v>0</v>
      </c>
      <c r="F60" s="60">
        <v>100</v>
      </c>
      <c r="G60" s="61">
        <v>1075</v>
      </c>
      <c r="H60" s="60">
        <v>3050</v>
      </c>
      <c r="I60" s="60">
        <v>3000</v>
      </c>
      <c r="J60" s="62">
        <v>2500</v>
      </c>
      <c r="K60" s="63" t="s">
        <v>159</v>
      </c>
      <c r="N60" s="78"/>
      <c r="O60" s="78"/>
    </row>
    <row r="61" spans="1:15" s="56" customFormat="1" ht="15" customHeight="1" x14ac:dyDescent="0.25">
      <c r="A61" s="57">
        <v>237</v>
      </c>
      <c r="B61" s="70" t="s">
        <v>160</v>
      </c>
      <c r="C61" s="71">
        <v>3280</v>
      </c>
      <c r="D61" s="60">
        <v>3500</v>
      </c>
      <c r="E61" s="60">
        <v>0</v>
      </c>
      <c r="F61" s="60">
        <v>800</v>
      </c>
      <c r="G61" s="61">
        <v>950</v>
      </c>
      <c r="H61" s="60">
        <v>900</v>
      </c>
      <c r="I61" s="60">
        <v>850</v>
      </c>
      <c r="J61" s="60">
        <v>0</v>
      </c>
      <c r="K61" s="63" t="s">
        <v>80</v>
      </c>
      <c r="N61" s="78"/>
      <c r="O61" s="78"/>
    </row>
    <row r="62" spans="1:15" s="56" customFormat="1" ht="45" customHeight="1" x14ac:dyDescent="0.25">
      <c r="A62" s="57">
        <v>239</v>
      </c>
      <c r="B62" s="70" t="s">
        <v>161</v>
      </c>
      <c r="C62" s="71">
        <v>3256</v>
      </c>
      <c r="D62" s="60">
        <v>56482</v>
      </c>
      <c r="E62" s="60">
        <v>3723</v>
      </c>
      <c r="F62" s="60">
        <v>15897</v>
      </c>
      <c r="G62" s="61">
        <v>6181</v>
      </c>
      <c r="H62" s="60">
        <v>2548</v>
      </c>
      <c r="I62" s="60">
        <v>0</v>
      </c>
      <c r="J62" s="62">
        <v>0</v>
      </c>
      <c r="K62" s="63" t="s">
        <v>162</v>
      </c>
      <c r="L62" s="72"/>
      <c r="N62" s="78"/>
      <c r="O62" s="78"/>
    </row>
    <row r="63" spans="1:15" s="56" customFormat="1" ht="15" customHeight="1" x14ac:dyDescent="0.25">
      <c r="A63" s="57">
        <v>241</v>
      </c>
      <c r="B63" s="70" t="s">
        <v>163</v>
      </c>
      <c r="C63" s="71">
        <v>3998</v>
      </c>
      <c r="D63" s="60">
        <v>50000</v>
      </c>
      <c r="E63" s="60" t="s">
        <v>10</v>
      </c>
      <c r="F63" s="60">
        <v>31231</v>
      </c>
      <c r="G63" s="61">
        <f>50000</f>
        <v>50000</v>
      </c>
      <c r="H63" s="60">
        <v>50000</v>
      </c>
      <c r="I63" s="60">
        <v>50000</v>
      </c>
      <c r="J63" s="60">
        <v>50000</v>
      </c>
      <c r="K63" s="63" t="s">
        <v>128</v>
      </c>
      <c r="L63" s="72"/>
      <c r="N63" s="78"/>
      <c r="O63" s="78"/>
    </row>
    <row r="64" spans="1:15" s="56" customFormat="1" ht="34.5" customHeight="1" x14ac:dyDescent="0.25">
      <c r="A64" s="57">
        <v>242</v>
      </c>
      <c r="B64" s="70" t="s">
        <v>164</v>
      </c>
      <c r="C64" s="71">
        <v>3400</v>
      </c>
      <c r="D64" s="60">
        <v>10000</v>
      </c>
      <c r="E64" s="60">
        <v>0</v>
      </c>
      <c r="F64" s="60">
        <v>0</v>
      </c>
      <c r="G64" s="61">
        <v>2500</v>
      </c>
      <c r="H64" s="60">
        <v>2500</v>
      </c>
      <c r="I64" s="60">
        <v>2500</v>
      </c>
      <c r="J64" s="62">
        <v>2500</v>
      </c>
      <c r="K64" s="63" t="s">
        <v>80</v>
      </c>
      <c r="L64" s="72"/>
      <c r="N64" s="78"/>
      <c r="O64" s="78"/>
    </row>
    <row r="65" spans="1:15" s="56" customFormat="1" ht="24" customHeight="1" x14ac:dyDescent="0.25">
      <c r="A65" s="57">
        <v>243</v>
      </c>
      <c r="B65" s="70" t="s">
        <v>165</v>
      </c>
      <c r="C65" s="71">
        <v>3300</v>
      </c>
      <c r="D65" s="60">
        <v>1920</v>
      </c>
      <c r="E65" s="60">
        <v>0</v>
      </c>
      <c r="F65" s="60">
        <v>0</v>
      </c>
      <c r="G65" s="61">
        <v>615</v>
      </c>
      <c r="H65" s="60">
        <v>615</v>
      </c>
      <c r="I65" s="60">
        <v>690</v>
      </c>
      <c r="J65" s="62">
        <v>0</v>
      </c>
      <c r="K65" s="63" t="s">
        <v>80</v>
      </c>
      <c r="L65" s="73"/>
      <c r="N65" s="78"/>
      <c r="O65" s="78"/>
    </row>
    <row r="66" spans="1:15" s="56" customFormat="1" ht="15.75" customHeight="1" x14ac:dyDescent="0.25">
      <c r="A66" s="429" t="s">
        <v>166</v>
      </c>
      <c r="B66" s="430"/>
      <c r="C66" s="398"/>
      <c r="D66" s="67">
        <f t="shared" ref="D66:J66" si="5">SUM(D60:D65)</f>
        <v>146902</v>
      </c>
      <c r="E66" s="67">
        <f t="shared" si="5"/>
        <v>3723</v>
      </c>
      <c r="F66" s="67">
        <f t="shared" si="5"/>
        <v>48028</v>
      </c>
      <c r="G66" s="67">
        <f t="shared" si="5"/>
        <v>61321</v>
      </c>
      <c r="H66" s="67">
        <f t="shared" si="5"/>
        <v>59613</v>
      </c>
      <c r="I66" s="67">
        <f t="shared" si="5"/>
        <v>57040</v>
      </c>
      <c r="J66" s="67">
        <f t="shared" si="5"/>
        <v>55000</v>
      </c>
      <c r="K66" s="66"/>
      <c r="N66" s="78"/>
      <c r="O66" s="78"/>
    </row>
    <row r="67" spans="1:15" s="56" customFormat="1" ht="18" customHeight="1" x14ac:dyDescent="0.25">
      <c r="A67" s="433" t="s">
        <v>167</v>
      </c>
      <c r="B67" s="434"/>
      <c r="C67" s="434"/>
      <c r="D67" s="434"/>
      <c r="E67" s="434"/>
      <c r="F67" s="434"/>
      <c r="G67" s="434"/>
      <c r="H67" s="434"/>
      <c r="I67" s="434"/>
      <c r="J67" s="434"/>
      <c r="K67" s="435"/>
      <c r="N67" s="78"/>
      <c r="O67" s="78"/>
    </row>
    <row r="68" spans="1:15" s="56" customFormat="1" ht="15" customHeight="1" x14ac:dyDescent="0.25">
      <c r="A68" s="74">
        <v>265</v>
      </c>
      <c r="B68" s="75" t="s">
        <v>168</v>
      </c>
      <c r="C68" s="59" t="s">
        <v>169</v>
      </c>
      <c r="D68" s="60">
        <v>20100</v>
      </c>
      <c r="E68" s="60">
        <v>0</v>
      </c>
      <c r="F68" s="60">
        <v>0</v>
      </c>
      <c r="G68" s="61">
        <v>1000</v>
      </c>
      <c r="H68" s="60">
        <v>5200</v>
      </c>
      <c r="I68" s="60">
        <v>7400</v>
      </c>
      <c r="J68" s="62">
        <v>6500</v>
      </c>
      <c r="K68" s="63" t="s">
        <v>80</v>
      </c>
      <c r="L68" s="64"/>
      <c r="N68" s="78"/>
      <c r="O68" s="78"/>
    </row>
    <row r="69" spans="1:15" s="56" customFormat="1" ht="24" customHeight="1" x14ac:dyDescent="0.25">
      <c r="A69" s="74">
        <v>266</v>
      </c>
      <c r="B69" s="75" t="s">
        <v>549</v>
      </c>
      <c r="C69" s="59">
        <v>3271</v>
      </c>
      <c r="D69" s="60">
        <v>10500</v>
      </c>
      <c r="E69" s="60">
        <v>0</v>
      </c>
      <c r="F69" s="60">
        <v>0</v>
      </c>
      <c r="G69" s="61">
        <v>1000</v>
      </c>
      <c r="H69" s="60">
        <v>3500</v>
      </c>
      <c r="I69" s="60">
        <v>3500</v>
      </c>
      <c r="J69" s="62">
        <v>2500</v>
      </c>
      <c r="K69" s="63" t="s">
        <v>80</v>
      </c>
      <c r="L69" s="64"/>
      <c r="N69" s="78"/>
      <c r="O69" s="78"/>
    </row>
    <row r="70" spans="1:15" s="56" customFormat="1" ht="15" customHeight="1" x14ac:dyDescent="0.25">
      <c r="A70" s="74">
        <v>267</v>
      </c>
      <c r="B70" s="75" t="s">
        <v>171</v>
      </c>
      <c r="C70" s="59">
        <v>3272</v>
      </c>
      <c r="D70" s="60">
        <v>10500</v>
      </c>
      <c r="E70" s="60">
        <v>18</v>
      </c>
      <c r="F70" s="60">
        <v>0</v>
      </c>
      <c r="G70" s="61">
        <v>100</v>
      </c>
      <c r="H70" s="60">
        <v>4200</v>
      </c>
      <c r="I70" s="60">
        <v>5400</v>
      </c>
      <c r="J70" s="62">
        <v>782</v>
      </c>
      <c r="K70" s="63" t="s">
        <v>80</v>
      </c>
      <c r="L70" s="64"/>
      <c r="N70" s="78"/>
      <c r="O70" s="78"/>
    </row>
    <row r="71" spans="1:15" s="56" customFormat="1" ht="15" customHeight="1" x14ac:dyDescent="0.25">
      <c r="A71" s="74">
        <v>269</v>
      </c>
      <c r="B71" s="75" t="s">
        <v>172</v>
      </c>
      <c r="C71" s="59" t="s">
        <v>173</v>
      </c>
      <c r="D71" s="60">
        <v>120</v>
      </c>
      <c r="E71" s="60">
        <v>0</v>
      </c>
      <c r="F71" s="60">
        <v>0</v>
      </c>
      <c r="G71" s="61">
        <v>120</v>
      </c>
      <c r="H71" s="60">
        <v>0</v>
      </c>
      <c r="I71" s="60">
        <v>0</v>
      </c>
      <c r="J71" s="62">
        <v>0</v>
      </c>
      <c r="K71" s="63" t="s">
        <v>80</v>
      </c>
      <c r="L71" s="64"/>
      <c r="N71" s="78"/>
      <c r="O71" s="78"/>
    </row>
    <row r="72" spans="1:15" s="56" customFormat="1" ht="15" customHeight="1" x14ac:dyDescent="0.25">
      <c r="A72" s="74">
        <v>270</v>
      </c>
      <c r="B72" s="75" t="s">
        <v>174</v>
      </c>
      <c r="C72" s="71">
        <v>3273</v>
      </c>
      <c r="D72" s="60">
        <v>10500</v>
      </c>
      <c r="E72" s="60">
        <v>0</v>
      </c>
      <c r="F72" s="60">
        <v>0</v>
      </c>
      <c r="G72" s="61">
        <v>1000</v>
      </c>
      <c r="H72" s="60">
        <v>4175</v>
      </c>
      <c r="I72" s="60">
        <v>3000</v>
      </c>
      <c r="J72" s="62">
        <v>2325</v>
      </c>
      <c r="K72" s="63" t="s">
        <v>80</v>
      </c>
      <c r="L72" s="64"/>
      <c r="N72" s="78"/>
      <c r="O72" s="78"/>
    </row>
    <row r="73" spans="1:15" s="56" customFormat="1" ht="24" customHeight="1" x14ac:dyDescent="0.25">
      <c r="A73" s="74">
        <v>271</v>
      </c>
      <c r="B73" s="75" t="s">
        <v>175</v>
      </c>
      <c r="C73" s="71" t="s">
        <v>176</v>
      </c>
      <c r="D73" s="60">
        <v>10500</v>
      </c>
      <c r="E73" s="60">
        <v>0</v>
      </c>
      <c r="F73" s="60">
        <v>0</v>
      </c>
      <c r="G73" s="61">
        <v>500</v>
      </c>
      <c r="H73" s="60">
        <v>1500</v>
      </c>
      <c r="I73" s="60">
        <v>4200</v>
      </c>
      <c r="J73" s="62">
        <v>3000</v>
      </c>
      <c r="K73" s="63" t="s">
        <v>177</v>
      </c>
      <c r="L73" s="72"/>
      <c r="N73" s="78"/>
      <c r="O73" s="78"/>
    </row>
    <row r="74" spans="1:15" s="56" customFormat="1" ht="15" customHeight="1" x14ac:dyDescent="0.25">
      <c r="A74" s="74">
        <v>272</v>
      </c>
      <c r="B74" s="75" t="s">
        <v>178</v>
      </c>
      <c r="C74" s="59" t="s">
        <v>179</v>
      </c>
      <c r="D74" s="60">
        <v>6450</v>
      </c>
      <c r="E74" s="60">
        <v>50</v>
      </c>
      <c r="F74" s="60">
        <v>300</v>
      </c>
      <c r="G74" s="61">
        <v>1500</v>
      </c>
      <c r="H74" s="60">
        <v>2300</v>
      </c>
      <c r="I74" s="60">
        <v>2300</v>
      </c>
      <c r="J74" s="62">
        <v>0</v>
      </c>
      <c r="K74" s="63" t="s">
        <v>80</v>
      </c>
      <c r="L74" s="64"/>
      <c r="N74" s="78"/>
      <c r="O74" s="78"/>
    </row>
    <row r="75" spans="1:15" s="56" customFormat="1" ht="15" customHeight="1" x14ac:dyDescent="0.25">
      <c r="A75" s="74">
        <v>273</v>
      </c>
      <c r="B75" s="75" t="s">
        <v>180</v>
      </c>
      <c r="C75" s="71">
        <v>3276</v>
      </c>
      <c r="D75" s="60">
        <v>13500</v>
      </c>
      <c r="E75" s="60">
        <v>0</v>
      </c>
      <c r="F75" s="60">
        <v>0</v>
      </c>
      <c r="G75" s="61">
        <v>1000</v>
      </c>
      <c r="H75" s="60">
        <v>6700</v>
      </c>
      <c r="I75" s="60">
        <v>3700</v>
      </c>
      <c r="J75" s="62">
        <v>2100</v>
      </c>
      <c r="K75" s="63" t="s">
        <v>80</v>
      </c>
      <c r="L75" s="72"/>
      <c r="N75" s="78"/>
      <c r="O75" s="78"/>
    </row>
    <row r="76" spans="1:15" s="56" customFormat="1" ht="15" customHeight="1" x14ac:dyDescent="0.25">
      <c r="A76" s="74">
        <v>274</v>
      </c>
      <c r="B76" s="75" t="s">
        <v>181</v>
      </c>
      <c r="C76" s="59">
        <v>3278</v>
      </c>
      <c r="D76" s="60">
        <v>10500</v>
      </c>
      <c r="E76" s="60">
        <v>0</v>
      </c>
      <c r="F76" s="60">
        <v>0</v>
      </c>
      <c r="G76" s="61">
        <v>1000</v>
      </c>
      <c r="H76" s="60">
        <v>4000</v>
      </c>
      <c r="I76" s="60">
        <v>4000</v>
      </c>
      <c r="J76" s="62">
        <v>1500</v>
      </c>
      <c r="K76" s="63" t="s">
        <v>80</v>
      </c>
      <c r="L76" s="64"/>
      <c r="N76" s="78"/>
      <c r="O76" s="78"/>
    </row>
    <row r="77" spans="1:15" s="56" customFormat="1" ht="15.75" customHeight="1" x14ac:dyDescent="0.25">
      <c r="A77" s="427" t="s">
        <v>182</v>
      </c>
      <c r="B77" s="428"/>
      <c r="C77" s="65"/>
      <c r="D77" s="65">
        <f t="shared" ref="D77:J77" si="6">SUM(D68:D76)</f>
        <v>92670</v>
      </c>
      <c r="E77" s="65">
        <f t="shared" si="6"/>
        <v>68</v>
      </c>
      <c r="F77" s="65">
        <f t="shared" si="6"/>
        <v>300</v>
      </c>
      <c r="G77" s="65">
        <f t="shared" si="6"/>
        <v>7220</v>
      </c>
      <c r="H77" s="65">
        <f t="shared" si="6"/>
        <v>31575</v>
      </c>
      <c r="I77" s="65">
        <f t="shared" si="6"/>
        <v>33500</v>
      </c>
      <c r="J77" s="65">
        <f t="shared" si="6"/>
        <v>18707</v>
      </c>
      <c r="K77" s="66"/>
      <c r="N77" s="78"/>
      <c r="O77" s="78"/>
    </row>
    <row r="78" spans="1:15" s="56" customFormat="1" ht="18" customHeight="1" x14ac:dyDescent="0.25">
      <c r="A78" s="424" t="s">
        <v>86</v>
      </c>
      <c r="B78" s="425"/>
      <c r="C78" s="425"/>
      <c r="D78" s="425"/>
      <c r="E78" s="425"/>
      <c r="F78" s="425"/>
      <c r="G78" s="425"/>
      <c r="H78" s="425"/>
      <c r="I78" s="425"/>
      <c r="J78" s="425"/>
      <c r="K78" s="426"/>
      <c r="N78" s="78"/>
      <c r="O78" s="78"/>
    </row>
    <row r="79" spans="1:15" s="56" customFormat="1" ht="24" customHeight="1" x14ac:dyDescent="0.25">
      <c r="A79" s="74">
        <v>325</v>
      </c>
      <c r="B79" s="75" t="s">
        <v>183</v>
      </c>
      <c r="C79" s="59">
        <v>3372</v>
      </c>
      <c r="D79" s="60">
        <v>20000</v>
      </c>
      <c r="E79" s="60">
        <v>0</v>
      </c>
      <c r="F79" s="60">
        <v>1000</v>
      </c>
      <c r="G79" s="61">
        <v>1000</v>
      </c>
      <c r="H79" s="60">
        <v>9000</v>
      </c>
      <c r="I79" s="60">
        <v>9000</v>
      </c>
      <c r="J79" s="62">
        <v>0</v>
      </c>
      <c r="K79" s="63" t="s">
        <v>80</v>
      </c>
      <c r="L79" s="64"/>
      <c r="N79" s="78"/>
      <c r="O79" s="78"/>
    </row>
    <row r="80" spans="1:15" s="56" customFormat="1" ht="24" customHeight="1" x14ac:dyDescent="0.25">
      <c r="A80" s="74">
        <v>326</v>
      </c>
      <c r="B80" s="75" t="s">
        <v>184</v>
      </c>
      <c r="C80" s="71">
        <v>3210</v>
      </c>
      <c r="D80" s="60">
        <v>38000</v>
      </c>
      <c r="E80" s="60">
        <v>196</v>
      </c>
      <c r="F80" s="60">
        <v>1172</v>
      </c>
      <c r="G80" s="61">
        <v>12000</v>
      </c>
      <c r="H80" s="60">
        <v>24632</v>
      </c>
      <c r="I80" s="60">
        <v>0</v>
      </c>
      <c r="J80" s="62">
        <v>0</v>
      </c>
      <c r="K80" s="63" t="s">
        <v>80</v>
      </c>
      <c r="L80" s="64"/>
      <c r="N80" s="78"/>
      <c r="O80" s="78"/>
    </row>
    <row r="81" spans="1:15" s="56" customFormat="1" ht="24" customHeight="1" x14ac:dyDescent="0.25">
      <c r="A81" s="74">
        <v>327</v>
      </c>
      <c r="B81" s="75" t="s">
        <v>550</v>
      </c>
      <c r="C81" s="59">
        <v>3211</v>
      </c>
      <c r="D81" s="60">
        <v>18807</v>
      </c>
      <c r="E81" s="60">
        <v>196</v>
      </c>
      <c r="F81" s="60">
        <v>1000</v>
      </c>
      <c r="G81" s="61">
        <v>4000</v>
      </c>
      <c r="H81" s="60">
        <v>13611</v>
      </c>
      <c r="I81" s="60">
        <v>0</v>
      </c>
      <c r="J81" s="62">
        <v>0</v>
      </c>
      <c r="K81" s="63" t="s">
        <v>80</v>
      </c>
      <c r="L81" s="64"/>
      <c r="N81" s="78"/>
      <c r="O81" s="78"/>
    </row>
    <row r="82" spans="1:15" s="56" customFormat="1" ht="24" customHeight="1" x14ac:dyDescent="0.25">
      <c r="A82" s="74">
        <v>329</v>
      </c>
      <c r="B82" s="75" t="s">
        <v>186</v>
      </c>
      <c r="C82" s="59">
        <v>3393</v>
      </c>
      <c r="D82" s="60">
        <v>3900</v>
      </c>
      <c r="E82" s="60">
        <v>0</v>
      </c>
      <c r="F82" s="60">
        <v>250</v>
      </c>
      <c r="G82" s="61">
        <v>3650</v>
      </c>
      <c r="H82" s="60">
        <v>0</v>
      </c>
      <c r="I82" s="60">
        <v>0</v>
      </c>
      <c r="J82" s="62">
        <v>0</v>
      </c>
      <c r="K82" s="63" t="s">
        <v>80</v>
      </c>
      <c r="L82" s="64"/>
      <c r="N82" s="78"/>
      <c r="O82" s="78"/>
    </row>
    <row r="83" spans="1:15" s="56" customFormat="1" ht="24" customHeight="1" x14ac:dyDescent="0.25">
      <c r="A83" s="74">
        <v>330</v>
      </c>
      <c r="B83" s="75" t="s">
        <v>187</v>
      </c>
      <c r="C83" s="59">
        <v>3209</v>
      </c>
      <c r="D83" s="60">
        <v>29947</v>
      </c>
      <c r="E83" s="60">
        <v>173</v>
      </c>
      <c r="F83" s="60">
        <v>1012</v>
      </c>
      <c r="G83" s="61">
        <v>9000</v>
      </c>
      <c r="H83" s="60">
        <v>19762</v>
      </c>
      <c r="I83" s="60">
        <v>0</v>
      </c>
      <c r="J83" s="62">
        <v>0</v>
      </c>
      <c r="K83" s="63" t="s">
        <v>80</v>
      </c>
      <c r="L83" s="64"/>
      <c r="N83" s="78"/>
      <c r="O83" s="78"/>
    </row>
    <row r="84" spans="1:15" s="56" customFormat="1" ht="24" customHeight="1" x14ac:dyDescent="0.25">
      <c r="A84" s="74">
        <v>332</v>
      </c>
      <c r="B84" s="75" t="s">
        <v>188</v>
      </c>
      <c r="C84" s="59">
        <v>3371</v>
      </c>
      <c r="D84" s="60">
        <v>20000</v>
      </c>
      <c r="E84" s="60">
        <v>0</v>
      </c>
      <c r="F84" s="60">
        <f>2250-2000</f>
        <v>250</v>
      </c>
      <c r="G84" s="61">
        <f>1000+2000</f>
        <v>3000</v>
      </c>
      <c r="H84" s="60">
        <v>5000</v>
      </c>
      <c r="I84" s="60">
        <v>11750</v>
      </c>
      <c r="J84" s="62">
        <v>0</v>
      </c>
      <c r="K84" s="63" t="s">
        <v>80</v>
      </c>
      <c r="L84" s="72"/>
      <c r="N84" s="78"/>
      <c r="O84" s="78"/>
    </row>
    <row r="85" spans="1:15" s="56" customFormat="1" ht="24" customHeight="1" x14ac:dyDescent="0.25">
      <c r="A85" s="74">
        <v>333</v>
      </c>
      <c r="B85" s="75" t="s">
        <v>189</v>
      </c>
      <c r="C85" s="71">
        <v>3282</v>
      </c>
      <c r="D85" s="60">
        <v>9414</v>
      </c>
      <c r="E85" s="60">
        <v>354</v>
      </c>
      <c r="F85" s="60">
        <f>1500-1282</f>
        <v>218</v>
      </c>
      <c r="G85" s="61">
        <f>7560+1282</f>
        <v>8842</v>
      </c>
      <c r="H85" s="60">
        <v>0</v>
      </c>
      <c r="I85" s="60">
        <v>0</v>
      </c>
      <c r="J85" s="62">
        <v>0</v>
      </c>
      <c r="K85" s="63" t="s">
        <v>80</v>
      </c>
      <c r="L85" s="72"/>
      <c r="N85" s="78"/>
      <c r="O85" s="78"/>
    </row>
    <row r="86" spans="1:15" s="56" customFormat="1" ht="54.75" customHeight="1" x14ac:dyDescent="0.25">
      <c r="A86" s="74">
        <v>334</v>
      </c>
      <c r="B86" s="75" t="s">
        <v>190</v>
      </c>
      <c r="C86" s="71">
        <v>3213</v>
      </c>
      <c r="D86" s="60">
        <v>14980</v>
      </c>
      <c r="E86" s="60">
        <v>2058</v>
      </c>
      <c r="F86" s="60">
        <v>6801</v>
      </c>
      <c r="G86" s="61">
        <v>389</v>
      </c>
      <c r="H86" s="60">
        <v>0</v>
      </c>
      <c r="I86" s="60">
        <v>0</v>
      </c>
      <c r="J86" s="62">
        <v>0</v>
      </c>
      <c r="K86" s="63" t="s">
        <v>131</v>
      </c>
      <c r="L86" s="72"/>
      <c r="N86" s="78"/>
      <c r="O86" s="78"/>
    </row>
    <row r="87" spans="1:15" s="56" customFormat="1" ht="15" customHeight="1" x14ac:dyDescent="0.25">
      <c r="A87" s="74">
        <v>335</v>
      </c>
      <c r="B87" s="75" t="s">
        <v>191</v>
      </c>
      <c r="C87" s="71">
        <v>3383</v>
      </c>
      <c r="D87" s="60">
        <v>4000</v>
      </c>
      <c r="E87" s="60">
        <v>0</v>
      </c>
      <c r="F87" s="60">
        <v>0</v>
      </c>
      <c r="G87" s="61">
        <v>4000</v>
      </c>
      <c r="H87" s="60">
        <v>0</v>
      </c>
      <c r="I87" s="60">
        <v>0</v>
      </c>
      <c r="J87" s="62">
        <v>0</v>
      </c>
      <c r="K87" s="63" t="s">
        <v>80</v>
      </c>
      <c r="L87" s="72"/>
      <c r="N87" s="78"/>
      <c r="O87" s="78"/>
    </row>
    <row r="88" spans="1:15" s="56" customFormat="1" ht="54.75" customHeight="1" x14ac:dyDescent="0.25">
      <c r="A88" s="74">
        <v>336</v>
      </c>
      <c r="B88" s="75" t="s">
        <v>192</v>
      </c>
      <c r="C88" s="71">
        <v>3336</v>
      </c>
      <c r="D88" s="60">
        <v>6832</v>
      </c>
      <c r="E88" s="60">
        <v>0</v>
      </c>
      <c r="F88" s="60">
        <v>3412</v>
      </c>
      <c r="G88" s="61">
        <v>100</v>
      </c>
      <c r="H88" s="60">
        <v>40</v>
      </c>
      <c r="I88" s="60">
        <v>0</v>
      </c>
      <c r="J88" s="62">
        <v>0</v>
      </c>
      <c r="K88" s="63" t="s">
        <v>131</v>
      </c>
      <c r="L88" s="72"/>
      <c r="N88" s="78"/>
      <c r="O88" s="78"/>
    </row>
    <row r="89" spans="1:15" s="56" customFormat="1" ht="34.5" customHeight="1" x14ac:dyDescent="0.25">
      <c r="A89" s="74">
        <v>337</v>
      </c>
      <c r="B89" s="75" t="s">
        <v>193</v>
      </c>
      <c r="C89" s="71">
        <v>3389</v>
      </c>
      <c r="D89" s="60">
        <v>14000</v>
      </c>
      <c r="E89" s="60">
        <v>0</v>
      </c>
      <c r="F89" s="60">
        <v>490</v>
      </c>
      <c r="G89" s="61">
        <v>510</v>
      </c>
      <c r="H89" s="60">
        <v>0</v>
      </c>
      <c r="I89" s="60">
        <v>13000</v>
      </c>
      <c r="J89" s="62">
        <v>0</v>
      </c>
      <c r="K89" s="63" t="s">
        <v>80</v>
      </c>
      <c r="L89" s="72"/>
      <c r="N89" s="78"/>
      <c r="O89" s="78"/>
    </row>
    <row r="90" spans="1:15" s="56" customFormat="1" ht="24" customHeight="1" x14ac:dyDescent="0.25">
      <c r="A90" s="74">
        <v>338</v>
      </c>
      <c r="B90" s="75" t="s">
        <v>344</v>
      </c>
      <c r="C90" s="59">
        <v>3335</v>
      </c>
      <c r="D90" s="60">
        <v>10000</v>
      </c>
      <c r="E90" s="60">
        <v>0</v>
      </c>
      <c r="F90" s="60">
        <v>6104</v>
      </c>
      <c r="G90" s="61">
        <v>3896</v>
      </c>
      <c r="H90" s="60">
        <v>0</v>
      </c>
      <c r="I90" s="60">
        <v>0</v>
      </c>
      <c r="J90" s="62">
        <v>0</v>
      </c>
      <c r="K90" s="63" t="s">
        <v>89</v>
      </c>
      <c r="L90" s="64"/>
      <c r="N90" s="78"/>
      <c r="O90" s="78"/>
    </row>
    <row r="91" spans="1:15" s="56" customFormat="1" ht="54.75" customHeight="1" x14ac:dyDescent="0.25">
      <c r="A91" s="74">
        <v>339</v>
      </c>
      <c r="B91" s="75" t="s">
        <v>551</v>
      </c>
      <c r="C91" s="71">
        <v>3337</v>
      </c>
      <c r="D91" s="60">
        <v>25200</v>
      </c>
      <c r="E91" s="60">
        <v>0</v>
      </c>
      <c r="F91" s="60">
        <v>0</v>
      </c>
      <c r="G91" s="61">
        <v>425</v>
      </c>
      <c r="H91" s="60">
        <v>1715</v>
      </c>
      <c r="I91" s="60">
        <v>310</v>
      </c>
      <c r="J91" s="62">
        <v>0</v>
      </c>
      <c r="K91" s="63" t="s">
        <v>131</v>
      </c>
      <c r="L91" s="72"/>
      <c r="N91" s="78"/>
      <c r="O91" s="78"/>
    </row>
    <row r="92" spans="1:15" s="56" customFormat="1" ht="34.5" customHeight="1" x14ac:dyDescent="0.25">
      <c r="A92" s="74">
        <v>340</v>
      </c>
      <c r="B92" s="75" t="s">
        <v>552</v>
      </c>
      <c r="C92" s="71">
        <v>3203</v>
      </c>
      <c r="D92" s="60">
        <v>9857</v>
      </c>
      <c r="E92" s="60">
        <v>1957</v>
      </c>
      <c r="F92" s="60">
        <v>4336</v>
      </c>
      <c r="G92" s="61">
        <v>159</v>
      </c>
      <c r="H92" s="60">
        <v>0</v>
      </c>
      <c r="I92" s="60">
        <v>0</v>
      </c>
      <c r="J92" s="62">
        <v>0</v>
      </c>
      <c r="K92" s="63" t="s">
        <v>99</v>
      </c>
      <c r="L92" s="72"/>
      <c r="N92" s="78"/>
      <c r="O92" s="78"/>
    </row>
    <row r="93" spans="1:15" s="56" customFormat="1" ht="54.75" customHeight="1" x14ac:dyDescent="0.25">
      <c r="A93" s="74">
        <v>342</v>
      </c>
      <c r="B93" s="75" t="s">
        <v>196</v>
      </c>
      <c r="C93" s="71">
        <v>3214</v>
      </c>
      <c r="D93" s="60">
        <v>7342</v>
      </c>
      <c r="E93" s="60">
        <v>2663</v>
      </c>
      <c r="F93" s="60">
        <v>3882</v>
      </c>
      <c r="G93" s="61">
        <v>147</v>
      </c>
      <c r="H93" s="60">
        <v>0</v>
      </c>
      <c r="I93" s="60">
        <v>0</v>
      </c>
      <c r="J93" s="62">
        <v>0</v>
      </c>
      <c r="K93" s="63" t="s">
        <v>131</v>
      </c>
      <c r="L93" s="72"/>
      <c r="N93" s="78"/>
      <c r="O93" s="78"/>
    </row>
    <row r="94" spans="1:15" s="56" customFormat="1" ht="34.5" customHeight="1" x14ac:dyDescent="0.25">
      <c r="A94" s="74">
        <v>343</v>
      </c>
      <c r="B94" s="75" t="s">
        <v>197</v>
      </c>
      <c r="C94" s="59">
        <v>3259</v>
      </c>
      <c r="D94" s="60">
        <v>8272</v>
      </c>
      <c r="E94" s="60">
        <v>0</v>
      </c>
      <c r="F94" s="60">
        <v>3300</v>
      </c>
      <c r="G94" s="61">
        <v>200</v>
      </c>
      <c r="H94" s="60">
        <v>127</v>
      </c>
      <c r="I94" s="60">
        <v>44</v>
      </c>
      <c r="J94" s="62">
        <v>0</v>
      </c>
      <c r="K94" s="63" t="s">
        <v>99</v>
      </c>
      <c r="L94" s="72"/>
      <c r="N94" s="78"/>
      <c r="O94" s="78"/>
    </row>
    <row r="95" spans="1:15" s="56" customFormat="1" ht="34.5" customHeight="1" x14ac:dyDescent="0.25">
      <c r="A95" s="74">
        <v>345</v>
      </c>
      <c r="B95" s="75" t="s">
        <v>198</v>
      </c>
      <c r="C95" s="59">
        <v>3212</v>
      </c>
      <c r="D95" s="60">
        <v>55522</v>
      </c>
      <c r="E95" s="60">
        <v>17628</v>
      </c>
      <c r="F95" s="60">
        <v>36966</v>
      </c>
      <c r="G95" s="61">
        <v>915</v>
      </c>
      <c r="H95" s="60">
        <v>13</v>
      </c>
      <c r="I95" s="60">
        <v>0</v>
      </c>
      <c r="J95" s="62">
        <v>0</v>
      </c>
      <c r="K95" s="63" t="s">
        <v>99</v>
      </c>
      <c r="L95" s="72"/>
      <c r="N95" s="78"/>
      <c r="O95" s="78"/>
    </row>
    <row r="96" spans="1:15" s="56" customFormat="1" ht="34.5" customHeight="1" x14ac:dyDescent="0.25">
      <c r="A96" s="74">
        <v>346</v>
      </c>
      <c r="B96" s="75" t="s">
        <v>199</v>
      </c>
      <c r="C96" s="71">
        <v>3281</v>
      </c>
      <c r="D96" s="60">
        <v>342390</v>
      </c>
      <c r="E96" s="60">
        <v>0</v>
      </c>
      <c r="F96" s="60">
        <v>103102</v>
      </c>
      <c r="G96" s="61">
        <v>8815</v>
      </c>
      <c r="H96" s="60">
        <v>36627</v>
      </c>
      <c r="I96" s="60">
        <v>22</v>
      </c>
      <c r="J96" s="62">
        <v>0</v>
      </c>
      <c r="K96" s="63" t="s">
        <v>99</v>
      </c>
      <c r="L96" s="72"/>
      <c r="N96" s="78"/>
      <c r="O96" s="78"/>
    </row>
    <row r="97" spans="1:15" s="56" customFormat="1" ht="34.5" customHeight="1" x14ac:dyDescent="0.25">
      <c r="A97" s="74">
        <v>347</v>
      </c>
      <c r="B97" s="75" t="s">
        <v>200</v>
      </c>
      <c r="C97" s="71">
        <v>3398</v>
      </c>
      <c r="D97" s="60">
        <v>110500</v>
      </c>
      <c r="E97" s="60">
        <v>0</v>
      </c>
      <c r="F97" s="60">
        <v>0</v>
      </c>
      <c r="G97" s="61">
        <v>1700</v>
      </c>
      <c r="H97" s="60">
        <v>30200</v>
      </c>
      <c r="I97" s="60">
        <v>50100</v>
      </c>
      <c r="J97" s="62">
        <v>0</v>
      </c>
      <c r="K97" s="63" t="s">
        <v>99</v>
      </c>
      <c r="L97" s="72"/>
      <c r="N97" s="78"/>
      <c r="O97" s="78"/>
    </row>
    <row r="98" spans="1:15" s="56" customFormat="1" ht="34.5" customHeight="1" x14ac:dyDescent="0.25">
      <c r="A98" s="74">
        <v>348</v>
      </c>
      <c r="B98" s="75" t="s">
        <v>201</v>
      </c>
      <c r="C98" s="71">
        <v>3215</v>
      </c>
      <c r="D98" s="60">
        <v>14729</v>
      </c>
      <c r="E98" s="60">
        <v>662</v>
      </c>
      <c r="F98" s="60">
        <v>6860</v>
      </c>
      <c r="G98" s="61">
        <v>468</v>
      </c>
      <c r="H98" s="60">
        <v>172</v>
      </c>
      <c r="I98" s="60">
        <v>0</v>
      </c>
      <c r="J98" s="62">
        <v>0</v>
      </c>
      <c r="K98" s="63" t="s">
        <v>99</v>
      </c>
      <c r="L98" s="72"/>
      <c r="N98" s="78"/>
      <c r="O98" s="78"/>
    </row>
    <row r="99" spans="1:15" s="56" customFormat="1" ht="54.75" customHeight="1" x14ac:dyDescent="0.25">
      <c r="A99" s="74">
        <v>349</v>
      </c>
      <c r="B99" s="75" t="s">
        <v>202</v>
      </c>
      <c r="C99" s="59">
        <v>3202</v>
      </c>
      <c r="D99" s="60">
        <v>6626</v>
      </c>
      <c r="E99" s="60">
        <v>80</v>
      </c>
      <c r="F99" s="60">
        <v>3342</v>
      </c>
      <c r="G99" s="61">
        <v>105</v>
      </c>
      <c r="H99" s="60">
        <v>0</v>
      </c>
      <c r="I99" s="60">
        <v>0</v>
      </c>
      <c r="J99" s="62">
        <v>0</v>
      </c>
      <c r="K99" s="63" t="s">
        <v>131</v>
      </c>
      <c r="L99" s="72"/>
      <c r="N99" s="78"/>
      <c r="O99" s="78"/>
    </row>
    <row r="100" spans="1:15" s="56" customFormat="1" ht="34.5" customHeight="1" x14ac:dyDescent="0.25">
      <c r="A100" s="74">
        <v>351</v>
      </c>
      <c r="B100" s="75" t="s">
        <v>203</v>
      </c>
      <c r="C100" s="71">
        <v>3258</v>
      </c>
      <c r="D100" s="60">
        <v>21452</v>
      </c>
      <c r="E100" s="60">
        <v>251</v>
      </c>
      <c r="F100" s="60">
        <v>9124</v>
      </c>
      <c r="G100" s="61">
        <v>725</v>
      </c>
      <c r="H100" s="60">
        <v>163</v>
      </c>
      <c r="I100" s="60">
        <v>0</v>
      </c>
      <c r="J100" s="62">
        <v>0</v>
      </c>
      <c r="K100" s="63" t="s">
        <v>99</v>
      </c>
      <c r="L100" s="72"/>
      <c r="N100" s="78"/>
      <c r="O100" s="78"/>
    </row>
    <row r="101" spans="1:15" s="56" customFormat="1" ht="34.5" customHeight="1" x14ac:dyDescent="0.25">
      <c r="A101" s="74">
        <v>353</v>
      </c>
      <c r="B101" s="75" t="s">
        <v>345</v>
      </c>
      <c r="C101" s="71"/>
      <c r="D101" s="60">
        <v>22200</v>
      </c>
      <c r="E101" s="60">
        <v>0</v>
      </c>
      <c r="F101" s="60">
        <v>0</v>
      </c>
      <c r="G101" s="61">
        <v>25</v>
      </c>
      <c r="H101" s="60">
        <v>500</v>
      </c>
      <c r="I101" s="60">
        <v>500</v>
      </c>
      <c r="J101" s="62">
        <v>275</v>
      </c>
      <c r="K101" s="63" t="s">
        <v>99</v>
      </c>
      <c r="L101" s="73"/>
      <c r="N101" s="78"/>
      <c r="O101" s="78"/>
    </row>
    <row r="102" spans="1:15" s="56" customFormat="1" ht="15.75" customHeight="1" x14ac:dyDescent="0.25">
      <c r="A102" s="429" t="s">
        <v>87</v>
      </c>
      <c r="B102" s="430"/>
      <c r="C102" s="65"/>
      <c r="D102" s="65">
        <f t="shared" ref="D102:J102" si="7">SUM(D79:D101)</f>
        <v>813970</v>
      </c>
      <c r="E102" s="65">
        <f t="shared" si="7"/>
        <v>26218</v>
      </c>
      <c r="F102" s="65">
        <f t="shared" si="7"/>
        <v>192621</v>
      </c>
      <c r="G102" s="65">
        <f t="shared" si="7"/>
        <v>64071</v>
      </c>
      <c r="H102" s="65">
        <f t="shared" si="7"/>
        <v>141562</v>
      </c>
      <c r="I102" s="65">
        <f t="shared" si="7"/>
        <v>84726</v>
      </c>
      <c r="J102" s="65">
        <f t="shared" si="7"/>
        <v>275</v>
      </c>
      <c r="K102" s="66"/>
      <c r="N102" s="78"/>
      <c r="O102" s="78"/>
    </row>
    <row r="103" spans="1:15" s="56" customFormat="1" ht="18" customHeight="1" x14ac:dyDescent="0.25">
      <c r="A103" s="424" t="s">
        <v>88</v>
      </c>
      <c r="B103" s="425"/>
      <c r="C103" s="425"/>
      <c r="D103" s="425"/>
      <c r="E103" s="425"/>
      <c r="F103" s="425"/>
      <c r="G103" s="425"/>
      <c r="H103" s="425"/>
      <c r="I103" s="425"/>
      <c r="J103" s="425"/>
      <c r="K103" s="426"/>
      <c r="N103" s="78"/>
      <c r="O103" s="78"/>
    </row>
    <row r="104" spans="1:15" s="56" customFormat="1" ht="24" customHeight="1" x14ac:dyDescent="0.25">
      <c r="A104" s="57">
        <v>422</v>
      </c>
      <c r="B104" s="70" t="s">
        <v>204</v>
      </c>
      <c r="C104" s="59">
        <v>3220</v>
      </c>
      <c r="D104" s="60">
        <v>50000</v>
      </c>
      <c r="E104" s="60">
        <v>293</v>
      </c>
      <c r="F104" s="60">
        <f>5907-4124</f>
        <v>1783</v>
      </c>
      <c r="G104" s="61">
        <f>43800+4124</f>
        <v>47924</v>
      </c>
      <c r="H104" s="60">
        <v>0</v>
      </c>
      <c r="I104" s="60">
        <v>0</v>
      </c>
      <c r="J104" s="62">
        <v>0</v>
      </c>
      <c r="K104" s="63" t="s">
        <v>80</v>
      </c>
      <c r="L104" s="64"/>
      <c r="N104" s="78"/>
      <c r="O104" s="78"/>
    </row>
    <row r="105" spans="1:15" s="76" customFormat="1" ht="24" customHeight="1" x14ac:dyDescent="0.25">
      <c r="A105" s="74">
        <v>424</v>
      </c>
      <c r="B105" s="70" t="s">
        <v>553</v>
      </c>
      <c r="C105" s="71" t="s">
        <v>206</v>
      </c>
      <c r="D105" s="60">
        <v>37800</v>
      </c>
      <c r="E105" s="60">
        <v>364</v>
      </c>
      <c r="F105" s="60">
        <v>730</v>
      </c>
      <c r="G105" s="61">
        <v>36706</v>
      </c>
      <c r="H105" s="60">
        <v>0</v>
      </c>
      <c r="I105" s="60">
        <v>0</v>
      </c>
      <c r="J105" s="62">
        <v>0</v>
      </c>
      <c r="K105" s="63" t="s">
        <v>80</v>
      </c>
      <c r="L105" s="57"/>
      <c r="N105" s="78"/>
      <c r="O105" s="78"/>
    </row>
    <row r="106" spans="1:15" s="76" customFormat="1" ht="24" customHeight="1" x14ac:dyDescent="0.25">
      <c r="A106" s="74">
        <v>425</v>
      </c>
      <c r="B106" s="70" t="s">
        <v>554</v>
      </c>
      <c r="C106" s="71" t="s">
        <v>208</v>
      </c>
      <c r="D106" s="60">
        <v>9600</v>
      </c>
      <c r="E106" s="60">
        <v>296</v>
      </c>
      <c r="F106" s="60">
        <v>733</v>
      </c>
      <c r="G106" s="61">
        <v>8571</v>
      </c>
      <c r="H106" s="60">
        <v>0</v>
      </c>
      <c r="I106" s="60">
        <v>0</v>
      </c>
      <c r="J106" s="62">
        <v>0</v>
      </c>
      <c r="K106" s="63" t="s">
        <v>80</v>
      </c>
      <c r="L106" s="57"/>
      <c r="N106" s="78"/>
      <c r="O106" s="78"/>
    </row>
    <row r="107" spans="1:15" s="76" customFormat="1" ht="15" customHeight="1" x14ac:dyDescent="0.25">
      <c r="A107" s="74">
        <v>426</v>
      </c>
      <c r="B107" s="70" t="s">
        <v>209</v>
      </c>
      <c r="C107" s="71" t="s">
        <v>210</v>
      </c>
      <c r="D107" s="60">
        <v>9099</v>
      </c>
      <c r="E107" s="60">
        <v>160</v>
      </c>
      <c r="F107" s="60">
        <v>650</v>
      </c>
      <c r="G107" s="61">
        <v>8289</v>
      </c>
      <c r="H107" s="60">
        <v>0</v>
      </c>
      <c r="I107" s="60">
        <v>0</v>
      </c>
      <c r="J107" s="62">
        <v>0</v>
      </c>
      <c r="K107" s="63" t="s">
        <v>80</v>
      </c>
      <c r="L107" s="57"/>
      <c r="N107" s="78"/>
      <c r="O107" s="78"/>
    </row>
    <row r="108" spans="1:15" s="76" customFormat="1" ht="24" customHeight="1" x14ac:dyDescent="0.25">
      <c r="A108" s="74">
        <v>427</v>
      </c>
      <c r="B108" s="70" t="s">
        <v>211</v>
      </c>
      <c r="C108" s="71" t="s">
        <v>212</v>
      </c>
      <c r="D108" s="60">
        <v>24700</v>
      </c>
      <c r="E108" s="60">
        <v>218</v>
      </c>
      <c r="F108" s="60">
        <v>955</v>
      </c>
      <c r="G108" s="61">
        <v>23527</v>
      </c>
      <c r="H108" s="60">
        <v>0</v>
      </c>
      <c r="I108" s="60">
        <v>0</v>
      </c>
      <c r="J108" s="62">
        <v>0</v>
      </c>
      <c r="K108" s="63" t="s">
        <v>80</v>
      </c>
      <c r="L108" s="57"/>
      <c r="N108" s="78"/>
      <c r="O108" s="78"/>
    </row>
    <row r="109" spans="1:15" s="76" customFormat="1" ht="24" customHeight="1" x14ac:dyDescent="0.25">
      <c r="A109" s="74">
        <v>429</v>
      </c>
      <c r="B109" s="70" t="s">
        <v>213</v>
      </c>
      <c r="C109" s="71" t="s">
        <v>214</v>
      </c>
      <c r="D109" s="60">
        <v>13700</v>
      </c>
      <c r="E109" s="60">
        <v>414</v>
      </c>
      <c r="F109" s="60">
        <v>360</v>
      </c>
      <c r="G109" s="61">
        <v>12926</v>
      </c>
      <c r="H109" s="60">
        <v>0</v>
      </c>
      <c r="I109" s="60">
        <v>0</v>
      </c>
      <c r="J109" s="62">
        <v>0</v>
      </c>
      <c r="K109" s="63" t="s">
        <v>80</v>
      </c>
      <c r="L109" s="57"/>
      <c r="N109" s="78"/>
      <c r="O109" s="78"/>
    </row>
    <row r="110" spans="1:15" s="76" customFormat="1" ht="24" customHeight="1" x14ac:dyDescent="0.25">
      <c r="A110" s="74">
        <v>430</v>
      </c>
      <c r="B110" s="70" t="s">
        <v>215</v>
      </c>
      <c r="C110" s="71" t="s">
        <v>216</v>
      </c>
      <c r="D110" s="60">
        <v>21300</v>
      </c>
      <c r="E110" s="60">
        <v>127</v>
      </c>
      <c r="F110" s="60">
        <v>762</v>
      </c>
      <c r="G110" s="61">
        <v>20411</v>
      </c>
      <c r="H110" s="60">
        <v>0</v>
      </c>
      <c r="I110" s="60">
        <v>0</v>
      </c>
      <c r="J110" s="62">
        <v>0</v>
      </c>
      <c r="K110" s="63" t="s">
        <v>80</v>
      </c>
      <c r="L110" s="57"/>
      <c r="N110" s="78"/>
      <c r="O110" s="78"/>
    </row>
    <row r="111" spans="1:15" s="76" customFormat="1" ht="15" customHeight="1" x14ac:dyDescent="0.25">
      <c r="A111" s="74">
        <v>431</v>
      </c>
      <c r="B111" s="70" t="s">
        <v>217</v>
      </c>
      <c r="C111" s="71" t="s">
        <v>218</v>
      </c>
      <c r="D111" s="60">
        <v>9000</v>
      </c>
      <c r="E111" s="60">
        <v>48</v>
      </c>
      <c r="F111" s="60">
        <v>816</v>
      </c>
      <c r="G111" s="61">
        <v>8136</v>
      </c>
      <c r="H111" s="60">
        <v>0</v>
      </c>
      <c r="I111" s="60">
        <v>0</v>
      </c>
      <c r="J111" s="62">
        <v>0</v>
      </c>
      <c r="K111" s="63" t="s">
        <v>80</v>
      </c>
      <c r="L111" s="57"/>
      <c r="N111" s="78"/>
      <c r="O111" s="78"/>
    </row>
    <row r="112" spans="1:15" s="76" customFormat="1" ht="24" customHeight="1" x14ac:dyDescent="0.25">
      <c r="A112" s="74">
        <v>432</v>
      </c>
      <c r="B112" s="70" t="s">
        <v>555</v>
      </c>
      <c r="C112" s="71" t="s">
        <v>220</v>
      </c>
      <c r="D112" s="60">
        <v>44000</v>
      </c>
      <c r="E112" s="60">
        <v>136</v>
      </c>
      <c r="F112" s="60">
        <v>820</v>
      </c>
      <c r="G112" s="61">
        <v>43044</v>
      </c>
      <c r="H112" s="60">
        <v>0</v>
      </c>
      <c r="I112" s="60">
        <v>0</v>
      </c>
      <c r="J112" s="62">
        <v>0</v>
      </c>
      <c r="K112" s="63" t="s">
        <v>80</v>
      </c>
      <c r="L112" s="57"/>
      <c r="N112" s="78"/>
      <c r="O112" s="78"/>
    </row>
    <row r="113" spans="1:15" s="76" customFormat="1" ht="24" customHeight="1" x14ac:dyDescent="0.25">
      <c r="A113" s="74">
        <v>433</v>
      </c>
      <c r="B113" s="70" t="s">
        <v>221</v>
      </c>
      <c r="C113" s="71" t="s">
        <v>222</v>
      </c>
      <c r="D113" s="60">
        <v>6799</v>
      </c>
      <c r="E113" s="60">
        <v>39</v>
      </c>
      <c r="F113" s="60">
        <v>285</v>
      </c>
      <c r="G113" s="61">
        <v>6475</v>
      </c>
      <c r="H113" s="60">
        <v>0</v>
      </c>
      <c r="I113" s="60">
        <v>0</v>
      </c>
      <c r="J113" s="62">
        <v>0</v>
      </c>
      <c r="K113" s="63" t="s">
        <v>80</v>
      </c>
      <c r="L113" s="57"/>
      <c r="N113" s="78"/>
      <c r="O113" s="78"/>
    </row>
    <row r="114" spans="1:15" s="76" customFormat="1" ht="24" customHeight="1" x14ac:dyDescent="0.25">
      <c r="A114" s="74">
        <v>435</v>
      </c>
      <c r="B114" s="70" t="s">
        <v>556</v>
      </c>
      <c r="C114" s="71" t="s">
        <v>224</v>
      </c>
      <c r="D114" s="60">
        <v>15700</v>
      </c>
      <c r="E114" s="60">
        <v>87</v>
      </c>
      <c r="F114" s="60">
        <v>647</v>
      </c>
      <c r="G114" s="61">
        <v>14966</v>
      </c>
      <c r="H114" s="60">
        <v>0</v>
      </c>
      <c r="I114" s="60">
        <v>0</v>
      </c>
      <c r="J114" s="62">
        <v>0</v>
      </c>
      <c r="K114" s="63" t="s">
        <v>80</v>
      </c>
      <c r="L114" s="57"/>
      <c r="N114" s="78"/>
      <c r="O114" s="78"/>
    </row>
    <row r="115" spans="1:15" s="76" customFormat="1" ht="15" customHeight="1" x14ac:dyDescent="0.25">
      <c r="A115" s="74">
        <v>437</v>
      </c>
      <c r="B115" s="70" t="s">
        <v>225</v>
      </c>
      <c r="C115" s="71" t="s">
        <v>226</v>
      </c>
      <c r="D115" s="60">
        <v>6700</v>
      </c>
      <c r="E115" s="60">
        <v>39</v>
      </c>
      <c r="F115" s="60">
        <v>282</v>
      </c>
      <c r="G115" s="61">
        <v>6379</v>
      </c>
      <c r="H115" s="60">
        <v>0</v>
      </c>
      <c r="I115" s="60">
        <v>0</v>
      </c>
      <c r="J115" s="62">
        <v>0</v>
      </c>
      <c r="K115" s="63" t="s">
        <v>80</v>
      </c>
      <c r="L115" s="57"/>
      <c r="N115" s="78"/>
      <c r="O115" s="78"/>
    </row>
    <row r="116" spans="1:15" s="56" customFormat="1" ht="15" customHeight="1" x14ac:dyDescent="0.25">
      <c r="A116" s="74">
        <v>438</v>
      </c>
      <c r="B116" s="75" t="s">
        <v>227</v>
      </c>
      <c r="C116" s="71">
        <v>3288</v>
      </c>
      <c r="D116" s="60">
        <v>20000</v>
      </c>
      <c r="E116" s="60">
        <v>0</v>
      </c>
      <c r="F116" s="60">
        <v>0</v>
      </c>
      <c r="G116" s="61">
        <v>300</v>
      </c>
      <c r="H116" s="60">
        <v>0</v>
      </c>
      <c r="I116" s="60">
        <v>9700</v>
      </c>
      <c r="J116" s="62">
        <v>10000</v>
      </c>
      <c r="K116" s="63" t="s">
        <v>80</v>
      </c>
      <c r="L116" s="64"/>
      <c r="N116" s="78"/>
      <c r="O116" s="78"/>
    </row>
    <row r="117" spans="1:15" s="56" customFormat="1" ht="34.5" customHeight="1" x14ac:dyDescent="0.25">
      <c r="A117" s="74">
        <v>439</v>
      </c>
      <c r="B117" s="75" t="s">
        <v>283</v>
      </c>
      <c r="C117" s="71">
        <v>3229</v>
      </c>
      <c r="D117" s="60">
        <v>1487</v>
      </c>
      <c r="E117" s="60">
        <v>0</v>
      </c>
      <c r="F117" s="60">
        <v>50</v>
      </c>
      <c r="G117" s="61">
        <v>50</v>
      </c>
      <c r="H117" s="60">
        <v>0</v>
      </c>
      <c r="I117" s="60">
        <v>0</v>
      </c>
      <c r="J117" s="62">
        <v>0</v>
      </c>
      <c r="K117" s="63" t="s">
        <v>99</v>
      </c>
      <c r="L117" s="72"/>
      <c r="N117" s="78"/>
      <c r="O117" s="78"/>
    </row>
    <row r="118" spans="1:15" s="56" customFormat="1" ht="15" customHeight="1" x14ac:dyDescent="0.25">
      <c r="A118" s="74">
        <v>441</v>
      </c>
      <c r="B118" s="58" t="s">
        <v>228</v>
      </c>
      <c r="C118" s="59">
        <v>3224</v>
      </c>
      <c r="D118" s="60">
        <v>26807</v>
      </c>
      <c r="E118" s="60">
        <v>57</v>
      </c>
      <c r="F118" s="60">
        <v>8000</v>
      </c>
      <c r="G118" s="61">
        <v>18750</v>
      </c>
      <c r="H118" s="60">
        <v>0</v>
      </c>
      <c r="I118" s="60">
        <v>0</v>
      </c>
      <c r="J118" s="62">
        <v>0</v>
      </c>
      <c r="K118" s="63" t="s">
        <v>80</v>
      </c>
      <c r="L118" s="64"/>
      <c r="N118" s="78"/>
      <c r="O118" s="78"/>
    </row>
    <row r="119" spans="1:15" s="56" customFormat="1" ht="45" customHeight="1" x14ac:dyDescent="0.25">
      <c r="A119" s="74">
        <v>443</v>
      </c>
      <c r="B119" s="75" t="s">
        <v>229</v>
      </c>
      <c r="C119" s="71">
        <v>3230</v>
      </c>
      <c r="D119" s="60">
        <v>26347</v>
      </c>
      <c r="E119" s="60">
        <v>2321</v>
      </c>
      <c r="F119" s="60">
        <v>5314</v>
      </c>
      <c r="G119" s="61">
        <v>293</v>
      </c>
      <c r="H119" s="60">
        <v>300</v>
      </c>
      <c r="I119" s="60">
        <v>298</v>
      </c>
      <c r="J119" s="62">
        <v>1647</v>
      </c>
      <c r="K119" s="63" t="s">
        <v>230</v>
      </c>
      <c r="L119" s="72"/>
      <c r="N119" s="78"/>
      <c r="O119" s="78"/>
    </row>
    <row r="120" spans="1:15" s="56" customFormat="1" ht="15" customHeight="1" x14ac:dyDescent="0.25">
      <c r="A120" s="74">
        <v>444</v>
      </c>
      <c r="B120" s="75" t="s">
        <v>231</v>
      </c>
      <c r="C120" s="59">
        <v>3223</v>
      </c>
      <c r="D120" s="77">
        <v>10000</v>
      </c>
      <c r="E120" s="60">
        <v>0</v>
      </c>
      <c r="F120" s="60">
        <v>700</v>
      </c>
      <c r="G120" s="61">
        <v>9300</v>
      </c>
      <c r="H120" s="60">
        <v>0</v>
      </c>
      <c r="I120" s="60">
        <v>0</v>
      </c>
      <c r="J120" s="62">
        <v>0</v>
      </c>
      <c r="K120" s="63" t="s">
        <v>80</v>
      </c>
      <c r="L120" s="64"/>
      <c r="N120" s="78"/>
      <c r="O120" s="78"/>
    </row>
    <row r="121" spans="1:15" s="56" customFormat="1" ht="15" customHeight="1" x14ac:dyDescent="0.25">
      <c r="A121" s="74">
        <v>445</v>
      </c>
      <c r="B121" s="75" t="s">
        <v>232</v>
      </c>
      <c r="C121" s="59">
        <v>3287</v>
      </c>
      <c r="D121" s="77">
        <v>32000</v>
      </c>
      <c r="E121" s="60">
        <v>0</v>
      </c>
      <c r="F121" s="60">
        <v>500</v>
      </c>
      <c r="G121" s="61">
        <v>31500</v>
      </c>
      <c r="H121" s="60">
        <v>0</v>
      </c>
      <c r="I121" s="60">
        <v>0</v>
      </c>
      <c r="J121" s="62">
        <v>0</v>
      </c>
      <c r="K121" s="63" t="s">
        <v>80</v>
      </c>
      <c r="L121" s="64"/>
      <c r="N121" s="78"/>
      <c r="O121" s="78"/>
    </row>
    <row r="122" spans="1:15" s="56" customFormat="1" ht="24" customHeight="1" x14ac:dyDescent="0.25">
      <c r="A122" s="74">
        <v>447</v>
      </c>
      <c r="B122" s="58" t="s">
        <v>233</v>
      </c>
      <c r="C122" s="59">
        <v>3225</v>
      </c>
      <c r="D122" s="60">
        <v>8000</v>
      </c>
      <c r="E122" s="60">
        <v>57</v>
      </c>
      <c r="F122" s="60">
        <v>3047</v>
      </c>
      <c r="G122" s="61">
        <v>4896</v>
      </c>
      <c r="H122" s="60">
        <v>0</v>
      </c>
      <c r="I122" s="60">
        <v>0</v>
      </c>
      <c r="J122" s="62">
        <v>0</v>
      </c>
      <c r="K122" s="63" t="s">
        <v>80</v>
      </c>
      <c r="L122" s="64"/>
      <c r="N122" s="78"/>
      <c r="O122" s="78"/>
    </row>
    <row r="123" spans="1:15" s="56" customFormat="1" ht="24" customHeight="1" x14ac:dyDescent="0.25">
      <c r="A123" s="74">
        <v>448</v>
      </c>
      <c r="B123" s="58" t="s">
        <v>234</v>
      </c>
      <c r="C123" s="59">
        <v>3316</v>
      </c>
      <c r="D123" s="60">
        <v>11200</v>
      </c>
      <c r="E123" s="60">
        <v>57</v>
      </c>
      <c r="F123" s="60">
        <v>5043</v>
      </c>
      <c r="G123" s="61">
        <v>6100</v>
      </c>
      <c r="H123" s="60">
        <v>0</v>
      </c>
      <c r="I123" s="60">
        <v>0</v>
      </c>
      <c r="J123" s="62">
        <v>0</v>
      </c>
      <c r="K123" s="63" t="s">
        <v>80</v>
      </c>
      <c r="L123" s="64"/>
      <c r="N123" s="78"/>
      <c r="O123" s="78"/>
    </row>
    <row r="124" spans="1:15" s="56" customFormat="1" ht="15" customHeight="1" x14ac:dyDescent="0.25">
      <c r="A124" s="74">
        <v>449</v>
      </c>
      <c r="B124" s="58" t="s">
        <v>235</v>
      </c>
      <c r="C124" s="59">
        <v>3222</v>
      </c>
      <c r="D124" s="60">
        <v>23397</v>
      </c>
      <c r="E124" s="60">
        <v>57</v>
      </c>
      <c r="F124" s="60">
        <v>4500</v>
      </c>
      <c r="G124" s="61">
        <v>18840</v>
      </c>
      <c r="H124" s="60">
        <v>0</v>
      </c>
      <c r="I124" s="60">
        <v>0</v>
      </c>
      <c r="J124" s="62">
        <v>0</v>
      </c>
      <c r="K124" s="63" t="s">
        <v>80</v>
      </c>
      <c r="L124" s="64"/>
      <c r="N124" s="78"/>
      <c r="O124" s="78"/>
    </row>
    <row r="125" spans="1:15" s="56" customFormat="1" ht="34.5" customHeight="1" x14ac:dyDescent="0.25">
      <c r="A125" s="74">
        <v>450</v>
      </c>
      <c r="B125" s="58" t="s">
        <v>236</v>
      </c>
      <c r="C125" s="71">
        <v>3385</v>
      </c>
      <c r="D125" s="60">
        <v>200640</v>
      </c>
      <c r="E125" s="60">
        <v>0</v>
      </c>
      <c r="F125" s="60">
        <v>0</v>
      </c>
      <c r="G125" s="61">
        <v>3955</v>
      </c>
      <c r="H125" s="60">
        <v>4925</v>
      </c>
      <c r="I125" s="60">
        <v>5002</v>
      </c>
      <c r="J125" s="62">
        <v>0</v>
      </c>
      <c r="K125" s="63" t="s">
        <v>99</v>
      </c>
      <c r="L125" s="64"/>
      <c r="N125" s="78"/>
      <c r="O125" s="78"/>
    </row>
    <row r="126" spans="1:15" s="56" customFormat="1" ht="15" customHeight="1" x14ac:dyDescent="0.25">
      <c r="A126" s="74">
        <v>452</v>
      </c>
      <c r="B126" s="58" t="s">
        <v>237</v>
      </c>
      <c r="C126" s="71">
        <v>3289</v>
      </c>
      <c r="D126" s="60">
        <v>25000</v>
      </c>
      <c r="E126" s="60">
        <v>0</v>
      </c>
      <c r="F126" s="60">
        <v>200</v>
      </c>
      <c r="G126" s="61">
        <v>24800</v>
      </c>
      <c r="H126" s="60">
        <v>0</v>
      </c>
      <c r="I126" s="60">
        <v>0</v>
      </c>
      <c r="J126" s="62">
        <v>0</v>
      </c>
      <c r="K126" s="63" t="s">
        <v>80</v>
      </c>
      <c r="L126" s="64"/>
      <c r="N126" s="78"/>
      <c r="O126" s="78"/>
    </row>
    <row r="127" spans="1:15" s="56" customFormat="1" ht="34.5" customHeight="1" x14ac:dyDescent="0.25">
      <c r="A127" s="74">
        <v>454</v>
      </c>
      <c r="B127" s="58" t="s">
        <v>238</v>
      </c>
      <c r="C127" s="71" t="s">
        <v>239</v>
      </c>
      <c r="D127" s="60">
        <v>37256</v>
      </c>
      <c r="E127" s="60">
        <v>10648</v>
      </c>
      <c r="F127" s="60">
        <v>6027</v>
      </c>
      <c r="G127" s="61">
        <v>710</v>
      </c>
      <c r="H127" s="60">
        <v>456</v>
      </c>
      <c r="I127" s="60">
        <v>0</v>
      </c>
      <c r="J127" s="62">
        <v>0</v>
      </c>
      <c r="K127" s="63" t="s">
        <v>99</v>
      </c>
      <c r="L127" s="72"/>
      <c r="N127" s="78"/>
      <c r="O127" s="78"/>
    </row>
    <row r="128" spans="1:15" s="56" customFormat="1" ht="15" customHeight="1" x14ac:dyDescent="0.25">
      <c r="A128" s="74">
        <v>455</v>
      </c>
      <c r="B128" s="58" t="s">
        <v>240</v>
      </c>
      <c r="C128" s="71">
        <v>3386</v>
      </c>
      <c r="D128" s="60">
        <v>25000</v>
      </c>
      <c r="E128" s="60">
        <v>0</v>
      </c>
      <c r="F128" s="60">
        <v>200</v>
      </c>
      <c r="G128" s="61">
        <v>24800</v>
      </c>
      <c r="H128" s="60">
        <v>0</v>
      </c>
      <c r="I128" s="60">
        <v>0</v>
      </c>
      <c r="J128" s="62">
        <v>0</v>
      </c>
      <c r="K128" s="63" t="s">
        <v>80</v>
      </c>
      <c r="L128" s="64"/>
      <c r="N128" s="78"/>
      <c r="O128" s="78"/>
    </row>
    <row r="129" spans="1:15" s="56" customFormat="1" ht="15" customHeight="1" x14ac:dyDescent="0.25">
      <c r="A129" s="74">
        <v>457</v>
      </c>
      <c r="B129" s="58" t="s">
        <v>241</v>
      </c>
      <c r="C129" s="71">
        <v>3285</v>
      </c>
      <c r="D129" s="60">
        <v>29800</v>
      </c>
      <c r="E129" s="60">
        <v>0</v>
      </c>
      <c r="F129" s="60">
        <v>0</v>
      </c>
      <c r="G129" s="61">
        <v>300</v>
      </c>
      <c r="H129" s="60">
        <v>0</v>
      </c>
      <c r="I129" s="60">
        <v>14000</v>
      </c>
      <c r="J129" s="62">
        <v>15500</v>
      </c>
      <c r="K129" s="63" t="s">
        <v>80</v>
      </c>
      <c r="L129" s="64"/>
      <c r="N129" s="78"/>
      <c r="O129" s="78"/>
    </row>
    <row r="130" spans="1:15" s="56" customFormat="1" ht="15" customHeight="1" x14ac:dyDescent="0.25">
      <c r="A130" s="74">
        <v>458</v>
      </c>
      <c r="B130" s="58" t="s">
        <v>242</v>
      </c>
      <c r="C130" s="59">
        <v>3221</v>
      </c>
      <c r="D130" s="60">
        <v>24197</v>
      </c>
      <c r="E130" s="60">
        <v>57</v>
      </c>
      <c r="F130" s="60">
        <v>1300</v>
      </c>
      <c r="G130" s="61">
        <v>22840</v>
      </c>
      <c r="H130" s="60">
        <v>0</v>
      </c>
      <c r="I130" s="60">
        <v>0</v>
      </c>
      <c r="J130" s="62">
        <v>0</v>
      </c>
      <c r="K130" s="63" t="s">
        <v>80</v>
      </c>
      <c r="L130" s="64"/>
      <c r="N130" s="78"/>
      <c r="O130" s="78"/>
    </row>
    <row r="131" spans="1:15" s="56" customFormat="1" ht="34.5" customHeight="1" x14ac:dyDescent="0.25">
      <c r="A131" s="74">
        <v>459</v>
      </c>
      <c r="B131" s="58" t="s">
        <v>243</v>
      </c>
      <c r="C131" s="59">
        <v>3239</v>
      </c>
      <c r="D131" s="60">
        <v>17541</v>
      </c>
      <c r="E131" s="60">
        <v>0</v>
      </c>
      <c r="F131" s="60">
        <v>13006</v>
      </c>
      <c r="G131" s="61">
        <v>2700</v>
      </c>
      <c r="H131" s="60">
        <v>0</v>
      </c>
      <c r="I131" s="60">
        <v>0</v>
      </c>
      <c r="J131" s="62">
        <v>0</v>
      </c>
      <c r="K131" s="63" t="s">
        <v>99</v>
      </c>
      <c r="L131" s="64"/>
      <c r="N131" s="78"/>
      <c r="O131" s="78"/>
    </row>
    <row r="132" spans="1:15" s="56" customFormat="1" ht="24" customHeight="1" x14ac:dyDescent="0.25">
      <c r="A132" s="74">
        <v>461</v>
      </c>
      <c r="B132" s="58" t="s">
        <v>557</v>
      </c>
      <c r="C132" s="59">
        <v>3232</v>
      </c>
      <c r="D132" s="60">
        <v>2850</v>
      </c>
      <c r="E132" s="60">
        <v>0</v>
      </c>
      <c r="F132" s="60">
        <v>0</v>
      </c>
      <c r="G132" s="61">
        <v>500</v>
      </c>
      <c r="H132" s="60">
        <v>1150</v>
      </c>
      <c r="I132" s="60">
        <v>1200</v>
      </c>
      <c r="J132" s="62">
        <v>0</v>
      </c>
      <c r="K132" s="63" t="s">
        <v>80</v>
      </c>
      <c r="L132" s="64"/>
      <c r="N132" s="78"/>
      <c r="O132" s="78"/>
    </row>
    <row r="133" spans="1:15" s="56" customFormat="1" ht="15" customHeight="1" x14ac:dyDescent="0.25">
      <c r="A133" s="74">
        <v>463</v>
      </c>
      <c r="B133" s="58" t="s">
        <v>245</v>
      </c>
      <c r="C133" s="71">
        <v>3387</v>
      </c>
      <c r="D133" s="60">
        <v>27500</v>
      </c>
      <c r="E133" s="60">
        <v>0</v>
      </c>
      <c r="F133" s="60">
        <v>200</v>
      </c>
      <c r="G133" s="61">
        <v>27300</v>
      </c>
      <c r="H133" s="60">
        <v>0</v>
      </c>
      <c r="I133" s="60">
        <v>0</v>
      </c>
      <c r="J133" s="62">
        <v>0</v>
      </c>
      <c r="K133" s="63" t="s">
        <v>80</v>
      </c>
      <c r="L133" s="64"/>
      <c r="N133" s="78"/>
      <c r="O133" s="78"/>
    </row>
    <row r="134" spans="1:15" s="56" customFormat="1" ht="15.75" customHeight="1" x14ac:dyDescent="0.25">
      <c r="A134" s="429" t="s">
        <v>90</v>
      </c>
      <c r="B134" s="430"/>
      <c r="C134" s="65"/>
      <c r="D134" s="65">
        <f t="shared" ref="D134:J134" si="8">SUM(D104:D133)</f>
        <v>797420</v>
      </c>
      <c r="E134" s="65">
        <f t="shared" si="8"/>
        <v>15475</v>
      </c>
      <c r="F134" s="65">
        <f t="shared" si="8"/>
        <v>56910</v>
      </c>
      <c r="G134" s="65">
        <f t="shared" si="8"/>
        <v>435288</v>
      </c>
      <c r="H134" s="65">
        <f t="shared" si="8"/>
        <v>6831</v>
      </c>
      <c r="I134" s="65">
        <f t="shared" si="8"/>
        <v>30200</v>
      </c>
      <c r="J134" s="65">
        <f t="shared" si="8"/>
        <v>27147</v>
      </c>
      <c r="K134" s="66"/>
      <c r="N134" s="78"/>
      <c r="O134" s="78"/>
    </row>
    <row r="135" spans="1:15" s="56" customFormat="1" ht="18" customHeight="1" x14ac:dyDescent="0.25">
      <c r="A135" s="424" t="s">
        <v>91</v>
      </c>
      <c r="B135" s="425"/>
      <c r="C135" s="425"/>
      <c r="D135" s="425"/>
      <c r="E135" s="425"/>
      <c r="F135" s="425"/>
      <c r="G135" s="425"/>
      <c r="H135" s="425"/>
      <c r="I135" s="425"/>
      <c r="J135" s="425"/>
      <c r="K135" s="426"/>
      <c r="N135" s="78"/>
      <c r="O135" s="78"/>
    </row>
    <row r="136" spans="1:15" s="56" customFormat="1" ht="24" customHeight="1" x14ac:dyDescent="0.25">
      <c r="A136" s="57">
        <v>519</v>
      </c>
      <c r="B136" s="58" t="s">
        <v>246</v>
      </c>
      <c r="C136" s="59">
        <v>3248</v>
      </c>
      <c r="D136" s="60">
        <v>22333</v>
      </c>
      <c r="E136" s="60">
        <v>1041</v>
      </c>
      <c r="F136" s="60">
        <f>2500-2243</f>
        <v>257</v>
      </c>
      <c r="G136" s="61">
        <f>18792+2243</f>
        <v>21035</v>
      </c>
      <c r="H136" s="60">
        <v>0</v>
      </c>
      <c r="I136" s="60">
        <v>0</v>
      </c>
      <c r="J136" s="62">
        <v>0</v>
      </c>
      <c r="K136" s="63" t="s">
        <v>80</v>
      </c>
      <c r="L136" s="64"/>
      <c r="N136" s="78"/>
      <c r="O136" s="78"/>
    </row>
    <row r="137" spans="1:15" s="56" customFormat="1" ht="34.5" customHeight="1" x14ac:dyDescent="0.25">
      <c r="A137" s="57">
        <v>520</v>
      </c>
      <c r="B137" s="58" t="s">
        <v>247</v>
      </c>
      <c r="C137" s="59">
        <v>3249</v>
      </c>
      <c r="D137" s="60">
        <v>65000</v>
      </c>
      <c r="E137" s="60">
        <v>662</v>
      </c>
      <c r="F137" s="60">
        <v>3436</v>
      </c>
      <c r="G137" s="61">
        <v>30799</v>
      </c>
      <c r="H137" s="60">
        <v>30103</v>
      </c>
      <c r="I137" s="60">
        <v>0</v>
      </c>
      <c r="J137" s="62">
        <v>0</v>
      </c>
      <c r="K137" s="63" t="s">
        <v>80</v>
      </c>
      <c r="L137" s="64"/>
      <c r="N137" s="78"/>
      <c r="O137" s="78"/>
    </row>
    <row r="138" spans="1:15" s="56" customFormat="1" ht="34.5" customHeight="1" x14ac:dyDescent="0.25">
      <c r="A138" s="57">
        <v>522</v>
      </c>
      <c r="B138" s="58" t="s">
        <v>248</v>
      </c>
      <c r="C138" s="59">
        <v>3395</v>
      </c>
      <c r="D138" s="60">
        <v>3000</v>
      </c>
      <c r="E138" s="60">
        <v>153</v>
      </c>
      <c r="F138" s="60">
        <v>250</v>
      </c>
      <c r="G138" s="61">
        <v>2597</v>
      </c>
      <c r="H138" s="60">
        <v>0</v>
      </c>
      <c r="I138" s="60">
        <v>0</v>
      </c>
      <c r="J138" s="62">
        <v>0</v>
      </c>
      <c r="K138" s="63" t="s">
        <v>80</v>
      </c>
      <c r="L138" s="64"/>
      <c r="N138" s="78"/>
      <c r="O138" s="78"/>
    </row>
    <row r="139" spans="1:15" s="56" customFormat="1" ht="34.5" customHeight="1" x14ac:dyDescent="0.25">
      <c r="A139" s="57">
        <v>524</v>
      </c>
      <c r="B139" s="58" t="s">
        <v>249</v>
      </c>
      <c r="C139" s="59">
        <v>3240</v>
      </c>
      <c r="D139" s="60">
        <v>92863</v>
      </c>
      <c r="E139" s="60">
        <v>236</v>
      </c>
      <c r="F139" s="60">
        <v>326</v>
      </c>
      <c r="G139" s="61">
        <v>157</v>
      </c>
      <c r="H139" s="60">
        <v>92144</v>
      </c>
      <c r="I139" s="60">
        <v>0</v>
      </c>
      <c r="J139" s="60">
        <v>0</v>
      </c>
      <c r="K139" s="63" t="s">
        <v>80</v>
      </c>
      <c r="L139" s="64"/>
      <c r="N139" s="78"/>
      <c r="O139" s="78"/>
    </row>
    <row r="140" spans="1:15" s="56" customFormat="1" ht="15" customHeight="1" x14ac:dyDescent="0.25">
      <c r="A140" s="57">
        <v>525</v>
      </c>
      <c r="B140" s="58" t="s">
        <v>250</v>
      </c>
      <c r="C140" s="59">
        <v>3391</v>
      </c>
      <c r="D140" s="60">
        <v>5500</v>
      </c>
      <c r="E140" s="60">
        <v>0</v>
      </c>
      <c r="F140" s="60">
        <v>400</v>
      </c>
      <c r="G140" s="61">
        <v>5100</v>
      </c>
      <c r="H140" s="60">
        <v>0</v>
      </c>
      <c r="I140" s="60">
        <v>0</v>
      </c>
      <c r="J140" s="62">
        <v>0</v>
      </c>
      <c r="K140" s="63" t="s">
        <v>80</v>
      </c>
      <c r="L140" s="64"/>
      <c r="N140" s="78"/>
      <c r="O140" s="78"/>
    </row>
    <row r="141" spans="1:15" s="56" customFormat="1" ht="34.5" customHeight="1" x14ac:dyDescent="0.25">
      <c r="A141" s="57">
        <v>526</v>
      </c>
      <c r="B141" s="58" t="s">
        <v>251</v>
      </c>
      <c r="C141" s="59" t="s">
        <v>252</v>
      </c>
      <c r="D141" s="60">
        <v>19600</v>
      </c>
      <c r="E141" s="60">
        <v>46</v>
      </c>
      <c r="F141" s="60">
        <f>14954-14741</f>
        <v>213</v>
      </c>
      <c r="G141" s="61">
        <f>4600+14741</f>
        <v>19341</v>
      </c>
      <c r="H141" s="60">
        <v>0</v>
      </c>
      <c r="I141" s="60">
        <v>0</v>
      </c>
      <c r="J141" s="62">
        <v>0</v>
      </c>
      <c r="K141" s="63" t="s">
        <v>80</v>
      </c>
      <c r="L141" s="64"/>
      <c r="N141" s="78"/>
      <c r="O141" s="78"/>
    </row>
    <row r="142" spans="1:15" s="56" customFormat="1" ht="24" customHeight="1" x14ac:dyDescent="0.25">
      <c r="A142" s="57">
        <v>527</v>
      </c>
      <c r="B142" s="58" t="s">
        <v>253</v>
      </c>
      <c r="C142" s="59" t="s">
        <v>254</v>
      </c>
      <c r="D142" s="60">
        <v>76610</v>
      </c>
      <c r="E142" s="60">
        <v>0</v>
      </c>
      <c r="F142" s="60">
        <v>0</v>
      </c>
      <c r="G142" s="61">
        <v>7661</v>
      </c>
      <c r="H142" s="60">
        <v>0</v>
      </c>
      <c r="I142" s="60">
        <v>0</v>
      </c>
      <c r="J142" s="62">
        <v>0</v>
      </c>
      <c r="K142" s="63" t="s">
        <v>255</v>
      </c>
      <c r="L142" s="64"/>
      <c r="N142" s="78"/>
      <c r="O142" s="78"/>
    </row>
    <row r="143" spans="1:15" s="56" customFormat="1" ht="24" customHeight="1" x14ac:dyDescent="0.25">
      <c r="A143" s="57">
        <v>529</v>
      </c>
      <c r="B143" s="58" t="s">
        <v>256</v>
      </c>
      <c r="C143" s="59" t="s">
        <v>257</v>
      </c>
      <c r="D143" s="60">
        <v>99000</v>
      </c>
      <c r="E143" s="60">
        <v>0</v>
      </c>
      <c r="F143" s="60">
        <v>0</v>
      </c>
      <c r="G143" s="61">
        <v>9900</v>
      </c>
      <c r="H143" s="60">
        <v>0</v>
      </c>
      <c r="I143" s="60">
        <v>0</v>
      </c>
      <c r="J143" s="62">
        <v>0</v>
      </c>
      <c r="K143" s="63" t="s">
        <v>255</v>
      </c>
      <c r="L143" s="64"/>
      <c r="N143" s="78"/>
      <c r="O143" s="78"/>
    </row>
    <row r="144" spans="1:15" s="56" customFormat="1" ht="15.75" customHeight="1" x14ac:dyDescent="0.25">
      <c r="A144" s="427" t="s">
        <v>92</v>
      </c>
      <c r="B144" s="428"/>
      <c r="C144" s="398"/>
      <c r="D144" s="65">
        <f t="shared" ref="D144:J144" si="9">SUM(D136:D143)</f>
        <v>383906</v>
      </c>
      <c r="E144" s="65">
        <f t="shared" si="9"/>
        <v>2138</v>
      </c>
      <c r="F144" s="65">
        <f t="shared" si="9"/>
        <v>4882</v>
      </c>
      <c r="G144" s="65">
        <f t="shared" si="9"/>
        <v>96590</v>
      </c>
      <c r="H144" s="65">
        <f t="shared" si="9"/>
        <v>122247</v>
      </c>
      <c r="I144" s="65">
        <f t="shared" si="9"/>
        <v>0</v>
      </c>
      <c r="J144" s="65">
        <f t="shared" si="9"/>
        <v>0</v>
      </c>
      <c r="K144" s="66"/>
      <c r="L144" s="78"/>
      <c r="N144" s="78"/>
      <c r="O144" s="78"/>
    </row>
    <row r="145" spans="1:15" s="56" customFormat="1" ht="18" customHeight="1" x14ac:dyDescent="0.25">
      <c r="A145" s="424" t="s">
        <v>258</v>
      </c>
      <c r="B145" s="425"/>
      <c r="C145" s="425"/>
      <c r="D145" s="425"/>
      <c r="E145" s="425"/>
      <c r="F145" s="425"/>
      <c r="G145" s="425"/>
      <c r="H145" s="425"/>
      <c r="I145" s="425"/>
      <c r="J145" s="425"/>
      <c r="K145" s="426"/>
      <c r="L145" s="78"/>
      <c r="N145" s="78"/>
      <c r="O145" s="78"/>
    </row>
    <row r="146" spans="1:15" s="56" customFormat="1" ht="24" customHeight="1" x14ac:dyDescent="0.25">
      <c r="A146" s="57">
        <v>562</v>
      </c>
      <c r="B146" s="58" t="s">
        <v>259</v>
      </c>
      <c r="C146" s="59" t="s">
        <v>260</v>
      </c>
      <c r="D146" s="60">
        <v>2300</v>
      </c>
      <c r="E146" s="60">
        <v>0</v>
      </c>
      <c r="F146" s="60">
        <v>118</v>
      </c>
      <c r="G146" s="61">
        <v>1218</v>
      </c>
      <c r="H146" s="60">
        <v>794</v>
      </c>
      <c r="I146" s="60">
        <v>170</v>
      </c>
      <c r="J146" s="62">
        <v>0</v>
      </c>
      <c r="K146" s="63" t="s">
        <v>80</v>
      </c>
      <c r="L146" s="64"/>
      <c r="N146" s="78"/>
      <c r="O146" s="78"/>
    </row>
    <row r="147" spans="1:15" s="56" customFormat="1" ht="24" customHeight="1" x14ac:dyDescent="0.25">
      <c r="A147" s="57">
        <v>563</v>
      </c>
      <c r="B147" s="58" t="s">
        <v>261</v>
      </c>
      <c r="C147" s="59" t="s">
        <v>262</v>
      </c>
      <c r="D147" s="60">
        <v>1700</v>
      </c>
      <c r="E147" s="60">
        <v>0</v>
      </c>
      <c r="F147" s="60">
        <v>60</v>
      </c>
      <c r="G147" s="61">
        <v>948</v>
      </c>
      <c r="H147" s="60">
        <v>522</v>
      </c>
      <c r="I147" s="60">
        <v>170</v>
      </c>
      <c r="J147" s="62">
        <v>0</v>
      </c>
      <c r="K147" s="63" t="s">
        <v>80</v>
      </c>
      <c r="L147" s="64"/>
      <c r="N147" s="78"/>
      <c r="O147" s="78"/>
    </row>
    <row r="148" spans="1:15" s="56" customFormat="1" ht="24" customHeight="1" x14ac:dyDescent="0.25">
      <c r="A148" s="57">
        <v>564</v>
      </c>
      <c r="B148" s="58" t="s">
        <v>263</v>
      </c>
      <c r="C148" s="59" t="s">
        <v>264</v>
      </c>
      <c r="D148" s="60">
        <v>1650</v>
      </c>
      <c r="E148" s="60">
        <v>69</v>
      </c>
      <c r="F148" s="60">
        <v>70</v>
      </c>
      <c r="G148" s="61">
        <v>630</v>
      </c>
      <c r="H148" s="60">
        <v>711</v>
      </c>
      <c r="I148" s="60">
        <v>170</v>
      </c>
      <c r="J148" s="62">
        <v>0</v>
      </c>
      <c r="K148" s="63" t="s">
        <v>80</v>
      </c>
      <c r="L148" s="64"/>
      <c r="N148" s="78"/>
      <c r="O148" s="78"/>
    </row>
    <row r="149" spans="1:15" s="56" customFormat="1" ht="24" customHeight="1" x14ac:dyDescent="0.25">
      <c r="A149" s="57">
        <v>565</v>
      </c>
      <c r="B149" s="58" t="s">
        <v>265</v>
      </c>
      <c r="C149" s="59" t="s">
        <v>266</v>
      </c>
      <c r="D149" s="60">
        <v>12700</v>
      </c>
      <c r="E149" s="60">
        <v>280</v>
      </c>
      <c r="F149" s="60">
        <v>280</v>
      </c>
      <c r="G149" s="61">
        <v>6020</v>
      </c>
      <c r="H149" s="60">
        <v>5410</v>
      </c>
      <c r="I149" s="60">
        <v>710</v>
      </c>
      <c r="J149" s="62">
        <v>0</v>
      </c>
      <c r="K149" s="63" t="s">
        <v>80</v>
      </c>
      <c r="L149" s="64"/>
      <c r="N149" s="78"/>
      <c r="O149" s="78"/>
    </row>
    <row r="150" spans="1:15" s="56" customFormat="1" ht="15" customHeight="1" x14ac:dyDescent="0.25">
      <c r="A150" s="57">
        <v>566</v>
      </c>
      <c r="B150" s="58" t="s">
        <v>267</v>
      </c>
      <c r="C150" s="59" t="s">
        <v>268</v>
      </c>
      <c r="D150" s="60">
        <v>1550</v>
      </c>
      <c r="E150" s="60">
        <v>0</v>
      </c>
      <c r="F150" s="60">
        <v>0</v>
      </c>
      <c r="G150" s="61">
        <v>500</v>
      </c>
      <c r="H150" s="60">
        <v>600</v>
      </c>
      <c r="I150" s="60">
        <v>450</v>
      </c>
      <c r="J150" s="62">
        <v>0</v>
      </c>
      <c r="K150" s="63" t="s">
        <v>80</v>
      </c>
      <c r="L150" s="64"/>
      <c r="N150" s="78"/>
      <c r="O150" s="78"/>
    </row>
    <row r="151" spans="1:15" s="56" customFormat="1" ht="24" customHeight="1" x14ac:dyDescent="0.25">
      <c r="A151" s="57">
        <v>567</v>
      </c>
      <c r="B151" s="58" t="s">
        <v>558</v>
      </c>
      <c r="C151" s="59" t="s">
        <v>270</v>
      </c>
      <c r="D151" s="60">
        <v>1600</v>
      </c>
      <c r="E151" s="60">
        <v>253</v>
      </c>
      <c r="F151" s="60">
        <f>947-563</f>
        <v>384</v>
      </c>
      <c r="G151" s="61">
        <f>400+564</f>
        <v>964</v>
      </c>
      <c r="H151" s="60">
        <v>0</v>
      </c>
      <c r="I151" s="60">
        <v>0</v>
      </c>
      <c r="J151" s="62">
        <v>0</v>
      </c>
      <c r="K151" s="63" t="s">
        <v>80</v>
      </c>
      <c r="L151" s="64"/>
      <c r="N151" s="78"/>
      <c r="O151" s="78"/>
    </row>
    <row r="152" spans="1:15" s="56" customFormat="1" ht="15" customHeight="1" x14ac:dyDescent="0.25">
      <c r="A152" s="57">
        <v>568</v>
      </c>
      <c r="B152" s="58" t="s">
        <v>271</v>
      </c>
      <c r="C152" s="59" t="s">
        <v>272</v>
      </c>
      <c r="D152" s="60">
        <v>32000</v>
      </c>
      <c r="E152" s="60">
        <v>0</v>
      </c>
      <c r="F152" s="60">
        <v>300</v>
      </c>
      <c r="G152" s="61">
        <v>2000</v>
      </c>
      <c r="H152" s="60">
        <v>20000</v>
      </c>
      <c r="I152" s="60">
        <v>9700</v>
      </c>
      <c r="J152" s="62">
        <v>0</v>
      </c>
      <c r="K152" s="63" t="s">
        <v>80</v>
      </c>
      <c r="L152" s="64"/>
      <c r="N152" s="78"/>
      <c r="O152" s="78"/>
    </row>
    <row r="153" spans="1:15" s="56" customFormat="1" ht="15" customHeight="1" x14ac:dyDescent="0.25">
      <c r="A153" s="57">
        <v>569</v>
      </c>
      <c r="B153" s="58" t="s">
        <v>273</v>
      </c>
      <c r="C153" s="59" t="s">
        <v>274</v>
      </c>
      <c r="D153" s="60">
        <v>6100</v>
      </c>
      <c r="E153" s="60">
        <v>0</v>
      </c>
      <c r="F153" s="60">
        <v>0</v>
      </c>
      <c r="G153" s="61">
        <v>400</v>
      </c>
      <c r="H153" s="60">
        <v>2500</v>
      </c>
      <c r="I153" s="60">
        <v>3200</v>
      </c>
      <c r="J153" s="62">
        <v>0</v>
      </c>
      <c r="K153" s="63" t="s">
        <v>80</v>
      </c>
      <c r="L153" s="64"/>
      <c r="N153" s="78"/>
      <c r="O153" s="78"/>
    </row>
    <row r="154" spans="1:15" s="56" customFormat="1" ht="24" customHeight="1" x14ac:dyDescent="0.25">
      <c r="A154" s="57">
        <v>570</v>
      </c>
      <c r="B154" s="58" t="s">
        <v>275</v>
      </c>
      <c r="C154" s="59">
        <v>3381</v>
      </c>
      <c r="D154" s="60">
        <v>75120</v>
      </c>
      <c r="E154" s="60">
        <v>0</v>
      </c>
      <c r="F154" s="60">
        <v>61008</v>
      </c>
      <c r="G154" s="61">
        <v>14112</v>
      </c>
      <c r="H154" s="60">
        <v>0</v>
      </c>
      <c r="I154" s="60">
        <v>0</v>
      </c>
      <c r="J154" s="62">
        <v>0</v>
      </c>
      <c r="K154" s="63" t="s">
        <v>80</v>
      </c>
      <c r="L154" s="64"/>
      <c r="N154" s="78"/>
      <c r="O154" s="78"/>
    </row>
    <row r="155" spans="1:15" s="56" customFormat="1" ht="24" customHeight="1" x14ac:dyDescent="0.25">
      <c r="A155" s="57">
        <v>572</v>
      </c>
      <c r="B155" s="58" t="s">
        <v>276</v>
      </c>
      <c r="C155" s="59">
        <v>3382</v>
      </c>
      <c r="D155" s="60">
        <v>1005480</v>
      </c>
      <c r="E155" s="60">
        <v>0</v>
      </c>
      <c r="F155" s="60">
        <v>489632</v>
      </c>
      <c r="G155" s="61">
        <v>114935</v>
      </c>
      <c r="H155" s="60">
        <v>396218</v>
      </c>
      <c r="I155" s="60">
        <v>4695</v>
      </c>
      <c r="J155" s="62">
        <v>0</v>
      </c>
      <c r="K155" s="63" t="s">
        <v>80</v>
      </c>
      <c r="L155" s="64"/>
      <c r="N155" s="78"/>
      <c r="O155" s="78"/>
    </row>
    <row r="156" spans="1:15" s="56" customFormat="1" ht="15.75" customHeight="1" thickBot="1" x14ac:dyDescent="0.3">
      <c r="A156" s="429" t="s">
        <v>277</v>
      </c>
      <c r="B156" s="430"/>
      <c r="C156" s="398"/>
      <c r="D156" s="65">
        <f t="shared" ref="D156:J156" si="10">SUM(D146:D155)</f>
        <v>1140200</v>
      </c>
      <c r="E156" s="65">
        <f t="shared" si="10"/>
        <v>602</v>
      </c>
      <c r="F156" s="65">
        <f t="shared" si="10"/>
        <v>551852</v>
      </c>
      <c r="G156" s="65">
        <f t="shared" si="10"/>
        <v>141727</v>
      </c>
      <c r="H156" s="65">
        <f t="shared" si="10"/>
        <v>426755</v>
      </c>
      <c r="I156" s="65">
        <f t="shared" si="10"/>
        <v>19265</v>
      </c>
      <c r="J156" s="65">
        <f t="shared" si="10"/>
        <v>0</v>
      </c>
      <c r="K156" s="66"/>
      <c r="N156" s="78"/>
      <c r="O156" s="78"/>
    </row>
    <row r="157" spans="1:15" s="56" customFormat="1" ht="9" customHeight="1" thickBot="1" x14ac:dyDescent="0.3">
      <c r="A157" s="79"/>
      <c r="B157" s="80"/>
      <c r="C157" s="80"/>
      <c r="D157" s="81"/>
      <c r="E157" s="81"/>
      <c r="F157" s="81"/>
      <c r="G157" s="81"/>
      <c r="H157" s="82"/>
      <c r="I157" s="82"/>
      <c r="J157" s="82"/>
      <c r="K157" s="83"/>
      <c r="N157" s="78"/>
      <c r="O157" s="78"/>
    </row>
    <row r="158" spans="1:15" s="56" customFormat="1" ht="18" customHeight="1" thickBot="1" x14ac:dyDescent="0.3">
      <c r="A158" s="431" t="s">
        <v>58</v>
      </c>
      <c r="B158" s="432"/>
      <c r="C158" s="84"/>
      <c r="D158" s="85">
        <f t="shared" ref="D158:J158" si="11">D12+D156+D144+D134+D102+D77+D66+D58+D43+D36+D17</f>
        <v>6146717</v>
      </c>
      <c r="E158" s="85">
        <f t="shared" si="11"/>
        <v>57225.26</v>
      </c>
      <c r="F158" s="85">
        <f t="shared" si="11"/>
        <v>1071087</v>
      </c>
      <c r="G158" s="85">
        <f t="shared" si="11"/>
        <v>2092965</v>
      </c>
      <c r="H158" s="85">
        <f t="shared" si="11"/>
        <v>1631827</v>
      </c>
      <c r="I158" s="85">
        <f t="shared" si="11"/>
        <v>631596</v>
      </c>
      <c r="J158" s="85">
        <f t="shared" si="11"/>
        <v>177854</v>
      </c>
      <c r="K158" s="86"/>
      <c r="N158" s="78"/>
      <c r="O158" s="78"/>
    </row>
    <row r="159" spans="1:15" x14ac:dyDescent="0.25">
      <c r="F159" s="87"/>
    </row>
    <row r="160" spans="1:15" s="89" customFormat="1" x14ac:dyDescent="0.25">
      <c r="A160" s="88"/>
      <c r="F160" s="90"/>
      <c r="G160" s="91"/>
    </row>
    <row r="161" spans="1:6" x14ac:dyDescent="0.25">
      <c r="A161" s="88"/>
      <c r="B161" s="89"/>
      <c r="C161" s="89"/>
      <c r="D161" s="89"/>
      <c r="E161" s="89"/>
      <c r="F161" s="92"/>
    </row>
    <row r="163" spans="1:6" ht="14.25" x14ac:dyDescent="0.2">
      <c r="B163" s="93"/>
      <c r="C163" s="93"/>
    </row>
  </sheetData>
  <mergeCells count="32">
    <mergeCell ref="A36:B36"/>
    <mergeCell ref="A1:K1"/>
    <mergeCell ref="A3:A4"/>
    <mergeCell ref="B3:B4"/>
    <mergeCell ref="D3:D4"/>
    <mergeCell ref="E3:E4"/>
    <mergeCell ref="F3:F4"/>
    <mergeCell ref="G3:G4"/>
    <mergeCell ref="H3:J3"/>
    <mergeCell ref="K3:K4"/>
    <mergeCell ref="A5:K5"/>
    <mergeCell ref="A12:B12"/>
    <mergeCell ref="A13:K13"/>
    <mergeCell ref="A17:B17"/>
    <mergeCell ref="A18:K18"/>
    <mergeCell ref="A134:B134"/>
    <mergeCell ref="A37:K37"/>
    <mergeCell ref="A43:B43"/>
    <mergeCell ref="A44:K44"/>
    <mergeCell ref="A58:B58"/>
    <mergeCell ref="A59:K59"/>
    <mergeCell ref="A66:B66"/>
    <mergeCell ref="A67:K67"/>
    <mergeCell ref="A77:B77"/>
    <mergeCell ref="A78:K78"/>
    <mergeCell ref="A102:B102"/>
    <mergeCell ref="A103:K103"/>
    <mergeCell ref="A135:K135"/>
    <mergeCell ref="A144:B144"/>
    <mergeCell ref="A145:K145"/>
    <mergeCell ref="A156:B156"/>
    <mergeCell ref="A158:B158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99" firstPageNumber="4" fitToHeight="0" orientation="landscape" useFirstPageNumber="1" r:id="rId1"/>
  <headerFooter>
    <oddHeader>&amp;L&amp;"Tahoma,Kurzíva"&amp;9Návrh rozpočtu na rok 2018
Příloha č. 10&amp;R&amp;"Tahoma,Kurzíva"&amp;9Přehled akcí spolufinancovaných z evropských finančních zdrojů v návrhu rozpočtu kraje na rok 2018
včetně závazků kraje vyvolaných pro rok 2019 a další léta</oddHeader>
    <oddFooter>&amp;C&amp;"Tahoma,Obyčejné"&amp;10&amp;P</oddFooter>
  </headerFooter>
  <rowBreaks count="2" manualBreakCount="2">
    <brk id="56" max="10" man="1"/>
    <brk id="7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0"/>
  <sheetViews>
    <sheetView zoomScaleNormal="100" zoomScaleSheetLayoutView="100" workbookViewId="0">
      <selection activeCell="E30" sqref="E30"/>
    </sheetView>
  </sheetViews>
  <sheetFormatPr defaultColWidth="9" defaultRowHeight="10.5" x14ac:dyDescent="0.25"/>
  <cols>
    <col min="1" max="1" width="48.7109375" style="11" customWidth="1"/>
    <col min="2" max="9" width="12.7109375" style="11" customWidth="1"/>
    <col min="10" max="16384" width="9" style="11"/>
  </cols>
  <sheetData>
    <row r="1" spans="1:8" ht="18" customHeight="1" x14ac:dyDescent="0.25">
      <c r="A1" s="469" t="s">
        <v>542</v>
      </c>
      <c r="B1" s="469"/>
      <c r="C1" s="469"/>
      <c r="D1" s="469"/>
      <c r="E1" s="469"/>
      <c r="F1" s="469"/>
      <c r="G1" s="469"/>
      <c r="H1" s="470"/>
    </row>
    <row r="2" spans="1:8" ht="22.5" customHeight="1" x14ac:dyDescent="0.25">
      <c r="A2" s="471"/>
      <c r="B2" s="471"/>
      <c r="C2" s="471"/>
      <c r="D2" s="471"/>
      <c r="E2" s="471"/>
      <c r="F2" s="471"/>
      <c r="G2" s="471"/>
      <c r="H2" s="470"/>
    </row>
    <row r="3" spans="1:8" ht="12" customHeight="1" thickBot="1" x14ac:dyDescent="0.3">
      <c r="A3" s="149"/>
      <c r="B3" s="150"/>
      <c r="C3" s="151"/>
      <c r="D3" s="151"/>
      <c r="E3" s="151"/>
      <c r="F3" s="151"/>
      <c r="H3" s="150" t="s">
        <v>57</v>
      </c>
    </row>
    <row r="4" spans="1:8" ht="30.75" customHeight="1" x14ac:dyDescent="0.25">
      <c r="A4" s="472" t="s">
        <v>72</v>
      </c>
      <c r="B4" s="474" t="s">
        <v>320</v>
      </c>
      <c r="C4" s="476" t="s">
        <v>321</v>
      </c>
      <c r="D4" s="478" t="s">
        <v>322</v>
      </c>
      <c r="E4" s="480" t="s">
        <v>323</v>
      </c>
      <c r="F4" s="481"/>
      <c r="G4" s="446" t="s">
        <v>324</v>
      </c>
      <c r="H4" s="482"/>
    </row>
    <row r="5" spans="1:8" ht="59.25" customHeight="1" thickBot="1" x14ac:dyDescent="0.3">
      <c r="A5" s="473"/>
      <c r="B5" s="475"/>
      <c r="C5" s="477"/>
      <c r="D5" s="479"/>
      <c r="E5" s="152" t="s">
        <v>325</v>
      </c>
      <c r="F5" s="153" t="s">
        <v>326</v>
      </c>
      <c r="G5" s="152" t="s">
        <v>325</v>
      </c>
      <c r="H5" s="154" t="s">
        <v>327</v>
      </c>
    </row>
    <row r="6" spans="1:8" ht="18" customHeight="1" x14ac:dyDescent="0.25">
      <c r="A6" s="420" t="s">
        <v>328</v>
      </c>
      <c r="B6" s="457"/>
      <c r="C6" s="457"/>
      <c r="D6" s="457"/>
      <c r="E6" s="457"/>
      <c r="F6" s="457"/>
      <c r="G6" s="457"/>
      <c r="H6" s="458"/>
    </row>
    <row r="7" spans="1:8" ht="18" customHeight="1" x14ac:dyDescent="0.25">
      <c r="A7" s="462" t="s">
        <v>329</v>
      </c>
      <c r="B7" s="463"/>
      <c r="C7" s="463"/>
      <c r="D7" s="463"/>
      <c r="E7" s="463"/>
      <c r="F7" s="463"/>
      <c r="G7" s="463"/>
      <c r="H7" s="464"/>
    </row>
    <row r="8" spans="1:8" ht="15" customHeight="1" x14ac:dyDescent="0.25">
      <c r="A8" s="155" t="s">
        <v>97</v>
      </c>
      <c r="B8" s="156">
        <v>930.76</v>
      </c>
      <c r="C8" s="157">
        <v>100</v>
      </c>
      <c r="D8" s="156">
        <v>100</v>
      </c>
      <c r="E8" s="156">
        <v>0</v>
      </c>
      <c r="F8" s="157">
        <v>0</v>
      </c>
      <c r="G8" s="158">
        <v>0</v>
      </c>
      <c r="H8" s="159">
        <v>0</v>
      </c>
    </row>
    <row r="9" spans="1:8" ht="15" customHeight="1" x14ac:dyDescent="0.25">
      <c r="A9" s="155" t="s">
        <v>100</v>
      </c>
      <c r="B9" s="156">
        <v>1450</v>
      </c>
      <c r="C9" s="157">
        <v>636</v>
      </c>
      <c r="D9" s="156">
        <v>121</v>
      </c>
      <c r="E9" s="156">
        <v>515</v>
      </c>
      <c r="F9" s="157">
        <v>0</v>
      </c>
      <c r="G9" s="158">
        <v>500</v>
      </c>
      <c r="H9" s="159">
        <v>0</v>
      </c>
    </row>
    <row r="10" spans="1:8" ht="24" customHeight="1" x14ac:dyDescent="0.25">
      <c r="A10" s="155" t="s">
        <v>330</v>
      </c>
      <c r="B10" s="156">
        <v>4136.9000000000005</v>
      </c>
      <c r="C10" s="157">
        <v>121</v>
      </c>
      <c r="D10" s="156">
        <v>121</v>
      </c>
      <c r="E10" s="156">
        <v>0</v>
      </c>
      <c r="F10" s="157">
        <v>0</v>
      </c>
      <c r="G10" s="158">
        <v>500</v>
      </c>
      <c r="H10" s="159">
        <v>0</v>
      </c>
    </row>
    <row r="11" spans="1:8" ht="24" customHeight="1" x14ac:dyDescent="0.25">
      <c r="A11" s="155" t="s">
        <v>102</v>
      </c>
      <c r="B11" s="156">
        <v>14000</v>
      </c>
      <c r="C11" s="157">
        <v>12900</v>
      </c>
      <c r="D11" s="156">
        <v>2833</v>
      </c>
      <c r="E11" s="156">
        <v>10067</v>
      </c>
      <c r="F11" s="157">
        <v>9000</v>
      </c>
      <c r="G11" s="158">
        <v>934</v>
      </c>
      <c r="H11" s="159">
        <v>0</v>
      </c>
    </row>
    <row r="12" spans="1:8" ht="15" customHeight="1" x14ac:dyDescent="0.25">
      <c r="A12" s="155" t="s">
        <v>104</v>
      </c>
      <c r="B12" s="156">
        <v>52000</v>
      </c>
      <c r="C12" s="157">
        <v>48900</v>
      </c>
      <c r="D12" s="156">
        <v>7590</v>
      </c>
      <c r="E12" s="156">
        <v>41310</v>
      </c>
      <c r="F12" s="157">
        <v>32200</v>
      </c>
      <c r="G12" s="158">
        <v>44100</v>
      </c>
      <c r="H12" s="159">
        <v>32200</v>
      </c>
    </row>
    <row r="13" spans="1:8" ht="15" customHeight="1" x14ac:dyDescent="0.25">
      <c r="A13" s="155" t="s">
        <v>105</v>
      </c>
      <c r="B13" s="156">
        <v>8394.65</v>
      </c>
      <c r="C13" s="157">
        <v>5200</v>
      </c>
      <c r="D13" s="156">
        <v>355</v>
      </c>
      <c r="E13" s="156">
        <v>4845</v>
      </c>
      <c r="F13" s="157">
        <v>0</v>
      </c>
      <c r="G13" s="158">
        <v>4845</v>
      </c>
      <c r="H13" s="159">
        <v>0</v>
      </c>
    </row>
    <row r="14" spans="1:8" ht="24" customHeight="1" x14ac:dyDescent="0.25">
      <c r="A14" s="160" t="s">
        <v>331</v>
      </c>
      <c r="B14" s="161" t="s">
        <v>10</v>
      </c>
      <c r="C14" s="14">
        <f>SUM(C8:C13)</f>
        <v>67857</v>
      </c>
      <c r="D14" s="14">
        <f t="shared" ref="D14:H14" si="0">SUM(D8:D13)</f>
        <v>11120</v>
      </c>
      <c r="E14" s="14">
        <f t="shared" si="0"/>
        <v>56737</v>
      </c>
      <c r="F14" s="14">
        <f t="shared" si="0"/>
        <v>41200</v>
      </c>
      <c r="G14" s="14">
        <f t="shared" si="0"/>
        <v>50879</v>
      </c>
      <c r="H14" s="162">
        <f t="shared" si="0"/>
        <v>32200</v>
      </c>
    </row>
    <row r="15" spans="1:8" ht="18" customHeight="1" x14ac:dyDescent="0.25">
      <c r="A15" s="459" t="s">
        <v>332</v>
      </c>
      <c r="B15" s="460"/>
      <c r="C15" s="460"/>
      <c r="D15" s="460"/>
      <c r="E15" s="460"/>
      <c r="F15" s="460"/>
      <c r="G15" s="460"/>
      <c r="H15" s="461"/>
    </row>
    <row r="16" spans="1:8" ht="15" customHeight="1" x14ac:dyDescent="0.25">
      <c r="A16" s="163" t="s">
        <v>106</v>
      </c>
      <c r="B16" s="156">
        <v>127600</v>
      </c>
      <c r="C16" s="157">
        <v>600</v>
      </c>
      <c r="D16" s="156">
        <v>60</v>
      </c>
      <c r="E16" s="156">
        <v>540</v>
      </c>
      <c r="F16" s="157">
        <v>0</v>
      </c>
      <c r="G16" s="156">
        <v>0</v>
      </c>
      <c r="H16" s="159">
        <v>0</v>
      </c>
    </row>
    <row r="17" spans="1:11" ht="15" customHeight="1" x14ac:dyDescent="0.25">
      <c r="A17" s="163" t="s">
        <v>108</v>
      </c>
      <c r="B17" s="156">
        <v>84080</v>
      </c>
      <c r="C17" s="157">
        <v>51000</v>
      </c>
      <c r="D17" s="156">
        <v>5100</v>
      </c>
      <c r="E17" s="156">
        <v>45900</v>
      </c>
      <c r="F17" s="157">
        <v>44500</v>
      </c>
      <c r="G17" s="156">
        <v>0</v>
      </c>
      <c r="H17" s="159">
        <v>0</v>
      </c>
    </row>
    <row r="18" spans="1:11" ht="24" customHeight="1" x14ac:dyDescent="0.25">
      <c r="A18" s="163" t="s">
        <v>333</v>
      </c>
      <c r="B18" s="156">
        <v>51000</v>
      </c>
      <c r="C18" s="157">
        <v>1000</v>
      </c>
      <c r="D18" s="156">
        <v>100</v>
      </c>
      <c r="E18" s="156">
        <v>900</v>
      </c>
      <c r="F18" s="157">
        <v>0</v>
      </c>
      <c r="G18" s="156">
        <v>0</v>
      </c>
      <c r="H18" s="159">
        <v>0</v>
      </c>
    </row>
    <row r="19" spans="1:11" ht="15" customHeight="1" x14ac:dyDescent="0.25">
      <c r="A19" s="160" t="s">
        <v>334</v>
      </c>
      <c r="B19" s="161" t="s">
        <v>10</v>
      </c>
      <c r="C19" s="14">
        <f>SUM(C16:C18)</f>
        <v>52600</v>
      </c>
      <c r="D19" s="14">
        <f t="shared" ref="D19:H19" si="1">SUM(D16:D18)</f>
        <v>5260</v>
      </c>
      <c r="E19" s="14">
        <f t="shared" si="1"/>
        <v>47340</v>
      </c>
      <c r="F19" s="14">
        <f t="shared" si="1"/>
        <v>44500</v>
      </c>
      <c r="G19" s="14">
        <f t="shared" si="1"/>
        <v>0</v>
      </c>
      <c r="H19" s="162">
        <f t="shared" si="1"/>
        <v>0</v>
      </c>
    </row>
    <row r="20" spans="1:11" ht="18" customHeight="1" x14ac:dyDescent="0.25">
      <c r="A20" s="465" t="s">
        <v>110</v>
      </c>
      <c r="B20" s="466"/>
      <c r="C20" s="466"/>
      <c r="D20" s="466"/>
      <c r="E20" s="466"/>
      <c r="F20" s="466"/>
      <c r="G20" s="466"/>
      <c r="H20" s="467"/>
    </row>
    <row r="21" spans="1:11" s="168" customFormat="1" ht="15" customHeight="1" x14ac:dyDescent="0.25">
      <c r="A21" s="164" t="s">
        <v>111</v>
      </c>
      <c r="B21" s="156">
        <v>275000</v>
      </c>
      <c r="C21" s="165">
        <v>70000</v>
      </c>
      <c r="D21" s="166">
        <v>9700</v>
      </c>
      <c r="E21" s="156">
        <v>60300</v>
      </c>
      <c r="F21" s="157">
        <v>59300</v>
      </c>
      <c r="G21" s="167">
        <v>0</v>
      </c>
      <c r="H21" s="159">
        <v>0</v>
      </c>
    </row>
    <row r="22" spans="1:11" s="168" customFormat="1" ht="24" customHeight="1" x14ac:dyDescent="0.25">
      <c r="A22" s="163" t="s">
        <v>112</v>
      </c>
      <c r="B22" s="156">
        <v>29000</v>
      </c>
      <c r="C22" s="157">
        <v>28500</v>
      </c>
      <c r="D22" s="156">
        <v>4200</v>
      </c>
      <c r="E22" s="156">
        <v>24300</v>
      </c>
      <c r="F22" s="157">
        <v>0</v>
      </c>
      <c r="G22" s="167">
        <v>0</v>
      </c>
      <c r="H22" s="159">
        <v>0</v>
      </c>
    </row>
    <row r="23" spans="1:11" s="168" customFormat="1" ht="24" customHeight="1" x14ac:dyDescent="0.25">
      <c r="A23" s="155" t="s">
        <v>113</v>
      </c>
      <c r="B23" s="166">
        <v>81000</v>
      </c>
      <c r="C23" s="157">
        <v>80500</v>
      </c>
      <c r="D23" s="156">
        <v>9850</v>
      </c>
      <c r="E23" s="156">
        <v>70650</v>
      </c>
      <c r="F23" s="157">
        <v>0</v>
      </c>
      <c r="G23" s="167">
        <v>0</v>
      </c>
      <c r="H23" s="159">
        <v>0</v>
      </c>
      <c r="K23" s="169"/>
    </row>
    <row r="24" spans="1:11" s="168" customFormat="1" ht="15" customHeight="1" x14ac:dyDescent="0.25">
      <c r="A24" s="155" t="s">
        <v>114</v>
      </c>
      <c r="B24" s="166">
        <v>43400</v>
      </c>
      <c r="C24" s="157">
        <v>42900</v>
      </c>
      <c r="D24" s="156">
        <v>5190</v>
      </c>
      <c r="E24" s="156">
        <v>37710</v>
      </c>
      <c r="F24" s="157">
        <v>37210</v>
      </c>
      <c r="G24" s="167">
        <v>38160</v>
      </c>
      <c r="H24" s="159">
        <v>37210</v>
      </c>
      <c r="K24" s="169"/>
    </row>
    <row r="25" spans="1:11" s="168" customFormat="1" ht="15" customHeight="1" x14ac:dyDescent="0.25">
      <c r="A25" s="155" t="s">
        <v>115</v>
      </c>
      <c r="B25" s="166">
        <v>56500</v>
      </c>
      <c r="C25" s="157">
        <v>56000</v>
      </c>
      <c r="D25" s="156">
        <v>7400</v>
      </c>
      <c r="E25" s="156">
        <v>48600</v>
      </c>
      <c r="F25" s="157">
        <v>0</v>
      </c>
      <c r="G25" s="167">
        <v>0</v>
      </c>
      <c r="H25" s="159">
        <v>0</v>
      </c>
      <c r="K25" s="169"/>
    </row>
    <row r="26" spans="1:11" s="168" customFormat="1" ht="24" customHeight="1" x14ac:dyDescent="0.25">
      <c r="A26" s="163" t="s">
        <v>116</v>
      </c>
      <c r="B26" s="156">
        <v>51500</v>
      </c>
      <c r="C26" s="157">
        <v>51000</v>
      </c>
      <c r="D26" s="156">
        <v>7494</v>
      </c>
      <c r="E26" s="156">
        <v>43506</v>
      </c>
      <c r="F26" s="157">
        <v>0</v>
      </c>
      <c r="G26" s="167">
        <v>0</v>
      </c>
      <c r="H26" s="159">
        <v>0</v>
      </c>
    </row>
    <row r="27" spans="1:11" s="168" customFormat="1" ht="15" customHeight="1" x14ac:dyDescent="0.25">
      <c r="A27" s="164" t="s">
        <v>117</v>
      </c>
      <c r="B27" s="156">
        <v>22000</v>
      </c>
      <c r="C27" s="165">
        <v>21500</v>
      </c>
      <c r="D27" s="166">
        <v>2600</v>
      </c>
      <c r="E27" s="156">
        <v>18900</v>
      </c>
      <c r="F27" s="157">
        <v>18800</v>
      </c>
      <c r="G27" s="167">
        <v>19350</v>
      </c>
      <c r="H27" s="159">
        <v>18800</v>
      </c>
    </row>
    <row r="28" spans="1:11" s="168" customFormat="1" ht="24" customHeight="1" x14ac:dyDescent="0.25">
      <c r="A28" s="155" t="s">
        <v>118</v>
      </c>
      <c r="B28" s="166">
        <v>68000</v>
      </c>
      <c r="C28" s="157">
        <v>59300</v>
      </c>
      <c r="D28" s="156">
        <v>7460</v>
      </c>
      <c r="E28" s="156">
        <v>51840</v>
      </c>
      <c r="F28" s="157">
        <v>46550</v>
      </c>
      <c r="G28" s="167">
        <v>59400</v>
      </c>
      <c r="H28" s="159">
        <v>46550</v>
      </c>
      <c r="K28" s="169"/>
    </row>
    <row r="29" spans="1:11" s="168" customFormat="1" ht="21" x14ac:dyDescent="0.25">
      <c r="A29" s="155" t="s">
        <v>119</v>
      </c>
      <c r="B29" s="166">
        <v>61000</v>
      </c>
      <c r="C29" s="157">
        <v>54700</v>
      </c>
      <c r="D29" s="156">
        <v>7270</v>
      </c>
      <c r="E29" s="156">
        <v>47430</v>
      </c>
      <c r="F29" s="157">
        <v>40900</v>
      </c>
      <c r="G29" s="167">
        <v>53100</v>
      </c>
      <c r="H29" s="159">
        <v>40900</v>
      </c>
      <c r="K29" s="169"/>
    </row>
    <row r="30" spans="1:11" s="168" customFormat="1" ht="24" customHeight="1" x14ac:dyDescent="0.25">
      <c r="A30" s="155" t="s">
        <v>120</v>
      </c>
      <c r="B30" s="166">
        <v>48000</v>
      </c>
      <c r="C30" s="157">
        <v>47500</v>
      </c>
      <c r="D30" s="156">
        <v>5650</v>
      </c>
      <c r="E30" s="156">
        <v>41850</v>
      </c>
      <c r="F30" s="157">
        <v>41300</v>
      </c>
      <c r="G30" s="167">
        <v>42300</v>
      </c>
      <c r="H30" s="159">
        <v>41300</v>
      </c>
      <c r="K30" s="169"/>
    </row>
    <row r="31" spans="1:11" s="168" customFormat="1" ht="15" customHeight="1" x14ac:dyDescent="0.25">
      <c r="A31" s="164" t="s">
        <v>121</v>
      </c>
      <c r="B31" s="156">
        <v>134000</v>
      </c>
      <c r="C31" s="165">
        <v>78500</v>
      </c>
      <c r="D31" s="166">
        <v>15050</v>
      </c>
      <c r="E31" s="156">
        <v>63450</v>
      </c>
      <c r="F31" s="157">
        <v>57400</v>
      </c>
      <c r="G31" s="167">
        <v>0</v>
      </c>
      <c r="H31" s="159">
        <v>0</v>
      </c>
    </row>
    <row r="32" spans="1:11" s="168" customFormat="1" ht="24" customHeight="1" x14ac:dyDescent="0.25">
      <c r="A32" s="164" t="s">
        <v>122</v>
      </c>
      <c r="B32" s="156">
        <v>163400</v>
      </c>
      <c r="C32" s="165">
        <v>43400</v>
      </c>
      <c r="D32" s="166">
        <v>9740</v>
      </c>
      <c r="E32" s="156">
        <v>33660</v>
      </c>
      <c r="F32" s="157">
        <v>33160</v>
      </c>
      <c r="G32" s="167">
        <v>132660</v>
      </c>
      <c r="H32" s="159">
        <v>82959</v>
      </c>
    </row>
    <row r="33" spans="1:11" s="168" customFormat="1" ht="24" customHeight="1" x14ac:dyDescent="0.25">
      <c r="A33" s="164" t="s">
        <v>123</v>
      </c>
      <c r="B33" s="156">
        <v>330000.12</v>
      </c>
      <c r="C33" s="165">
        <v>161000</v>
      </c>
      <c r="D33" s="166">
        <v>43100</v>
      </c>
      <c r="E33" s="156">
        <v>117900</v>
      </c>
      <c r="F33" s="157">
        <v>117600</v>
      </c>
      <c r="G33" s="167">
        <v>0</v>
      </c>
      <c r="H33" s="159">
        <v>0</v>
      </c>
    </row>
    <row r="34" spans="1:11" s="168" customFormat="1" ht="15" customHeight="1" x14ac:dyDescent="0.25">
      <c r="A34" s="155" t="s">
        <v>124</v>
      </c>
      <c r="B34" s="166">
        <v>50000</v>
      </c>
      <c r="C34" s="157">
        <v>39500</v>
      </c>
      <c r="D34" s="156">
        <v>9350</v>
      </c>
      <c r="E34" s="156">
        <v>30150</v>
      </c>
      <c r="F34" s="157">
        <v>0</v>
      </c>
      <c r="G34" s="167">
        <v>0</v>
      </c>
      <c r="H34" s="159">
        <v>0</v>
      </c>
      <c r="K34" s="169"/>
    </row>
    <row r="35" spans="1:11" s="168" customFormat="1" ht="24" customHeight="1" x14ac:dyDescent="0.25">
      <c r="A35" s="155" t="s">
        <v>125</v>
      </c>
      <c r="B35" s="166">
        <v>103000</v>
      </c>
      <c r="C35" s="157">
        <v>500</v>
      </c>
      <c r="D35" s="156">
        <v>50</v>
      </c>
      <c r="E35" s="156">
        <v>450</v>
      </c>
      <c r="F35" s="157">
        <v>0</v>
      </c>
      <c r="G35" s="167">
        <v>0</v>
      </c>
      <c r="H35" s="159">
        <v>0</v>
      </c>
      <c r="K35" s="169"/>
    </row>
    <row r="36" spans="1:11" s="168" customFormat="1" ht="24" customHeight="1" x14ac:dyDescent="0.25">
      <c r="A36" s="164" t="s">
        <v>281</v>
      </c>
      <c r="B36" s="166">
        <v>4614</v>
      </c>
      <c r="C36" s="165">
        <v>1410</v>
      </c>
      <c r="D36" s="166">
        <v>211</v>
      </c>
      <c r="E36" s="156">
        <v>1199</v>
      </c>
      <c r="F36" s="157">
        <v>0</v>
      </c>
      <c r="G36" s="167">
        <v>700</v>
      </c>
      <c r="H36" s="170">
        <v>0</v>
      </c>
    </row>
    <row r="37" spans="1:11" s="168" customFormat="1" ht="24" customHeight="1" x14ac:dyDescent="0.25">
      <c r="A37" s="155" t="s">
        <v>127</v>
      </c>
      <c r="B37" s="166">
        <v>30000</v>
      </c>
      <c r="C37" s="157">
        <v>30000</v>
      </c>
      <c r="D37" s="156">
        <v>30000</v>
      </c>
      <c r="E37" s="156">
        <v>0</v>
      </c>
      <c r="F37" s="157">
        <v>0</v>
      </c>
      <c r="G37" s="167">
        <v>0</v>
      </c>
      <c r="H37" s="159">
        <v>0</v>
      </c>
      <c r="K37" s="169"/>
    </row>
    <row r="38" spans="1:11" s="168" customFormat="1" ht="15" customHeight="1" x14ac:dyDescent="0.25">
      <c r="A38" s="164" t="s">
        <v>335</v>
      </c>
      <c r="B38" s="156">
        <v>58000</v>
      </c>
      <c r="C38" s="165">
        <v>0</v>
      </c>
      <c r="D38" s="166"/>
      <c r="E38" s="156">
        <v>0</v>
      </c>
      <c r="F38" s="157">
        <v>0</v>
      </c>
      <c r="G38" s="167">
        <v>44027</v>
      </c>
      <c r="H38" s="159">
        <v>34000</v>
      </c>
    </row>
    <row r="39" spans="1:11" s="168" customFormat="1" ht="15" customHeight="1" x14ac:dyDescent="0.25">
      <c r="A39" s="164" t="s">
        <v>336</v>
      </c>
      <c r="B39" s="156">
        <v>35000</v>
      </c>
      <c r="C39" s="165">
        <v>0</v>
      </c>
      <c r="D39" s="166"/>
      <c r="E39" s="156">
        <v>0</v>
      </c>
      <c r="F39" s="157">
        <v>0</v>
      </c>
      <c r="G39" s="167">
        <v>27900</v>
      </c>
      <c r="H39" s="159">
        <v>0</v>
      </c>
    </row>
    <row r="40" spans="1:11" s="168" customFormat="1" ht="15" customHeight="1" x14ac:dyDescent="0.25">
      <c r="A40" s="164" t="s">
        <v>337</v>
      </c>
      <c r="B40" s="156">
        <v>29000</v>
      </c>
      <c r="C40" s="165">
        <v>0</v>
      </c>
      <c r="D40" s="166"/>
      <c r="E40" s="156">
        <v>0</v>
      </c>
      <c r="F40" s="157">
        <v>0</v>
      </c>
      <c r="G40" s="167">
        <v>13796</v>
      </c>
      <c r="H40" s="159">
        <v>8530</v>
      </c>
    </row>
    <row r="41" spans="1:11" ht="15" customHeight="1" x14ac:dyDescent="0.25">
      <c r="A41" s="160" t="s">
        <v>81</v>
      </c>
      <c r="B41" s="161" t="s">
        <v>10</v>
      </c>
      <c r="C41" s="14">
        <f>SUM(C21:C40)</f>
        <v>866210</v>
      </c>
      <c r="D41" s="14">
        <f t="shared" ref="D41:H41" si="2">SUM(D21:D40)</f>
        <v>174315</v>
      </c>
      <c r="E41" s="14">
        <f t="shared" si="2"/>
        <v>691895</v>
      </c>
      <c r="F41" s="14">
        <f t="shared" si="2"/>
        <v>452220</v>
      </c>
      <c r="G41" s="14">
        <f t="shared" si="2"/>
        <v>431393</v>
      </c>
      <c r="H41" s="162">
        <f t="shared" si="2"/>
        <v>310249</v>
      </c>
      <c r="I41" s="171"/>
    </row>
    <row r="42" spans="1:11" ht="18" customHeight="1" x14ac:dyDescent="0.25">
      <c r="A42" s="465" t="s">
        <v>82</v>
      </c>
      <c r="B42" s="466"/>
      <c r="C42" s="466"/>
      <c r="D42" s="466"/>
      <c r="E42" s="466"/>
      <c r="F42" s="466"/>
      <c r="G42" s="466"/>
      <c r="H42" s="467"/>
    </row>
    <row r="43" spans="1:11" s="168" customFormat="1" ht="15" customHeight="1" x14ac:dyDescent="0.25">
      <c r="A43" s="163" t="s">
        <v>129</v>
      </c>
      <c r="B43" s="156">
        <v>200000</v>
      </c>
      <c r="C43" s="157">
        <v>1500</v>
      </c>
      <c r="D43" s="156">
        <v>150</v>
      </c>
      <c r="E43" s="156">
        <v>1350</v>
      </c>
      <c r="F43" s="157">
        <v>0</v>
      </c>
      <c r="G43" s="158">
        <v>0</v>
      </c>
      <c r="H43" s="159">
        <v>0</v>
      </c>
    </row>
    <row r="44" spans="1:11" s="168" customFormat="1" ht="24" customHeight="1" x14ac:dyDescent="0.25">
      <c r="A44" s="163" t="s">
        <v>338</v>
      </c>
      <c r="B44" s="156">
        <v>1022.41</v>
      </c>
      <c r="C44" s="157">
        <v>123</v>
      </c>
      <c r="D44" s="156">
        <v>123</v>
      </c>
      <c r="E44" s="156">
        <v>0</v>
      </c>
      <c r="F44" s="157">
        <v>0</v>
      </c>
      <c r="G44" s="158">
        <v>0</v>
      </c>
      <c r="H44" s="159">
        <v>0</v>
      </c>
    </row>
    <row r="45" spans="1:11" s="168" customFormat="1" ht="24" customHeight="1" x14ac:dyDescent="0.25">
      <c r="A45" s="163" t="s">
        <v>339</v>
      </c>
      <c r="B45" s="156">
        <v>5080.47</v>
      </c>
      <c r="C45" s="157">
        <v>2740</v>
      </c>
      <c r="D45" s="156">
        <v>240</v>
      </c>
      <c r="E45" s="156">
        <v>2500</v>
      </c>
      <c r="F45" s="157">
        <v>0</v>
      </c>
      <c r="G45" s="158">
        <v>2500</v>
      </c>
      <c r="H45" s="159">
        <v>0</v>
      </c>
    </row>
    <row r="46" spans="1:11" s="168" customFormat="1" ht="24" customHeight="1" x14ac:dyDescent="0.25">
      <c r="A46" s="163" t="s">
        <v>340</v>
      </c>
      <c r="B46" s="156">
        <v>3391.26</v>
      </c>
      <c r="C46" s="157">
        <v>337</v>
      </c>
      <c r="D46" s="156">
        <v>337</v>
      </c>
      <c r="E46" s="156">
        <v>0</v>
      </c>
      <c r="F46" s="157">
        <v>0</v>
      </c>
      <c r="G46" s="158">
        <v>0</v>
      </c>
      <c r="H46" s="159">
        <v>0</v>
      </c>
    </row>
    <row r="47" spans="1:11" s="168" customFormat="1" ht="24" customHeight="1" x14ac:dyDescent="0.25">
      <c r="A47" s="163" t="s">
        <v>133</v>
      </c>
      <c r="B47" s="156">
        <v>4106.46</v>
      </c>
      <c r="C47" s="157">
        <v>332</v>
      </c>
      <c r="D47" s="156">
        <v>332</v>
      </c>
      <c r="E47" s="156">
        <v>0</v>
      </c>
      <c r="F47" s="157">
        <v>0</v>
      </c>
      <c r="G47" s="158">
        <v>0</v>
      </c>
      <c r="H47" s="159">
        <v>0</v>
      </c>
    </row>
    <row r="48" spans="1:11" ht="15" customHeight="1" x14ac:dyDescent="0.25">
      <c r="A48" s="160" t="s">
        <v>83</v>
      </c>
      <c r="B48" s="161" t="s">
        <v>10</v>
      </c>
      <c r="C48" s="14">
        <f>SUM(C43:C47)</f>
        <v>5032</v>
      </c>
      <c r="D48" s="14">
        <f t="shared" ref="D48:H48" si="3">SUM(D43:D47)</f>
        <v>1182</v>
      </c>
      <c r="E48" s="14">
        <f t="shared" si="3"/>
        <v>3850</v>
      </c>
      <c r="F48" s="14">
        <f t="shared" si="3"/>
        <v>0</v>
      </c>
      <c r="G48" s="14">
        <f t="shared" si="3"/>
        <v>2500</v>
      </c>
      <c r="H48" s="162">
        <f t="shared" si="3"/>
        <v>0</v>
      </c>
      <c r="I48" s="171"/>
    </row>
    <row r="49" spans="1:8" ht="18" customHeight="1" x14ac:dyDescent="0.25">
      <c r="A49" s="462" t="s">
        <v>84</v>
      </c>
      <c r="B49" s="463"/>
      <c r="C49" s="463"/>
      <c r="D49" s="463"/>
      <c r="E49" s="463"/>
      <c r="F49" s="463"/>
      <c r="G49" s="463"/>
      <c r="H49" s="464"/>
    </row>
    <row r="50" spans="1:8" ht="15" customHeight="1" x14ac:dyDescent="0.25">
      <c r="A50" s="163" t="s">
        <v>134</v>
      </c>
      <c r="B50" s="156">
        <v>110500</v>
      </c>
      <c r="C50" s="157">
        <v>1000</v>
      </c>
      <c r="D50" s="156">
        <v>100</v>
      </c>
      <c r="E50" s="156">
        <v>900</v>
      </c>
      <c r="F50" s="157">
        <v>0</v>
      </c>
      <c r="G50" s="158">
        <v>0</v>
      </c>
      <c r="H50" s="159">
        <v>0</v>
      </c>
    </row>
    <row r="51" spans="1:8" ht="15" customHeight="1" x14ac:dyDescent="0.25">
      <c r="A51" s="163" t="s">
        <v>136</v>
      </c>
      <c r="B51" s="156">
        <v>122999.28</v>
      </c>
      <c r="C51" s="157">
        <v>40000</v>
      </c>
      <c r="D51" s="156">
        <v>4000</v>
      </c>
      <c r="E51" s="156">
        <v>36000</v>
      </c>
      <c r="F51" s="157">
        <v>36000</v>
      </c>
      <c r="G51" s="158">
        <v>0</v>
      </c>
      <c r="H51" s="159">
        <v>0</v>
      </c>
    </row>
    <row r="52" spans="1:8" ht="15" customHeight="1" x14ac:dyDescent="0.25">
      <c r="A52" s="163" t="s">
        <v>138</v>
      </c>
      <c r="B52" s="156">
        <v>31523.200000000001</v>
      </c>
      <c r="C52" s="157">
        <v>30664</v>
      </c>
      <c r="D52" s="156">
        <v>3066</v>
      </c>
      <c r="E52" s="156">
        <v>27598</v>
      </c>
      <c r="F52" s="157">
        <v>26383</v>
      </c>
      <c r="G52" s="158">
        <v>0</v>
      </c>
      <c r="H52" s="159">
        <v>0</v>
      </c>
    </row>
    <row r="53" spans="1:8" ht="15" customHeight="1" x14ac:dyDescent="0.25">
      <c r="A53" s="163" t="s">
        <v>341</v>
      </c>
      <c r="B53" s="156">
        <v>23716</v>
      </c>
      <c r="C53" s="157">
        <v>6000</v>
      </c>
      <c r="D53" s="156">
        <v>600</v>
      </c>
      <c r="E53" s="156">
        <v>5400</v>
      </c>
      <c r="F53" s="157">
        <v>5400</v>
      </c>
      <c r="G53" s="158">
        <v>0</v>
      </c>
      <c r="H53" s="159">
        <v>0</v>
      </c>
    </row>
    <row r="54" spans="1:8" s="168" customFormat="1" ht="15" customHeight="1" x14ac:dyDescent="0.25">
      <c r="A54" s="163" t="s">
        <v>342</v>
      </c>
      <c r="B54" s="156">
        <v>31499.68</v>
      </c>
      <c r="C54" s="157">
        <v>25939</v>
      </c>
      <c r="D54" s="156">
        <v>4053</v>
      </c>
      <c r="E54" s="156">
        <v>21886</v>
      </c>
      <c r="F54" s="157">
        <v>19241</v>
      </c>
      <c r="G54" s="158">
        <v>0</v>
      </c>
      <c r="H54" s="159">
        <v>0</v>
      </c>
    </row>
    <row r="55" spans="1:8" ht="15" customHeight="1" x14ac:dyDescent="0.25">
      <c r="A55" s="163" t="s">
        <v>142</v>
      </c>
      <c r="B55" s="156">
        <v>119685.95</v>
      </c>
      <c r="C55" s="157">
        <v>64150</v>
      </c>
      <c r="D55" s="156">
        <v>6415</v>
      </c>
      <c r="E55" s="156">
        <v>57735</v>
      </c>
      <c r="F55" s="157">
        <v>55603</v>
      </c>
      <c r="G55" s="158">
        <v>0</v>
      </c>
      <c r="H55" s="159">
        <v>0</v>
      </c>
    </row>
    <row r="56" spans="1:8" ht="15" customHeight="1" x14ac:dyDescent="0.25">
      <c r="A56" s="163" t="s">
        <v>144</v>
      </c>
      <c r="B56" s="156">
        <v>57080.51</v>
      </c>
      <c r="C56" s="157">
        <v>55095</v>
      </c>
      <c r="D56" s="156">
        <v>6817</v>
      </c>
      <c r="E56" s="156">
        <v>48278</v>
      </c>
      <c r="F56" s="157">
        <v>45873</v>
      </c>
      <c r="G56" s="158">
        <v>0</v>
      </c>
      <c r="H56" s="159">
        <v>0</v>
      </c>
    </row>
    <row r="57" spans="1:8" ht="24" customHeight="1" x14ac:dyDescent="0.25">
      <c r="A57" s="163" t="s">
        <v>146</v>
      </c>
      <c r="B57" s="156">
        <v>51000</v>
      </c>
      <c r="C57" s="157">
        <v>10500</v>
      </c>
      <c r="D57" s="156">
        <v>4650</v>
      </c>
      <c r="E57" s="156">
        <v>5850</v>
      </c>
      <c r="F57" s="157">
        <v>0</v>
      </c>
      <c r="G57" s="158">
        <v>0</v>
      </c>
      <c r="H57" s="159">
        <v>0</v>
      </c>
    </row>
    <row r="58" spans="1:8" ht="15" customHeight="1" x14ac:dyDescent="0.25">
      <c r="A58" s="163" t="s">
        <v>148</v>
      </c>
      <c r="B58" s="156">
        <v>24835.200000000001</v>
      </c>
      <c r="C58" s="157">
        <v>19556</v>
      </c>
      <c r="D58" s="156">
        <v>1962</v>
      </c>
      <c r="E58" s="156">
        <v>17594</v>
      </c>
      <c r="F58" s="157">
        <v>15938</v>
      </c>
      <c r="G58" s="158">
        <v>11502</v>
      </c>
      <c r="H58" s="159">
        <v>9595</v>
      </c>
    </row>
    <row r="59" spans="1:8" ht="15" customHeight="1" x14ac:dyDescent="0.25">
      <c r="A59" s="163" t="s">
        <v>475</v>
      </c>
      <c r="B59" s="156">
        <v>40000</v>
      </c>
      <c r="C59" s="157">
        <v>1000</v>
      </c>
      <c r="D59" s="156">
        <v>100</v>
      </c>
      <c r="E59" s="156">
        <v>900</v>
      </c>
      <c r="F59" s="157">
        <v>0</v>
      </c>
      <c r="G59" s="158">
        <v>0</v>
      </c>
      <c r="H59" s="159">
        <v>0</v>
      </c>
    </row>
    <row r="60" spans="1:8" s="168" customFormat="1" ht="15" customHeight="1" x14ac:dyDescent="0.25">
      <c r="A60" s="163" t="s">
        <v>151</v>
      </c>
      <c r="B60" s="156">
        <v>27000</v>
      </c>
      <c r="C60" s="157">
        <v>26510</v>
      </c>
      <c r="D60" s="156">
        <v>2651</v>
      </c>
      <c r="E60" s="156">
        <v>23859</v>
      </c>
      <c r="F60" s="157">
        <v>23400</v>
      </c>
      <c r="G60" s="158">
        <v>0</v>
      </c>
      <c r="H60" s="159">
        <v>0</v>
      </c>
    </row>
    <row r="61" spans="1:8" ht="15" customHeight="1" x14ac:dyDescent="0.25">
      <c r="A61" s="163" t="s">
        <v>153</v>
      </c>
      <c r="B61" s="156">
        <v>12800</v>
      </c>
      <c r="C61" s="157">
        <v>12640</v>
      </c>
      <c r="D61" s="156">
        <v>2884</v>
      </c>
      <c r="E61" s="156">
        <v>9756</v>
      </c>
      <c r="F61" s="157">
        <v>6520</v>
      </c>
      <c r="G61" s="158">
        <v>6310</v>
      </c>
      <c r="H61" s="159">
        <v>3520</v>
      </c>
    </row>
    <row r="62" spans="1:8" ht="15" customHeight="1" x14ac:dyDescent="0.25">
      <c r="A62" s="163" t="s">
        <v>154</v>
      </c>
      <c r="B62" s="156">
        <v>27025</v>
      </c>
      <c r="C62" s="157">
        <v>1995</v>
      </c>
      <c r="D62" s="156">
        <v>1995</v>
      </c>
      <c r="E62" s="156">
        <v>0</v>
      </c>
      <c r="F62" s="157">
        <v>0</v>
      </c>
      <c r="G62" s="158">
        <v>0</v>
      </c>
      <c r="H62" s="159">
        <v>0</v>
      </c>
    </row>
    <row r="63" spans="1:8" ht="15" customHeight="1" x14ac:dyDescent="0.25">
      <c r="A63" s="160" t="s">
        <v>85</v>
      </c>
      <c r="B63" s="172" t="s">
        <v>10</v>
      </c>
      <c r="C63" s="172">
        <f>SUM(C50:C62)</f>
        <v>295049</v>
      </c>
      <c r="D63" s="172">
        <f t="shared" ref="D63:H63" si="4">SUM(D50:D62)</f>
        <v>39293</v>
      </c>
      <c r="E63" s="172">
        <f t="shared" si="4"/>
        <v>255756</v>
      </c>
      <c r="F63" s="172">
        <f t="shared" si="4"/>
        <v>234358</v>
      </c>
      <c r="G63" s="172">
        <f t="shared" si="4"/>
        <v>17812</v>
      </c>
      <c r="H63" s="173">
        <f t="shared" si="4"/>
        <v>13115</v>
      </c>
    </row>
    <row r="64" spans="1:8" ht="18" customHeight="1" x14ac:dyDescent="0.25">
      <c r="A64" s="462" t="s">
        <v>157</v>
      </c>
      <c r="B64" s="463"/>
      <c r="C64" s="463"/>
      <c r="D64" s="463"/>
      <c r="E64" s="463"/>
      <c r="F64" s="463"/>
      <c r="G64" s="463"/>
      <c r="H64" s="468"/>
    </row>
    <row r="65" spans="1:8" ht="15" customHeight="1" x14ac:dyDescent="0.25">
      <c r="A65" s="163" t="s">
        <v>158</v>
      </c>
      <c r="B65" s="174">
        <v>12000</v>
      </c>
      <c r="C65" s="157">
        <v>1075</v>
      </c>
      <c r="D65" s="156">
        <v>1075</v>
      </c>
      <c r="E65" s="156">
        <v>0</v>
      </c>
      <c r="F65" s="157">
        <v>0</v>
      </c>
      <c r="G65" s="158">
        <v>0</v>
      </c>
      <c r="H65" s="175">
        <v>0</v>
      </c>
    </row>
    <row r="66" spans="1:8" ht="15" customHeight="1" x14ac:dyDescent="0.25">
      <c r="A66" s="163" t="s">
        <v>160</v>
      </c>
      <c r="B66" s="174">
        <v>3500</v>
      </c>
      <c r="C66" s="157">
        <v>950</v>
      </c>
      <c r="D66" s="156">
        <v>140</v>
      </c>
      <c r="E66" s="156">
        <v>810</v>
      </c>
      <c r="F66" s="157">
        <v>0</v>
      </c>
      <c r="G66" s="158">
        <v>0</v>
      </c>
      <c r="H66" s="175">
        <v>0</v>
      </c>
    </row>
    <row r="67" spans="1:8" ht="15" customHeight="1" x14ac:dyDescent="0.25">
      <c r="A67" s="163" t="s">
        <v>161</v>
      </c>
      <c r="B67" s="174">
        <v>34560.29</v>
      </c>
      <c r="C67" s="157">
        <v>6181</v>
      </c>
      <c r="D67" s="156">
        <v>4681</v>
      </c>
      <c r="E67" s="156">
        <v>1500</v>
      </c>
      <c r="F67" s="157">
        <v>0</v>
      </c>
      <c r="G67" s="158">
        <v>4000</v>
      </c>
      <c r="H67" s="175">
        <v>0</v>
      </c>
    </row>
    <row r="68" spans="1:8" ht="15" customHeight="1" x14ac:dyDescent="0.25">
      <c r="A68" s="163" t="s">
        <v>163</v>
      </c>
      <c r="B68" s="174">
        <v>50000</v>
      </c>
      <c r="C68" s="157">
        <v>50000</v>
      </c>
      <c r="D68" s="156">
        <f>10000+15000</f>
        <v>25000</v>
      </c>
      <c r="E68" s="156">
        <f>10000+15000</f>
        <v>25000</v>
      </c>
      <c r="F68" s="157">
        <v>0</v>
      </c>
      <c r="G68" s="158">
        <v>0</v>
      </c>
      <c r="H68" s="175">
        <v>0</v>
      </c>
    </row>
    <row r="69" spans="1:8" ht="24" customHeight="1" x14ac:dyDescent="0.25">
      <c r="A69" s="163" t="s">
        <v>164</v>
      </c>
      <c r="B69" s="174">
        <v>10000</v>
      </c>
      <c r="C69" s="157">
        <v>2500</v>
      </c>
      <c r="D69" s="156">
        <v>0</v>
      </c>
      <c r="E69" s="156">
        <v>2500</v>
      </c>
      <c r="F69" s="157">
        <v>0</v>
      </c>
      <c r="G69" s="158">
        <v>0</v>
      </c>
      <c r="H69" s="175">
        <v>0</v>
      </c>
    </row>
    <row r="70" spans="1:8" ht="24" customHeight="1" x14ac:dyDescent="0.25">
      <c r="A70" s="163" t="s">
        <v>165</v>
      </c>
      <c r="B70" s="174">
        <v>1920</v>
      </c>
      <c r="C70" s="157">
        <v>615</v>
      </c>
      <c r="D70" s="156">
        <v>61.5</v>
      </c>
      <c r="E70" s="156">
        <v>553.5</v>
      </c>
      <c r="F70" s="157">
        <v>0</v>
      </c>
      <c r="G70" s="158">
        <v>0</v>
      </c>
      <c r="H70" s="175">
        <v>0</v>
      </c>
    </row>
    <row r="71" spans="1:8" ht="15" customHeight="1" x14ac:dyDescent="0.25">
      <c r="A71" s="160" t="s">
        <v>166</v>
      </c>
      <c r="B71" s="176" t="s">
        <v>10</v>
      </c>
      <c r="C71" s="177">
        <f>SUM(C65:C70)</f>
        <v>61321</v>
      </c>
      <c r="D71" s="177">
        <f t="shared" ref="D71:H71" si="5">SUM(D65:D70)</f>
        <v>30957.5</v>
      </c>
      <c r="E71" s="177">
        <f t="shared" si="5"/>
        <v>30363.5</v>
      </c>
      <c r="F71" s="177">
        <f t="shared" si="5"/>
        <v>0</v>
      </c>
      <c r="G71" s="177">
        <f t="shared" si="5"/>
        <v>4000</v>
      </c>
      <c r="H71" s="178">
        <f t="shared" si="5"/>
        <v>0</v>
      </c>
    </row>
    <row r="72" spans="1:8" ht="18" customHeight="1" x14ac:dyDescent="0.25">
      <c r="A72" s="462" t="s">
        <v>343</v>
      </c>
      <c r="B72" s="463"/>
      <c r="C72" s="463"/>
      <c r="D72" s="463"/>
      <c r="E72" s="463"/>
      <c r="F72" s="463"/>
      <c r="G72" s="463"/>
      <c r="H72" s="468"/>
    </row>
    <row r="73" spans="1:8" ht="15" customHeight="1" x14ac:dyDescent="0.25">
      <c r="A73" s="163" t="s">
        <v>168</v>
      </c>
      <c r="B73" s="174">
        <v>20100</v>
      </c>
      <c r="C73" s="157">
        <v>1000</v>
      </c>
      <c r="D73" s="156">
        <v>100</v>
      </c>
      <c r="E73" s="156">
        <v>900</v>
      </c>
      <c r="F73" s="157">
        <v>0</v>
      </c>
      <c r="G73" s="158">
        <v>0</v>
      </c>
      <c r="H73" s="175">
        <v>0</v>
      </c>
    </row>
    <row r="74" spans="1:8" ht="15" customHeight="1" x14ac:dyDescent="0.25">
      <c r="A74" s="163" t="s">
        <v>170</v>
      </c>
      <c r="B74" s="174">
        <v>10500</v>
      </c>
      <c r="C74" s="157">
        <v>1000</v>
      </c>
      <c r="D74" s="156">
        <v>100</v>
      </c>
      <c r="E74" s="156">
        <v>900</v>
      </c>
      <c r="F74" s="157">
        <v>0</v>
      </c>
      <c r="G74" s="158">
        <v>0</v>
      </c>
      <c r="H74" s="175">
        <v>0</v>
      </c>
    </row>
    <row r="75" spans="1:8" ht="15" customHeight="1" x14ac:dyDescent="0.25">
      <c r="A75" s="163" t="s">
        <v>171</v>
      </c>
      <c r="B75" s="174">
        <v>10499.8</v>
      </c>
      <c r="C75" s="157">
        <v>100</v>
      </c>
      <c r="D75" s="156">
        <v>10</v>
      </c>
      <c r="E75" s="156">
        <v>90</v>
      </c>
      <c r="F75" s="157">
        <v>0</v>
      </c>
      <c r="G75" s="158">
        <v>0</v>
      </c>
      <c r="H75" s="175">
        <v>0</v>
      </c>
    </row>
    <row r="76" spans="1:8" ht="15" customHeight="1" x14ac:dyDescent="0.25">
      <c r="A76" s="163" t="s">
        <v>172</v>
      </c>
      <c r="B76" s="174">
        <v>120</v>
      </c>
      <c r="C76" s="157">
        <v>120</v>
      </c>
      <c r="D76" s="156">
        <v>30</v>
      </c>
      <c r="E76" s="156">
        <v>90</v>
      </c>
      <c r="F76" s="157">
        <v>0</v>
      </c>
      <c r="G76" s="158">
        <v>90</v>
      </c>
      <c r="H76" s="175">
        <v>0</v>
      </c>
    </row>
    <row r="77" spans="1:8" ht="15" customHeight="1" x14ac:dyDescent="0.25">
      <c r="A77" s="163" t="s">
        <v>174</v>
      </c>
      <c r="B77" s="174">
        <v>10500</v>
      </c>
      <c r="C77" s="157">
        <v>1000</v>
      </c>
      <c r="D77" s="156">
        <v>100</v>
      </c>
      <c r="E77" s="156">
        <v>900</v>
      </c>
      <c r="F77" s="157">
        <v>0</v>
      </c>
      <c r="G77" s="158">
        <v>0</v>
      </c>
      <c r="H77" s="175">
        <v>0</v>
      </c>
    </row>
    <row r="78" spans="1:8" ht="15" customHeight="1" x14ac:dyDescent="0.25">
      <c r="A78" s="163" t="s">
        <v>175</v>
      </c>
      <c r="B78" s="174">
        <v>10500</v>
      </c>
      <c r="C78" s="157">
        <v>500</v>
      </c>
      <c r="D78" s="156">
        <v>50</v>
      </c>
      <c r="E78" s="156">
        <v>450</v>
      </c>
      <c r="F78" s="157">
        <v>0</v>
      </c>
      <c r="G78" s="158">
        <v>0</v>
      </c>
      <c r="H78" s="175">
        <v>0</v>
      </c>
    </row>
    <row r="79" spans="1:8" ht="15" customHeight="1" x14ac:dyDescent="0.25">
      <c r="A79" s="163" t="s">
        <v>178</v>
      </c>
      <c r="B79" s="174">
        <v>6450</v>
      </c>
      <c r="C79" s="157">
        <v>1500</v>
      </c>
      <c r="D79" s="156">
        <v>150</v>
      </c>
      <c r="E79" s="156">
        <v>1350</v>
      </c>
      <c r="F79" s="157">
        <v>0</v>
      </c>
      <c r="G79" s="158">
        <v>0</v>
      </c>
      <c r="H79" s="175">
        <v>0</v>
      </c>
    </row>
    <row r="80" spans="1:8" ht="15" customHeight="1" x14ac:dyDescent="0.25">
      <c r="A80" s="163" t="s">
        <v>180</v>
      </c>
      <c r="B80" s="174">
        <v>13500</v>
      </c>
      <c r="C80" s="157">
        <v>1000</v>
      </c>
      <c r="D80" s="156">
        <v>100</v>
      </c>
      <c r="E80" s="156">
        <v>900</v>
      </c>
      <c r="F80" s="157">
        <v>0</v>
      </c>
      <c r="G80" s="158">
        <v>0</v>
      </c>
      <c r="H80" s="175">
        <v>0</v>
      </c>
    </row>
    <row r="81" spans="1:8" ht="15" customHeight="1" x14ac:dyDescent="0.25">
      <c r="A81" s="163" t="s">
        <v>181</v>
      </c>
      <c r="B81" s="174">
        <v>10500</v>
      </c>
      <c r="C81" s="157">
        <v>1000</v>
      </c>
      <c r="D81" s="156">
        <v>100</v>
      </c>
      <c r="E81" s="156">
        <v>900</v>
      </c>
      <c r="F81" s="157">
        <v>0</v>
      </c>
      <c r="G81" s="158">
        <v>0</v>
      </c>
      <c r="H81" s="175">
        <v>0</v>
      </c>
    </row>
    <row r="82" spans="1:8" ht="15" customHeight="1" x14ac:dyDescent="0.25">
      <c r="A82" s="160" t="s">
        <v>182</v>
      </c>
      <c r="B82" s="176" t="s">
        <v>10</v>
      </c>
      <c r="C82" s="177">
        <f>SUM(C73:C81)</f>
        <v>7220</v>
      </c>
      <c r="D82" s="177">
        <f t="shared" ref="D82:H82" si="6">SUM(D73:D81)</f>
        <v>740</v>
      </c>
      <c r="E82" s="177">
        <f t="shared" si="6"/>
        <v>6480</v>
      </c>
      <c r="F82" s="177">
        <f t="shared" si="6"/>
        <v>0</v>
      </c>
      <c r="G82" s="177">
        <f t="shared" si="6"/>
        <v>90</v>
      </c>
      <c r="H82" s="178">
        <f t="shared" si="6"/>
        <v>0</v>
      </c>
    </row>
    <row r="83" spans="1:8" ht="18" customHeight="1" x14ac:dyDescent="0.25">
      <c r="A83" s="459" t="s">
        <v>86</v>
      </c>
      <c r="B83" s="460"/>
      <c r="C83" s="460"/>
      <c r="D83" s="460"/>
      <c r="E83" s="460"/>
      <c r="F83" s="460"/>
      <c r="G83" s="460"/>
      <c r="H83" s="461"/>
    </row>
    <row r="84" spans="1:8" s="168" customFormat="1" ht="15" customHeight="1" x14ac:dyDescent="0.25">
      <c r="A84" s="164" t="s">
        <v>183</v>
      </c>
      <c r="B84" s="156">
        <v>20000</v>
      </c>
      <c r="C84" s="157">
        <v>1000</v>
      </c>
      <c r="D84" s="156">
        <v>100</v>
      </c>
      <c r="E84" s="156">
        <v>900</v>
      </c>
      <c r="F84" s="157">
        <v>0</v>
      </c>
      <c r="G84" s="158">
        <v>0</v>
      </c>
      <c r="H84" s="159">
        <v>0</v>
      </c>
    </row>
    <row r="85" spans="1:8" s="168" customFormat="1" ht="24" customHeight="1" x14ac:dyDescent="0.25">
      <c r="A85" s="164" t="s">
        <v>184</v>
      </c>
      <c r="B85" s="156">
        <v>38000</v>
      </c>
      <c r="C85" s="157">
        <v>12000</v>
      </c>
      <c r="D85" s="156">
        <v>3020</v>
      </c>
      <c r="E85" s="156">
        <v>8980</v>
      </c>
      <c r="F85" s="157">
        <v>8855</v>
      </c>
      <c r="G85" s="158">
        <v>0</v>
      </c>
      <c r="H85" s="159">
        <v>0</v>
      </c>
    </row>
    <row r="86" spans="1:8" s="168" customFormat="1" ht="15" customHeight="1" x14ac:dyDescent="0.25">
      <c r="A86" s="164" t="s">
        <v>185</v>
      </c>
      <c r="B86" s="156">
        <v>18807</v>
      </c>
      <c r="C86" s="157">
        <v>4000</v>
      </c>
      <c r="D86" s="156">
        <v>748</v>
      </c>
      <c r="E86" s="156">
        <v>3252</v>
      </c>
      <c r="F86" s="157">
        <v>3102</v>
      </c>
      <c r="G86" s="158">
        <v>0</v>
      </c>
      <c r="H86" s="159">
        <v>0</v>
      </c>
    </row>
    <row r="87" spans="1:8" s="168" customFormat="1" ht="24" customHeight="1" x14ac:dyDescent="0.25">
      <c r="A87" s="164" t="s">
        <v>186</v>
      </c>
      <c r="B87" s="156">
        <v>3900</v>
      </c>
      <c r="C87" s="157">
        <v>3650</v>
      </c>
      <c r="D87" s="156">
        <v>3086</v>
      </c>
      <c r="E87" s="156">
        <v>564</v>
      </c>
      <c r="F87" s="157">
        <v>0</v>
      </c>
      <c r="G87" s="158">
        <v>664</v>
      </c>
      <c r="H87" s="159">
        <v>0</v>
      </c>
    </row>
    <row r="88" spans="1:8" s="168" customFormat="1" ht="24" customHeight="1" x14ac:dyDescent="0.25">
      <c r="A88" s="164" t="s">
        <v>187</v>
      </c>
      <c r="B88" s="156">
        <v>29947</v>
      </c>
      <c r="C88" s="157">
        <v>9000</v>
      </c>
      <c r="D88" s="156">
        <v>1562</v>
      </c>
      <c r="E88" s="156">
        <v>7438</v>
      </c>
      <c r="F88" s="157">
        <v>7288</v>
      </c>
      <c r="G88" s="158">
        <v>0</v>
      </c>
      <c r="H88" s="159">
        <v>0</v>
      </c>
    </row>
    <row r="89" spans="1:8" s="168" customFormat="1" ht="24" customHeight="1" x14ac:dyDescent="0.25">
      <c r="A89" s="164" t="s">
        <v>188</v>
      </c>
      <c r="B89" s="156">
        <v>20000</v>
      </c>
      <c r="C89" s="157">
        <v>3000</v>
      </c>
      <c r="D89" s="156">
        <v>300</v>
      </c>
      <c r="E89" s="156">
        <v>2700</v>
      </c>
      <c r="F89" s="157">
        <v>0</v>
      </c>
      <c r="G89" s="158">
        <v>0</v>
      </c>
      <c r="H89" s="159">
        <v>0</v>
      </c>
    </row>
    <row r="90" spans="1:8" s="168" customFormat="1" ht="15" customHeight="1" x14ac:dyDescent="0.25">
      <c r="A90" s="164" t="s">
        <v>189</v>
      </c>
      <c r="B90" s="156">
        <v>9414</v>
      </c>
      <c r="C90" s="157">
        <v>8842</v>
      </c>
      <c r="D90" s="156">
        <v>6759</v>
      </c>
      <c r="E90" s="156">
        <v>2083</v>
      </c>
      <c r="F90" s="157">
        <v>1520</v>
      </c>
      <c r="G90" s="158">
        <v>2262</v>
      </c>
      <c r="H90" s="159">
        <v>1520</v>
      </c>
    </row>
    <row r="91" spans="1:8" s="168" customFormat="1" ht="15" customHeight="1" x14ac:dyDescent="0.25">
      <c r="A91" s="164" t="s">
        <v>190</v>
      </c>
      <c r="B91" s="156">
        <v>9247.7099999999991</v>
      </c>
      <c r="C91" s="157">
        <v>389</v>
      </c>
      <c r="D91" s="156">
        <v>389</v>
      </c>
      <c r="E91" s="156">
        <v>0</v>
      </c>
      <c r="F91" s="157">
        <v>0</v>
      </c>
      <c r="G91" s="158">
        <v>0</v>
      </c>
      <c r="H91" s="159">
        <v>0</v>
      </c>
    </row>
    <row r="92" spans="1:8" s="168" customFormat="1" ht="15" customHeight="1" x14ac:dyDescent="0.25">
      <c r="A92" s="164" t="s">
        <v>191</v>
      </c>
      <c r="B92" s="156">
        <v>4000</v>
      </c>
      <c r="C92" s="157">
        <v>4000</v>
      </c>
      <c r="D92" s="156">
        <v>400</v>
      </c>
      <c r="E92" s="156">
        <v>3600</v>
      </c>
      <c r="F92" s="157">
        <v>0</v>
      </c>
      <c r="G92" s="158">
        <v>0</v>
      </c>
      <c r="H92" s="159">
        <v>0</v>
      </c>
    </row>
    <row r="93" spans="1:8" s="168" customFormat="1" ht="15" customHeight="1" x14ac:dyDescent="0.25">
      <c r="A93" s="164" t="s">
        <v>192</v>
      </c>
      <c r="B93" s="156">
        <v>3551.59</v>
      </c>
      <c r="C93" s="157">
        <v>100</v>
      </c>
      <c r="D93" s="156">
        <v>100</v>
      </c>
      <c r="E93" s="156"/>
      <c r="F93" s="157">
        <v>0</v>
      </c>
      <c r="G93" s="158">
        <v>500</v>
      </c>
      <c r="H93" s="159">
        <v>0</v>
      </c>
    </row>
    <row r="94" spans="1:8" s="168" customFormat="1" ht="24" customHeight="1" x14ac:dyDescent="0.25">
      <c r="A94" s="163" t="s">
        <v>193</v>
      </c>
      <c r="B94" s="156">
        <v>30000</v>
      </c>
      <c r="C94" s="157">
        <v>510</v>
      </c>
      <c r="D94" s="156">
        <v>51</v>
      </c>
      <c r="E94" s="156">
        <v>459</v>
      </c>
      <c r="F94" s="157">
        <v>0</v>
      </c>
      <c r="G94" s="158">
        <v>0</v>
      </c>
      <c r="H94" s="159">
        <v>0</v>
      </c>
    </row>
    <row r="95" spans="1:8" s="168" customFormat="1" ht="15" customHeight="1" x14ac:dyDescent="0.25">
      <c r="A95" s="164" t="s">
        <v>344</v>
      </c>
      <c r="B95" s="156">
        <v>3896</v>
      </c>
      <c r="C95" s="157">
        <v>3896</v>
      </c>
      <c r="D95" s="156">
        <v>390</v>
      </c>
      <c r="E95" s="156">
        <v>3506</v>
      </c>
      <c r="F95" s="157">
        <v>0</v>
      </c>
      <c r="G95" s="158">
        <v>0</v>
      </c>
      <c r="H95" s="159">
        <v>0</v>
      </c>
    </row>
    <row r="96" spans="1:8" s="168" customFormat="1" ht="24" customHeight="1" x14ac:dyDescent="0.25">
      <c r="A96" s="164" t="s">
        <v>194</v>
      </c>
      <c r="B96" s="156">
        <v>2450</v>
      </c>
      <c r="C96" s="157">
        <v>425</v>
      </c>
      <c r="D96" s="156">
        <v>425</v>
      </c>
      <c r="E96" s="156">
        <v>0</v>
      </c>
      <c r="F96" s="157">
        <v>0</v>
      </c>
      <c r="G96" s="158">
        <v>0</v>
      </c>
      <c r="H96" s="159">
        <v>0</v>
      </c>
    </row>
    <row r="97" spans="1:11" s="168" customFormat="1" ht="15" customHeight="1" x14ac:dyDescent="0.25">
      <c r="A97" s="163" t="s">
        <v>195</v>
      </c>
      <c r="B97" s="156">
        <v>6452.47</v>
      </c>
      <c r="C97" s="157">
        <v>159</v>
      </c>
      <c r="D97" s="156">
        <v>159</v>
      </c>
      <c r="E97" s="156">
        <v>0</v>
      </c>
      <c r="F97" s="157">
        <v>0</v>
      </c>
      <c r="G97" s="158">
        <v>0</v>
      </c>
      <c r="H97" s="159">
        <v>0</v>
      </c>
    </row>
    <row r="98" spans="1:11" s="168" customFormat="1" ht="15" customHeight="1" x14ac:dyDescent="0.25">
      <c r="A98" s="163" t="s">
        <v>196</v>
      </c>
      <c r="B98" s="156">
        <v>6692.5300000000007</v>
      </c>
      <c r="C98" s="157">
        <v>147</v>
      </c>
      <c r="D98" s="156">
        <v>147</v>
      </c>
      <c r="E98" s="156">
        <v>0</v>
      </c>
      <c r="F98" s="157">
        <v>0</v>
      </c>
      <c r="G98" s="158">
        <v>0</v>
      </c>
      <c r="H98" s="159">
        <v>0</v>
      </c>
    </row>
    <row r="99" spans="1:11" s="168" customFormat="1" ht="15" customHeight="1" x14ac:dyDescent="0.25">
      <c r="A99" s="164" t="s">
        <v>197</v>
      </c>
      <c r="B99" s="156">
        <v>3671.34</v>
      </c>
      <c r="C99" s="157">
        <v>200</v>
      </c>
      <c r="D99" s="156">
        <v>200</v>
      </c>
      <c r="E99" s="156">
        <v>0</v>
      </c>
      <c r="F99" s="157">
        <v>0</v>
      </c>
      <c r="G99" s="158">
        <v>0</v>
      </c>
      <c r="H99" s="159">
        <v>0</v>
      </c>
    </row>
    <row r="100" spans="1:11" s="168" customFormat="1" ht="15" customHeight="1" x14ac:dyDescent="0.25">
      <c r="A100" s="164" t="s">
        <v>198</v>
      </c>
      <c r="B100" s="156">
        <v>55756.7</v>
      </c>
      <c r="C100" s="157">
        <v>915</v>
      </c>
      <c r="D100" s="156">
        <v>915</v>
      </c>
      <c r="E100" s="156">
        <v>0</v>
      </c>
      <c r="F100" s="157">
        <v>0</v>
      </c>
      <c r="G100" s="158">
        <v>0</v>
      </c>
      <c r="H100" s="159">
        <v>0</v>
      </c>
    </row>
    <row r="101" spans="1:11" s="168" customFormat="1" ht="15" customHeight="1" x14ac:dyDescent="0.25">
      <c r="A101" s="164" t="s">
        <v>199</v>
      </c>
      <c r="B101" s="156">
        <v>148566</v>
      </c>
      <c r="C101" s="157">
        <v>8815</v>
      </c>
      <c r="D101" s="156">
        <v>5315</v>
      </c>
      <c r="E101" s="156">
        <v>3500</v>
      </c>
      <c r="F101" s="157">
        <v>0</v>
      </c>
      <c r="G101" s="158">
        <v>3732</v>
      </c>
      <c r="H101" s="159">
        <v>0</v>
      </c>
    </row>
    <row r="102" spans="1:11" s="168" customFormat="1" ht="15" customHeight="1" x14ac:dyDescent="0.25">
      <c r="A102" s="164" t="s">
        <v>200</v>
      </c>
      <c r="B102" s="156">
        <v>82000</v>
      </c>
      <c r="C102" s="157">
        <v>1700</v>
      </c>
      <c r="D102" s="156">
        <v>1700</v>
      </c>
      <c r="E102" s="156">
        <v>0</v>
      </c>
      <c r="F102" s="157">
        <v>0</v>
      </c>
      <c r="G102" s="158">
        <v>0</v>
      </c>
      <c r="H102" s="159">
        <v>0</v>
      </c>
    </row>
    <row r="103" spans="1:11" s="168" customFormat="1" ht="15" customHeight="1" x14ac:dyDescent="0.25">
      <c r="A103" s="164" t="s">
        <v>201</v>
      </c>
      <c r="B103" s="156">
        <v>8162.31</v>
      </c>
      <c r="C103" s="157">
        <v>468</v>
      </c>
      <c r="D103" s="156">
        <v>368</v>
      </c>
      <c r="E103" s="156">
        <v>100</v>
      </c>
      <c r="F103" s="157">
        <v>0</v>
      </c>
      <c r="G103" s="158">
        <v>0</v>
      </c>
      <c r="H103" s="159">
        <v>0</v>
      </c>
    </row>
    <row r="104" spans="1:11" s="168" customFormat="1" ht="24" customHeight="1" x14ac:dyDescent="0.25">
      <c r="A104" s="164" t="s">
        <v>202</v>
      </c>
      <c r="B104" s="156">
        <v>3527.6099999999997</v>
      </c>
      <c r="C104" s="157">
        <v>105</v>
      </c>
      <c r="D104" s="156">
        <v>105</v>
      </c>
      <c r="E104" s="156">
        <v>0</v>
      </c>
      <c r="F104" s="157">
        <v>0</v>
      </c>
      <c r="G104" s="158">
        <v>0</v>
      </c>
      <c r="H104" s="159">
        <v>0</v>
      </c>
    </row>
    <row r="105" spans="1:11" s="168" customFormat="1" ht="15" customHeight="1" x14ac:dyDescent="0.25">
      <c r="A105" s="163" t="s">
        <v>203</v>
      </c>
      <c r="B105" s="156">
        <v>10262.870000000001</v>
      </c>
      <c r="C105" s="157">
        <v>725</v>
      </c>
      <c r="D105" s="156">
        <v>225</v>
      </c>
      <c r="E105" s="156">
        <v>500</v>
      </c>
      <c r="F105" s="157">
        <v>0</v>
      </c>
      <c r="G105" s="158">
        <v>0</v>
      </c>
      <c r="H105" s="159">
        <v>0</v>
      </c>
    </row>
    <row r="106" spans="1:11" s="168" customFormat="1" ht="15" customHeight="1" x14ac:dyDescent="0.25">
      <c r="A106" s="163" t="s">
        <v>345</v>
      </c>
      <c r="B106" s="156">
        <v>22200</v>
      </c>
      <c r="C106" s="157">
        <v>25</v>
      </c>
      <c r="D106" s="156">
        <v>25</v>
      </c>
      <c r="E106" s="156">
        <v>0</v>
      </c>
      <c r="F106" s="157">
        <v>0</v>
      </c>
      <c r="G106" s="158">
        <v>0</v>
      </c>
      <c r="H106" s="159">
        <v>0</v>
      </c>
    </row>
    <row r="107" spans="1:11" s="168" customFormat="1" ht="15" customHeight="1" x14ac:dyDescent="0.25">
      <c r="A107" s="164" t="s">
        <v>346</v>
      </c>
      <c r="B107" s="156">
        <v>7995.59</v>
      </c>
      <c r="C107" s="157">
        <v>0</v>
      </c>
      <c r="D107" s="156">
        <v>0</v>
      </c>
      <c r="E107" s="156">
        <v>0</v>
      </c>
      <c r="F107" s="157">
        <v>0</v>
      </c>
      <c r="G107" s="158">
        <v>1317</v>
      </c>
      <c r="H107" s="159">
        <v>0</v>
      </c>
    </row>
    <row r="108" spans="1:11" ht="15" customHeight="1" x14ac:dyDescent="0.25">
      <c r="A108" s="160" t="s">
        <v>87</v>
      </c>
      <c r="B108" s="161" t="s">
        <v>10</v>
      </c>
      <c r="C108" s="14">
        <f>SUM(C84:C107)</f>
        <v>64071</v>
      </c>
      <c r="D108" s="14">
        <f t="shared" ref="D108:H108" si="7">SUM(D84:D107)</f>
        <v>26489</v>
      </c>
      <c r="E108" s="14">
        <f t="shared" si="7"/>
        <v>37582</v>
      </c>
      <c r="F108" s="14">
        <f t="shared" si="7"/>
        <v>20765</v>
      </c>
      <c r="G108" s="14">
        <f t="shared" si="7"/>
        <v>8475</v>
      </c>
      <c r="H108" s="162">
        <f t="shared" si="7"/>
        <v>1520</v>
      </c>
    </row>
    <row r="109" spans="1:11" ht="18" customHeight="1" x14ac:dyDescent="0.25">
      <c r="A109" s="459" t="s">
        <v>88</v>
      </c>
      <c r="B109" s="460"/>
      <c r="C109" s="460"/>
      <c r="D109" s="460"/>
      <c r="E109" s="460"/>
      <c r="F109" s="460"/>
      <c r="G109" s="460"/>
      <c r="H109" s="461"/>
    </row>
    <row r="110" spans="1:11" s="168" customFormat="1" ht="24" customHeight="1" x14ac:dyDescent="0.25">
      <c r="A110" s="164" t="s">
        <v>204</v>
      </c>
      <c r="B110" s="156">
        <v>50000.39</v>
      </c>
      <c r="C110" s="157">
        <v>47924</v>
      </c>
      <c r="D110" s="156">
        <v>5320</v>
      </c>
      <c r="E110" s="156">
        <v>42604</v>
      </c>
      <c r="F110" s="157">
        <v>41842</v>
      </c>
      <c r="G110" s="158">
        <v>0</v>
      </c>
      <c r="H110" s="159">
        <v>0</v>
      </c>
      <c r="J110" s="169"/>
      <c r="K110" s="169"/>
    </row>
    <row r="111" spans="1:11" s="168" customFormat="1" ht="15" customHeight="1" x14ac:dyDescent="0.25">
      <c r="A111" s="164" t="s">
        <v>205</v>
      </c>
      <c r="B111" s="156">
        <v>37800.21</v>
      </c>
      <c r="C111" s="157">
        <v>36706</v>
      </c>
      <c r="D111" s="156">
        <v>26721</v>
      </c>
      <c r="E111" s="156">
        <v>9985</v>
      </c>
      <c r="F111" s="157">
        <v>9785</v>
      </c>
      <c r="G111" s="158">
        <v>0</v>
      </c>
      <c r="H111" s="159">
        <v>0</v>
      </c>
      <c r="J111" s="169"/>
      <c r="K111" s="169"/>
    </row>
    <row r="112" spans="1:11" s="168" customFormat="1" ht="15" customHeight="1" x14ac:dyDescent="0.25">
      <c r="A112" s="164" t="s">
        <v>207</v>
      </c>
      <c r="B112" s="156">
        <v>9599.85</v>
      </c>
      <c r="C112" s="157">
        <v>8571</v>
      </c>
      <c r="D112" s="156">
        <v>6561</v>
      </c>
      <c r="E112" s="156">
        <v>2010</v>
      </c>
      <c r="F112" s="157">
        <v>1910</v>
      </c>
      <c r="G112" s="158">
        <v>2213</v>
      </c>
      <c r="H112" s="159">
        <v>1910</v>
      </c>
      <c r="J112" s="169"/>
      <c r="K112" s="169"/>
    </row>
    <row r="113" spans="1:11" s="168" customFormat="1" ht="15" customHeight="1" x14ac:dyDescent="0.25">
      <c r="A113" s="164" t="s">
        <v>209</v>
      </c>
      <c r="B113" s="156">
        <v>9099.33</v>
      </c>
      <c r="C113" s="157">
        <v>8289</v>
      </c>
      <c r="D113" s="156">
        <v>6903</v>
      </c>
      <c r="E113" s="156">
        <v>1386</v>
      </c>
      <c r="F113" s="157">
        <v>1236</v>
      </c>
      <c r="G113" s="158">
        <v>1565</v>
      </c>
      <c r="H113" s="159">
        <v>1236</v>
      </c>
      <c r="J113" s="169"/>
      <c r="K113" s="169"/>
    </row>
    <row r="114" spans="1:11" s="168" customFormat="1" ht="15" customHeight="1" x14ac:dyDescent="0.25">
      <c r="A114" s="164" t="s">
        <v>211</v>
      </c>
      <c r="B114" s="156">
        <v>24700.3</v>
      </c>
      <c r="C114" s="157">
        <v>23527</v>
      </c>
      <c r="D114" s="156">
        <v>19057</v>
      </c>
      <c r="E114" s="156">
        <v>4470</v>
      </c>
      <c r="F114" s="157">
        <v>4320</v>
      </c>
      <c r="G114" s="158">
        <v>4653</v>
      </c>
      <c r="H114" s="159">
        <v>4320</v>
      </c>
      <c r="J114" s="169"/>
      <c r="K114" s="169"/>
    </row>
    <row r="115" spans="1:11" s="168" customFormat="1" ht="15" customHeight="1" x14ac:dyDescent="0.25">
      <c r="A115" s="164" t="s">
        <v>213</v>
      </c>
      <c r="B115" s="156">
        <v>13699.48</v>
      </c>
      <c r="C115" s="157">
        <v>12926</v>
      </c>
      <c r="D115" s="156">
        <v>10404</v>
      </c>
      <c r="E115" s="156">
        <v>2522</v>
      </c>
      <c r="F115" s="157">
        <v>2322</v>
      </c>
      <c r="G115" s="158">
        <v>2830</v>
      </c>
      <c r="H115" s="159">
        <v>2322</v>
      </c>
      <c r="J115" s="169"/>
      <c r="K115" s="169"/>
    </row>
    <row r="116" spans="1:11" s="168" customFormat="1" ht="24" customHeight="1" x14ac:dyDescent="0.25">
      <c r="A116" s="164" t="s">
        <v>215</v>
      </c>
      <c r="B116" s="156">
        <v>21299.65</v>
      </c>
      <c r="C116" s="157">
        <v>20411</v>
      </c>
      <c r="D116" s="156">
        <v>16016</v>
      </c>
      <c r="E116" s="156">
        <v>4395</v>
      </c>
      <c r="F116" s="157">
        <v>4295</v>
      </c>
      <c r="G116" s="158">
        <v>4640</v>
      </c>
      <c r="H116" s="159">
        <v>4295</v>
      </c>
      <c r="J116" s="169"/>
      <c r="K116" s="169"/>
    </row>
    <row r="117" spans="1:11" s="168" customFormat="1" ht="15" customHeight="1" x14ac:dyDescent="0.25">
      <c r="A117" s="164" t="s">
        <v>217</v>
      </c>
      <c r="B117" s="156">
        <v>9000.4</v>
      </c>
      <c r="C117" s="157">
        <v>8136</v>
      </c>
      <c r="D117" s="156">
        <v>5677</v>
      </c>
      <c r="E117" s="156">
        <v>2459</v>
      </c>
      <c r="F117" s="157">
        <v>2359</v>
      </c>
      <c r="G117" s="158">
        <v>2751</v>
      </c>
      <c r="H117" s="159">
        <v>2359</v>
      </c>
      <c r="J117" s="169"/>
      <c r="K117" s="169"/>
    </row>
    <row r="118" spans="1:11" s="168" customFormat="1" ht="15" customHeight="1" x14ac:dyDescent="0.25">
      <c r="A118" s="164" t="s">
        <v>219</v>
      </c>
      <c r="B118" s="156">
        <v>43999.48</v>
      </c>
      <c r="C118" s="157">
        <v>43044</v>
      </c>
      <c r="D118" s="156">
        <v>33106</v>
      </c>
      <c r="E118" s="156">
        <v>9938</v>
      </c>
      <c r="F118" s="157">
        <v>9788</v>
      </c>
      <c r="G118" s="158">
        <v>0</v>
      </c>
      <c r="H118" s="159"/>
      <c r="J118" s="169"/>
      <c r="K118" s="169"/>
    </row>
    <row r="119" spans="1:11" s="168" customFormat="1" ht="15" customHeight="1" x14ac:dyDescent="0.25">
      <c r="A119" s="164" t="s">
        <v>221</v>
      </c>
      <c r="B119" s="156">
        <v>6799.07</v>
      </c>
      <c r="C119" s="157">
        <v>6475</v>
      </c>
      <c r="D119" s="156">
        <v>5093</v>
      </c>
      <c r="E119" s="156">
        <v>1382</v>
      </c>
      <c r="F119" s="157">
        <v>1232</v>
      </c>
      <c r="G119" s="158">
        <v>1510</v>
      </c>
      <c r="H119" s="159">
        <v>1232</v>
      </c>
      <c r="J119" s="169"/>
      <c r="K119" s="169"/>
    </row>
    <row r="120" spans="1:11" s="168" customFormat="1" ht="15" customHeight="1" x14ac:dyDescent="0.25">
      <c r="A120" s="164" t="s">
        <v>223</v>
      </c>
      <c r="B120" s="156">
        <v>15700.08</v>
      </c>
      <c r="C120" s="157">
        <v>14966</v>
      </c>
      <c r="D120" s="156">
        <v>11106</v>
      </c>
      <c r="E120" s="156">
        <v>3860</v>
      </c>
      <c r="F120" s="157">
        <v>3710</v>
      </c>
      <c r="G120" s="158">
        <v>4055</v>
      </c>
      <c r="H120" s="159">
        <v>3710</v>
      </c>
      <c r="J120" s="169"/>
      <c r="K120" s="169"/>
    </row>
    <row r="121" spans="1:11" s="168" customFormat="1" ht="15" customHeight="1" x14ac:dyDescent="0.25">
      <c r="A121" s="164" t="s">
        <v>225</v>
      </c>
      <c r="B121" s="156">
        <v>6699.45</v>
      </c>
      <c r="C121" s="157">
        <v>6379</v>
      </c>
      <c r="D121" s="156">
        <v>4119</v>
      </c>
      <c r="E121" s="156">
        <v>2260</v>
      </c>
      <c r="F121" s="157">
        <v>2060</v>
      </c>
      <c r="G121" s="158">
        <v>2388</v>
      </c>
      <c r="H121" s="159">
        <v>2060</v>
      </c>
      <c r="J121" s="169"/>
      <c r="K121" s="169"/>
    </row>
    <row r="122" spans="1:11" s="168" customFormat="1" ht="15" customHeight="1" x14ac:dyDescent="0.25">
      <c r="A122" s="164" t="s">
        <v>227</v>
      </c>
      <c r="B122" s="156">
        <v>20000</v>
      </c>
      <c r="C122" s="165">
        <v>300</v>
      </c>
      <c r="D122" s="156">
        <v>30</v>
      </c>
      <c r="E122" s="156">
        <v>270</v>
      </c>
      <c r="F122" s="157">
        <v>0</v>
      </c>
      <c r="G122" s="158">
        <v>0</v>
      </c>
      <c r="H122" s="159">
        <v>0</v>
      </c>
    </row>
    <row r="123" spans="1:11" s="168" customFormat="1" ht="15" customHeight="1" x14ac:dyDescent="0.25">
      <c r="A123" s="164" t="s">
        <v>283</v>
      </c>
      <c r="B123" s="156">
        <v>100</v>
      </c>
      <c r="C123" s="157">
        <v>50</v>
      </c>
      <c r="D123" s="156">
        <v>50</v>
      </c>
      <c r="E123" s="156"/>
      <c r="F123" s="157">
        <v>0</v>
      </c>
      <c r="G123" s="158">
        <v>0</v>
      </c>
      <c r="H123" s="159">
        <v>0</v>
      </c>
    </row>
    <row r="124" spans="1:11" s="168" customFormat="1" ht="15" customHeight="1" x14ac:dyDescent="0.25">
      <c r="A124" s="164" t="s">
        <v>228</v>
      </c>
      <c r="B124" s="156">
        <v>26807.42</v>
      </c>
      <c r="C124" s="157">
        <v>18750</v>
      </c>
      <c r="D124" s="156">
        <v>2320</v>
      </c>
      <c r="E124" s="174">
        <v>16430</v>
      </c>
      <c r="F124" s="157">
        <v>16000</v>
      </c>
      <c r="G124" s="158">
        <v>0</v>
      </c>
      <c r="H124" s="159">
        <v>0</v>
      </c>
    </row>
    <row r="125" spans="1:11" s="168" customFormat="1" ht="15" customHeight="1" x14ac:dyDescent="0.25">
      <c r="A125" s="164" t="s">
        <v>229</v>
      </c>
      <c r="B125" s="156">
        <v>10173.52</v>
      </c>
      <c r="C125" s="165">
        <v>293</v>
      </c>
      <c r="D125" s="156">
        <v>293</v>
      </c>
      <c r="E125" s="156"/>
      <c r="F125" s="157">
        <v>0</v>
      </c>
      <c r="G125" s="158">
        <v>0</v>
      </c>
      <c r="H125" s="159">
        <v>0</v>
      </c>
    </row>
    <row r="126" spans="1:11" s="168" customFormat="1" ht="15" customHeight="1" x14ac:dyDescent="0.25">
      <c r="A126" s="164" t="s">
        <v>231</v>
      </c>
      <c r="B126" s="156">
        <v>10000</v>
      </c>
      <c r="C126" s="157">
        <v>9300</v>
      </c>
      <c r="D126" s="156">
        <v>930</v>
      </c>
      <c r="E126" s="156">
        <v>8370</v>
      </c>
      <c r="F126" s="157"/>
      <c r="G126" s="158">
        <v>0</v>
      </c>
      <c r="H126" s="159">
        <v>0</v>
      </c>
    </row>
    <row r="127" spans="1:11" s="168" customFormat="1" ht="15" customHeight="1" x14ac:dyDescent="0.25">
      <c r="A127" s="164" t="s">
        <v>232</v>
      </c>
      <c r="B127" s="156">
        <v>32000</v>
      </c>
      <c r="C127" s="165">
        <v>31500</v>
      </c>
      <c r="D127" s="156">
        <v>3150</v>
      </c>
      <c r="E127" s="156">
        <v>28350</v>
      </c>
      <c r="F127" s="157">
        <v>0</v>
      </c>
      <c r="G127" s="158">
        <v>0</v>
      </c>
      <c r="H127" s="159">
        <v>0</v>
      </c>
    </row>
    <row r="128" spans="1:11" s="168" customFormat="1" ht="15" customHeight="1" x14ac:dyDescent="0.25">
      <c r="A128" s="164" t="s">
        <v>233</v>
      </c>
      <c r="B128" s="156">
        <v>8000.29</v>
      </c>
      <c r="C128" s="165">
        <v>4896</v>
      </c>
      <c r="D128" s="156">
        <v>486</v>
      </c>
      <c r="E128" s="156">
        <v>4410</v>
      </c>
      <c r="F128" s="157">
        <v>2400</v>
      </c>
      <c r="G128" s="158">
        <v>0</v>
      </c>
      <c r="H128" s="159">
        <v>0</v>
      </c>
    </row>
    <row r="129" spans="1:8" s="168" customFormat="1" ht="15" customHeight="1" x14ac:dyDescent="0.25">
      <c r="A129" s="164" t="s">
        <v>234</v>
      </c>
      <c r="B129" s="156">
        <v>11199.99</v>
      </c>
      <c r="C129" s="165">
        <v>6100</v>
      </c>
      <c r="D129" s="156">
        <v>675</v>
      </c>
      <c r="E129" s="156">
        <v>5425</v>
      </c>
      <c r="F129" s="157">
        <v>4000</v>
      </c>
      <c r="G129" s="158">
        <v>0</v>
      </c>
      <c r="H129" s="159">
        <v>0</v>
      </c>
    </row>
    <row r="130" spans="1:8" s="168" customFormat="1" ht="15" customHeight="1" x14ac:dyDescent="0.25">
      <c r="A130" s="164" t="s">
        <v>235</v>
      </c>
      <c r="B130" s="156">
        <v>23397.42</v>
      </c>
      <c r="C130" s="165">
        <v>18840</v>
      </c>
      <c r="D130" s="156">
        <v>2076</v>
      </c>
      <c r="E130" s="156">
        <v>16764</v>
      </c>
      <c r="F130" s="157">
        <v>11770</v>
      </c>
      <c r="G130" s="158">
        <v>0</v>
      </c>
      <c r="H130" s="159">
        <v>0</v>
      </c>
    </row>
    <row r="131" spans="1:8" s="168" customFormat="1" ht="15" customHeight="1" x14ac:dyDescent="0.25">
      <c r="A131" s="164" t="s">
        <v>236</v>
      </c>
      <c r="B131" s="156">
        <v>13882</v>
      </c>
      <c r="C131" s="165">
        <v>3955</v>
      </c>
      <c r="D131" s="156">
        <v>2955</v>
      </c>
      <c r="E131" s="156">
        <v>1000</v>
      </c>
      <c r="F131" s="157">
        <v>0</v>
      </c>
      <c r="G131" s="158">
        <v>0</v>
      </c>
      <c r="H131" s="159">
        <v>0</v>
      </c>
    </row>
    <row r="132" spans="1:8" s="168" customFormat="1" ht="15" customHeight="1" x14ac:dyDescent="0.25">
      <c r="A132" s="164" t="s">
        <v>237</v>
      </c>
      <c r="B132" s="156">
        <v>25000</v>
      </c>
      <c r="C132" s="165">
        <v>24800</v>
      </c>
      <c r="D132" s="156">
        <v>2480</v>
      </c>
      <c r="E132" s="156">
        <v>22320</v>
      </c>
      <c r="F132" s="157">
        <v>22000</v>
      </c>
      <c r="G132" s="158">
        <v>0</v>
      </c>
      <c r="H132" s="159">
        <v>0</v>
      </c>
    </row>
    <row r="133" spans="1:8" s="168" customFormat="1" ht="15" customHeight="1" x14ac:dyDescent="0.25">
      <c r="A133" s="164" t="s">
        <v>238</v>
      </c>
      <c r="B133" s="156">
        <v>17841.02</v>
      </c>
      <c r="C133" s="165">
        <v>710</v>
      </c>
      <c r="D133" s="156">
        <v>710</v>
      </c>
      <c r="E133" s="156"/>
      <c r="F133" s="157">
        <v>0</v>
      </c>
      <c r="G133" s="158">
        <v>0</v>
      </c>
      <c r="H133" s="159">
        <v>0</v>
      </c>
    </row>
    <row r="134" spans="1:8" s="168" customFormat="1" ht="15" customHeight="1" x14ac:dyDescent="0.25">
      <c r="A134" s="164" t="s">
        <v>240</v>
      </c>
      <c r="B134" s="156">
        <v>25000</v>
      </c>
      <c r="C134" s="165">
        <v>24800</v>
      </c>
      <c r="D134" s="156">
        <v>2480</v>
      </c>
      <c r="E134" s="156">
        <v>22320</v>
      </c>
      <c r="F134" s="157">
        <v>0</v>
      </c>
      <c r="G134" s="158">
        <v>0</v>
      </c>
      <c r="H134" s="159">
        <v>0</v>
      </c>
    </row>
    <row r="135" spans="1:8" s="168" customFormat="1" ht="15" customHeight="1" x14ac:dyDescent="0.25">
      <c r="A135" s="164" t="s">
        <v>241</v>
      </c>
      <c r="B135" s="156">
        <v>29800</v>
      </c>
      <c r="C135" s="165">
        <v>300</v>
      </c>
      <c r="D135" s="156">
        <v>30</v>
      </c>
      <c r="E135" s="156">
        <v>270</v>
      </c>
      <c r="F135" s="157">
        <v>0</v>
      </c>
      <c r="G135" s="158">
        <v>0</v>
      </c>
      <c r="H135" s="159">
        <v>0</v>
      </c>
    </row>
    <row r="136" spans="1:8" s="168" customFormat="1" ht="15" customHeight="1" x14ac:dyDescent="0.25">
      <c r="A136" s="164" t="s">
        <v>242</v>
      </c>
      <c r="B136" s="156">
        <v>24197.42</v>
      </c>
      <c r="C136" s="165">
        <v>22840</v>
      </c>
      <c r="D136" s="156">
        <v>2328</v>
      </c>
      <c r="E136" s="156">
        <v>20512</v>
      </c>
      <c r="F136" s="157">
        <v>0</v>
      </c>
      <c r="G136" s="158">
        <v>0</v>
      </c>
      <c r="H136" s="159">
        <v>0</v>
      </c>
    </row>
    <row r="137" spans="1:8" s="168" customFormat="1" ht="24" customHeight="1" x14ac:dyDescent="0.25">
      <c r="A137" s="164" t="s">
        <v>243</v>
      </c>
      <c r="B137" s="156">
        <v>2700</v>
      </c>
      <c r="C137" s="165">
        <v>2700</v>
      </c>
      <c r="D137" s="156">
        <v>200</v>
      </c>
      <c r="E137" s="156">
        <v>2500</v>
      </c>
      <c r="F137" s="157">
        <v>0</v>
      </c>
      <c r="G137" s="158">
        <v>2500</v>
      </c>
      <c r="H137" s="159">
        <v>0</v>
      </c>
    </row>
    <row r="138" spans="1:8" s="168" customFormat="1" ht="15" customHeight="1" x14ac:dyDescent="0.25">
      <c r="A138" s="164" t="s">
        <v>244</v>
      </c>
      <c r="B138" s="156">
        <v>2850</v>
      </c>
      <c r="C138" s="165">
        <v>500</v>
      </c>
      <c r="D138" s="156">
        <v>50</v>
      </c>
      <c r="E138" s="156">
        <v>450</v>
      </c>
      <c r="F138" s="157">
        <v>0</v>
      </c>
      <c r="G138" s="158">
        <v>0</v>
      </c>
      <c r="H138" s="159">
        <v>0</v>
      </c>
    </row>
    <row r="139" spans="1:8" s="168" customFormat="1" ht="15" customHeight="1" x14ac:dyDescent="0.25">
      <c r="A139" s="164" t="s">
        <v>245</v>
      </c>
      <c r="B139" s="156">
        <v>27500</v>
      </c>
      <c r="C139" s="165">
        <v>27300</v>
      </c>
      <c r="D139" s="156">
        <v>2730</v>
      </c>
      <c r="E139" s="156">
        <v>24570</v>
      </c>
      <c r="F139" s="157">
        <v>0</v>
      </c>
      <c r="G139" s="158">
        <v>0</v>
      </c>
      <c r="H139" s="159">
        <v>0</v>
      </c>
    </row>
    <row r="140" spans="1:8" ht="15" customHeight="1" x14ac:dyDescent="0.25">
      <c r="A140" s="160" t="s">
        <v>90</v>
      </c>
      <c r="B140" s="161" t="s">
        <v>10</v>
      </c>
      <c r="C140" s="14">
        <f t="shared" ref="C140:H140" si="8">SUM(C110:C139)</f>
        <v>435288</v>
      </c>
      <c r="D140" s="14">
        <f t="shared" si="8"/>
        <v>174056</v>
      </c>
      <c r="E140" s="14">
        <f t="shared" si="8"/>
        <v>261232</v>
      </c>
      <c r="F140" s="14">
        <f t="shared" si="8"/>
        <v>141029</v>
      </c>
      <c r="G140" s="14">
        <f t="shared" si="8"/>
        <v>29105</v>
      </c>
      <c r="H140" s="162">
        <f t="shared" si="8"/>
        <v>23444</v>
      </c>
    </row>
    <row r="141" spans="1:8" ht="18" customHeight="1" x14ac:dyDescent="0.25">
      <c r="A141" s="459" t="s">
        <v>91</v>
      </c>
      <c r="B141" s="460"/>
      <c r="C141" s="460"/>
      <c r="D141" s="460"/>
      <c r="E141" s="460"/>
      <c r="F141" s="460"/>
      <c r="G141" s="460"/>
      <c r="H141" s="461"/>
    </row>
    <row r="142" spans="1:8" ht="15" customHeight="1" x14ac:dyDescent="0.25">
      <c r="A142" s="179" t="s">
        <v>246</v>
      </c>
      <c r="B142" s="156">
        <v>22332.6</v>
      </c>
      <c r="C142" s="157">
        <v>21035</v>
      </c>
      <c r="D142" s="156">
        <v>16362</v>
      </c>
      <c r="E142" s="156">
        <v>4673</v>
      </c>
      <c r="F142" s="157">
        <v>3781</v>
      </c>
      <c r="G142" s="158">
        <v>4990</v>
      </c>
      <c r="H142" s="159">
        <v>3781</v>
      </c>
    </row>
    <row r="143" spans="1:8" ht="24" customHeight="1" x14ac:dyDescent="0.25">
      <c r="A143" s="179" t="s">
        <v>247</v>
      </c>
      <c r="B143" s="156">
        <v>64999.93</v>
      </c>
      <c r="C143" s="157">
        <v>30799</v>
      </c>
      <c r="D143" s="156">
        <v>22889</v>
      </c>
      <c r="E143" s="156">
        <v>7910</v>
      </c>
      <c r="F143" s="157">
        <v>7710</v>
      </c>
      <c r="G143" s="158">
        <v>0</v>
      </c>
      <c r="H143" s="159">
        <v>0</v>
      </c>
    </row>
    <row r="144" spans="1:8" ht="24" customHeight="1" x14ac:dyDescent="0.25">
      <c r="A144" s="179" t="s">
        <v>248</v>
      </c>
      <c r="B144" s="156">
        <v>2999.69</v>
      </c>
      <c r="C144" s="157">
        <v>2597</v>
      </c>
      <c r="D144" s="156">
        <v>2089</v>
      </c>
      <c r="E144" s="156">
        <v>508</v>
      </c>
      <c r="F144" s="157">
        <v>308</v>
      </c>
      <c r="G144" s="158">
        <v>654</v>
      </c>
      <c r="H144" s="159">
        <v>308</v>
      </c>
    </row>
    <row r="145" spans="1:8" s="168" customFormat="1" ht="24" customHeight="1" x14ac:dyDescent="0.25">
      <c r="A145" s="163" t="s">
        <v>249</v>
      </c>
      <c r="B145" s="156">
        <v>92862.95</v>
      </c>
      <c r="C145" s="157">
        <v>157</v>
      </c>
      <c r="D145" s="156">
        <v>16</v>
      </c>
      <c r="E145" s="156">
        <v>141</v>
      </c>
      <c r="F145" s="157">
        <v>0</v>
      </c>
      <c r="G145" s="158">
        <v>0</v>
      </c>
      <c r="H145" s="159">
        <v>0</v>
      </c>
    </row>
    <row r="146" spans="1:8" s="168" customFormat="1" ht="15" customHeight="1" x14ac:dyDescent="0.25">
      <c r="A146" s="179" t="s">
        <v>250</v>
      </c>
      <c r="B146" s="156">
        <v>5500</v>
      </c>
      <c r="C146" s="157">
        <v>5100</v>
      </c>
      <c r="D146" s="156">
        <v>510</v>
      </c>
      <c r="E146" s="156">
        <v>4590</v>
      </c>
      <c r="F146" s="157">
        <v>0</v>
      </c>
      <c r="G146" s="158">
        <v>360</v>
      </c>
      <c r="H146" s="159">
        <v>0</v>
      </c>
    </row>
    <row r="147" spans="1:8" s="168" customFormat="1" ht="24" customHeight="1" x14ac:dyDescent="0.25">
      <c r="A147" s="179" t="s">
        <v>251</v>
      </c>
      <c r="B147" s="156">
        <v>19600</v>
      </c>
      <c r="C147" s="157">
        <v>19341</v>
      </c>
      <c r="D147" s="156">
        <v>1952</v>
      </c>
      <c r="E147" s="156">
        <v>17389</v>
      </c>
      <c r="F147" s="157">
        <v>7978</v>
      </c>
      <c r="G147" s="158">
        <v>17622</v>
      </c>
      <c r="H147" s="159">
        <v>7978</v>
      </c>
    </row>
    <row r="148" spans="1:8" ht="24" customHeight="1" x14ac:dyDescent="0.25">
      <c r="A148" s="179" t="s">
        <v>253</v>
      </c>
      <c r="B148" s="156">
        <v>76610</v>
      </c>
      <c r="C148" s="157">
        <v>7661</v>
      </c>
      <c r="D148" s="156">
        <v>7661</v>
      </c>
      <c r="E148" s="156">
        <v>0</v>
      </c>
      <c r="F148" s="157">
        <v>0</v>
      </c>
      <c r="G148" s="158">
        <v>0</v>
      </c>
      <c r="H148" s="159">
        <v>0</v>
      </c>
    </row>
    <row r="149" spans="1:8" ht="15" customHeight="1" x14ac:dyDescent="0.25">
      <c r="A149" s="179" t="s">
        <v>256</v>
      </c>
      <c r="B149" s="156">
        <v>99000</v>
      </c>
      <c r="C149" s="157">
        <v>9900</v>
      </c>
      <c r="D149" s="156">
        <v>9900</v>
      </c>
      <c r="E149" s="156">
        <v>0</v>
      </c>
      <c r="F149" s="157">
        <v>0</v>
      </c>
      <c r="G149" s="158">
        <v>0</v>
      </c>
      <c r="H149" s="159">
        <v>0</v>
      </c>
    </row>
    <row r="150" spans="1:8" ht="15" customHeight="1" x14ac:dyDescent="0.25">
      <c r="A150" s="160" t="s">
        <v>92</v>
      </c>
      <c r="B150" s="161" t="s">
        <v>10</v>
      </c>
      <c r="C150" s="14">
        <f>SUM(C142:C149)</f>
        <v>96590</v>
      </c>
      <c r="D150" s="14">
        <f t="shared" ref="D150:H150" si="9">SUM(D142:D149)</f>
        <v>61379</v>
      </c>
      <c r="E150" s="14">
        <f t="shared" si="9"/>
        <v>35211</v>
      </c>
      <c r="F150" s="14">
        <f t="shared" si="9"/>
        <v>19777</v>
      </c>
      <c r="G150" s="14">
        <f t="shared" si="9"/>
        <v>23626</v>
      </c>
      <c r="H150" s="162">
        <f t="shared" si="9"/>
        <v>12067</v>
      </c>
    </row>
    <row r="151" spans="1:8" ht="18" customHeight="1" x14ac:dyDescent="0.25">
      <c r="A151" s="459" t="s">
        <v>258</v>
      </c>
      <c r="B151" s="460"/>
      <c r="C151" s="460"/>
      <c r="D151" s="460"/>
      <c r="E151" s="460"/>
      <c r="F151" s="460"/>
      <c r="G151" s="460"/>
      <c r="H151" s="461"/>
    </row>
    <row r="152" spans="1:8" ht="15" customHeight="1" x14ac:dyDescent="0.25">
      <c r="A152" s="163" t="s">
        <v>259</v>
      </c>
      <c r="B152" s="156">
        <v>2300</v>
      </c>
      <c r="C152" s="157">
        <v>1218</v>
      </c>
      <c r="D152" s="156">
        <v>0</v>
      </c>
      <c r="E152" s="156">
        <v>1218</v>
      </c>
      <c r="F152" s="157">
        <v>0</v>
      </c>
      <c r="G152" s="156">
        <v>68</v>
      </c>
      <c r="H152" s="159">
        <v>0</v>
      </c>
    </row>
    <row r="153" spans="1:8" ht="15" customHeight="1" x14ac:dyDescent="0.25">
      <c r="A153" s="163" t="s">
        <v>261</v>
      </c>
      <c r="B153" s="156">
        <v>1700</v>
      </c>
      <c r="C153" s="157">
        <v>948</v>
      </c>
      <c r="D153" s="156">
        <v>20</v>
      </c>
      <c r="E153" s="156">
        <v>928</v>
      </c>
      <c r="F153" s="157">
        <v>0</v>
      </c>
      <c r="G153" s="156">
        <v>58</v>
      </c>
      <c r="H153" s="159">
        <v>0</v>
      </c>
    </row>
    <row r="154" spans="1:8" ht="15" customHeight="1" x14ac:dyDescent="0.25">
      <c r="A154" s="163" t="s">
        <v>263</v>
      </c>
      <c r="B154" s="156">
        <v>1650.2</v>
      </c>
      <c r="C154" s="157">
        <v>630</v>
      </c>
      <c r="D154" s="156">
        <v>30</v>
      </c>
      <c r="E154" s="156">
        <v>600</v>
      </c>
      <c r="F154" s="157">
        <v>0</v>
      </c>
      <c r="G154" s="156">
        <v>69</v>
      </c>
      <c r="H154" s="159">
        <v>0</v>
      </c>
    </row>
    <row r="155" spans="1:8" ht="15" customHeight="1" x14ac:dyDescent="0.25">
      <c r="A155" s="163" t="s">
        <v>265</v>
      </c>
      <c r="B155" s="156">
        <v>12700</v>
      </c>
      <c r="C155" s="157">
        <v>6020</v>
      </c>
      <c r="D155" s="156">
        <v>20</v>
      </c>
      <c r="E155" s="156">
        <v>6000</v>
      </c>
      <c r="F155" s="157">
        <v>0</v>
      </c>
      <c r="G155" s="156">
        <v>280</v>
      </c>
      <c r="H155" s="159">
        <v>0</v>
      </c>
    </row>
    <row r="156" spans="1:8" ht="15" customHeight="1" x14ac:dyDescent="0.25">
      <c r="A156" s="163" t="s">
        <v>267</v>
      </c>
      <c r="B156" s="156">
        <v>1550</v>
      </c>
      <c r="C156" s="157">
        <v>500</v>
      </c>
      <c r="D156" s="156">
        <v>95</v>
      </c>
      <c r="E156" s="156">
        <v>405</v>
      </c>
      <c r="F156" s="157">
        <v>0</v>
      </c>
      <c r="G156" s="156">
        <v>0</v>
      </c>
      <c r="H156" s="159">
        <v>0</v>
      </c>
    </row>
    <row r="157" spans="1:8" ht="24" customHeight="1" x14ac:dyDescent="0.25">
      <c r="A157" s="163" t="s">
        <v>269</v>
      </c>
      <c r="B157" s="156">
        <v>1599.99</v>
      </c>
      <c r="C157" s="157">
        <v>964</v>
      </c>
      <c r="D157" s="156">
        <v>145</v>
      </c>
      <c r="E157" s="156">
        <v>819</v>
      </c>
      <c r="F157" s="157">
        <v>0</v>
      </c>
      <c r="G157" s="156">
        <v>819</v>
      </c>
      <c r="H157" s="159">
        <v>0</v>
      </c>
    </row>
    <row r="158" spans="1:8" ht="15" customHeight="1" x14ac:dyDescent="0.25">
      <c r="A158" s="163" t="s">
        <v>271</v>
      </c>
      <c r="B158" s="156">
        <v>32000</v>
      </c>
      <c r="C158" s="157">
        <v>2000</v>
      </c>
      <c r="D158" s="156">
        <v>30</v>
      </c>
      <c r="E158" s="156">
        <v>1970</v>
      </c>
      <c r="F158" s="157">
        <v>0</v>
      </c>
      <c r="G158" s="156">
        <v>0</v>
      </c>
      <c r="H158" s="159">
        <v>0</v>
      </c>
    </row>
    <row r="159" spans="1:8" ht="15" customHeight="1" x14ac:dyDescent="0.25">
      <c r="A159" s="163" t="s">
        <v>273</v>
      </c>
      <c r="B159" s="156">
        <v>6100</v>
      </c>
      <c r="C159" s="157">
        <v>400</v>
      </c>
      <c r="D159" s="156">
        <v>80</v>
      </c>
      <c r="E159" s="156">
        <v>320</v>
      </c>
      <c r="F159" s="157">
        <v>0</v>
      </c>
      <c r="G159" s="156">
        <v>0</v>
      </c>
      <c r="H159" s="159">
        <v>0</v>
      </c>
    </row>
    <row r="160" spans="1:8" ht="24" customHeight="1" x14ac:dyDescent="0.25">
      <c r="A160" s="163" t="s">
        <v>275</v>
      </c>
      <c r="B160" s="156">
        <v>75120</v>
      </c>
      <c r="C160" s="157">
        <v>14112</v>
      </c>
      <c r="D160" s="156">
        <v>0</v>
      </c>
      <c r="E160" s="156">
        <v>14111.93</v>
      </c>
      <c r="F160" s="157">
        <v>0</v>
      </c>
      <c r="G160" s="156">
        <v>0</v>
      </c>
      <c r="H160" s="159">
        <v>0</v>
      </c>
    </row>
    <row r="161" spans="1:8" ht="15" customHeight="1" x14ac:dyDescent="0.25">
      <c r="A161" s="163" t="s">
        <v>276</v>
      </c>
      <c r="B161" s="156">
        <v>1005480</v>
      </c>
      <c r="C161" s="157">
        <v>114935</v>
      </c>
      <c r="D161" s="156">
        <f>2762+1282</f>
        <v>4044</v>
      </c>
      <c r="E161" s="156">
        <v>110891</v>
      </c>
      <c r="F161" s="157">
        <v>0</v>
      </c>
      <c r="G161" s="156">
        <v>0</v>
      </c>
      <c r="H161" s="159">
        <v>0</v>
      </c>
    </row>
    <row r="162" spans="1:8" ht="15" customHeight="1" thickBot="1" x14ac:dyDescent="0.3">
      <c r="A162" s="160" t="s">
        <v>277</v>
      </c>
      <c r="B162" s="161" t="s">
        <v>10</v>
      </c>
      <c r="C162" s="14">
        <f>SUM(C152:C161)</f>
        <v>141727</v>
      </c>
      <c r="D162" s="14">
        <f t="shared" ref="D162:H162" si="10">SUM(D152:D161)</f>
        <v>4464</v>
      </c>
      <c r="E162" s="14">
        <f t="shared" si="10"/>
        <v>137262.93</v>
      </c>
      <c r="F162" s="14">
        <f t="shared" si="10"/>
        <v>0</v>
      </c>
      <c r="G162" s="14">
        <f t="shared" si="10"/>
        <v>1294</v>
      </c>
      <c r="H162" s="162">
        <f t="shared" si="10"/>
        <v>0</v>
      </c>
    </row>
    <row r="163" spans="1:8" ht="25.5" customHeight="1" thickBot="1" x14ac:dyDescent="0.3">
      <c r="A163" s="180" t="s">
        <v>347</v>
      </c>
      <c r="B163" s="181" t="s">
        <v>10</v>
      </c>
      <c r="C163" s="182">
        <f t="shared" ref="C163:H163" si="11">C162+C150+C140+C108+C82+C71+C63+C48+C41+C14+C19</f>
        <v>2092965</v>
      </c>
      <c r="D163" s="182">
        <f t="shared" si="11"/>
        <v>529255.5</v>
      </c>
      <c r="E163" s="182">
        <f t="shared" si="11"/>
        <v>1563709.43</v>
      </c>
      <c r="F163" s="182">
        <f t="shared" si="11"/>
        <v>953849</v>
      </c>
      <c r="G163" s="182">
        <f t="shared" si="11"/>
        <v>569174</v>
      </c>
      <c r="H163" s="183">
        <f t="shared" si="11"/>
        <v>392595</v>
      </c>
    </row>
    <row r="164" spans="1:8" ht="15" customHeight="1" thickBot="1" x14ac:dyDescent="0.3">
      <c r="A164" s="454"/>
      <c r="B164" s="455"/>
      <c r="C164" s="455"/>
      <c r="D164" s="455"/>
      <c r="E164" s="455"/>
      <c r="F164" s="455"/>
      <c r="G164" s="455"/>
      <c r="H164" s="456"/>
    </row>
    <row r="165" spans="1:8" ht="16.5" customHeight="1" x14ac:dyDescent="0.25">
      <c r="A165" s="420" t="s">
        <v>348</v>
      </c>
      <c r="B165" s="457"/>
      <c r="C165" s="457"/>
      <c r="D165" s="457"/>
      <c r="E165" s="457"/>
      <c r="F165" s="457"/>
      <c r="G165" s="457"/>
      <c r="H165" s="458"/>
    </row>
    <row r="166" spans="1:8" ht="24.75" customHeight="1" thickBot="1" x14ac:dyDescent="0.3">
      <c r="A166" s="163" t="s">
        <v>349</v>
      </c>
      <c r="B166" s="156">
        <v>65381</v>
      </c>
      <c r="C166" s="157">
        <v>48081</v>
      </c>
      <c r="D166" s="156">
        <v>11489.62</v>
      </c>
      <c r="E166" s="156">
        <v>36591.31</v>
      </c>
      <c r="F166" s="157">
        <v>15000</v>
      </c>
      <c r="G166" s="158">
        <v>0</v>
      </c>
      <c r="H166" s="159">
        <v>15000</v>
      </c>
    </row>
    <row r="167" spans="1:8" ht="22.5" customHeight="1" thickBot="1" x14ac:dyDescent="0.3">
      <c r="A167" s="180" t="s">
        <v>350</v>
      </c>
      <c r="B167" s="181" t="s">
        <v>10</v>
      </c>
      <c r="C167" s="182">
        <f>SUM(C166)</f>
        <v>48081</v>
      </c>
      <c r="D167" s="182">
        <f t="shared" ref="D167:H167" si="12">SUM(D166)</f>
        <v>11489.62</v>
      </c>
      <c r="E167" s="182">
        <f t="shared" si="12"/>
        <v>36591.31</v>
      </c>
      <c r="F167" s="182">
        <f t="shared" si="12"/>
        <v>15000</v>
      </c>
      <c r="G167" s="182">
        <f t="shared" si="12"/>
        <v>0</v>
      </c>
      <c r="H167" s="183">
        <f t="shared" si="12"/>
        <v>15000</v>
      </c>
    </row>
    <row r="168" spans="1:8" ht="15" customHeight="1" thickBot="1" x14ac:dyDescent="0.3">
      <c r="A168" s="454"/>
      <c r="B168" s="455"/>
      <c r="C168" s="455"/>
      <c r="D168" s="455"/>
      <c r="E168" s="455"/>
      <c r="F168" s="455"/>
      <c r="G168" s="455"/>
      <c r="H168" s="456"/>
    </row>
    <row r="169" spans="1:8" ht="16.5" customHeight="1" x14ac:dyDescent="0.25">
      <c r="A169" s="420" t="s">
        <v>351</v>
      </c>
      <c r="B169" s="457"/>
      <c r="C169" s="457"/>
      <c r="D169" s="457"/>
      <c r="E169" s="457"/>
      <c r="F169" s="457"/>
      <c r="G169" s="457"/>
      <c r="H169" s="458"/>
    </row>
    <row r="170" spans="1:8" ht="24" customHeight="1" x14ac:dyDescent="0.25">
      <c r="A170" s="163" t="s">
        <v>352</v>
      </c>
      <c r="B170" s="156">
        <v>16404</v>
      </c>
      <c r="C170" s="157">
        <f>210+16194</f>
        <v>16404</v>
      </c>
      <c r="D170" s="156">
        <v>0</v>
      </c>
      <c r="E170" s="156">
        <v>16404</v>
      </c>
      <c r="F170" s="157">
        <f>210+16194</f>
        <v>16404</v>
      </c>
      <c r="G170" s="158">
        <v>5400</v>
      </c>
      <c r="H170" s="159">
        <v>5400</v>
      </c>
    </row>
    <row r="171" spans="1:8" ht="24.75" customHeight="1" thickBot="1" x14ac:dyDescent="0.3">
      <c r="A171" s="179" t="s">
        <v>353</v>
      </c>
      <c r="B171" s="156">
        <v>133545</v>
      </c>
      <c r="C171" s="157">
        <v>133546</v>
      </c>
      <c r="D171" s="156">
        <v>0</v>
      </c>
      <c r="E171" s="156">
        <v>133545</v>
      </c>
      <c r="F171" s="157">
        <v>133546</v>
      </c>
      <c r="G171" s="158">
        <v>333917</v>
      </c>
      <c r="H171" s="159">
        <v>333917.37300000002</v>
      </c>
    </row>
    <row r="172" spans="1:8" ht="36" customHeight="1" thickBot="1" x14ac:dyDescent="0.3">
      <c r="A172" s="180" t="s">
        <v>354</v>
      </c>
      <c r="B172" s="181" t="s">
        <v>355</v>
      </c>
      <c r="C172" s="182">
        <f t="shared" ref="C172:H172" si="13">SUM(C170:C171)</f>
        <v>149950</v>
      </c>
      <c r="D172" s="182">
        <f t="shared" si="13"/>
        <v>0</v>
      </c>
      <c r="E172" s="182">
        <f t="shared" si="13"/>
        <v>149949</v>
      </c>
      <c r="F172" s="182">
        <f t="shared" si="13"/>
        <v>149950</v>
      </c>
      <c r="G172" s="182">
        <f t="shared" si="13"/>
        <v>339317</v>
      </c>
      <c r="H172" s="183">
        <f t="shared" si="13"/>
        <v>339317.37300000002</v>
      </c>
    </row>
    <row r="173" spans="1:8" ht="15" customHeight="1" thickBot="1" x14ac:dyDescent="0.3">
      <c r="A173" s="454"/>
      <c r="B173" s="455"/>
      <c r="C173" s="455"/>
      <c r="D173" s="455"/>
      <c r="E173" s="455"/>
      <c r="F173" s="455"/>
      <c r="G173" s="455"/>
      <c r="H173" s="456"/>
    </row>
    <row r="174" spans="1:8" ht="16.5" customHeight="1" x14ac:dyDescent="0.25">
      <c r="A174" s="420" t="s">
        <v>356</v>
      </c>
      <c r="B174" s="457"/>
      <c r="C174" s="457"/>
      <c r="D174" s="457"/>
      <c r="E174" s="457"/>
      <c r="F174" s="457"/>
      <c r="G174" s="457"/>
      <c r="H174" s="458"/>
    </row>
    <row r="175" spans="1:8" ht="15.75" customHeight="1" thickBot="1" x14ac:dyDescent="0.3">
      <c r="A175" s="163" t="s">
        <v>357</v>
      </c>
      <c r="B175" s="156">
        <v>40107</v>
      </c>
      <c r="C175" s="157">
        <v>39613</v>
      </c>
      <c r="D175" s="156">
        <v>8022</v>
      </c>
      <c r="E175" s="156">
        <v>31591</v>
      </c>
      <c r="F175" s="157">
        <v>31591</v>
      </c>
      <c r="G175" s="158">
        <v>0</v>
      </c>
      <c r="H175" s="159">
        <v>10000</v>
      </c>
    </row>
    <row r="176" spans="1:8" ht="18" customHeight="1" thickBot="1" x14ac:dyDescent="0.3">
      <c r="A176" s="180" t="s">
        <v>358</v>
      </c>
      <c r="B176" s="181" t="s">
        <v>355</v>
      </c>
      <c r="C176" s="182">
        <f t="shared" ref="C176:H176" si="14">SUM(C175:C175)</f>
        <v>39613</v>
      </c>
      <c r="D176" s="182">
        <f t="shared" si="14"/>
        <v>8022</v>
      </c>
      <c r="E176" s="182">
        <f t="shared" si="14"/>
        <v>31591</v>
      </c>
      <c r="F176" s="182">
        <f t="shared" si="14"/>
        <v>31591</v>
      </c>
      <c r="G176" s="182">
        <f t="shared" si="14"/>
        <v>0</v>
      </c>
      <c r="H176" s="183">
        <f t="shared" si="14"/>
        <v>10000</v>
      </c>
    </row>
    <row r="177" spans="1:8" ht="11.25" thickBot="1" x14ac:dyDescent="0.3">
      <c r="A177" s="454"/>
      <c r="B177" s="455"/>
      <c r="C177" s="455"/>
      <c r="D177" s="455"/>
      <c r="E177" s="455"/>
      <c r="F177" s="455"/>
      <c r="G177" s="455"/>
      <c r="H177" s="456"/>
    </row>
    <row r="178" spans="1:8" ht="22.5" customHeight="1" thickBot="1" x14ac:dyDescent="0.3">
      <c r="A178" s="180" t="s">
        <v>58</v>
      </c>
      <c r="B178" s="181" t="s">
        <v>10</v>
      </c>
      <c r="C178" s="182">
        <f>C172+C167+C163+C176</f>
        <v>2330609</v>
      </c>
      <c r="D178" s="182">
        <f t="shared" ref="D178:H178" si="15">D172+D167+D163+D176</f>
        <v>548767.12</v>
      </c>
      <c r="E178" s="182">
        <f t="shared" si="15"/>
        <v>1781840.74</v>
      </c>
      <c r="F178" s="182">
        <f t="shared" si="15"/>
        <v>1150390</v>
      </c>
      <c r="G178" s="182">
        <f t="shared" si="15"/>
        <v>908491</v>
      </c>
      <c r="H178" s="183">
        <f t="shared" si="15"/>
        <v>756912.37300000002</v>
      </c>
    </row>
    <row r="180" spans="1:8" x14ac:dyDescent="0.25">
      <c r="A180" s="171"/>
    </row>
  </sheetData>
  <mergeCells count="26">
    <mergeCell ref="A1:H2"/>
    <mergeCell ref="A4:A5"/>
    <mergeCell ref="B4:B5"/>
    <mergeCell ref="C4:C5"/>
    <mergeCell ref="D4:D5"/>
    <mergeCell ref="E4:F4"/>
    <mergeCell ref="G4:H4"/>
    <mergeCell ref="A151:H151"/>
    <mergeCell ref="A6:H6"/>
    <mergeCell ref="A7:H7"/>
    <mergeCell ref="A15:H15"/>
    <mergeCell ref="A20:H20"/>
    <mergeCell ref="A42:H42"/>
    <mergeCell ref="A49:H49"/>
    <mergeCell ref="A64:H64"/>
    <mergeCell ref="A72:H72"/>
    <mergeCell ref="A83:H83"/>
    <mergeCell ref="A109:H109"/>
    <mergeCell ref="A141:H141"/>
    <mergeCell ref="A177:H177"/>
    <mergeCell ref="A164:H164"/>
    <mergeCell ref="A165:H165"/>
    <mergeCell ref="A168:H168"/>
    <mergeCell ref="A169:H169"/>
    <mergeCell ref="A173:H173"/>
    <mergeCell ref="A174:H174"/>
  </mergeCells>
  <printOptions horizontalCentered="1"/>
  <pageMargins left="0.39370078740157483" right="0.39370078740157483" top="0.78740157480314965" bottom="0.39370078740157483" header="0.31496062992125984" footer="0.11811023622047245"/>
  <pageSetup paperSize="9" firstPageNumber="13" fitToHeight="0" orientation="landscape" useFirstPageNumber="1" r:id="rId1"/>
  <headerFooter alignWithMargins="0">
    <oddHeader>&amp;L&amp;"Tahoma,Kurzíva"&amp;9Návrh rozpočtu na rok 2018
Příloha č. 10&amp;R&amp;"Tahoma,Kurzíva"&amp;9Přehled akcí spolufinancovaných z evropských finančních zdrojů z pohledu způsobu financování
a přehled dalších akcí předfinancovaných z úvěru ČSOB v roce 2018</oddHeader>
    <oddFooter>&amp;C&amp;"Tahoma,Obyčejné"&amp;10&amp;P</oddFooter>
  </headerFooter>
  <rowBreaks count="4" manualBreakCount="4">
    <brk id="46" max="7" man="1"/>
    <brk id="71" max="7" man="1"/>
    <brk id="145" max="7" man="1"/>
    <brk id="167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workbookViewId="0">
      <selection activeCell="E9" sqref="E9"/>
    </sheetView>
  </sheetViews>
  <sheetFormatPr defaultRowHeight="12.75" x14ac:dyDescent="0.2"/>
  <cols>
    <col min="1" max="1" width="6.5703125" style="94" customWidth="1"/>
    <col min="2" max="2" width="6.140625" style="95" customWidth="1"/>
    <col min="3" max="3" width="36.7109375" style="95" customWidth="1"/>
    <col min="4" max="4" width="10.7109375" style="94" customWidth="1"/>
    <col min="5" max="7" width="9.7109375" style="94" customWidth="1"/>
    <col min="8" max="8" width="24.42578125" style="97" bestFit="1" customWidth="1"/>
    <col min="9" max="16384" width="9.140625" style="94"/>
  </cols>
  <sheetData>
    <row r="1" spans="1:9" ht="42" customHeight="1" x14ac:dyDescent="0.2">
      <c r="A1" s="498" t="s">
        <v>561</v>
      </c>
      <c r="B1" s="498"/>
      <c r="C1" s="498"/>
      <c r="D1" s="498"/>
      <c r="E1" s="498"/>
      <c r="F1" s="498"/>
      <c r="G1" s="498"/>
      <c r="H1" s="498"/>
      <c r="I1" s="125"/>
    </row>
    <row r="2" spans="1:9" ht="13.5" customHeight="1" thickBot="1" x14ac:dyDescent="0.25">
      <c r="H2" s="146" t="s">
        <v>57</v>
      </c>
    </row>
    <row r="3" spans="1:9" ht="21" customHeight="1" x14ac:dyDescent="0.2">
      <c r="A3" s="501" t="s">
        <v>71</v>
      </c>
      <c r="B3" s="503" t="s">
        <v>284</v>
      </c>
      <c r="C3" s="505" t="s">
        <v>285</v>
      </c>
      <c r="D3" s="441" t="s">
        <v>95</v>
      </c>
      <c r="E3" s="507" t="s">
        <v>559</v>
      </c>
      <c r="F3" s="508"/>
      <c r="G3" s="509"/>
      <c r="H3" s="510" t="s">
        <v>74</v>
      </c>
    </row>
    <row r="4" spans="1:9" ht="21" customHeight="1" x14ac:dyDescent="0.2">
      <c r="A4" s="502"/>
      <c r="B4" s="504"/>
      <c r="C4" s="506"/>
      <c r="D4" s="445"/>
      <c r="E4" s="54" t="s">
        <v>75</v>
      </c>
      <c r="F4" s="54" t="s">
        <v>96</v>
      </c>
      <c r="G4" s="54" t="s">
        <v>76</v>
      </c>
      <c r="H4" s="511"/>
    </row>
    <row r="5" spans="1:9" s="95" customFormat="1" ht="18" customHeight="1" x14ac:dyDescent="0.25">
      <c r="A5" s="495" t="s">
        <v>309</v>
      </c>
      <c r="B5" s="496"/>
      <c r="C5" s="496"/>
      <c r="D5" s="496"/>
      <c r="E5" s="496"/>
      <c r="F5" s="496"/>
      <c r="G5" s="496"/>
      <c r="H5" s="497"/>
    </row>
    <row r="6" spans="1:9" s="95" customFormat="1" ht="15" customHeight="1" x14ac:dyDescent="0.25">
      <c r="A6" s="98">
        <v>13</v>
      </c>
      <c r="B6" s="119" t="s">
        <v>286</v>
      </c>
      <c r="C6" s="123" t="s">
        <v>77</v>
      </c>
      <c r="D6" s="126">
        <f>14000-5000</f>
        <v>9000</v>
      </c>
      <c r="E6" s="127">
        <v>0</v>
      </c>
      <c r="F6" s="127">
        <v>0</v>
      </c>
      <c r="G6" s="127">
        <v>0</v>
      </c>
      <c r="H6" s="124" t="s">
        <v>308</v>
      </c>
    </row>
    <row r="7" spans="1:9" s="95" customFormat="1" ht="25.5" customHeight="1" x14ac:dyDescent="0.25">
      <c r="A7" s="489" t="s">
        <v>310</v>
      </c>
      <c r="B7" s="490"/>
      <c r="C7" s="491"/>
      <c r="D7" s="128">
        <f>SUM(D6)</f>
        <v>9000</v>
      </c>
      <c r="E7" s="128">
        <f>SUM(E6)</f>
        <v>0</v>
      </c>
      <c r="F7" s="128">
        <f>SUM(F6)</f>
        <v>0</v>
      </c>
      <c r="G7" s="128">
        <f>SUM(G6)</f>
        <v>0</v>
      </c>
      <c r="H7" s="141"/>
    </row>
    <row r="8" spans="1:9" s="95" customFormat="1" ht="18" customHeight="1" x14ac:dyDescent="0.25">
      <c r="A8" s="495" t="s">
        <v>78</v>
      </c>
      <c r="B8" s="496"/>
      <c r="C8" s="496"/>
      <c r="D8" s="496"/>
      <c r="E8" s="496"/>
      <c r="F8" s="496"/>
      <c r="G8" s="496"/>
      <c r="H8" s="497"/>
    </row>
    <row r="9" spans="1:9" s="95" customFormat="1" ht="24" customHeight="1" x14ac:dyDescent="0.25">
      <c r="A9" s="99">
        <v>45</v>
      </c>
      <c r="B9" s="120" t="s">
        <v>287</v>
      </c>
      <c r="C9" s="100" t="s">
        <v>106</v>
      </c>
      <c r="D9" s="130">
        <v>600</v>
      </c>
      <c r="E9" s="131">
        <v>75000</v>
      </c>
      <c r="F9" s="131">
        <v>13000</v>
      </c>
      <c r="G9" s="131">
        <v>0</v>
      </c>
      <c r="H9" s="132" t="s">
        <v>470</v>
      </c>
    </row>
    <row r="10" spans="1:9" s="95" customFormat="1" ht="24" customHeight="1" x14ac:dyDescent="0.25">
      <c r="A10" s="99">
        <v>46</v>
      </c>
      <c r="B10" s="120" t="s">
        <v>287</v>
      </c>
      <c r="C10" s="100" t="s">
        <v>108</v>
      </c>
      <c r="D10" s="130">
        <v>51000</v>
      </c>
      <c r="E10" s="131">
        <v>0</v>
      </c>
      <c r="F10" s="131">
        <v>32628</v>
      </c>
      <c r="G10" s="131">
        <v>0</v>
      </c>
      <c r="H10" s="132" t="s">
        <v>307</v>
      </c>
    </row>
    <row r="11" spans="1:9" s="95" customFormat="1" ht="24" customHeight="1" x14ac:dyDescent="0.25">
      <c r="A11" s="279">
        <v>47</v>
      </c>
      <c r="B11" s="281" t="s">
        <v>287</v>
      </c>
      <c r="C11" s="280" t="s">
        <v>333</v>
      </c>
      <c r="D11" s="126">
        <v>1000</v>
      </c>
      <c r="E11" s="127">
        <v>50000</v>
      </c>
      <c r="F11" s="127">
        <v>0</v>
      </c>
      <c r="G11" s="127">
        <v>0</v>
      </c>
      <c r="H11" s="132" t="s">
        <v>471</v>
      </c>
    </row>
    <row r="12" spans="1:9" s="95" customFormat="1" ht="15.75" customHeight="1" x14ac:dyDescent="0.25">
      <c r="A12" s="492" t="s">
        <v>79</v>
      </c>
      <c r="B12" s="493"/>
      <c r="C12" s="494"/>
      <c r="D12" s="133">
        <f>SUM(D9:D11)</f>
        <v>52600</v>
      </c>
      <c r="E12" s="133">
        <f t="shared" ref="E12:G12" si="0">SUM(E9:E11)</f>
        <v>125000</v>
      </c>
      <c r="F12" s="133">
        <f t="shared" si="0"/>
        <v>45628</v>
      </c>
      <c r="G12" s="133">
        <f t="shared" si="0"/>
        <v>0</v>
      </c>
      <c r="H12" s="141"/>
    </row>
    <row r="13" spans="1:9" s="95" customFormat="1" ht="18" customHeight="1" x14ac:dyDescent="0.25">
      <c r="A13" s="495" t="s">
        <v>110</v>
      </c>
      <c r="B13" s="496"/>
      <c r="C13" s="496"/>
      <c r="D13" s="496"/>
      <c r="E13" s="496"/>
      <c r="F13" s="496"/>
      <c r="G13" s="496"/>
      <c r="H13" s="497"/>
    </row>
    <row r="14" spans="1:9" s="95" customFormat="1" ht="24" customHeight="1" x14ac:dyDescent="0.25">
      <c r="A14" s="103">
        <v>58</v>
      </c>
      <c r="B14" s="122" t="s">
        <v>288</v>
      </c>
      <c r="C14" s="104" t="s">
        <v>562</v>
      </c>
      <c r="D14" s="130">
        <v>20200</v>
      </c>
      <c r="E14" s="131">
        <v>5000</v>
      </c>
      <c r="F14" s="131">
        <v>5000</v>
      </c>
      <c r="G14" s="131">
        <v>5000</v>
      </c>
      <c r="H14" s="132" t="s">
        <v>80</v>
      </c>
    </row>
    <row r="15" spans="1:9" s="95" customFormat="1" ht="15" customHeight="1" x14ac:dyDescent="0.25">
      <c r="A15" s="103">
        <v>68</v>
      </c>
      <c r="B15" s="122" t="s">
        <v>288</v>
      </c>
      <c r="C15" s="104" t="s">
        <v>292</v>
      </c>
      <c r="D15" s="130">
        <v>13300</v>
      </c>
      <c r="E15" s="131">
        <v>15000</v>
      </c>
      <c r="F15" s="131">
        <v>15000</v>
      </c>
      <c r="G15" s="131">
        <v>15000</v>
      </c>
      <c r="H15" s="132" t="s">
        <v>80</v>
      </c>
    </row>
    <row r="16" spans="1:9" s="95" customFormat="1" ht="15" customHeight="1" x14ac:dyDescent="0.25">
      <c r="A16" s="103">
        <v>69</v>
      </c>
      <c r="B16" s="122" t="s">
        <v>288</v>
      </c>
      <c r="C16" s="104" t="s">
        <v>293</v>
      </c>
      <c r="D16" s="134">
        <v>25000</v>
      </c>
      <c r="E16" s="135">
        <v>0</v>
      </c>
      <c r="F16" s="135">
        <v>0</v>
      </c>
      <c r="G16" s="135">
        <v>0</v>
      </c>
      <c r="H16" s="136" t="s">
        <v>80</v>
      </c>
    </row>
    <row r="17" spans="1:8" s="95" customFormat="1" ht="24" customHeight="1" x14ac:dyDescent="0.25">
      <c r="A17" s="499">
        <v>71</v>
      </c>
      <c r="B17" s="121" t="s">
        <v>289</v>
      </c>
      <c r="C17" s="100" t="s">
        <v>290</v>
      </c>
      <c r="D17" s="134">
        <v>12023</v>
      </c>
      <c r="E17" s="135">
        <v>12143</v>
      </c>
      <c r="F17" s="135">
        <v>12264</v>
      </c>
      <c r="G17" s="135">
        <v>12389</v>
      </c>
      <c r="H17" s="129" t="s">
        <v>80</v>
      </c>
    </row>
    <row r="18" spans="1:8" s="95" customFormat="1" ht="24" customHeight="1" x14ac:dyDescent="0.25">
      <c r="A18" s="500"/>
      <c r="B18" s="122" t="s">
        <v>289</v>
      </c>
      <c r="C18" s="105" t="s">
        <v>291</v>
      </c>
      <c r="D18" s="130">
        <v>13000</v>
      </c>
      <c r="E18" s="131">
        <v>13000</v>
      </c>
      <c r="F18" s="131">
        <v>13000</v>
      </c>
      <c r="G18" s="131">
        <v>13000</v>
      </c>
      <c r="H18" s="132" t="s">
        <v>306</v>
      </c>
    </row>
    <row r="19" spans="1:8" s="95" customFormat="1" ht="34.5" customHeight="1" x14ac:dyDescent="0.25">
      <c r="A19" s="103">
        <v>80</v>
      </c>
      <c r="B19" s="122" t="s">
        <v>286</v>
      </c>
      <c r="C19" s="104" t="s">
        <v>472</v>
      </c>
      <c r="D19" s="130">
        <v>2000</v>
      </c>
      <c r="E19" s="131">
        <v>0</v>
      </c>
      <c r="F19" s="131">
        <v>0</v>
      </c>
      <c r="G19" s="131">
        <v>0</v>
      </c>
      <c r="H19" s="132" t="s">
        <v>80</v>
      </c>
    </row>
    <row r="20" spans="1:8" s="95" customFormat="1" ht="24" customHeight="1" x14ac:dyDescent="0.25">
      <c r="A20" s="101">
        <v>100</v>
      </c>
      <c r="B20" s="121" t="s">
        <v>287</v>
      </c>
      <c r="C20" s="102" t="s">
        <v>125</v>
      </c>
      <c r="D20" s="130">
        <v>500</v>
      </c>
      <c r="E20" s="131">
        <v>10000</v>
      </c>
      <c r="F20" s="131">
        <v>46000</v>
      </c>
      <c r="G20" s="131">
        <v>46000</v>
      </c>
      <c r="H20" s="132" t="s">
        <v>305</v>
      </c>
    </row>
    <row r="21" spans="1:8" s="95" customFormat="1" ht="15.75" customHeight="1" x14ac:dyDescent="0.25">
      <c r="A21" s="492" t="s">
        <v>81</v>
      </c>
      <c r="B21" s="493"/>
      <c r="C21" s="494"/>
      <c r="D21" s="128">
        <f>SUM(D14:D20)</f>
        <v>86023</v>
      </c>
      <c r="E21" s="128">
        <f>SUM(E14:E20)</f>
        <v>55143</v>
      </c>
      <c r="F21" s="128">
        <f>SUM(F14:F20)</f>
        <v>91264</v>
      </c>
      <c r="G21" s="128">
        <f>SUM(G14:G20)</f>
        <v>91389</v>
      </c>
      <c r="H21" s="141"/>
    </row>
    <row r="22" spans="1:8" s="95" customFormat="1" ht="18" customHeight="1" x14ac:dyDescent="0.25">
      <c r="A22" s="495" t="s">
        <v>84</v>
      </c>
      <c r="B22" s="496"/>
      <c r="C22" s="496"/>
      <c r="D22" s="496"/>
      <c r="E22" s="496"/>
      <c r="F22" s="496"/>
      <c r="G22" s="496"/>
      <c r="H22" s="497"/>
    </row>
    <row r="23" spans="1:8" s="95" customFormat="1" ht="15" customHeight="1" x14ac:dyDescent="0.25">
      <c r="A23" s="99">
        <v>193</v>
      </c>
      <c r="B23" s="120" t="s">
        <v>287</v>
      </c>
      <c r="C23" s="106" t="s">
        <v>151</v>
      </c>
      <c r="D23" s="130">
        <v>26510</v>
      </c>
      <c r="E23" s="131">
        <v>0</v>
      </c>
      <c r="F23" s="131">
        <v>0</v>
      </c>
      <c r="G23" s="131">
        <v>0</v>
      </c>
      <c r="H23" s="129" t="s">
        <v>304</v>
      </c>
    </row>
    <row r="24" spans="1:8" s="95" customFormat="1" ht="15.75" customHeight="1" x14ac:dyDescent="0.25">
      <c r="A24" s="492" t="s">
        <v>85</v>
      </c>
      <c r="B24" s="493"/>
      <c r="C24" s="494"/>
      <c r="D24" s="128">
        <f>SUM(D23:D23)</f>
        <v>26510</v>
      </c>
      <c r="E24" s="128">
        <f>SUM(E23:E23)</f>
        <v>0</v>
      </c>
      <c r="F24" s="128">
        <f>SUM(F23:F23)</f>
        <v>0</v>
      </c>
      <c r="G24" s="128">
        <f>SUM(G23:G23)</f>
        <v>0</v>
      </c>
      <c r="H24" s="141"/>
    </row>
    <row r="25" spans="1:8" s="95" customFormat="1" ht="18" customHeight="1" x14ac:dyDescent="0.25">
      <c r="A25" s="495" t="s">
        <v>86</v>
      </c>
      <c r="B25" s="496"/>
      <c r="C25" s="496"/>
      <c r="D25" s="496"/>
      <c r="E25" s="496"/>
      <c r="F25" s="496"/>
      <c r="G25" s="496"/>
      <c r="H25" s="497"/>
    </row>
    <row r="26" spans="1:8" s="95" customFormat="1" ht="24" customHeight="1" x14ac:dyDescent="0.25">
      <c r="A26" s="99">
        <v>337</v>
      </c>
      <c r="B26" s="120" t="s">
        <v>287</v>
      </c>
      <c r="C26" s="106" t="s">
        <v>193</v>
      </c>
      <c r="D26" s="130">
        <v>510</v>
      </c>
      <c r="E26" s="131">
        <v>0</v>
      </c>
      <c r="F26" s="131">
        <v>13000</v>
      </c>
      <c r="G26" s="131">
        <v>0</v>
      </c>
      <c r="H26" s="136" t="s">
        <v>473</v>
      </c>
    </row>
    <row r="27" spans="1:8" s="95" customFormat="1" ht="15.75" customHeight="1" x14ac:dyDescent="0.25">
      <c r="A27" s="492" t="s">
        <v>87</v>
      </c>
      <c r="B27" s="493"/>
      <c r="C27" s="494"/>
      <c r="D27" s="128">
        <f>SUM(D26:D26)</f>
        <v>510</v>
      </c>
      <c r="E27" s="128">
        <f>SUM(E26:E26)</f>
        <v>0</v>
      </c>
      <c r="F27" s="128">
        <f>SUM(F26:F26)</f>
        <v>13000</v>
      </c>
      <c r="G27" s="128">
        <f>SUM(G26:G26)</f>
        <v>0</v>
      </c>
      <c r="H27" s="141"/>
    </row>
    <row r="28" spans="1:8" s="95" customFormat="1" ht="18" customHeight="1" x14ac:dyDescent="0.25">
      <c r="A28" s="495" t="s">
        <v>91</v>
      </c>
      <c r="B28" s="496"/>
      <c r="C28" s="496"/>
      <c r="D28" s="496"/>
      <c r="E28" s="496"/>
      <c r="F28" s="496"/>
      <c r="G28" s="496"/>
      <c r="H28" s="497"/>
    </row>
    <row r="29" spans="1:8" s="95" customFormat="1" ht="34.5" customHeight="1" x14ac:dyDescent="0.25">
      <c r="A29" s="99">
        <v>524</v>
      </c>
      <c r="B29" s="120" t="s">
        <v>287</v>
      </c>
      <c r="C29" s="106" t="s">
        <v>249</v>
      </c>
      <c r="D29" s="130">
        <v>157</v>
      </c>
      <c r="E29" s="135">
        <v>92144</v>
      </c>
      <c r="F29" s="131">
        <v>0</v>
      </c>
      <c r="G29" s="131">
        <v>0</v>
      </c>
      <c r="H29" s="129" t="s">
        <v>302</v>
      </c>
    </row>
    <row r="30" spans="1:8" s="95" customFormat="1" ht="15" customHeight="1" x14ac:dyDescent="0.25">
      <c r="A30" s="99">
        <v>525</v>
      </c>
      <c r="B30" s="120" t="s">
        <v>287</v>
      </c>
      <c r="C30" s="106" t="s">
        <v>250</v>
      </c>
      <c r="D30" s="130">
        <v>5100</v>
      </c>
      <c r="E30" s="131">
        <v>0</v>
      </c>
      <c r="F30" s="131">
        <v>0</v>
      </c>
      <c r="G30" s="131">
        <v>0</v>
      </c>
      <c r="H30" s="132" t="s">
        <v>301</v>
      </c>
    </row>
    <row r="31" spans="1:8" s="95" customFormat="1" ht="15.75" customHeight="1" x14ac:dyDescent="0.25">
      <c r="A31" s="492" t="s">
        <v>92</v>
      </c>
      <c r="B31" s="493"/>
      <c r="C31" s="494"/>
      <c r="D31" s="128">
        <f>SUM(D29:D30)</f>
        <v>5257</v>
      </c>
      <c r="E31" s="128">
        <f t="shared" ref="E31:G31" si="1">SUM(E29:E30)</f>
        <v>92144</v>
      </c>
      <c r="F31" s="128">
        <f t="shared" si="1"/>
        <v>0</v>
      </c>
      <c r="G31" s="128">
        <f t="shared" si="1"/>
        <v>0</v>
      </c>
      <c r="H31" s="141"/>
    </row>
    <row r="32" spans="1:8" s="95" customFormat="1" ht="18" customHeight="1" x14ac:dyDescent="0.25">
      <c r="A32" s="495" t="s">
        <v>258</v>
      </c>
      <c r="B32" s="496"/>
      <c r="C32" s="496"/>
      <c r="D32" s="496"/>
      <c r="E32" s="496"/>
      <c r="F32" s="496"/>
      <c r="G32" s="496"/>
      <c r="H32" s="497"/>
    </row>
    <row r="33" spans="1:8" s="95" customFormat="1" ht="24" customHeight="1" x14ac:dyDescent="0.25">
      <c r="A33" s="99">
        <v>535</v>
      </c>
      <c r="B33" s="120" t="s">
        <v>288</v>
      </c>
      <c r="C33" s="102" t="s">
        <v>474</v>
      </c>
      <c r="D33" s="130">
        <v>3500</v>
      </c>
      <c r="E33" s="137">
        <v>3500</v>
      </c>
      <c r="F33" s="137">
        <v>3500</v>
      </c>
      <c r="G33" s="137">
        <v>3500</v>
      </c>
      <c r="H33" s="132" t="s">
        <v>303</v>
      </c>
    </row>
    <row r="34" spans="1:8" s="95" customFormat="1" ht="15" customHeight="1" x14ac:dyDescent="0.25">
      <c r="A34" s="99">
        <v>541</v>
      </c>
      <c r="B34" s="120" t="s">
        <v>288</v>
      </c>
      <c r="C34" s="106" t="s">
        <v>294</v>
      </c>
      <c r="D34" s="130">
        <v>1000</v>
      </c>
      <c r="E34" s="137">
        <v>0</v>
      </c>
      <c r="F34" s="137">
        <v>0</v>
      </c>
      <c r="G34" s="137">
        <v>0</v>
      </c>
      <c r="H34" s="132" t="s">
        <v>80</v>
      </c>
    </row>
    <row r="35" spans="1:8" s="95" customFormat="1" ht="15" customHeight="1" x14ac:dyDescent="0.25">
      <c r="A35" s="99">
        <v>553</v>
      </c>
      <c r="B35" s="120" t="s">
        <v>288</v>
      </c>
      <c r="C35" s="106" t="s">
        <v>300</v>
      </c>
      <c r="D35" s="130">
        <v>3000</v>
      </c>
      <c r="E35" s="131">
        <v>5000</v>
      </c>
      <c r="F35" s="131">
        <v>5000</v>
      </c>
      <c r="G35" s="131">
        <v>5000</v>
      </c>
      <c r="H35" s="129" t="s">
        <v>80</v>
      </c>
    </row>
    <row r="36" spans="1:8" s="95" customFormat="1" ht="15.75" customHeight="1" thickBot="1" x14ac:dyDescent="0.3">
      <c r="A36" s="483" t="s">
        <v>277</v>
      </c>
      <c r="B36" s="484"/>
      <c r="C36" s="485"/>
      <c r="D36" s="138">
        <f>SUM(D33:D35)</f>
        <v>7500</v>
      </c>
      <c r="E36" s="138">
        <f>SUM(E33:E35)</f>
        <v>8500</v>
      </c>
      <c r="F36" s="138">
        <f>SUM(F33:F35)</f>
        <v>8500</v>
      </c>
      <c r="G36" s="138">
        <f>SUM(G33:G35)</f>
        <v>8500</v>
      </c>
      <c r="H36" s="142"/>
    </row>
    <row r="37" spans="1:8" s="95" customFormat="1" ht="9" customHeight="1" thickBot="1" x14ac:dyDescent="0.3">
      <c r="A37" s="143"/>
      <c r="B37" s="144"/>
      <c r="C37" s="144"/>
      <c r="D37" s="144"/>
      <c r="E37" s="144"/>
      <c r="F37" s="144"/>
      <c r="G37" s="144"/>
      <c r="H37" s="145"/>
    </row>
    <row r="38" spans="1:8" s="95" customFormat="1" ht="18.75" customHeight="1" thickBot="1" x14ac:dyDescent="0.3">
      <c r="A38" s="486" t="s">
        <v>58</v>
      </c>
      <c r="B38" s="487"/>
      <c r="C38" s="488"/>
      <c r="D38" s="139">
        <f>D7+D12+D21+D24+D27+D31+D36</f>
        <v>187400</v>
      </c>
      <c r="E38" s="139">
        <f t="shared" ref="E38:G38" si="2">E7+E12+E21+E24+E27+E31+E36</f>
        <v>280787</v>
      </c>
      <c r="F38" s="139">
        <f t="shared" si="2"/>
        <v>158392</v>
      </c>
      <c r="G38" s="139">
        <f t="shared" si="2"/>
        <v>99889</v>
      </c>
      <c r="H38" s="140"/>
    </row>
    <row r="39" spans="1:8" ht="12" customHeight="1" x14ac:dyDescent="0.2">
      <c r="A39" s="107"/>
      <c r="B39" s="107"/>
      <c r="C39" s="108"/>
      <c r="D39" s="109"/>
      <c r="E39" s="110"/>
      <c r="F39" s="110"/>
      <c r="G39" s="110"/>
      <c r="H39" s="111"/>
    </row>
    <row r="40" spans="1:8" x14ac:dyDescent="0.2">
      <c r="A40" s="112" t="s">
        <v>295</v>
      </c>
      <c r="B40" s="113"/>
      <c r="C40" s="114"/>
      <c r="D40" s="115"/>
      <c r="E40" s="115"/>
      <c r="F40" s="115"/>
      <c r="G40" s="115"/>
      <c r="H40" s="116"/>
    </row>
    <row r="41" spans="1:8" x14ac:dyDescent="0.2">
      <c r="A41" s="117" t="s">
        <v>287</v>
      </c>
      <c r="B41" s="113" t="s">
        <v>296</v>
      </c>
      <c r="C41" s="113"/>
      <c r="D41" s="115"/>
      <c r="E41" s="115"/>
      <c r="F41" s="115"/>
      <c r="G41" s="115"/>
      <c r="H41" s="116"/>
    </row>
    <row r="42" spans="1:8" x14ac:dyDescent="0.2">
      <c r="A42" s="117" t="s">
        <v>288</v>
      </c>
      <c r="B42" s="113" t="s">
        <v>297</v>
      </c>
      <c r="C42" s="113"/>
      <c r="D42" s="115"/>
      <c r="E42" s="115"/>
      <c r="F42" s="115"/>
      <c r="G42" s="115"/>
      <c r="H42" s="116"/>
    </row>
    <row r="43" spans="1:8" x14ac:dyDescent="0.2">
      <c r="A43" s="117" t="s">
        <v>286</v>
      </c>
      <c r="B43" s="113" t="s">
        <v>298</v>
      </c>
      <c r="C43" s="113"/>
      <c r="D43" s="112"/>
      <c r="E43" s="118"/>
      <c r="F43" s="112"/>
      <c r="G43" s="112"/>
      <c r="H43" s="116"/>
    </row>
    <row r="44" spans="1:8" x14ac:dyDescent="0.2">
      <c r="A44" s="117" t="s">
        <v>289</v>
      </c>
      <c r="B44" s="113" t="s">
        <v>299</v>
      </c>
      <c r="C44" s="113"/>
      <c r="D44" s="112"/>
      <c r="E44" s="118"/>
      <c r="F44" s="112"/>
      <c r="G44" s="112"/>
      <c r="H44" s="116"/>
    </row>
    <row r="45" spans="1:8" x14ac:dyDescent="0.2">
      <c r="E45" s="96"/>
    </row>
    <row r="46" spans="1:8" x14ac:dyDescent="0.2">
      <c r="E46" s="96"/>
    </row>
    <row r="47" spans="1:8" x14ac:dyDescent="0.2">
      <c r="E47" s="96"/>
    </row>
    <row r="48" spans="1:8" x14ac:dyDescent="0.2">
      <c r="E48" s="96"/>
    </row>
    <row r="49" spans="5:5" x14ac:dyDescent="0.2">
      <c r="E49" s="96"/>
    </row>
    <row r="50" spans="5:5" x14ac:dyDescent="0.2">
      <c r="E50" s="96"/>
    </row>
    <row r="51" spans="5:5" x14ac:dyDescent="0.2">
      <c r="E51" s="96"/>
    </row>
    <row r="52" spans="5:5" x14ac:dyDescent="0.2">
      <c r="E52" s="96"/>
    </row>
    <row r="53" spans="5:5" x14ac:dyDescent="0.2">
      <c r="E53" s="96"/>
    </row>
    <row r="54" spans="5:5" x14ac:dyDescent="0.2">
      <c r="E54" s="96"/>
    </row>
    <row r="55" spans="5:5" x14ac:dyDescent="0.2">
      <c r="E55" s="96"/>
    </row>
    <row r="56" spans="5:5" x14ac:dyDescent="0.2">
      <c r="E56" s="96"/>
    </row>
    <row r="57" spans="5:5" x14ac:dyDescent="0.2">
      <c r="E57" s="96"/>
    </row>
    <row r="58" spans="5:5" x14ac:dyDescent="0.2">
      <c r="E58" s="96"/>
    </row>
    <row r="59" spans="5:5" x14ac:dyDescent="0.2">
      <c r="E59" s="96"/>
    </row>
    <row r="60" spans="5:5" x14ac:dyDescent="0.2">
      <c r="E60" s="96"/>
    </row>
    <row r="61" spans="5:5" x14ac:dyDescent="0.2">
      <c r="E61" s="96"/>
    </row>
    <row r="62" spans="5:5" x14ac:dyDescent="0.2">
      <c r="E62" s="96"/>
    </row>
    <row r="63" spans="5:5" x14ac:dyDescent="0.2">
      <c r="E63" s="96"/>
    </row>
    <row r="64" spans="5:5" x14ac:dyDescent="0.2">
      <c r="E64" s="96"/>
    </row>
    <row r="65" spans="5:5" x14ac:dyDescent="0.2">
      <c r="E65" s="96"/>
    </row>
    <row r="66" spans="5:5" x14ac:dyDescent="0.2">
      <c r="E66" s="96"/>
    </row>
    <row r="67" spans="5:5" x14ac:dyDescent="0.2">
      <c r="E67" s="96"/>
    </row>
    <row r="68" spans="5:5" x14ac:dyDescent="0.2">
      <c r="E68" s="96"/>
    </row>
    <row r="69" spans="5:5" x14ac:dyDescent="0.2">
      <c r="E69" s="96"/>
    </row>
    <row r="70" spans="5:5" x14ac:dyDescent="0.2">
      <c r="E70" s="96"/>
    </row>
    <row r="71" spans="5:5" x14ac:dyDescent="0.2">
      <c r="E71" s="96"/>
    </row>
    <row r="72" spans="5:5" x14ac:dyDescent="0.2">
      <c r="E72" s="96"/>
    </row>
    <row r="73" spans="5:5" x14ac:dyDescent="0.2">
      <c r="E73" s="96"/>
    </row>
    <row r="74" spans="5:5" x14ac:dyDescent="0.2">
      <c r="E74" s="96"/>
    </row>
    <row r="75" spans="5:5" x14ac:dyDescent="0.2">
      <c r="E75" s="96"/>
    </row>
    <row r="76" spans="5:5" x14ac:dyDescent="0.2">
      <c r="E76" s="96"/>
    </row>
    <row r="77" spans="5:5" x14ac:dyDescent="0.2">
      <c r="E77" s="96"/>
    </row>
    <row r="78" spans="5:5" x14ac:dyDescent="0.2">
      <c r="E78" s="96"/>
    </row>
    <row r="79" spans="5:5" x14ac:dyDescent="0.2">
      <c r="E79" s="96"/>
    </row>
    <row r="80" spans="5:5" x14ac:dyDescent="0.2">
      <c r="E80" s="96"/>
    </row>
  </sheetData>
  <mergeCells count="23">
    <mergeCell ref="A1:H1"/>
    <mergeCell ref="A8:H8"/>
    <mergeCell ref="A5:H5"/>
    <mergeCell ref="A13:H13"/>
    <mergeCell ref="A17:A18"/>
    <mergeCell ref="A3:A4"/>
    <mergeCell ref="B3:B4"/>
    <mergeCell ref="C3:C4"/>
    <mergeCell ref="D3:D4"/>
    <mergeCell ref="E3:G3"/>
    <mergeCell ref="H3:H4"/>
    <mergeCell ref="A36:C36"/>
    <mergeCell ref="A38:C38"/>
    <mergeCell ref="A7:C7"/>
    <mergeCell ref="A12:C12"/>
    <mergeCell ref="A21:C21"/>
    <mergeCell ref="A24:C24"/>
    <mergeCell ref="A27:C27"/>
    <mergeCell ref="A22:H22"/>
    <mergeCell ref="A25:H25"/>
    <mergeCell ref="A28:H28"/>
    <mergeCell ref="A32:H32"/>
    <mergeCell ref="A31:C31"/>
  </mergeCells>
  <printOptions horizontalCentered="1"/>
  <pageMargins left="0.31496062992125984" right="0.31496062992125984" top="0.98425196850393704" bottom="0.39370078740157483" header="0.51181102362204722" footer="0.11811023622047245"/>
  <pageSetup paperSize="9" scale="85" firstPageNumber="21" fitToHeight="0" orientation="portrait" useFirstPageNumber="1" r:id="rId1"/>
  <headerFooter>
    <oddHeader>&amp;L&amp;"Tahoma,Kurzíva"&amp;10Návrh rozpočtu na rok 2018
Příloha č. 10&amp;R&amp;"Tahoma,Kurzíva"&amp;10Přehled akcí v rámci aktivit chytrého regionu v návrhu rozpočtu kraje na rok 2018</oddHeader>
    <oddFooter>&amp;C&amp;"Tahoma,Obyčejné"&amp;10&amp;P</oddFooter>
  </headerFooter>
  <ignoredErrors>
    <ignoredError sqref="E4:G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8"/>
  <sheetViews>
    <sheetView zoomScaleNormal="100" zoomScaleSheetLayoutView="100" workbookViewId="0">
      <selection activeCell="E30" sqref="E30"/>
    </sheetView>
  </sheetViews>
  <sheetFormatPr defaultRowHeight="10.5" x14ac:dyDescent="0.15"/>
  <cols>
    <col min="1" max="1" width="7" style="278" customWidth="1"/>
    <col min="2" max="2" width="30" style="188" customWidth="1"/>
    <col min="3" max="3" width="12.140625" style="189" customWidth="1"/>
    <col min="4" max="4" width="52.7109375" style="190" customWidth="1"/>
    <col min="5" max="5" width="9.140625" style="191"/>
    <col min="6" max="6" width="9.140625" style="192" customWidth="1"/>
    <col min="7" max="16384" width="9.140625" style="192"/>
  </cols>
  <sheetData>
    <row r="1" spans="1:7" s="185" customFormat="1" ht="21" customHeight="1" x14ac:dyDescent="0.2">
      <c r="A1" s="529" t="s">
        <v>359</v>
      </c>
      <c r="B1" s="529"/>
      <c r="C1" s="529"/>
      <c r="D1" s="529"/>
      <c r="E1" s="184"/>
    </row>
    <row r="2" spans="1:7" s="185" customFormat="1" ht="18" customHeight="1" x14ac:dyDescent="0.2">
      <c r="A2" s="186"/>
      <c r="B2" s="186"/>
      <c r="C2" s="186"/>
      <c r="D2" s="186"/>
      <c r="E2" s="184"/>
    </row>
    <row r="3" spans="1:7" ht="15" customHeight="1" thickBot="1" x14ac:dyDescent="0.2">
      <c r="A3" s="187" t="s">
        <v>360</v>
      </c>
    </row>
    <row r="4" spans="1:7" ht="26.25" customHeight="1" thickBot="1" x14ac:dyDescent="0.2">
      <c r="A4" s="193" t="s">
        <v>361</v>
      </c>
      <c r="B4" s="194" t="s">
        <v>362</v>
      </c>
      <c r="C4" s="195" t="s">
        <v>363</v>
      </c>
      <c r="D4" s="196" t="s">
        <v>364</v>
      </c>
    </row>
    <row r="5" spans="1:7" ht="24.75" customHeight="1" thickTop="1" x14ac:dyDescent="0.15">
      <c r="A5" s="197">
        <v>1111</v>
      </c>
      <c r="B5" s="198" t="s">
        <v>365</v>
      </c>
      <c r="C5" s="199">
        <v>1430000</v>
      </c>
      <c r="D5" s="200" t="s">
        <v>366</v>
      </c>
    </row>
    <row r="6" spans="1:7" ht="24" customHeight="1" x14ac:dyDescent="0.15">
      <c r="A6" s="197">
        <v>1112</v>
      </c>
      <c r="B6" s="198" t="s">
        <v>367</v>
      </c>
      <c r="C6" s="199">
        <v>40000</v>
      </c>
      <c r="D6" s="200" t="s">
        <v>368</v>
      </c>
    </row>
    <row r="7" spans="1:7" ht="24" customHeight="1" x14ac:dyDescent="0.15">
      <c r="A7" s="197">
        <v>1113</v>
      </c>
      <c r="B7" s="198" t="s">
        <v>369</v>
      </c>
      <c r="C7" s="199">
        <v>130000</v>
      </c>
      <c r="D7" s="200" t="s">
        <v>370</v>
      </c>
    </row>
    <row r="8" spans="1:7" ht="24" customHeight="1" x14ac:dyDescent="0.15">
      <c r="A8" s="197">
        <v>1121</v>
      </c>
      <c r="B8" s="198" t="s">
        <v>371</v>
      </c>
      <c r="C8" s="199">
        <v>1400000</v>
      </c>
      <c r="D8" s="200" t="s">
        <v>372</v>
      </c>
    </row>
    <row r="9" spans="1:7" ht="24" customHeight="1" x14ac:dyDescent="0.15">
      <c r="A9" s="197">
        <v>1123</v>
      </c>
      <c r="B9" s="198" t="s">
        <v>373</v>
      </c>
      <c r="C9" s="199">
        <v>25300</v>
      </c>
      <c r="D9" s="200" t="s">
        <v>374</v>
      </c>
    </row>
    <row r="10" spans="1:7" ht="24" customHeight="1" x14ac:dyDescent="0.15">
      <c r="A10" s="197">
        <v>1211</v>
      </c>
      <c r="B10" s="198" t="s">
        <v>375</v>
      </c>
      <c r="C10" s="199">
        <v>3400000</v>
      </c>
      <c r="D10" s="200" t="s">
        <v>376</v>
      </c>
    </row>
    <row r="11" spans="1:7" ht="45.75" customHeight="1" thickBot="1" x14ac:dyDescent="0.2">
      <c r="A11" s="201">
        <v>1361</v>
      </c>
      <c r="B11" s="202" t="s">
        <v>377</v>
      </c>
      <c r="C11" s="203">
        <v>1750</v>
      </c>
      <c r="D11" s="204" t="s">
        <v>378</v>
      </c>
    </row>
    <row r="12" spans="1:7" s="210" customFormat="1" ht="15.75" customHeight="1" thickTop="1" thickBot="1" x14ac:dyDescent="0.2">
      <c r="A12" s="205" t="s">
        <v>379</v>
      </c>
      <c r="B12" s="206"/>
      <c r="C12" s="207">
        <f>SUM(C5:C11)</f>
        <v>6427050</v>
      </c>
      <c r="D12" s="208"/>
      <c r="E12" s="209"/>
    </row>
    <row r="13" spans="1:7" s="210" customFormat="1" ht="15.75" customHeight="1" x14ac:dyDescent="0.15">
      <c r="A13" s="211"/>
      <c r="B13" s="212"/>
      <c r="C13" s="213"/>
      <c r="D13" s="214"/>
      <c r="E13" s="209"/>
    </row>
    <row r="14" spans="1:7" s="210" customFormat="1" ht="15" customHeight="1" x14ac:dyDescent="0.15">
      <c r="A14" s="215"/>
      <c r="B14" s="212"/>
      <c r="C14" s="213"/>
      <c r="D14" s="214"/>
      <c r="E14" s="209"/>
    </row>
    <row r="15" spans="1:7" s="210" customFormat="1" ht="15" customHeight="1" thickBot="1" x14ac:dyDescent="0.2">
      <c r="A15" s="216" t="s">
        <v>380</v>
      </c>
      <c r="B15" s="217"/>
      <c r="C15" s="218"/>
      <c r="D15" s="219"/>
      <c r="E15" s="209"/>
    </row>
    <row r="16" spans="1:7" s="223" customFormat="1" ht="26.25" customHeight="1" thickBot="1" x14ac:dyDescent="0.2">
      <c r="A16" s="193" t="s">
        <v>361</v>
      </c>
      <c r="B16" s="194" t="s">
        <v>362</v>
      </c>
      <c r="C16" s="220" t="s">
        <v>363</v>
      </c>
      <c r="D16" s="196" t="s">
        <v>364</v>
      </c>
      <c r="E16" s="221"/>
      <c r="F16" s="222"/>
      <c r="G16" s="222"/>
    </row>
    <row r="17" spans="1:7" ht="35.25" customHeight="1" thickTop="1" x14ac:dyDescent="0.15">
      <c r="A17" s="530">
        <v>2111</v>
      </c>
      <c r="B17" s="531" t="s">
        <v>381</v>
      </c>
      <c r="C17" s="224">
        <v>1189</v>
      </c>
      <c r="D17" s="225" t="s">
        <v>382</v>
      </c>
      <c r="E17" s="226"/>
      <c r="F17" s="227"/>
      <c r="G17" s="227"/>
    </row>
    <row r="18" spans="1:7" ht="24" customHeight="1" x14ac:dyDescent="0.15">
      <c r="A18" s="517"/>
      <c r="B18" s="520"/>
      <c r="C18" s="228">
        <v>605</v>
      </c>
      <c r="D18" s="229" t="s">
        <v>383</v>
      </c>
      <c r="E18" s="226"/>
      <c r="F18" s="227"/>
      <c r="G18" s="227"/>
    </row>
    <row r="19" spans="1:7" ht="34.5" customHeight="1" x14ac:dyDescent="0.15">
      <c r="A19" s="517"/>
      <c r="B19" s="520"/>
      <c r="C19" s="228">
        <v>810</v>
      </c>
      <c r="D19" s="229" t="s">
        <v>384</v>
      </c>
      <c r="E19" s="226"/>
      <c r="F19" s="227"/>
      <c r="G19" s="227"/>
    </row>
    <row r="20" spans="1:7" ht="15" customHeight="1" x14ac:dyDescent="0.15">
      <c r="A20" s="518"/>
      <c r="B20" s="521"/>
      <c r="C20" s="228">
        <v>300</v>
      </c>
      <c r="D20" s="229" t="s">
        <v>385</v>
      </c>
      <c r="E20" s="226"/>
      <c r="F20" s="227"/>
      <c r="G20" s="227"/>
    </row>
    <row r="21" spans="1:7" ht="15" customHeight="1" x14ac:dyDescent="0.15">
      <c r="A21" s="230">
        <v>2119</v>
      </c>
      <c r="B21" s="198" t="s">
        <v>386</v>
      </c>
      <c r="C21" s="199">
        <v>2000</v>
      </c>
      <c r="D21" s="231" t="s">
        <v>387</v>
      </c>
      <c r="E21" s="226"/>
      <c r="F21" s="227"/>
      <c r="G21" s="227"/>
    </row>
    <row r="22" spans="1:7" ht="45" customHeight="1" x14ac:dyDescent="0.15">
      <c r="A22" s="232">
        <v>2122</v>
      </c>
      <c r="B22" s="233" t="s">
        <v>388</v>
      </c>
      <c r="C22" s="199">
        <v>47650</v>
      </c>
      <c r="D22" s="231" t="s">
        <v>389</v>
      </c>
      <c r="E22" s="226"/>
      <c r="F22" s="227"/>
      <c r="G22" s="227"/>
    </row>
    <row r="23" spans="1:7" ht="24" customHeight="1" x14ac:dyDescent="0.15">
      <c r="A23" s="232">
        <v>2131</v>
      </c>
      <c r="B23" s="234" t="s">
        <v>390</v>
      </c>
      <c r="C23" s="199">
        <v>40</v>
      </c>
      <c r="D23" s="231" t="s">
        <v>391</v>
      </c>
      <c r="E23" s="226"/>
      <c r="F23" s="227"/>
      <c r="G23" s="227"/>
    </row>
    <row r="24" spans="1:7" ht="24" customHeight="1" x14ac:dyDescent="0.15">
      <c r="A24" s="525">
        <v>2132</v>
      </c>
      <c r="B24" s="528" t="s">
        <v>392</v>
      </c>
      <c r="C24" s="199">
        <v>8954</v>
      </c>
      <c r="D24" s="231" t="s">
        <v>393</v>
      </c>
      <c r="E24" s="226"/>
      <c r="F24" s="227"/>
      <c r="G24" s="227"/>
    </row>
    <row r="25" spans="1:7" ht="34.5" customHeight="1" x14ac:dyDescent="0.15">
      <c r="A25" s="525"/>
      <c r="B25" s="528"/>
      <c r="C25" s="199">
        <v>17328</v>
      </c>
      <c r="D25" s="231" t="s">
        <v>394</v>
      </c>
      <c r="E25" s="226"/>
      <c r="F25" s="227"/>
      <c r="G25" s="227"/>
    </row>
    <row r="26" spans="1:7" ht="45" customHeight="1" x14ac:dyDescent="0.15">
      <c r="A26" s="525"/>
      <c r="B26" s="528"/>
      <c r="C26" s="199">
        <v>1800</v>
      </c>
      <c r="D26" s="231" t="s">
        <v>395</v>
      </c>
      <c r="E26" s="226"/>
      <c r="F26" s="227"/>
      <c r="G26" s="227"/>
    </row>
    <row r="27" spans="1:7" ht="34.5" customHeight="1" x14ac:dyDescent="0.15">
      <c r="A27" s="235">
        <v>2139</v>
      </c>
      <c r="B27" s="236" t="s">
        <v>396</v>
      </c>
      <c r="C27" s="228">
        <v>8</v>
      </c>
      <c r="D27" s="229" t="s">
        <v>397</v>
      </c>
      <c r="E27" s="226"/>
      <c r="F27" s="227"/>
      <c r="G27" s="227"/>
    </row>
    <row r="28" spans="1:7" ht="24" customHeight="1" x14ac:dyDescent="0.15">
      <c r="A28" s="230">
        <v>2141</v>
      </c>
      <c r="B28" s="198" t="s">
        <v>398</v>
      </c>
      <c r="C28" s="199">
        <v>8000</v>
      </c>
      <c r="D28" s="231" t="s">
        <v>399</v>
      </c>
      <c r="E28" s="226"/>
      <c r="F28" s="227"/>
      <c r="G28" s="227"/>
    </row>
    <row r="29" spans="1:7" ht="24" customHeight="1" x14ac:dyDescent="0.15">
      <c r="A29" s="235">
        <v>2211</v>
      </c>
      <c r="B29" s="236" t="s">
        <v>400</v>
      </c>
      <c r="C29" s="228">
        <v>5</v>
      </c>
      <c r="D29" s="229" t="s">
        <v>401</v>
      </c>
      <c r="E29" s="226"/>
      <c r="F29" s="227"/>
      <c r="G29" s="227"/>
    </row>
    <row r="30" spans="1:7" ht="66" customHeight="1" x14ac:dyDescent="0.15">
      <c r="A30" s="525">
        <v>2212</v>
      </c>
      <c r="B30" s="528" t="s">
        <v>402</v>
      </c>
      <c r="C30" s="199">
        <v>30</v>
      </c>
      <c r="D30" s="231" t="s">
        <v>403</v>
      </c>
      <c r="E30" s="226"/>
      <c r="F30" s="227"/>
      <c r="G30" s="227"/>
    </row>
    <row r="31" spans="1:7" ht="54.75" customHeight="1" x14ac:dyDescent="0.15">
      <c r="A31" s="525"/>
      <c r="B31" s="528"/>
      <c r="C31" s="199">
        <v>5000</v>
      </c>
      <c r="D31" s="231" t="s">
        <v>404</v>
      </c>
      <c r="E31" s="226"/>
      <c r="F31" s="227"/>
      <c r="G31" s="227"/>
    </row>
    <row r="32" spans="1:7" ht="24" customHeight="1" x14ac:dyDescent="0.15">
      <c r="A32" s="525">
        <v>2324</v>
      </c>
      <c r="B32" s="519" t="s">
        <v>405</v>
      </c>
      <c r="C32" s="199">
        <v>15</v>
      </c>
      <c r="D32" s="231" t="s">
        <v>406</v>
      </c>
      <c r="E32" s="226"/>
      <c r="F32" s="227"/>
      <c r="G32" s="227"/>
    </row>
    <row r="33" spans="1:13" ht="24" customHeight="1" x14ac:dyDescent="0.15">
      <c r="A33" s="525"/>
      <c r="B33" s="520"/>
      <c r="C33" s="199">
        <v>50</v>
      </c>
      <c r="D33" s="231" t="s">
        <v>407</v>
      </c>
      <c r="E33" s="226"/>
      <c r="F33" s="227"/>
      <c r="G33" s="227"/>
    </row>
    <row r="34" spans="1:13" ht="34.5" customHeight="1" x14ac:dyDescent="0.15">
      <c r="A34" s="525"/>
      <c r="B34" s="520"/>
      <c r="C34" s="199">
        <v>650</v>
      </c>
      <c r="D34" s="231" t="s">
        <v>408</v>
      </c>
      <c r="E34" s="226"/>
      <c r="F34" s="227"/>
      <c r="G34" s="227"/>
    </row>
    <row r="35" spans="1:13" ht="34.5" customHeight="1" x14ac:dyDescent="0.15">
      <c r="A35" s="230">
        <v>2329</v>
      </c>
      <c r="B35" s="198" t="s">
        <v>409</v>
      </c>
      <c r="C35" s="199">
        <v>4400</v>
      </c>
      <c r="D35" s="231" t="s">
        <v>410</v>
      </c>
      <c r="E35" s="226"/>
      <c r="F35" s="227"/>
      <c r="G35" s="227"/>
    </row>
    <row r="36" spans="1:13" ht="34.5" customHeight="1" x14ac:dyDescent="0.15">
      <c r="A36" s="230">
        <v>2342</v>
      </c>
      <c r="B36" s="198" t="s">
        <v>411</v>
      </c>
      <c r="C36" s="199">
        <v>15000</v>
      </c>
      <c r="D36" s="231" t="s">
        <v>412</v>
      </c>
      <c r="E36" s="226"/>
      <c r="F36" s="227"/>
      <c r="G36" s="227"/>
    </row>
    <row r="37" spans="1:13" ht="34.5" customHeight="1" x14ac:dyDescent="0.15">
      <c r="A37" s="230">
        <v>2412</v>
      </c>
      <c r="B37" s="198" t="s">
        <v>413</v>
      </c>
      <c r="C37" s="199">
        <v>28757</v>
      </c>
      <c r="D37" s="231" t="s">
        <v>469</v>
      </c>
      <c r="E37" s="226"/>
      <c r="F37" s="227"/>
      <c r="G37" s="227"/>
    </row>
    <row r="38" spans="1:13" ht="34.5" customHeight="1" x14ac:dyDescent="0.15">
      <c r="A38" s="230" t="s">
        <v>414</v>
      </c>
      <c r="B38" s="198" t="s">
        <v>415</v>
      </c>
      <c r="C38" s="199">
        <v>39687</v>
      </c>
      <c r="D38" s="231" t="s">
        <v>416</v>
      </c>
      <c r="E38" s="226"/>
      <c r="F38" s="227"/>
      <c r="G38" s="227"/>
    </row>
    <row r="39" spans="1:13" ht="24" customHeight="1" x14ac:dyDescent="0.15">
      <c r="A39" s="232">
        <v>2441</v>
      </c>
      <c r="B39" s="233" t="s">
        <v>417</v>
      </c>
      <c r="C39" s="237">
        <v>3225</v>
      </c>
      <c r="D39" s="231" t="s">
        <v>469</v>
      </c>
      <c r="E39" s="226"/>
      <c r="F39" s="227"/>
      <c r="G39" s="227"/>
    </row>
    <row r="40" spans="1:13" ht="24" customHeight="1" x14ac:dyDescent="0.15">
      <c r="A40" s="522">
        <v>2451</v>
      </c>
      <c r="B40" s="519" t="s">
        <v>418</v>
      </c>
      <c r="C40" s="237">
        <v>87000</v>
      </c>
      <c r="D40" s="238" t="s">
        <v>419</v>
      </c>
      <c r="E40" s="226"/>
      <c r="F40" s="227"/>
      <c r="G40" s="227"/>
    </row>
    <row r="41" spans="1:13" ht="42" x14ac:dyDescent="0.15">
      <c r="A41" s="523"/>
      <c r="B41" s="520"/>
      <c r="C41" s="237">
        <v>6200</v>
      </c>
      <c r="D41" s="238" t="s">
        <v>420</v>
      </c>
      <c r="E41" s="226"/>
      <c r="F41" s="227"/>
      <c r="G41" s="227"/>
    </row>
    <row r="42" spans="1:13" ht="34.5" customHeight="1" x14ac:dyDescent="0.15">
      <c r="A42" s="523"/>
      <c r="B42" s="520"/>
      <c r="C42" s="237">
        <v>333917</v>
      </c>
      <c r="D42" s="238" t="s">
        <v>421</v>
      </c>
      <c r="E42" s="239"/>
      <c r="F42" s="240"/>
      <c r="G42" s="240"/>
      <c r="H42" s="240"/>
      <c r="I42" s="240"/>
      <c r="J42" s="240"/>
      <c r="K42" s="240"/>
      <c r="L42" s="240"/>
      <c r="M42" s="240"/>
    </row>
    <row r="43" spans="1:13" ht="24.75" customHeight="1" thickBot="1" x14ac:dyDescent="0.2">
      <c r="A43" s="526"/>
      <c r="B43" s="527"/>
      <c r="C43" s="203">
        <v>500</v>
      </c>
      <c r="D43" s="241" t="s">
        <v>467</v>
      </c>
      <c r="E43" s="226"/>
      <c r="F43" s="227"/>
      <c r="G43" s="227"/>
    </row>
    <row r="44" spans="1:13" s="248" customFormat="1" ht="15.75" customHeight="1" thickTop="1" thickBot="1" x14ac:dyDescent="0.2">
      <c r="A44" s="242" t="s">
        <v>422</v>
      </c>
      <c r="B44" s="243"/>
      <c r="C44" s="244">
        <f>SUM(C17:C43)</f>
        <v>613120</v>
      </c>
      <c r="D44" s="245"/>
      <c r="E44" s="246"/>
      <c r="F44" s="247"/>
      <c r="G44" s="247"/>
    </row>
    <row r="45" spans="1:13" s="248" customFormat="1" ht="15.75" customHeight="1" x14ac:dyDescent="0.15">
      <c r="A45" s="211"/>
      <c r="B45" s="212"/>
      <c r="C45" s="249"/>
      <c r="D45" s="250"/>
      <c r="E45" s="246"/>
      <c r="F45" s="247"/>
      <c r="G45" s="247"/>
    </row>
    <row r="46" spans="1:13" ht="15" customHeight="1" x14ac:dyDescent="0.15">
      <c r="A46" s="215"/>
      <c r="B46" s="212"/>
      <c r="C46" s="213"/>
      <c r="D46" s="251"/>
      <c r="E46" s="226"/>
      <c r="F46" s="227"/>
      <c r="G46" s="227"/>
    </row>
    <row r="47" spans="1:13" ht="15" customHeight="1" thickBot="1" x14ac:dyDescent="0.2">
      <c r="A47" s="252" t="s">
        <v>423</v>
      </c>
      <c r="B47" s="253"/>
      <c r="C47" s="254"/>
      <c r="D47" s="255"/>
      <c r="E47" s="226"/>
      <c r="F47" s="227"/>
      <c r="G47" s="227"/>
    </row>
    <row r="48" spans="1:13" ht="26.25" customHeight="1" thickBot="1" x14ac:dyDescent="0.2">
      <c r="A48" s="193" t="s">
        <v>361</v>
      </c>
      <c r="B48" s="194" t="s">
        <v>362</v>
      </c>
      <c r="C48" s="220" t="s">
        <v>363</v>
      </c>
      <c r="D48" s="196" t="s">
        <v>364</v>
      </c>
      <c r="E48" s="226"/>
      <c r="F48" s="227"/>
      <c r="G48" s="227"/>
    </row>
    <row r="49" spans="1:7" ht="24.75" customHeight="1" thickTop="1" x14ac:dyDescent="0.15">
      <c r="A49" s="256">
        <v>3111</v>
      </c>
      <c r="B49" s="257" t="s">
        <v>424</v>
      </c>
      <c r="C49" s="199">
        <v>20000</v>
      </c>
      <c r="D49" s="225" t="s">
        <v>425</v>
      </c>
      <c r="E49" s="226"/>
      <c r="F49" s="227"/>
      <c r="G49" s="227"/>
    </row>
    <row r="50" spans="1:7" ht="24" customHeight="1" x14ac:dyDescent="0.15">
      <c r="A50" s="230">
        <v>3112</v>
      </c>
      <c r="B50" s="198" t="s">
        <v>426</v>
      </c>
      <c r="C50" s="199">
        <v>30000</v>
      </c>
      <c r="D50" s="231" t="s">
        <v>427</v>
      </c>
      <c r="E50" s="226"/>
      <c r="F50" s="227"/>
      <c r="G50" s="227"/>
    </row>
    <row r="51" spans="1:7" ht="35.25" customHeight="1" thickBot="1" x14ac:dyDescent="0.2">
      <c r="A51" s="258">
        <v>3129</v>
      </c>
      <c r="B51" s="259" t="s">
        <v>428</v>
      </c>
      <c r="C51" s="203">
        <v>16000</v>
      </c>
      <c r="D51" s="241" t="s">
        <v>429</v>
      </c>
      <c r="E51" s="226"/>
      <c r="F51" s="227"/>
      <c r="G51" s="227"/>
    </row>
    <row r="52" spans="1:7" s="210" customFormat="1" ht="15.75" customHeight="1" thickTop="1" thickBot="1" x14ac:dyDescent="0.2">
      <c r="A52" s="242" t="s">
        <v>430</v>
      </c>
      <c r="B52" s="243"/>
      <c r="C52" s="244">
        <f>SUM(C49:C51)</f>
        <v>66000</v>
      </c>
      <c r="D52" s="245"/>
      <c r="E52" s="260"/>
      <c r="F52" s="261"/>
      <c r="G52" s="261"/>
    </row>
    <row r="53" spans="1:7" s="223" customFormat="1" ht="15" customHeight="1" x14ac:dyDescent="0.15">
      <c r="A53" s="262"/>
      <c r="B53" s="263"/>
      <c r="C53" s="249"/>
      <c r="D53" s="264"/>
      <c r="E53" s="221"/>
      <c r="F53" s="222"/>
      <c r="G53" s="222"/>
    </row>
    <row r="54" spans="1:7" s="223" customFormat="1" ht="15" customHeight="1" x14ac:dyDescent="0.15">
      <c r="A54" s="215"/>
      <c r="B54" s="212"/>
      <c r="C54" s="213"/>
      <c r="D54" s="251"/>
      <c r="E54" s="221"/>
      <c r="F54" s="222"/>
      <c r="G54" s="222"/>
    </row>
    <row r="55" spans="1:7" s="223" customFormat="1" ht="15" customHeight="1" thickBot="1" x14ac:dyDescent="0.2">
      <c r="A55" s="216" t="s">
        <v>431</v>
      </c>
      <c r="B55" s="217"/>
      <c r="C55" s="213"/>
      <c r="D55" s="251"/>
      <c r="E55" s="221"/>
      <c r="F55" s="222"/>
      <c r="G55" s="222"/>
    </row>
    <row r="56" spans="1:7" s="223" customFormat="1" ht="26.25" customHeight="1" thickBot="1" x14ac:dyDescent="0.2">
      <c r="A56" s="265" t="s">
        <v>361</v>
      </c>
      <c r="B56" s="266" t="s">
        <v>362</v>
      </c>
      <c r="C56" s="267" t="s">
        <v>363</v>
      </c>
      <c r="D56" s="196" t="s">
        <v>364</v>
      </c>
      <c r="E56" s="221"/>
      <c r="F56" s="222"/>
      <c r="G56" s="222"/>
    </row>
    <row r="57" spans="1:7" s="269" customFormat="1" ht="35.25" customHeight="1" thickTop="1" x14ac:dyDescent="0.15">
      <c r="A57" s="235">
        <v>4112</v>
      </c>
      <c r="B57" s="236" t="s">
        <v>468</v>
      </c>
      <c r="C57" s="199">
        <v>130188</v>
      </c>
      <c r="D57" s="231" t="s">
        <v>432</v>
      </c>
      <c r="E57" s="268"/>
      <c r="F57" s="268"/>
      <c r="G57" s="268"/>
    </row>
    <row r="58" spans="1:7" s="269" customFormat="1" ht="15" x14ac:dyDescent="0.25">
      <c r="A58" s="516">
        <v>4113</v>
      </c>
      <c r="B58" s="519" t="s">
        <v>433</v>
      </c>
      <c r="C58" s="199">
        <v>10.35</v>
      </c>
      <c r="D58" s="231" t="s">
        <v>263</v>
      </c>
      <c r="E58" s="270"/>
      <c r="F58" s="271"/>
      <c r="G58" s="268"/>
    </row>
    <row r="59" spans="1:7" s="269" customFormat="1" ht="15" x14ac:dyDescent="0.25">
      <c r="A59" s="517"/>
      <c r="B59" s="520"/>
      <c r="C59" s="199">
        <v>42</v>
      </c>
      <c r="D59" s="231" t="s">
        <v>265</v>
      </c>
      <c r="E59" s="270"/>
      <c r="F59" s="271"/>
      <c r="G59" s="268"/>
    </row>
    <row r="60" spans="1:7" s="269" customFormat="1" ht="15" x14ac:dyDescent="0.25">
      <c r="A60" s="517"/>
      <c r="B60" s="520"/>
      <c r="C60" s="199">
        <v>10.199999999999999</v>
      </c>
      <c r="D60" s="231" t="s">
        <v>259</v>
      </c>
      <c r="E60" s="270"/>
      <c r="F60" s="271"/>
      <c r="G60" s="268"/>
    </row>
    <row r="61" spans="1:7" s="269" customFormat="1" ht="15" x14ac:dyDescent="0.25">
      <c r="A61" s="517"/>
      <c r="B61" s="520"/>
      <c r="C61" s="199">
        <v>8.6999999999999993</v>
      </c>
      <c r="D61" s="231" t="s">
        <v>261</v>
      </c>
      <c r="E61" s="270"/>
      <c r="F61" s="271"/>
      <c r="G61" s="268"/>
    </row>
    <row r="62" spans="1:7" s="269" customFormat="1" ht="24" customHeight="1" x14ac:dyDescent="0.25">
      <c r="A62" s="516">
        <v>4116</v>
      </c>
      <c r="B62" s="519" t="s">
        <v>434</v>
      </c>
      <c r="C62" s="199">
        <v>10000</v>
      </c>
      <c r="D62" s="231" t="s">
        <v>435</v>
      </c>
      <c r="E62" s="270"/>
      <c r="F62" s="271"/>
      <c r="G62" s="268"/>
    </row>
    <row r="63" spans="1:7" s="269" customFormat="1" ht="15" x14ac:dyDescent="0.25">
      <c r="A63" s="517"/>
      <c r="B63" s="520"/>
      <c r="C63" s="199">
        <v>210904</v>
      </c>
      <c r="D63" s="231" t="s">
        <v>436</v>
      </c>
      <c r="E63" s="270"/>
      <c r="F63" s="271"/>
      <c r="G63" s="268"/>
    </row>
    <row r="64" spans="1:7" s="269" customFormat="1" ht="15" x14ac:dyDescent="0.25">
      <c r="A64" s="517"/>
      <c r="B64" s="520"/>
      <c r="C64" s="199">
        <v>112.24</v>
      </c>
      <c r="D64" s="231" t="s">
        <v>335</v>
      </c>
      <c r="E64" s="270"/>
      <c r="F64" s="271"/>
      <c r="G64" s="268"/>
    </row>
    <row r="65" spans="1:7" s="269" customFormat="1" ht="34.5" customHeight="1" x14ac:dyDescent="0.25">
      <c r="A65" s="517"/>
      <c r="B65" s="520"/>
      <c r="C65" s="199">
        <v>1642</v>
      </c>
      <c r="D65" s="231" t="s">
        <v>437</v>
      </c>
      <c r="E65" s="270"/>
      <c r="F65" s="271"/>
      <c r="G65" s="268"/>
    </row>
    <row r="66" spans="1:7" s="269" customFormat="1" ht="24" customHeight="1" x14ac:dyDescent="0.25">
      <c r="A66" s="517"/>
      <c r="B66" s="520"/>
      <c r="C66" s="199">
        <v>2500</v>
      </c>
      <c r="D66" s="231" t="s">
        <v>243</v>
      </c>
      <c r="E66" s="270"/>
      <c r="F66" s="271"/>
      <c r="G66" s="268"/>
    </row>
    <row r="67" spans="1:7" s="269" customFormat="1" ht="15" x14ac:dyDescent="0.25">
      <c r="A67" s="517"/>
      <c r="B67" s="520"/>
      <c r="C67" s="199">
        <v>4000</v>
      </c>
      <c r="D67" s="231" t="s">
        <v>161</v>
      </c>
      <c r="E67" s="270"/>
      <c r="F67" s="271"/>
      <c r="G67" s="268"/>
    </row>
    <row r="68" spans="1:7" s="269" customFormat="1" ht="15" x14ac:dyDescent="0.25">
      <c r="A68" s="517"/>
      <c r="B68" s="520"/>
      <c r="C68" s="199">
        <v>5</v>
      </c>
      <c r="D68" s="231" t="s">
        <v>172</v>
      </c>
      <c r="E68" s="270"/>
      <c r="F68" s="271"/>
      <c r="G68" s="268"/>
    </row>
    <row r="69" spans="1:7" s="269" customFormat="1" ht="15" x14ac:dyDescent="0.25">
      <c r="A69" s="517"/>
      <c r="B69" s="520"/>
      <c r="C69" s="199">
        <v>69</v>
      </c>
      <c r="D69" s="231" t="s">
        <v>160</v>
      </c>
      <c r="E69" s="270"/>
      <c r="F69" s="271"/>
      <c r="G69" s="268"/>
    </row>
    <row r="70" spans="1:7" s="269" customFormat="1" ht="15" x14ac:dyDescent="0.25">
      <c r="A70" s="517"/>
      <c r="B70" s="520"/>
      <c r="C70" s="199">
        <v>3732</v>
      </c>
      <c r="D70" s="231" t="s">
        <v>199</v>
      </c>
      <c r="E70" s="270"/>
      <c r="F70" s="271"/>
      <c r="G70" s="268"/>
    </row>
    <row r="71" spans="1:7" s="269" customFormat="1" ht="15" x14ac:dyDescent="0.25">
      <c r="A71" s="517"/>
      <c r="B71" s="520"/>
      <c r="C71" s="199">
        <v>15.36</v>
      </c>
      <c r="D71" s="231" t="s">
        <v>438</v>
      </c>
      <c r="E71" s="270"/>
      <c r="F71" s="271"/>
      <c r="G71" s="268"/>
    </row>
    <row r="72" spans="1:7" s="269" customFormat="1" ht="15" x14ac:dyDescent="0.25">
      <c r="A72" s="517"/>
      <c r="B72" s="520"/>
      <c r="C72" s="199">
        <v>819</v>
      </c>
      <c r="D72" s="231" t="s">
        <v>269</v>
      </c>
      <c r="E72" s="270"/>
      <c r="F72" s="271"/>
      <c r="G72" s="268"/>
    </row>
    <row r="73" spans="1:7" s="269" customFormat="1" ht="15" x14ac:dyDescent="0.25">
      <c r="A73" s="517"/>
      <c r="B73" s="520"/>
      <c r="C73" s="199">
        <v>58.65</v>
      </c>
      <c r="D73" s="231" t="s">
        <v>263</v>
      </c>
      <c r="E73" s="270"/>
      <c r="F73" s="271"/>
      <c r="G73" s="268"/>
    </row>
    <row r="74" spans="1:7" s="269" customFormat="1" ht="15" x14ac:dyDescent="0.25">
      <c r="A74" s="517"/>
      <c r="B74" s="520"/>
      <c r="C74" s="199">
        <v>34</v>
      </c>
      <c r="D74" s="231" t="s">
        <v>439</v>
      </c>
      <c r="E74" s="270"/>
      <c r="F74" s="271"/>
      <c r="G74" s="268"/>
    </row>
    <row r="75" spans="1:7" s="188" customFormat="1" ht="15" x14ac:dyDescent="0.25">
      <c r="A75" s="517"/>
      <c r="B75" s="520"/>
      <c r="C75" s="199">
        <v>4845</v>
      </c>
      <c r="D75" s="231" t="s">
        <v>105</v>
      </c>
      <c r="E75" s="270"/>
      <c r="F75" s="271"/>
      <c r="G75" s="272"/>
    </row>
    <row r="76" spans="1:7" s="188" customFormat="1" ht="24" customHeight="1" x14ac:dyDescent="0.25">
      <c r="A76" s="517"/>
      <c r="B76" s="520"/>
      <c r="C76" s="199">
        <v>500</v>
      </c>
      <c r="D76" s="231" t="s">
        <v>440</v>
      </c>
      <c r="E76" s="270"/>
      <c r="F76" s="271"/>
      <c r="G76" s="272"/>
    </row>
    <row r="77" spans="1:7" s="188" customFormat="1" ht="24" customHeight="1" x14ac:dyDescent="0.25">
      <c r="A77" s="517"/>
      <c r="B77" s="520"/>
      <c r="C77" s="199">
        <v>2500</v>
      </c>
      <c r="D77" s="231" t="s">
        <v>441</v>
      </c>
      <c r="E77" s="270"/>
      <c r="F77" s="271"/>
      <c r="G77" s="272"/>
    </row>
    <row r="78" spans="1:7" s="188" customFormat="1" ht="15" x14ac:dyDescent="0.25">
      <c r="A78" s="517"/>
      <c r="B78" s="520"/>
      <c r="C78" s="199">
        <v>71.7</v>
      </c>
      <c r="D78" s="231" t="s">
        <v>337</v>
      </c>
      <c r="E78" s="270"/>
      <c r="F78" s="271"/>
      <c r="G78" s="272"/>
    </row>
    <row r="79" spans="1:7" s="188" customFormat="1" ht="15" x14ac:dyDescent="0.25">
      <c r="A79" s="517"/>
      <c r="B79" s="520"/>
      <c r="C79" s="199">
        <v>351</v>
      </c>
      <c r="D79" s="231" t="s">
        <v>153</v>
      </c>
      <c r="E79" s="270"/>
      <c r="F79" s="271"/>
      <c r="G79" s="272"/>
    </row>
    <row r="80" spans="1:7" s="188" customFormat="1" ht="15" x14ac:dyDescent="0.25">
      <c r="A80" s="517"/>
      <c r="B80" s="520"/>
      <c r="C80" s="199">
        <v>500</v>
      </c>
      <c r="D80" s="231" t="s">
        <v>192</v>
      </c>
      <c r="E80" s="270"/>
      <c r="F80" s="271"/>
      <c r="G80" s="272"/>
    </row>
    <row r="81" spans="1:7" s="188" customFormat="1" ht="15" x14ac:dyDescent="0.25">
      <c r="A81" s="517"/>
      <c r="B81" s="520"/>
      <c r="C81" s="199">
        <v>238</v>
      </c>
      <c r="D81" s="231" t="s">
        <v>265</v>
      </c>
      <c r="E81" s="270"/>
      <c r="F81" s="271"/>
      <c r="G81" s="272"/>
    </row>
    <row r="82" spans="1:7" s="188" customFormat="1" ht="15" x14ac:dyDescent="0.25">
      <c r="A82" s="517"/>
      <c r="B82" s="520"/>
      <c r="C82" s="199">
        <v>57.8</v>
      </c>
      <c r="D82" s="231" t="s">
        <v>259</v>
      </c>
      <c r="E82" s="270"/>
      <c r="F82" s="271"/>
      <c r="G82" s="272"/>
    </row>
    <row r="83" spans="1:7" s="188" customFormat="1" ht="15" x14ac:dyDescent="0.25">
      <c r="A83" s="517"/>
      <c r="B83" s="520"/>
      <c r="C83" s="199">
        <v>49.3</v>
      </c>
      <c r="D83" s="231" t="s">
        <v>261</v>
      </c>
      <c r="E83" s="270"/>
      <c r="F83" s="271"/>
      <c r="G83" s="272"/>
    </row>
    <row r="84" spans="1:7" s="188" customFormat="1" ht="15" x14ac:dyDescent="0.25">
      <c r="A84" s="517"/>
      <c r="B84" s="520"/>
      <c r="C84" s="199">
        <v>500</v>
      </c>
      <c r="D84" s="231" t="s">
        <v>100</v>
      </c>
      <c r="E84" s="270"/>
      <c r="F84" s="271"/>
      <c r="G84" s="272"/>
    </row>
    <row r="85" spans="1:7" s="188" customFormat="1" ht="24" customHeight="1" x14ac:dyDescent="0.25">
      <c r="A85" s="518"/>
      <c r="B85" s="521"/>
      <c r="C85" s="199">
        <v>1900</v>
      </c>
      <c r="D85" s="231" t="s">
        <v>164</v>
      </c>
      <c r="E85" s="270"/>
      <c r="F85" s="271"/>
      <c r="G85" s="272"/>
    </row>
    <row r="86" spans="1:7" s="188" customFormat="1" ht="15" customHeight="1" x14ac:dyDescent="0.25">
      <c r="A86" s="516">
        <v>4118</v>
      </c>
      <c r="B86" s="519" t="s">
        <v>443</v>
      </c>
      <c r="C86" s="199">
        <v>574</v>
      </c>
      <c r="D86" s="231" t="s">
        <v>439</v>
      </c>
      <c r="E86" s="270"/>
      <c r="F86" s="271"/>
      <c r="G86" s="272"/>
    </row>
    <row r="87" spans="1:7" s="188" customFormat="1" ht="15" customHeight="1" x14ac:dyDescent="0.25">
      <c r="A87" s="518"/>
      <c r="B87" s="521"/>
      <c r="C87" s="199">
        <v>277</v>
      </c>
      <c r="D87" s="231" t="s">
        <v>165</v>
      </c>
      <c r="E87" s="270"/>
      <c r="F87" s="271"/>
      <c r="G87" s="272"/>
    </row>
    <row r="88" spans="1:7" s="188" customFormat="1" ht="15" x14ac:dyDescent="0.25">
      <c r="A88" s="522">
        <v>4121</v>
      </c>
      <c r="B88" s="519" t="s">
        <v>444</v>
      </c>
      <c r="C88" s="199">
        <v>18857</v>
      </c>
      <c r="D88" s="231" t="s">
        <v>445</v>
      </c>
      <c r="E88" s="270"/>
      <c r="F88" s="271"/>
      <c r="G88" s="272"/>
    </row>
    <row r="89" spans="1:7" s="269" customFormat="1" ht="15" x14ac:dyDescent="0.25">
      <c r="A89" s="524"/>
      <c r="B89" s="521"/>
      <c r="C89" s="199">
        <v>14247</v>
      </c>
      <c r="D89" s="231" t="s">
        <v>446</v>
      </c>
      <c r="E89" s="273"/>
      <c r="F89" s="274"/>
      <c r="G89" s="268"/>
    </row>
    <row r="90" spans="1:7" s="188" customFormat="1" ht="24" customHeight="1" x14ac:dyDescent="0.25">
      <c r="A90" s="516">
        <v>4152</v>
      </c>
      <c r="B90" s="519" t="s">
        <v>447</v>
      </c>
      <c r="C90" s="199">
        <v>700</v>
      </c>
      <c r="D90" s="231" t="s">
        <v>466</v>
      </c>
      <c r="E90" s="270"/>
      <c r="F90" s="271"/>
      <c r="G90" s="272"/>
    </row>
    <row r="91" spans="1:7" s="188" customFormat="1" ht="15" x14ac:dyDescent="0.25">
      <c r="A91" s="517"/>
      <c r="B91" s="520"/>
      <c r="C91" s="199">
        <v>85</v>
      </c>
      <c r="D91" s="231" t="s">
        <v>172</v>
      </c>
      <c r="E91" s="270"/>
      <c r="F91" s="271"/>
      <c r="G91" s="272"/>
    </row>
    <row r="92" spans="1:7" s="188" customFormat="1" ht="15" x14ac:dyDescent="0.25">
      <c r="A92" s="517"/>
      <c r="B92" s="520"/>
      <c r="C92" s="199">
        <v>1181</v>
      </c>
      <c r="D92" s="231" t="s">
        <v>160</v>
      </c>
      <c r="E92" s="270"/>
      <c r="F92" s="271"/>
      <c r="G92" s="272"/>
    </row>
    <row r="93" spans="1:7" s="188" customFormat="1" ht="15" x14ac:dyDescent="0.25">
      <c r="A93" s="518"/>
      <c r="B93" s="521"/>
      <c r="C93" s="199">
        <v>5959</v>
      </c>
      <c r="D93" s="231" t="s">
        <v>153</v>
      </c>
      <c r="E93" s="270"/>
      <c r="F93" s="271"/>
      <c r="G93" s="272"/>
    </row>
    <row r="94" spans="1:7" s="188" customFormat="1" ht="15" x14ac:dyDescent="0.25">
      <c r="A94" s="522">
        <v>4216</v>
      </c>
      <c r="B94" s="519" t="s">
        <v>448</v>
      </c>
      <c r="C94" s="199">
        <v>43914.76</v>
      </c>
      <c r="D94" s="231" t="s">
        <v>335</v>
      </c>
      <c r="E94" s="270"/>
      <c r="F94" s="271"/>
      <c r="G94" s="272"/>
    </row>
    <row r="95" spans="1:7" s="188" customFormat="1" ht="15" x14ac:dyDescent="0.25">
      <c r="A95" s="523"/>
      <c r="B95" s="520"/>
      <c r="C95" s="199">
        <v>11502</v>
      </c>
      <c r="D95" s="231" t="s">
        <v>148</v>
      </c>
      <c r="E95" s="270"/>
      <c r="F95" s="271"/>
      <c r="G95" s="272"/>
    </row>
    <row r="96" spans="1:7" s="188" customFormat="1" ht="15" x14ac:dyDescent="0.25">
      <c r="A96" s="523"/>
      <c r="B96" s="520"/>
      <c r="C96" s="199">
        <v>4990</v>
      </c>
      <c r="D96" s="231" t="s">
        <v>246</v>
      </c>
      <c r="E96" s="270"/>
      <c r="F96" s="271"/>
      <c r="G96" s="272"/>
    </row>
    <row r="97" spans="1:7" s="188" customFormat="1" ht="15" x14ac:dyDescent="0.25">
      <c r="A97" s="523"/>
      <c r="B97" s="520"/>
      <c r="C97" s="199">
        <v>44100</v>
      </c>
      <c r="D97" s="231" t="s">
        <v>104</v>
      </c>
      <c r="E97" s="270"/>
      <c r="F97" s="271"/>
      <c r="G97" s="272"/>
    </row>
    <row r="98" spans="1:7" s="188" customFormat="1" ht="15" x14ac:dyDescent="0.25">
      <c r="A98" s="523"/>
      <c r="B98" s="520"/>
      <c r="C98" s="199">
        <v>2246.64</v>
      </c>
      <c r="D98" s="231" t="s">
        <v>438</v>
      </c>
      <c r="E98" s="270"/>
      <c r="F98" s="271"/>
      <c r="G98" s="272"/>
    </row>
    <row r="99" spans="1:7" s="188" customFormat="1" ht="15" x14ac:dyDescent="0.25">
      <c r="A99" s="523"/>
      <c r="B99" s="520"/>
      <c r="C99" s="199">
        <v>27900</v>
      </c>
      <c r="D99" s="231" t="s">
        <v>449</v>
      </c>
      <c r="E99" s="270"/>
      <c r="F99" s="271"/>
      <c r="G99" s="272"/>
    </row>
    <row r="100" spans="1:7" s="188" customFormat="1" ht="15" customHeight="1" x14ac:dyDescent="0.25">
      <c r="A100" s="523"/>
      <c r="B100" s="520"/>
      <c r="C100" s="199">
        <v>934</v>
      </c>
      <c r="D100" s="231" t="s">
        <v>102</v>
      </c>
      <c r="E100" s="270"/>
      <c r="F100" s="271"/>
      <c r="G100" s="272"/>
    </row>
    <row r="101" spans="1:7" s="188" customFormat="1" ht="24" customHeight="1" x14ac:dyDescent="0.25">
      <c r="A101" s="523"/>
      <c r="B101" s="520"/>
      <c r="C101" s="199">
        <v>132660</v>
      </c>
      <c r="D101" s="231" t="s">
        <v>450</v>
      </c>
      <c r="E101" s="270"/>
      <c r="F101" s="271"/>
      <c r="G101" s="272"/>
    </row>
    <row r="102" spans="1:7" s="188" customFormat="1" ht="15" customHeight="1" x14ac:dyDescent="0.25">
      <c r="A102" s="523"/>
      <c r="B102" s="520"/>
      <c r="C102" s="199">
        <v>13724.3</v>
      </c>
      <c r="D102" s="231" t="s">
        <v>442</v>
      </c>
      <c r="E102" s="270"/>
      <c r="F102" s="271"/>
      <c r="G102" s="272"/>
    </row>
    <row r="103" spans="1:7" s="188" customFormat="1" ht="15" customHeight="1" x14ac:dyDescent="0.25">
      <c r="A103" s="523"/>
      <c r="B103" s="520"/>
      <c r="C103" s="199">
        <v>19350</v>
      </c>
      <c r="D103" s="231" t="s">
        <v>451</v>
      </c>
      <c r="E103" s="270"/>
      <c r="F103" s="271"/>
      <c r="G103" s="272"/>
    </row>
    <row r="104" spans="1:7" s="188" customFormat="1" ht="15" customHeight="1" x14ac:dyDescent="0.25">
      <c r="A104" s="523"/>
      <c r="B104" s="520"/>
      <c r="C104" s="199">
        <v>59400</v>
      </c>
      <c r="D104" s="231" t="s">
        <v>118</v>
      </c>
      <c r="E104" s="270"/>
      <c r="F104" s="271"/>
      <c r="G104" s="272"/>
    </row>
    <row r="105" spans="1:7" s="188" customFormat="1" ht="24" customHeight="1" x14ac:dyDescent="0.25">
      <c r="A105" s="523"/>
      <c r="B105" s="520"/>
      <c r="C105" s="199">
        <v>17622</v>
      </c>
      <c r="D105" s="231" t="s">
        <v>452</v>
      </c>
      <c r="E105" s="270"/>
      <c r="F105" s="271"/>
      <c r="G105" s="272"/>
    </row>
    <row r="106" spans="1:7" s="188" customFormat="1" ht="15" x14ac:dyDescent="0.25">
      <c r="A106" s="523"/>
      <c r="B106" s="520"/>
      <c r="C106" s="199">
        <v>1317</v>
      </c>
      <c r="D106" s="231" t="s">
        <v>346</v>
      </c>
      <c r="E106" s="270"/>
      <c r="F106" s="271"/>
      <c r="G106" s="272"/>
    </row>
    <row r="107" spans="1:7" s="188" customFormat="1" ht="15" x14ac:dyDescent="0.25">
      <c r="A107" s="523"/>
      <c r="B107" s="520"/>
      <c r="C107" s="199">
        <v>2213</v>
      </c>
      <c r="D107" s="231" t="s">
        <v>453</v>
      </c>
      <c r="E107" s="270"/>
      <c r="F107" s="271"/>
      <c r="G107" s="272"/>
    </row>
    <row r="108" spans="1:7" s="188" customFormat="1" ht="15" x14ac:dyDescent="0.25">
      <c r="A108" s="523"/>
      <c r="B108" s="520"/>
      <c r="C108" s="199">
        <v>1565</v>
      </c>
      <c r="D108" s="231" t="s">
        <v>454</v>
      </c>
      <c r="E108" s="270"/>
      <c r="F108" s="271"/>
      <c r="G108" s="272"/>
    </row>
    <row r="109" spans="1:7" s="188" customFormat="1" ht="15" x14ac:dyDescent="0.25">
      <c r="A109" s="523"/>
      <c r="B109" s="520"/>
      <c r="C109" s="199">
        <v>4653</v>
      </c>
      <c r="D109" s="231" t="s">
        <v>211</v>
      </c>
      <c r="E109" s="270"/>
      <c r="F109" s="271"/>
      <c r="G109" s="272"/>
    </row>
    <row r="110" spans="1:7" s="188" customFormat="1" ht="15" x14ac:dyDescent="0.25">
      <c r="A110" s="523"/>
      <c r="B110" s="520"/>
      <c r="C110" s="199">
        <v>2830</v>
      </c>
      <c r="D110" s="231" t="s">
        <v>455</v>
      </c>
      <c r="E110" s="270"/>
      <c r="F110" s="271"/>
      <c r="G110" s="272"/>
    </row>
    <row r="111" spans="1:7" s="188" customFormat="1" ht="24" customHeight="1" x14ac:dyDescent="0.25">
      <c r="A111" s="523"/>
      <c r="B111" s="520"/>
      <c r="C111" s="199">
        <v>4640</v>
      </c>
      <c r="D111" s="231" t="s">
        <v>215</v>
      </c>
      <c r="E111" s="270"/>
      <c r="F111" s="271"/>
      <c r="G111" s="272"/>
    </row>
    <row r="112" spans="1:7" s="188" customFormat="1" ht="15" x14ac:dyDescent="0.25">
      <c r="A112" s="523"/>
      <c r="B112" s="520"/>
      <c r="C112" s="199">
        <v>2751</v>
      </c>
      <c r="D112" s="231" t="s">
        <v>217</v>
      </c>
      <c r="E112" s="270"/>
      <c r="F112" s="271"/>
      <c r="G112" s="272"/>
    </row>
    <row r="113" spans="1:7" s="188" customFormat="1" ht="15" x14ac:dyDescent="0.25">
      <c r="A113" s="523"/>
      <c r="B113" s="520"/>
      <c r="C113" s="199">
        <v>1510</v>
      </c>
      <c r="D113" s="231" t="s">
        <v>221</v>
      </c>
      <c r="E113" s="270"/>
      <c r="F113" s="271"/>
      <c r="G113" s="272"/>
    </row>
    <row r="114" spans="1:7" s="188" customFormat="1" ht="15" x14ac:dyDescent="0.25">
      <c r="A114" s="523"/>
      <c r="B114" s="520"/>
      <c r="C114" s="199">
        <v>4055</v>
      </c>
      <c r="D114" s="231" t="s">
        <v>223</v>
      </c>
      <c r="E114" s="270"/>
      <c r="F114" s="271"/>
      <c r="G114" s="272"/>
    </row>
    <row r="115" spans="1:7" s="188" customFormat="1" ht="15" x14ac:dyDescent="0.25">
      <c r="A115" s="523"/>
      <c r="B115" s="520"/>
      <c r="C115" s="199">
        <v>2388</v>
      </c>
      <c r="D115" s="231" t="s">
        <v>225</v>
      </c>
      <c r="E115" s="270"/>
      <c r="F115" s="271"/>
      <c r="G115" s="272"/>
    </row>
    <row r="116" spans="1:7" s="188" customFormat="1" ht="15" x14ac:dyDescent="0.25">
      <c r="A116" s="523"/>
      <c r="B116" s="520"/>
      <c r="C116" s="199">
        <v>38160</v>
      </c>
      <c r="D116" s="231" t="s">
        <v>114</v>
      </c>
      <c r="E116" s="270"/>
      <c r="F116" s="271"/>
      <c r="G116" s="272"/>
    </row>
    <row r="117" spans="1:7" s="188" customFormat="1" ht="15" x14ac:dyDescent="0.25">
      <c r="A117" s="523"/>
      <c r="B117" s="520"/>
      <c r="C117" s="199">
        <v>53100</v>
      </c>
      <c r="D117" s="231" t="s">
        <v>456</v>
      </c>
      <c r="E117" s="270"/>
      <c r="F117" s="271"/>
      <c r="G117" s="272"/>
    </row>
    <row r="118" spans="1:7" s="188" customFormat="1" ht="15" x14ac:dyDescent="0.25">
      <c r="A118" s="523"/>
      <c r="B118" s="520"/>
      <c r="C118" s="199">
        <v>42300</v>
      </c>
      <c r="D118" s="231" t="s">
        <v>457</v>
      </c>
      <c r="E118" s="270"/>
      <c r="F118" s="271"/>
      <c r="G118" s="272"/>
    </row>
    <row r="119" spans="1:7" s="188" customFormat="1" ht="24" customHeight="1" x14ac:dyDescent="0.25">
      <c r="A119" s="523"/>
      <c r="B119" s="520"/>
      <c r="C119" s="199">
        <v>14112</v>
      </c>
      <c r="D119" s="231" t="s">
        <v>458</v>
      </c>
      <c r="E119" s="270"/>
      <c r="F119" s="271"/>
      <c r="G119" s="272"/>
    </row>
    <row r="120" spans="1:7" s="188" customFormat="1" ht="15" x14ac:dyDescent="0.25">
      <c r="A120" s="523"/>
      <c r="B120" s="520"/>
      <c r="C120" s="199">
        <v>110891</v>
      </c>
      <c r="D120" s="231" t="s">
        <v>459</v>
      </c>
      <c r="E120" s="270"/>
      <c r="F120" s="271"/>
      <c r="G120" s="272"/>
    </row>
    <row r="121" spans="1:7" s="188" customFormat="1" ht="15" x14ac:dyDescent="0.25">
      <c r="A121" s="523"/>
      <c r="B121" s="520"/>
      <c r="C121" s="199">
        <v>360</v>
      </c>
      <c r="D121" s="231" t="s">
        <v>250</v>
      </c>
      <c r="E121" s="270"/>
      <c r="F121" s="271"/>
      <c r="G121" s="272"/>
    </row>
    <row r="122" spans="1:7" s="188" customFormat="1" ht="24" customHeight="1" x14ac:dyDescent="0.25">
      <c r="A122" s="523"/>
      <c r="B122" s="520"/>
      <c r="C122" s="199">
        <v>664</v>
      </c>
      <c r="D122" s="231" t="s">
        <v>460</v>
      </c>
      <c r="E122" s="270"/>
      <c r="F122" s="271"/>
      <c r="G122" s="272"/>
    </row>
    <row r="123" spans="1:7" s="188" customFormat="1" ht="24" customHeight="1" x14ac:dyDescent="0.25">
      <c r="A123" s="523"/>
      <c r="B123" s="520"/>
      <c r="C123" s="199">
        <v>654</v>
      </c>
      <c r="D123" s="231" t="s">
        <v>461</v>
      </c>
      <c r="E123" s="270"/>
      <c r="F123" s="271"/>
      <c r="G123" s="272"/>
    </row>
    <row r="124" spans="1:7" s="188" customFormat="1" ht="24" customHeight="1" x14ac:dyDescent="0.25">
      <c r="A124" s="523"/>
      <c r="B124" s="520"/>
      <c r="C124" s="199">
        <v>30000</v>
      </c>
      <c r="D124" s="231" t="s">
        <v>349</v>
      </c>
      <c r="E124" s="270"/>
      <c r="F124" s="271"/>
      <c r="G124" s="272"/>
    </row>
    <row r="125" spans="1:7" s="188" customFormat="1" ht="15" x14ac:dyDescent="0.25">
      <c r="A125" s="524"/>
      <c r="B125" s="521"/>
      <c r="C125" s="199">
        <v>10000</v>
      </c>
      <c r="D125" s="231" t="s">
        <v>462</v>
      </c>
      <c r="E125" s="270"/>
      <c r="F125" s="271"/>
      <c r="G125" s="272"/>
    </row>
    <row r="126" spans="1:7" s="188" customFormat="1" ht="24" customHeight="1" x14ac:dyDescent="0.25">
      <c r="A126" s="522">
        <v>4221</v>
      </c>
      <c r="B126" s="519" t="s">
        <v>463</v>
      </c>
      <c r="C126" s="199">
        <v>1790</v>
      </c>
      <c r="D126" s="231" t="s">
        <v>458</v>
      </c>
      <c r="E126" s="270"/>
      <c r="F126" s="271"/>
      <c r="G126" s="272"/>
    </row>
    <row r="127" spans="1:7" s="188" customFormat="1" ht="15" x14ac:dyDescent="0.25">
      <c r="A127" s="523"/>
      <c r="B127" s="520"/>
      <c r="C127" s="199">
        <v>117</v>
      </c>
      <c r="D127" s="231" t="s">
        <v>459</v>
      </c>
      <c r="E127" s="270"/>
      <c r="F127" s="271"/>
      <c r="G127" s="272"/>
    </row>
    <row r="128" spans="1:7" s="188" customFormat="1" ht="15" x14ac:dyDescent="0.25">
      <c r="A128" s="524"/>
      <c r="B128" s="521"/>
      <c r="C128" s="199">
        <v>5000</v>
      </c>
      <c r="D128" s="231" t="s">
        <v>462</v>
      </c>
      <c r="E128" s="270"/>
      <c r="F128" s="271"/>
      <c r="G128" s="272"/>
    </row>
    <row r="129" spans="1:5" ht="15.75" customHeight="1" thickBot="1" x14ac:dyDescent="0.25">
      <c r="A129" s="512" t="s">
        <v>464</v>
      </c>
      <c r="B129" s="513"/>
      <c r="C129" s="244">
        <f>SUM(C57:C128)</f>
        <v>1130957</v>
      </c>
      <c r="D129" s="245"/>
    </row>
    <row r="130" spans="1:5" ht="15.75" customHeight="1" thickBot="1" x14ac:dyDescent="0.25">
      <c r="A130" s="211"/>
      <c r="B130" s="275"/>
      <c r="C130" s="213"/>
      <c r="D130" s="214"/>
    </row>
    <row r="131" spans="1:5" s="210" customFormat="1" ht="16.5" customHeight="1" thickBot="1" x14ac:dyDescent="0.2">
      <c r="A131" s="514" t="s">
        <v>465</v>
      </c>
      <c r="B131" s="515"/>
      <c r="C131" s="276">
        <f>C12+C44+C52+C129</f>
        <v>8237127</v>
      </c>
      <c r="D131" s="277"/>
      <c r="E131" s="209"/>
    </row>
    <row r="132" spans="1:5" s="210" customFormat="1" ht="15.75" customHeight="1" x14ac:dyDescent="0.15">
      <c r="C132" s="189"/>
      <c r="D132" s="190"/>
      <c r="E132" s="209"/>
    </row>
    <row r="136" spans="1:5" x14ac:dyDescent="0.15">
      <c r="B136" s="272"/>
    </row>
    <row r="138" spans="1:5" x14ac:dyDescent="0.15">
      <c r="B138" s="272"/>
    </row>
  </sheetData>
  <mergeCells count="27">
    <mergeCell ref="A30:A31"/>
    <mergeCell ref="B30:B31"/>
    <mergeCell ref="A1:D1"/>
    <mergeCell ref="A17:A20"/>
    <mergeCell ref="B17:B20"/>
    <mergeCell ref="A24:A26"/>
    <mergeCell ref="B24:B26"/>
    <mergeCell ref="A32:A34"/>
    <mergeCell ref="B32:B34"/>
    <mergeCell ref="A40:A43"/>
    <mergeCell ref="B40:B43"/>
    <mergeCell ref="A58:A61"/>
    <mergeCell ref="B58:B61"/>
    <mergeCell ref="A62:A85"/>
    <mergeCell ref="B62:B85"/>
    <mergeCell ref="A86:A87"/>
    <mergeCell ref="B86:B87"/>
    <mergeCell ref="A88:A89"/>
    <mergeCell ref="B88:B89"/>
    <mergeCell ref="A129:B129"/>
    <mergeCell ref="A131:B131"/>
    <mergeCell ref="A90:A93"/>
    <mergeCell ref="B90:B93"/>
    <mergeCell ref="A94:A125"/>
    <mergeCell ref="B94:B125"/>
    <mergeCell ref="A126:A128"/>
    <mergeCell ref="B126:B128"/>
  </mergeCells>
  <printOptions horizontalCentered="1"/>
  <pageMargins left="0.39370078740157483" right="0.39370078740157483" top="0.98425196850393704" bottom="0.59055118110236227" header="0.51181102362204722" footer="0.11811023622047245"/>
  <pageSetup paperSize="9" scale="93" firstPageNumber="22" fitToHeight="0" orientation="portrait" useFirstPageNumber="1" r:id="rId1"/>
  <headerFooter alignWithMargins="0">
    <oddHeader>&amp;L&amp;"Tahoma,Kurzíva"&amp;9Návrh rozpočtu na rok 2018
Příloha č. 10&amp;R&amp;"Tahoma,Kurzíva"&amp;9Přehled příjmů zařazených do návrhu rozpočtu na rok 2018</oddHeader>
    <oddFooter>&amp;C&amp;"Tahoma,Obyčejné"&amp;P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S31"/>
  <sheetViews>
    <sheetView workbookViewId="0">
      <selection activeCell="Q32" sqref="Q32"/>
    </sheetView>
  </sheetViews>
  <sheetFormatPr defaultColWidth="10.28515625" defaultRowHeight="15.75" outlineLevelRow="1" x14ac:dyDescent="0.25"/>
  <cols>
    <col min="1" max="1" width="21" style="282" customWidth="1"/>
    <col min="2" max="3" width="10.28515625" style="283" hidden="1" customWidth="1"/>
    <col min="4" max="4" width="11.28515625" style="283" hidden="1" customWidth="1"/>
    <col min="5" max="5" width="13.28515625" style="283" hidden="1" customWidth="1"/>
    <col min="6" max="6" width="12.85546875" style="283" customWidth="1"/>
    <col min="7" max="8" width="11.28515625" style="283" bestFit="1" customWidth="1"/>
    <col min="9" max="10" width="11" style="282" customWidth="1"/>
    <col min="11" max="11" width="11.7109375" style="282" customWidth="1"/>
    <col min="12" max="17" width="12.5703125" style="282" customWidth="1"/>
    <col min="18" max="18" width="14.140625" style="282" bestFit="1" customWidth="1"/>
    <col min="19" max="19" width="12.5703125" style="282" customWidth="1"/>
    <col min="20" max="16384" width="10.28515625" style="282"/>
  </cols>
  <sheetData>
    <row r="2" spans="1:19" x14ac:dyDescent="0.25">
      <c r="A2" s="312" t="s">
        <v>502</v>
      </c>
    </row>
    <row r="3" spans="1:19" s="312" customFormat="1" ht="23.25" customHeight="1" x14ac:dyDescent="0.25">
      <c r="A3" s="307"/>
      <c r="B3" s="309">
        <v>2001</v>
      </c>
      <c r="C3" s="309">
        <v>2002</v>
      </c>
      <c r="D3" s="309">
        <v>2003</v>
      </c>
      <c r="E3" s="309" t="s">
        <v>499</v>
      </c>
      <c r="F3" s="309" t="s">
        <v>498</v>
      </c>
      <c r="G3" s="309"/>
      <c r="H3" s="309"/>
      <c r="I3" s="307"/>
      <c r="J3" s="298"/>
    </row>
    <row r="4" spans="1:19" ht="23.25" customHeight="1" x14ac:dyDescent="0.25">
      <c r="A4" s="307" t="s">
        <v>482</v>
      </c>
      <c r="B4" s="302">
        <v>84275</v>
      </c>
      <c r="C4" s="302">
        <v>3999376</v>
      </c>
      <c r="D4" s="302">
        <v>6078276</v>
      </c>
      <c r="E4" s="302">
        <v>2912785</v>
      </c>
      <c r="F4" s="302">
        <v>3466158</v>
      </c>
      <c r="G4" s="302"/>
      <c r="H4" s="302"/>
      <c r="I4" s="311"/>
      <c r="J4" s="310"/>
    </row>
    <row r="5" spans="1:19" ht="23.25" customHeight="1" x14ac:dyDescent="0.25">
      <c r="A5" s="307" t="s">
        <v>483</v>
      </c>
      <c r="B5" s="302">
        <v>84275</v>
      </c>
      <c r="C5" s="302">
        <v>3999376</v>
      </c>
      <c r="D5" s="302">
        <v>6078276</v>
      </c>
      <c r="E5" s="302"/>
      <c r="F5" s="302"/>
      <c r="G5" s="302"/>
      <c r="H5" s="302"/>
      <c r="I5" s="311"/>
      <c r="J5" s="310"/>
    </row>
    <row r="6" spans="1:19" x14ac:dyDescent="0.25">
      <c r="M6" s="293"/>
      <c r="N6" s="293"/>
      <c r="O6" s="282" t="s">
        <v>501</v>
      </c>
      <c r="Q6" s="282" t="s">
        <v>500</v>
      </c>
    </row>
    <row r="8" spans="1:19" ht="20.25" customHeight="1" x14ac:dyDescent="0.25">
      <c r="A8" s="307"/>
      <c r="B8" s="309">
        <v>2001</v>
      </c>
      <c r="C8" s="309">
        <v>2002</v>
      </c>
      <c r="D8" s="309">
        <v>2003</v>
      </c>
      <c r="E8" s="309" t="s">
        <v>499</v>
      </c>
      <c r="F8" s="309" t="s">
        <v>498</v>
      </c>
      <c r="G8" s="309">
        <v>2006</v>
      </c>
      <c r="H8" s="309" t="s">
        <v>497</v>
      </c>
      <c r="I8" s="309">
        <v>2008</v>
      </c>
      <c r="J8" s="309">
        <v>2009</v>
      </c>
      <c r="K8" s="309" t="s">
        <v>496</v>
      </c>
      <c r="L8" s="309" t="s">
        <v>495</v>
      </c>
      <c r="M8" s="309" t="s">
        <v>494</v>
      </c>
      <c r="N8" s="309" t="s">
        <v>493</v>
      </c>
      <c r="O8" s="309" t="s">
        <v>492</v>
      </c>
      <c r="P8" s="309" t="s">
        <v>491</v>
      </c>
      <c r="Q8" s="309" t="s">
        <v>490</v>
      </c>
      <c r="R8" s="309" t="s">
        <v>489</v>
      </c>
      <c r="S8" s="309" t="s">
        <v>488</v>
      </c>
    </row>
    <row r="9" spans="1:19" ht="20.25" customHeight="1" x14ac:dyDescent="0.25">
      <c r="A9" s="307" t="s">
        <v>478</v>
      </c>
      <c r="B9" s="302">
        <v>84275</v>
      </c>
      <c r="C9" s="302">
        <v>3999376</v>
      </c>
      <c r="D9" s="302">
        <v>6078276</v>
      </c>
      <c r="E9" s="302">
        <v>2912785</v>
      </c>
      <c r="F9" s="302">
        <v>3466158</v>
      </c>
      <c r="G9" s="302">
        <v>5192836</v>
      </c>
      <c r="H9" s="302">
        <v>5317944</v>
      </c>
      <c r="I9" s="300">
        <v>7592570</v>
      </c>
      <c r="J9" s="300">
        <v>7540749</v>
      </c>
      <c r="K9" s="300">
        <v>7428164</v>
      </c>
      <c r="L9" s="300">
        <v>8304059</v>
      </c>
      <c r="M9" s="308">
        <v>9019403</v>
      </c>
      <c r="N9" s="308">
        <v>7609322</v>
      </c>
      <c r="O9" s="308">
        <v>8278538</v>
      </c>
      <c r="P9" s="308">
        <v>9696615</v>
      </c>
      <c r="Q9" s="308">
        <v>8053332</v>
      </c>
      <c r="R9" s="308">
        <v>7886430</v>
      </c>
      <c r="S9" s="308">
        <v>9352498</v>
      </c>
    </row>
    <row r="10" spans="1:19" ht="20.25" customHeight="1" x14ac:dyDescent="0.25">
      <c r="A10" s="307" t="s">
        <v>477</v>
      </c>
      <c r="B10" s="302">
        <v>1725409</v>
      </c>
      <c r="C10" s="302">
        <v>359422</v>
      </c>
      <c r="D10" s="302">
        <v>5867132</v>
      </c>
      <c r="E10" s="302">
        <f>12367232-2912785</f>
        <v>9454447</v>
      </c>
      <c r="F10" s="302">
        <v>10982426.800000001</v>
      </c>
      <c r="G10" s="306">
        <v>11172923.619999999</v>
      </c>
      <c r="H10" s="305">
        <v>10466523.800000001</v>
      </c>
      <c r="I10" s="300">
        <v>10151456.390000001</v>
      </c>
      <c r="J10" s="300">
        <v>11166878</v>
      </c>
      <c r="K10" s="300">
        <v>10908903</v>
      </c>
      <c r="L10" s="299">
        <v>10288015</v>
      </c>
      <c r="M10" s="300">
        <v>9686464</v>
      </c>
      <c r="N10" s="300">
        <v>10919480</v>
      </c>
      <c r="O10" s="300">
        <v>11432941</v>
      </c>
      <c r="P10" s="300">
        <v>12535240</v>
      </c>
      <c r="Q10" s="300">
        <v>12351887</v>
      </c>
      <c r="R10" s="304">
        <v>14032106</v>
      </c>
      <c r="S10" s="300"/>
    </row>
    <row r="11" spans="1:19" x14ac:dyDescent="0.25">
      <c r="A11" s="303" t="s">
        <v>487</v>
      </c>
      <c r="B11" s="302"/>
      <c r="C11" s="302"/>
      <c r="D11" s="302"/>
      <c r="E11" s="302"/>
      <c r="F11" s="302"/>
      <c r="G11" s="302"/>
      <c r="H11" s="301"/>
      <c r="I11" s="301"/>
      <c r="J11" s="301"/>
      <c r="K11" s="300"/>
      <c r="L11" s="300"/>
      <c r="M11" s="300"/>
      <c r="N11" s="300"/>
      <c r="O11" s="299"/>
      <c r="P11" s="299"/>
      <c r="Q11" s="299"/>
      <c r="R11" s="299"/>
      <c r="S11" s="402">
        <v>15217230</v>
      </c>
    </row>
    <row r="12" spans="1:19" x14ac:dyDescent="0.25">
      <c r="A12" s="298" t="s">
        <v>486</v>
      </c>
      <c r="L12" s="297"/>
    </row>
    <row r="14" spans="1:19" x14ac:dyDescent="0.25">
      <c r="H14" s="296">
        <f>H9+H10</f>
        <v>15784467.800000001</v>
      </c>
      <c r="I14" s="296">
        <f>I9+I10</f>
        <v>17744026.390000001</v>
      </c>
      <c r="J14" s="296"/>
      <c r="K14" s="295"/>
      <c r="L14" s="293"/>
      <c r="M14" s="294" t="s">
        <v>485</v>
      </c>
      <c r="N14" s="293" t="s">
        <v>484</v>
      </c>
    </row>
    <row r="15" spans="1:19" x14ac:dyDescent="0.25">
      <c r="H15" s="292"/>
      <c r="N15" s="403">
        <v>1761463</v>
      </c>
      <c r="O15" s="291">
        <v>13188680</v>
      </c>
      <c r="P15" s="291">
        <v>0</v>
      </c>
      <c r="Q15" s="291">
        <v>267087</v>
      </c>
      <c r="R15" s="291"/>
    </row>
    <row r="16" spans="1:19" ht="22.5" hidden="1" customHeight="1" outlineLevel="1" x14ac:dyDescent="0.25">
      <c r="A16" s="289" t="s">
        <v>481</v>
      </c>
      <c r="B16" s="284"/>
      <c r="C16" s="284"/>
      <c r="D16" s="284"/>
      <c r="E16" s="284"/>
      <c r="F16" s="284"/>
      <c r="G16" s="284"/>
      <c r="H16" s="284"/>
    </row>
    <row r="17" spans="1:8" ht="22.5" hidden="1" customHeight="1" outlineLevel="1" x14ac:dyDescent="0.25">
      <c r="A17" s="290"/>
      <c r="B17" s="288">
        <v>2001</v>
      </c>
      <c r="C17" s="288">
        <v>2002</v>
      </c>
      <c r="D17" s="288">
        <v>2003</v>
      </c>
      <c r="E17" s="288" t="s">
        <v>480</v>
      </c>
      <c r="F17" s="288" t="s">
        <v>479</v>
      </c>
      <c r="G17" s="288"/>
      <c r="H17" s="288"/>
    </row>
    <row r="18" spans="1:8" ht="21.75" hidden="1" customHeight="1" outlineLevel="1" x14ac:dyDescent="0.25">
      <c r="A18" s="287" t="s">
        <v>483</v>
      </c>
      <c r="B18" s="286">
        <v>1809684</v>
      </c>
      <c r="C18" s="286">
        <v>4349169</v>
      </c>
      <c r="D18" s="286">
        <v>10942261</v>
      </c>
      <c r="E18" s="286">
        <v>2908920</v>
      </c>
      <c r="F18" s="286">
        <v>4223860</v>
      </c>
      <c r="G18" s="286"/>
      <c r="H18" s="286"/>
    </row>
    <row r="19" spans="1:8" ht="21.75" hidden="1" customHeight="1" outlineLevel="1" x14ac:dyDescent="0.25">
      <c r="A19" s="287" t="s">
        <v>482</v>
      </c>
      <c r="B19" s="286">
        <v>1809684</v>
      </c>
      <c r="C19" s="286">
        <v>4358798</v>
      </c>
      <c r="D19" s="286">
        <v>11025324</v>
      </c>
      <c r="E19" s="286">
        <v>2908920</v>
      </c>
      <c r="F19" s="286">
        <v>4223860</v>
      </c>
      <c r="G19" s="286"/>
      <c r="H19" s="286"/>
    </row>
    <row r="20" spans="1:8" hidden="1" outlineLevel="1" x14ac:dyDescent="0.25">
      <c r="A20" s="289"/>
      <c r="B20" s="284"/>
      <c r="C20" s="284">
        <f>C18-C19</f>
        <v>-9629</v>
      </c>
      <c r="D20" s="284">
        <f>D18-D19</f>
        <v>-83063</v>
      </c>
      <c r="E20" s="284"/>
      <c r="F20" s="284"/>
      <c r="G20" s="284"/>
      <c r="H20" s="284"/>
    </row>
    <row r="21" spans="1:8" hidden="1" outlineLevel="1" x14ac:dyDescent="0.25">
      <c r="A21" s="289"/>
      <c r="B21" s="284"/>
      <c r="C21" s="284"/>
      <c r="D21" s="284"/>
      <c r="E21" s="284"/>
      <c r="F21" s="284"/>
      <c r="G21" s="284"/>
      <c r="H21" s="284"/>
    </row>
    <row r="22" spans="1:8" ht="24.75" hidden="1" customHeight="1" outlineLevel="1" x14ac:dyDescent="0.25">
      <c r="A22" s="287"/>
      <c r="B22" s="288">
        <v>2001</v>
      </c>
      <c r="C22" s="288">
        <v>2002</v>
      </c>
      <c r="D22" s="288">
        <v>2003</v>
      </c>
      <c r="E22" s="288" t="s">
        <v>480</v>
      </c>
      <c r="F22" s="288" t="s">
        <v>479</v>
      </c>
      <c r="G22" s="288"/>
      <c r="H22" s="288"/>
    </row>
    <row r="23" spans="1:8" ht="24.75" hidden="1" customHeight="1" outlineLevel="1" x14ac:dyDescent="0.25">
      <c r="A23" s="287" t="s">
        <v>478</v>
      </c>
      <c r="B23" s="286">
        <v>84275</v>
      </c>
      <c r="C23" s="286">
        <v>3999376</v>
      </c>
      <c r="D23" s="286">
        <v>6078276</v>
      </c>
      <c r="E23" s="286">
        <v>2911420</v>
      </c>
      <c r="F23" s="286">
        <v>4226360</v>
      </c>
      <c r="G23" s="286"/>
      <c r="H23" s="286"/>
    </row>
    <row r="24" spans="1:8" ht="24.75" hidden="1" customHeight="1" outlineLevel="1" x14ac:dyDescent="0.25">
      <c r="A24" s="287" t="s">
        <v>481</v>
      </c>
      <c r="B24" s="286">
        <v>1809684</v>
      </c>
      <c r="C24" s="286">
        <v>4358798</v>
      </c>
      <c r="D24" s="286">
        <v>11055594</v>
      </c>
      <c r="E24" s="286">
        <v>8367041</v>
      </c>
      <c r="F24" s="286">
        <v>7528049</v>
      </c>
      <c r="G24" s="286"/>
      <c r="H24" s="286"/>
    </row>
    <row r="25" spans="1:8" ht="21" hidden="1" customHeight="1" outlineLevel="1" x14ac:dyDescent="0.25">
      <c r="A25" s="287" t="s">
        <v>477</v>
      </c>
      <c r="B25" s="286">
        <f>B24-B23</f>
        <v>1725409</v>
      </c>
      <c r="C25" s="286">
        <f>C24-C23</f>
        <v>359422</v>
      </c>
      <c r="D25" s="286">
        <f>D24-D23</f>
        <v>4977318</v>
      </c>
      <c r="E25" s="286">
        <v>8367041</v>
      </c>
      <c r="F25" s="286">
        <v>7528049</v>
      </c>
      <c r="G25" s="286"/>
      <c r="H25" s="286"/>
    </row>
    <row r="26" spans="1:8" hidden="1" outlineLevel="1" x14ac:dyDescent="0.25">
      <c r="A26" s="289"/>
      <c r="B26" s="284"/>
      <c r="C26" s="284"/>
      <c r="D26" s="284"/>
      <c r="E26" s="284"/>
      <c r="F26" s="284"/>
      <c r="G26" s="284"/>
      <c r="H26" s="284"/>
    </row>
    <row r="27" spans="1:8" ht="25.5" hidden="1" customHeight="1" outlineLevel="1" x14ac:dyDescent="0.25">
      <c r="A27" s="287"/>
      <c r="B27" s="288">
        <v>2001</v>
      </c>
      <c r="C27" s="288">
        <v>2002</v>
      </c>
      <c r="D27" s="288">
        <v>2003</v>
      </c>
      <c r="E27" s="288" t="s">
        <v>480</v>
      </c>
      <c r="F27" s="288" t="s">
        <v>479</v>
      </c>
      <c r="G27" s="288"/>
      <c r="H27" s="288"/>
    </row>
    <row r="28" spans="1:8" ht="21" hidden="1" customHeight="1" outlineLevel="1" x14ac:dyDescent="0.25">
      <c r="A28" s="287" t="s">
        <v>478</v>
      </c>
      <c r="B28" s="286">
        <v>84275</v>
      </c>
      <c r="C28" s="286">
        <v>3999376</v>
      </c>
      <c r="D28" s="286">
        <v>6078276</v>
      </c>
      <c r="E28" s="286">
        <v>2911420</v>
      </c>
      <c r="F28" s="286">
        <v>4226360</v>
      </c>
      <c r="G28" s="286"/>
      <c r="H28" s="286"/>
    </row>
    <row r="29" spans="1:8" ht="23.25" hidden="1" customHeight="1" outlineLevel="1" x14ac:dyDescent="0.25">
      <c r="A29" s="287" t="s">
        <v>477</v>
      </c>
      <c r="B29" s="286">
        <v>1725409</v>
      </c>
      <c r="C29" s="286">
        <v>359422</v>
      </c>
      <c r="D29" s="286">
        <v>4977318</v>
      </c>
      <c r="E29" s="286">
        <v>8367041</v>
      </c>
      <c r="F29" s="286">
        <v>7528049</v>
      </c>
      <c r="G29" s="286"/>
      <c r="H29" s="286"/>
    </row>
    <row r="30" spans="1:8" hidden="1" outlineLevel="1" x14ac:dyDescent="0.25">
      <c r="A30" s="285" t="s">
        <v>476</v>
      </c>
      <c r="B30" s="284"/>
      <c r="C30" s="284"/>
      <c r="D30" s="284"/>
      <c r="E30" s="284"/>
      <c r="F30" s="284"/>
      <c r="G30" s="284"/>
      <c r="H30" s="284"/>
    </row>
    <row r="31" spans="1:8" collapsed="1" x14ac:dyDescent="0.25"/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S17"/>
  <sheetViews>
    <sheetView zoomScale="85" workbookViewId="0">
      <selection activeCell="R11" sqref="R11"/>
    </sheetView>
  </sheetViews>
  <sheetFormatPr defaultColWidth="10.28515625" defaultRowHeight="15.75" x14ac:dyDescent="0.25"/>
  <cols>
    <col min="1" max="1" width="25.140625" style="313" customWidth="1"/>
    <col min="2" max="2" width="11.42578125" style="313" hidden="1" customWidth="1"/>
    <col min="3" max="3" width="14.28515625" style="313" hidden="1" customWidth="1"/>
    <col min="4" max="4" width="13.42578125" style="313" hidden="1" customWidth="1"/>
    <col min="5" max="5" width="12.7109375" style="313" hidden="1" customWidth="1"/>
    <col min="6" max="6" width="13.140625" style="313" customWidth="1"/>
    <col min="7" max="7" width="13" style="313" customWidth="1"/>
    <col min="8" max="8" width="12.7109375" style="313" customWidth="1"/>
    <col min="9" max="10" width="15" style="313" customWidth="1"/>
    <col min="11" max="17" width="14.42578125" style="313" customWidth="1"/>
    <col min="18" max="19" width="14.7109375" style="313" customWidth="1"/>
    <col min="20" max="16384" width="10.28515625" style="313"/>
  </cols>
  <sheetData>
    <row r="1" spans="1:19" x14ac:dyDescent="0.25">
      <c r="A1" s="532" t="s">
        <v>502</v>
      </c>
      <c r="B1" s="532"/>
      <c r="C1" s="532"/>
      <c r="D1" s="532"/>
      <c r="E1" s="532"/>
      <c r="F1" s="532"/>
    </row>
    <row r="2" spans="1:19" ht="22.5" customHeight="1" x14ac:dyDescent="0.25">
      <c r="A2" s="335"/>
      <c r="B2" s="334">
        <v>2001</v>
      </c>
      <c r="C2" s="334">
        <v>2002</v>
      </c>
      <c r="D2" s="334">
        <v>2003</v>
      </c>
      <c r="E2" s="334">
        <v>2004</v>
      </c>
      <c r="F2" s="334">
        <v>2005</v>
      </c>
      <c r="G2" s="334">
        <v>2006</v>
      </c>
      <c r="H2" s="334">
        <v>2007</v>
      </c>
      <c r="I2" s="326">
        <v>2008</v>
      </c>
      <c r="J2" s="325">
        <v>2009</v>
      </c>
      <c r="K2" s="325">
        <v>2010</v>
      </c>
      <c r="L2" s="325">
        <v>2011</v>
      </c>
      <c r="M2" s="325">
        <v>2012</v>
      </c>
      <c r="N2" s="325">
        <v>2013</v>
      </c>
      <c r="O2" s="325">
        <v>2014</v>
      </c>
      <c r="P2" s="325">
        <v>2015</v>
      </c>
      <c r="Q2" s="325">
        <v>2016</v>
      </c>
      <c r="R2" s="325">
        <v>2017</v>
      </c>
      <c r="S2" s="325">
        <v>2018</v>
      </c>
    </row>
    <row r="3" spans="1:19" ht="22.5" customHeight="1" x14ac:dyDescent="0.25">
      <c r="A3" s="333" t="s">
        <v>507</v>
      </c>
      <c r="B3" s="332">
        <v>84275</v>
      </c>
      <c r="C3" s="331">
        <v>3960026</v>
      </c>
      <c r="D3" s="331">
        <v>5976481</v>
      </c>
      <c r="E3" s="331">
        <v>2622083</v>
      </c>
      <c r="F3" s="331">
        <v>2804755</v>
      </c>
      <c r="G3" s="331">
        <v>3835304</v>
      </c>
      <c r="H3" s="331">
        <v>3597607</v>
      </c>
      <c r="I3" s="300">
        <v>4148674</v>
      </c>
      <c r="J3" s="308">
        <v>4386633</v>
      </c>
      <c r="K3" s="308">
        <v>4426857</v>
      </c>
      <c r="L3" s="308">
        <v>4548788</v>
      </c>
      <c r="M3" s="308">
        <v>4787612</v>
      </c>
      <c r="N3" s="308">
        <v>4674368</v>
      </c>
      <c r="O3" s="308">
        <v>4749050</v>
      </c>
      <c r="P3" s="308">
        <v>5225653</v>
      </c>
      <c r="Q3" s="308">
        <v>5123867</v>
      </c>
      <c r="R3" s="308">
        <v>5704252</v>
      </c>
      <c r="S3" s="308">
        <v>6456472</v>
      </c>
    </row>
    <row r="4" spans="1:19" ht="22.5" customHeight="1" x14ac:dyDescent="0.25">
      <c r="A4" s="333" t="s">
        <v>506</v>
      </c>
      <c r="B4" s="332">
        <v>0</v>
      </c>
      <c r="C4" s="331">
        <v>39350</v>
      </c>
      <c r="D4" s="331">
        <v>101795</v>
      </c>
      <c r="E4" s="331">
        <v>290702</v>
      </c>
      <c r="F4" s="331">
        <v>661403</v>
      </c>
      <c r="G4" s="331">
        <v>1357532</v>
      </c>
      <c r="H4" s="331">
        <v>1720337</v>
      </c>
      <c r="I4" s="300">
        <v>3443896</v>
      </c>
      <c r="J4" s="308">
        <v>3154116</v>
      </c>
      <c r="K4" s="308">
        <v>3001307</v>
      </c>
      <c r="L4" s="308">
        <v>3755271</v>
      </c>
      <c r="M4" s="308">
        <v>4231791</v>
      </c>
      <c r="N4" s="308">
        <v>2934954</v>
      </c>
      <c r="O4" s="308">
        <v>3529488</v>
      </c>
      <c r="P4" s="308">
        <v>4470962</v>
      </c>
      <c r="Q4" s="308">
        <v>1689119</v>
      </c>
      <c r="R4" s="308">
        <v>2182178</v>
      </c>
      <c r="S4" s="308">
        <v>2896026</v>
      </c>
    </row>
    <row r="5" spans="1:19" ht="22.5" customHeight="1" x14ac:dyDescent="0.25">
      <c r="A5" s="330" t="s">
        <v>505</v>
      </c>
      <c r="B5" s="329">
        <f t="shared" ref="B5:S5" si="0">SUM(B3:B4)</f>
        <v>84275</v>
      </c>
      <c r="C5" s="329">
        <f t="shared" si="0"/>
        <v>3999376</v>
      </c>
      <c r="D5" s="329">
        <f t="shared" si="0"/>
        <v>6078276</v>
      </c>
      <c r="E5" s="329">
        <f t="shared" si="0"/>
        <v>2912785</v>
      </c>
      <c r="F5" s="329">
        <f t="shared" si="0"/>
        <v>3466158</v>
      </c>
      <c r="G5" s="329">
        <f t="shared" si="0"/>
        <v>5192836</v>
      </c>
      <c r="H5" s="329">
        <f t="shared" si="0"/>
        <v>5317944</v>
      </c>
      <c r="I5" s="315">
        <f t="shared" si="0"/>
        <v>7592570</v>
      </c>
      <c r="J5" s="314">
        <f t="shared" si="0"/>
        <v>7540749</v>
      </c>
      <c r="K5" s="314">
        <f t="shared" si="0"/>
        <v>7428164</v>
      </c>
      <c r="L5" s="314">
        <f t="shared" si="0"/>
        <v>8304059</v>
      </c>
      <c r="M5" s="314">
        <f t="shared" si="0"/>
        <v>9019403</v>
      </c>
      <c r="N5" s="314">
        <f t="shared" si="0"/>
        <v>7609322</v>
      </c>
      <c r="O5" s="314">
        <f t="shared" si="0"/>
        <v>8278538</v>
      </c>
      <c r="P5" s="314">
        <f t="shared" si="0"/>
        <v>9696615</v>
      </c>
      <c r="Q5" s="314">
        <f t="shared" si="0"/>
        <v>6812986</v>
      </c>
      <c r="R5" s="314">
        <f t="shared" si="0"/>
        <v>7886430</v>
      </c>
      <c r="S5" s="314">
        <f t="shared" si="0"/>
        <v>9352498</v>
      </c>
    </row>
    <row r="9" spans="1:19" x14ac:dyDescent="0.25">
      <c r="A9" s="328"/>
      <c r="B9" s="327">
        <v>2001</v>
      </c>
      <c r="C9" s="327">
        <v>2002</v>
      </c>
      <c r="D9" s="327">
        <v>2003</v>
      </c>
      <c r="E9" s="327">
        <v>2004</v>
      </c>
      <c r="F9" s="327">
        <v>2005</v>
      </c>
      <c r="G9" s="327">
        <v>2006</v>
      </c>
      <c r="H9" s="327">
        <v>2007</v>
      </c>
      <c r="I9" s="326">
        <v>2008</v>
      </c>
      <c r="J9" s="325">
        <v>2009</v>
      </c>
      <c r="K9" s="325">
        <v>2010</v>
      </c>
      <c r="L9" s="325">
        <v>2011</v>
      </c>
      <c r="M9" s="325">
        <v>2012</v>
      </c>
      <c r="N9" s="325">
        <v>2013</v>
      </c>
      <c r="O9" s="325">
        <v>2014</v>
      </c>
      <c r="P9" s="325">
        <v>2015</v>
      </c>
      <c r="Q9" s="325">
        <v>2016</v>
      </c>
      <c r="R9" s="325">
        <v>2017</v>
      </c>
      <c r="S9" s="325">
        <v>2018</v>
      </c>
    </row>
    <row r="10" spans="1:19" x14ac:dyDescent="0.25">
      <c r="A10" s="322" t="s">
        <v>504</v>
      </c>
      <c r="B10" s="321">
        <v>10</v>
      </c>
      <c r="C10" s="320">
        <v>1033100</v>
      </c>
      <c r="D10" s="319">
        <v>1139600</v>
      </c>
      <c r="E10" s="318">
        <v>1152642</v>
      </c>
      <c r="F10" s="318">
        <v>1245018</v>
      </c>
      <c r="G10" s="318">
        <v>3847124</v>
      </c>
      <c r="H10" s="318">
        <v>4045313</v>
      </c>
      <c r="I10" s="300">
        <v>4328690</v>
      </c>
      <c r="J10" s="308">
        <v>4532498</v>
      </c>
      <c r="K10" s="308">
        <v>4121475</v>
      </c>
      <c r="L10" s="308">
        <v>4416300</v>
      </c>
      <c r="M10" s="308">
        <v>4543700</v>
      </c>
      <c r="N10" s="308">
        <v>4302600</v>
      </c>
      <c r="O10" s="308">
        <v>4498900</v>
      </c>
      <c r="P10" s="308">
        <v>4776650</v>
      </c>
      <c r="Q10" s="308">
        <v>5330950</v>
      </c>
      <c r="R10" s="308">
        <v>5771300</v>
      </c>
      <c r="S10" s="308">
        <v>6427050</v>
      </c>
    </row>
    <row r="11" spans="1:19" x14ac:dyDescent="0.25">
      <c r="A11" s="322" t="s">
        <v>380</v>
      </c>
      <c r="B11" s="321">
        <v>90</v>
      </c>
      <c r="C11" s="320">
        <v>5899</v>
      </c>
      <c r="D11" s="319">
        <v>36891</v>
      </c>
      <c r="E11" s="318">
        <v>45708</v>
      </c>
      <c r="F11" s="318">
        <v>85840</v>
      </c>
      <c r="G11" s="318">
        <v>131499</v>
      </c>
      <c r="H11" s="318">
        <v>208296</v>
      </c>
      <c r="I11" s="300">
        <v>97807</v>
      </c>
      <c r="J11" s="308">
        <v>183697</v>
      </c>
      <c r="K11" s="308">
        <v>169579</v>
      </c>
      <c r="L11" s="308">
        <v>291031</v>
      </c>
      <c r="M11" s="324">
        <v>169400</v>
      </c>
      <c r="N11" s="324">
        <v>184620</v>
      </c>
      <c r="O11" s="324">
        <v>191852</v>
      </c>
      <c r="P11" s="324">
        <v>162937</v>
      </c>
      <c r="Q11" s="324">
        <v>140391</v>
      </c>
      <c r="R11" s="324">
        <v>164820</v>
      </c>
      <c r="S11" s="324">
        <v>613120</v>
      </c>
    </row>
    <row r="12" spans="1:19" x14ac:dyDescent="0.25">
      <c r="A12" s="322" t="s">
        <v>423</v>
      </c>
      <c r="B12" s="321">
        <v>0</v>
      </c>
      <c r="C12" s="323">
        <v>0</v>
      </c>
      <c r="D12" s="319">
        <v>20000</v>
      </c>
      <c r="E12" s="318">
        <v>10000</v>
      </c>
      <c r="F12" s="318">
        <v>10300</v>
      </c>
      <c r="G12" s="318">
        <v>40000</v>
      </c>
      <c r="H12" s="318">
        <v>40000</v>
      </c>
      <c r="I12" s="300">
        <v>40500</v>
      </c>
      <c r="J12" s="308">
        <v>58500</v>
      </c>
      <c r="K12" s="308">
        <v>45730</v>
      </c>
      <c r="L12" s="308">
        <v>60230</v>
      </c>
      <c r="M12" s="308">
        <v>79409</v>
      </c>
      <c r="N12" s="308">
        <v>85980</v>
      </c>
      <c r="O12" s="308">
        <v>85980</v>
      </c>
      <c r="P12" s="308">
        <v>55980</v>
      </c>
      <c r="Q12" s="308">
        <v>40980</v>
      </c>
      <c r="R12" s="308">
        <v>55000</v>
      </c>
      <c r="S12" s="308">
        <v>66000</v>
      </c>
    </row>
    <row r="13" spans="1:19" x14ac:dyDescent="0.25">
      <c r="A13" s="322" t="s">
        <v>431</v>
      </c>
      <c r="B13" s="321">
        <v>84175</v>
      </c>
      <c r="C13" s="320">
        <v>2960377</v>
      </c>
      <c r="D13" s="319">
        <v>4881785</v>
      </c>
      <c r="E13" s="318">
        <v>1704435</v>
      </c>
      <c r="F13" s="318">
        <v>2089000</v>
      </c>
      <c r="G13" s="318">
        <v>680213</v>
      </c>
      <c r="H13" s="318">
        <v>774335</v>
      </c>
      <c r="I13" s="300">
        <v>1925572.7</v>
      </c>
      <c r="J13" s="308">
        <v>2098388</v>
      </c>
      <c r="K13" s="308">
        <v>1689276</v>
      </c>
      <c r="L13" s="308">
        <v>2313905</v>
      </c>
      <c r="M13" s="308">
        <v>2139590</v>
      </c>
      <c r="N13" s="308">
        <v>1706993</v>
      </c>
      <c r="O13" s="308">
        <v>2169460</v>
      </c>
      <c r="P13" s="308">
        <v>3565454</v>
      </c>
      <c r="Q13" s="308">
        <v>2541011</v>
      </c>
      <c r="R13" s="308">
        <v>974346</v>
      </c>
      <c r="S13" s="308">
        <v>1130957</v>
      </c>
    </row>
    <row r="14" spans="1:19" ht="20.25" customHeight="1" x14ac:dyDescent="0.25">
      <c r="A14" s="317" t="s">
        <v>503</v>
      </c>
      <c r="B14" s="316">
        <f t="shared" ref="B14:S14" si="1">SUM(B10:B13)</f>
        <v>84275</v>
      </c>
      <c r="C14" s="316">
        <f t="shared" si="1"/>
        <v>3999376</v>
      </c>
      <c r="D14" s="316">
        <f t="shared" si="1"/>
        <v>6078276</v>
      </c>
      <c r="E14" s="307">
        <f t="shared" si="1"/>
        <v>2912785</v>
      </c>
      <c r="F14" s="307">
        <f t="shared" si="1"/>
        <v>3430158</v>
      </c>
      <c r="G14" s="307">
        <f t="shared" si="1"/>
        <v>4698836</v>
      </c>
      <c r="H14" s="307">
        <f t="shared" si="1"/>
        <v>5067944</v>
      </c>
      <c r="I14" s="315">
        <f t="shared" si="1"/>
        <v>6392569.7000000002</v>
      </c>
      <c r="J14" s="314">
        <f t="shared" si="1"/>
        <v>6873083</v>
      </c>
      <c r="K14" s="314">
        <f t="shared" si="1"/>
        <v>6026060</v>
      </c>
      <c r="L14" s="314">
        <f t="shared" si="1"/>
        <v>7081466</v>
      </c>
      <c r="M14" s="314">
        <f t="shared" si="1"/>
        <v>6932099</v>
      </c>
      <c r="N14" s="314">
        <f t="shared" si="1"/>
        <v>6280193</v>
      </c>
      <c r="O14" s="314">
        <f t="shared" si="1"/>
        <v>6946192</v>
      </c>
      <c r="P14" s="314">
        <f t="shared" si="1"/>
        <v>8561021</v>
      </c>
      <c r="Q14" s="314">
        <f t="shared" si="1"/>
        <v>8053332</v>
      </c>
      <c r="R14" s="314">
        <f t="shared" si="1"/>
        <v>6965466</v>
      </c>
      <c r="S14" s="314">
        <f t="shared" si="1"/>
        <v>8237127</v>
      </c>
    </row>
    <row r="17" spans="2:8" x14ac:dyDescent="0.25">
      <c r="B17" s="282">
        <f>B5-B14</f>
        <v>0</v>
      </c>
      <c r="C17" s="282">
        <f>C5-C14</f>
        <v>0</v>
      </c>
      <c r="D17" s="282">
        <f>D5-D14</f>
        <v>0</v>
      </c>
      <c r="E17" s="282">
        <f>E5-E14</f>
        <v>0</v>
      </c>
      <c r="F17" s="282">
        <f>F5-F14</f>
        <v>36000</v>
      </c>
      <c r="G17" s="282">
        <v>494000</v>
      </c>
      <c r="H17" s="282"/>
    </row>
  </sheetData>
  <mergeCells count="1">
    <mergeCell ref="A1:F1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Y13"/>
  <sheetViews>
    <sheetView workbookViewId="0">
      <selection activeCell="X13" sqref="X13"/>
    </sheetView>
  </sheetViews>
  <sheetFormatPr defaultColWidth="10.28515625" defaultRowHeight="15.75" x14ac:dyDescent="0.25"/>
  <cols>
    <col min="1" max="1" width="39.5703125" style="313" customWidth="1"/>
    <col min="2" max="2" width="21.7109375" style="313" hidden="1" customWidth="1"/>
    <col min="3" max="3" width="10.28515625" style="313" hidden="1" customWidth="1"/>
    <col min="4" max="4" width="22.28515625" style="313" hidden="1" customWidth="1"/>
    <col min="5" max="5" width="10.28515625" style="313" hidden="1" customWidth="1"/>
    <col min="6" max="6" width="17.7109375" style="313" hidden="1" customWidth="1"/>
    <col min="7" max="7" width="10.28515625" style="313" hidden="1" customWidth="1"/>
    <col min="8" max="8" width="17.7109375" style="336" hidden="1" customWidth="1"/>
    <col min="9" max="9" width="10.28515625" style="336" hidden="1" customWidth="1"/>
    <col min="10" max="10" width="17.7109375" style="313" hidden="1" customWidth="1"/>
    <col min="11" max="11" width="10.28515625" style="313" hidden="1" customWidth="1"/>
    <col min="12" max="12" width="17.7109375" style="313" hidden="1" customWidth="1"/>
    <col min="13" max="13" width="10.28515625" style="313" hidden="1" customWidth="1"/>
    <col min="14" max="14" width="17.7109375" style="313" customWidth="1"/>
    <col min="15" max="15" width="10.28515625" style="313" customWidth="1"/>
    <col min="16" max="16" width="17.7109375" style="313" customWidth="1"/>
    <col min="17" max="17" width="10.28515625" style="313"/>
    <col min="18" max="18" width="17.7109375" style="313" customWidth="1"/>
    <col min="19" max="19" width="10.28515625" style="313" customWidth="1"/>
    <col min="20" max="20" width="16.42578125" style="313" customWidth="1"/>
    <col min="21" max="21" width="10.28515625" style="313" customWidth="1"/>
    <col min="22" max="22" width="16.42578125" style="313" customWidth="1"/>
    <col min="23" max="23" width="10.28515625" style="313" customWidth="1"/>
    <col min="24" max="24" width="16.42578125" style="313" customWidth="1"/>
    <col min="25" max="25" width="10.28515625" style="313" customWidth="1"/>
    <col min="26" max="16384" width="10.28515625" style="313"/>
  </cols>
  <sheetData>
    <row r="1" spans="1:25" ht="35.25" customHeight="1" x14ac:dyDescent="0.25">
      <c r="A1" s="363" t="s">
        <v>525</v>
      </c>
      <c r="B1" s="362" t="s">
        <v>524</v>
      </c>
      <c r="C1" s="362"/>
      <c r="D1" s="361" t="s">
        <v>523</v>
      </c>
      <c r="E1" s="361"/>
      <c r="F1" s="361" t="s">
        <v>522</v>
      </c>
      <c r="G1" s="361"/>
      <c r="H1" s="361" t="s">
        <v>521</v>
      </c>
      <c r="I1" s="361"/>
      <c r="J1" s="360" t="s">
        <v>520</v>
      </c>
      <c r="K1" s="360"/>
      <c r="L1" s="360" t="s">
        <v>519</v>
      </c>
      <c r="M1" s="360"/>
      <c r="N1" s="360" t="s">
        <v>518</v>
      </c>
      <c r="O1" s="360"/>
      <c r="P1" s="360" t="s">
        <v>517</v>
      </c>
      <c r="Q1" s="360"/>
      <c r="R1" s="360" t="s">
        <v>516</v>
      </c>
      <c r="S1" s="360"/>
      <c r="T1" s="360" t="s">
        <v>515</v>
      </c>
      <c r="U1" s="360"/>
      <c r="V1" s="360" t="s">
        <v>514</v>
      </c>
      <c r="W1" s="360"/>
      <c r="X1" s="360" t="s">
        <v>513</v>
      </c>
      <c r="Y1" s="360"/>
    </row>
    <row r="2" spans="1:25" x14ac:dyDescent="0.25">
      <c r="A2" s="352" t="s">
        <v>380</v>
      </c>
      <c r="B2" s="351">
        <v>208296</v>
      </c>
      <c r="C2" s="350">
        <f>(B2/$B$10)*100</f>
        <v>4.1100690931075796</v>
      </c>
      <c r="D2" s="349">
        <v>97807</v>
      </c>
      <c r="E2" s="348">
        <f t="shared" ref="E2:E8" si="0">(D2/$D$10)*100</f>
        <v>1.5300091856553601</v>
      </c>
      <c r="F2" s="349">
        <v>183697</v>
      </c>
      <c r="G2" s="348">
        <f t="shared" ref="G2:G8" si="1">(F2/$D$10)*100</f>
        <v>2.8735989998398144</v>
      </c>
      <c r="H2" s="349">
        <v>169579</v>
      </c>
      <c r="I2" s="348">
        <f t="shared" ref="I2:I8" si="2">(H2/$H$10)*100</f>
        <v>2.8140941178813357</v>
      </c>
      <c r="J2" s="347">
        <v>291031</v>
      </c>
      <c r="K2" s="346">
        <f t="shared" ref="K2:K7" si="3">(J2/$J$10)*100</f>
        <v>4.1097563696556616</v>
      </c>
      <c r="L2" s="347">
        <v>169400</v>
      </c>
      <c r="M2" s="346">
        <f t="shared" ref="M2:M7" si="4">(L2/$L$10)*100</f>
        <v>2.4437042806226512</v>
      </c>
      <c r="N2" s="347">
        <v>184620</v>
      </c>
      <c r="O2" s="346">
        <f t="shared" ref="O2:O8" si="5">(N2/$N$10)*100</f>
        <v>2.9397185723432386</v>
      </c>
      <c r="P2" s="347">
        <v>191852</v>
      </c>
      <c r="Q2" s="346">
        <f t="shared" ref="Q2:Q8" si="6">P2/$P$10*100</f>
        <v>2.7619737548285448</v>
      </c>
      <c r="R2" s="347">
        <v>162937</v>
      </c>
      <c r="S2" s="346">
        <f t="shared" ref="S2:S8" si="7">R2/$R$10*100</f>
        <v>1.9032426155712034</v>
      </c>
      <c r="T2" s="347">
        <v>140391</v>
      </c>
      <c r="U2" s="346">
        <f t="shared" ref="U2:U8" si="8">T2/$T$10*100</f>
        <v>1.7432660170970227</v>
      </c>
      <c r="V2" s="347">
        <v>164820</v>
      </c>
      <c r="W2" s="346">
        <f t="shared" ref="W2:W8" si="9">V2/$V$10*100</f>
        <v>2.3662451299022922</v>
      </c>
      <c r="X2" s="347">
        <v>613120</v>
      </c>
      <c r="Y2" s="346">
        <f t="shared" ref="Y2:Y8" si="10">X2/$X$10*100</f>
        <v>7.4433719426688461</v>
      </c>
    </row>
    <row r="3" spans="1:25" x14ac:dyDescent="0.25">
      <c r="A3" s="352" t="s">
        <v>360</v>
      </c>
      <c r="B3" s="351">
        <v>4045313</v>
      </c>
      <c r="C3" s="350">
        <f>(B3/$B$10)*100</f>
        <v>79.82158050680907</v>
      </c>
      <c r="D3" s="349">
        <v>4328690</v>
      </c>
      <c r="E3" s="348">
        <f t="shared" si="0"/>
        <v>67.714329872652286</v>
      </c>
      <c r="F3" s="349">
        <v>4532498</v>
      </c>
      <c r="G3" s="348">
        <f t="shared" si="1"/>
        <v>70.902528182691924</v>
      </c>
      <c r="H3" s="349">
        <v>4121475</v>
      </c>
      <c r="I3" s="348">
        <f t="shared" si="2"/>
        <v>68.394191229426866</v>
      </c>
      <c r="J3" s="347">
        <v>4416300</v>
      </c>
      <c r="K3" s="346">
        <f t="shared" si="3"/>
        <v>62.364205377813008</v>
      </c>
      <c r="L3" s="347">
        <v>4543700</v>
      </c>
      <c r="M3" s="346">
        <f t="shared" si="4"/>
        <v>65.545803659180294</v>
      </c>
      <c r="N3" s="347">
        <v>4302600</v>
      </c>
      <c r="O3" s="346">
        <f t="shared" si="5"/>
        <v>68.510633351554645</v>
      </c>
      <c r="P3" s="347">
        <v>4498900</v>
      </c>
      <c r="Q3" s="346">
        <f t="shared" si="6"/>
        <v>64.767861297240273</v>
      </c>
      <c r="R3" s="347">
        <v>4776650</v>
      </c>
      <c r="S3" s="346">
        <f t="shared" si="7"/>
        <v>55.795330954099988</v>
      </c>
      <c r="T3" s="347">
        <v>5330950</v>
      </c>
      <c r="U3" s="346">
        <f t="shared" si="8"/>
        <v>66.19558215158645</v>
      </c>
      <c r="V3" s="347">
        <v>5771300</v>
      </c>
      <c r="W3" s="346">
        <f t="shared" si="9"/>
        <v>82.85590655384722</v>
      </c>
      <c r="X3" s="347">
        <v>6427050</v>
      </c>
      <c r="Y3" s="346">
        <f t="shared" si="10"/>
        <v>78.02538433606766</v>
      </c>
    </row>
    <row r="4" spans="1:25" x14ac:dyDescent="0.25">
      <c r="A4" s="359" t="s">
        <v>423</v>
      </c>
      <c r="B4" s="353">
        <v>40000</v>
      </c>
      <c r="C4" s="350">
        <f>(B4/$B$10)*100</f>
        <v>0.78927470390359489</v>
      </c>
      <c r="D4" s="349">
        <v>40500</v>
      </c>
      <c r="E4" s="348">
        <f t="shared" si="0"/>
        <v>0.63354741500140166</v>
      </c>
      <c r="F4" s="349">
        <v>58500</v>
      </c>
      <c r="G4" s="348">
        <f t="shared" si="1"/>
        <v>0.9151240438909134</v>
      </c>
      <c r="H4" s="349">
        <v>45730</v>
      </c>
      <c r="I4" s="348">
        <f t="shared" si="2"/>
        <v>0.75887063852666581</v>
      </c>
      <c r="J4" s="347">
        <v>60230</v>
      </c>
      <c r="K4" s="346">
        <f t="shared" si="3"/>
        <v>0.85053010210032787</v>
      </c>
      <c r="L4" s="347">
        <v>79409</v>
      </c>
      <c r="M4" s="346">
        <f t="shared" si="4"/>
        <v>1.1455260520659039</v>
      </c>
      <c r="N4" s="347">
        <v>85980</v>
      </c>
      <c r="O4" s="346">
        <f t="shared" si="5"/>
        <v>1.3690662054494185</v>
      </c>
      <c r="P4" s="347">
        <v>85980</v>
      </c>
      <c r="Q4" s="346">
        <f t="shared" si="6"/>
        <v>1.2378005099772653</v>
      </c>
      <c r="R4" s="347">
        <v>55980</v>
      </c>
      <c r="S4" s="346">
        <f t="shared" si="7"/>
        <v>0.65389396895533836</v>
      </c>
      <c r="T4" s="347">
        <v>40980</v>
      </c>
      <c r="U4" s="346">
        <f t="shared" si="8"/>
        <v>0.50885770014200338</v>
      </c>
      <c r="V4" s="347">
        <v>55000</v>
      </c>
      <c r="W4" s="346">
        <f t="shared" si="9"/>
        <v>0.78960976910948966</v>
      </c>
      <c r="X4" s="347">
        <v>66000</v>
      </c>
      <c r="Y4" s="346">
        <f t="shared" si="10"/>
        <v>0.80125024174083992</v>
      </c>
    </row>
    <row r="5" spans="1:25" x14ac:dyDescent="0.25">
      <c r="A5" s="358" t="s">
        <v>512</v>
      </c>
      <c r="B5" s="357">
        <v>176006</v>
      </c>
      <c r="C5" s="350">
        <f>(B5/$B$10)*100</f>
        <v>3.472927088381403</v>
      </c>
      <c r="D5" s="356">
        <v>1640569</v>
      </c>
      <c r="E5" s="348">
        <f t="shared" si="0"/>
        <v>25.663660471146532</v>
      </c>
      <c r="F5" s="356">
        <v>1647849</v>
      </c>
      <c r="G5" s="348">
        <f t="shared" si="1"/>
        <v>25.777542574386285</v>
      </c>
      <c r="H5" s="356">
        <v>1296585</v>
      </c>
      <c r="I5" s="348">
        <f t="shared" si="2"/>
        <v>21.516297547651366</v>
      </c>
      <c r="J5" s="355">
        <f>1995546+1880</f>
        <v>1997426</v>
      </c>
      <c r="K5" s="346">
        <f t="shared" si="3"/>
        <v>28.206391162507877</v>
      </c>
      <c r="L5" s="355">
        <f>1872536+925</f>
        <v>1873461</v>
      </c>
      <c r="M5" s="346">
        <f t="shared" si="4"/>
        <v>27.025883502240806</v>
      </c>
      <c r="N5" s="355">
        <f>1507801+605</f>
        <v>1508406</v>
      </c>
      <c r="O5" s="346">
        <f t="shared" si="5"/>
        <v>24.018465674542167</v>
      </c>
      <c r="P5" s="355">
        <f>1857309+435</f>
        <v>1857744</v>
      </c>
      <c r="Q5" s="346">
        <f t="shared" si="6"/>
        <v>26.744783328764882</v>
      </c>
      <c r="R5" s="347">
        <v>3199577</v>
      </c>
      <c r="S5" s="346">
        <f t="shared" si="7"/>
        <v>37.373778197717307</v>
      </c>
      <c r="T5" s="347">
        <v>2170452</v>
      </c>
      <c r="U5" s="346">
        <f t="shared" si="8"/>
        <v>26.950981283275048</v>
      </c>
      <c r="V5" s="347">
        <v>591823</v>
      </c>
      <c r="W5" s="346">
        <f t="shared" si="9"/>
        <v>8.4965313160670082</v>
      </c>
      <c r="X5" s="347">
        <v>701761</v>
      </c>
      <c r="Y5" s="346">
        <f t="shared" si="10"/>
        <v>8.5194874377923284</v>
      </c>
    </row>
    <row r="6" spans="1:25" x14ac:dyDescent="0.25">
      <c r="A6" s="358" t="s">
        <v>511</v>
      </c>
      <c r="B6" s="357"/>
      <c r="C6" s="350"/>
      <c r="D6" s="356">
        <v>0</v>
      </c>
      <c r="E6" s="348">
        <f t="shared" si="0"/>
        <v>0</v>
      </c>
      <c r="F6" s="356">
        <v>0</v>
      </c>
      <c r="G6" s="348">
        <f t="shared" si="1"/>
        <v>0</v>
      </c>
      <c r="H6" s="356">
        <v>198587</v>
      </c>
      <c r="I6" s="348">
        <f t="shared" si="2"/>
        <v>3.295470008595998</v>
      </c>
      <c r="J6" s="355">
        <v>198587</v>
      </c>
      <c r="K6" s="346">
        <f t="shared" si="3"/>
        <v>2.8043204613282051</v>
      </c>
      <c r="L6" s="355">
        <v>153000</v>
      </c>
      <c r="M6" s="346">
        <f t="shared" si="4"/>
        <v>2.2071237009165623</v>
      </c>
      <c r="N6" s="355">
        <v>198587</v>
      </c>
      <c r="O6" s="346">
        <f t="shared" si="5"/>
        <v>3.1621161961105337</v>
      </c>
      <c r="P6" s="355">
        <v>198587</v>
      </c>
      <c r="Q6" s="346">
        <f t="shared" si="6"/>
        <v>2.8589333551390461</v>
      </c>
      <c r="R6" s="347">
        <v>207979</v>
      </c>
      <c r="S6" s="346">
        <f t="shared" si="7"/>
        <v>2.4293714499707453</v>
      </c>
      <c r="T6" s="347">
        <v>208810</v>
      </c>
      <c r="U6" s="346">
        <f t="shared" si="8"/>
        <v>2.5928398332516278</v>
      </c>
      <c r="V6" s="347">
        <v>209438</v>
      </c>
      <c r="W6" s="346">
        <f t="shared" si="9"/>
        <v>3.0068052876864231</v>
      </c>
      <c r="X6" s="347">
        <v>210904</v>
      </c>
      <c r="Y6" s="346">
        <f t="shared" si="10"/>
        <v>2.5604072876380322</v>
      </c>
    </row>
    <row r="7" spans="1:25" ht="31.5" x14ac:dyDescent="0.25">
      <c r="A7" s="354" t="s">
        <v>510</v>
      </c>
      <c r="B7" s="353">
        <v>124479</v>
      </c>
      <c r="C7" s="350">
        <f>(B7/$B$10)*100</f>
        <v>2.4562031466803895</v>
      </c>
      <c r="D7" s="349">
        <v>122010</v>
      </c>
      <c r="E7" s="348">
        <f t="shared" si="0"/>
        <v>1.9086202494894078</v>
      </c>
      <c r="F7" s="349">
        <v>129223</v>
      </c>
      <c r="G7" s="348">
        <f t="shared" si="1"/>
        <v>2.0214542619438549</v>
      </c>
      <c r="H7" s="349">
        <v>128864</v>
      </c>
      <c r="I7" s="348">
        <f t="shared" si="2"/>
        <v>2.1384453523529472</v>
      </c>
      <c r="J7" s="347">
        <v>117892</v>
      </c>
      <c r="K7" s="346">
        <f t="shared" si="3"/>
        <v>1.6647965265949169</v>
      </c>
      <c r="L7" s="347">
        <v>113129</v>
      </c>
      <c r="M7" s="346">
        <f t="shared" si="4"/>
        <v>1.6319588049737894</v>
      </c>
      <c r="N7" s="347">
        <v>0</v>
      </c>
      <c r="O7" s="346">
        <f t="shared" si="5"/>
        <v>0</v>
      </c>
      <c r="P7" s="347">
        <v>113129</v>
      </c>
      <c r="Q7" s="346">
        <f t="shared" si="6"/>
        <v>1.6286477540499888</v>
      </c>
      <c r="R7" s="347">
        <v>114252</v>
      </c>
      <c r="S7" s="346">
        <f t="shared" si="7"/>
        <v>1.3345604455356435</v>
      </c>
      <c r="T7" s="347">
        <v>116831</v>
      </c>
      <c r="U7" s="346">
        <f t="shared" si="8"/>
        <v>1.450716299787467</v>
      </c>
      <c r="V7" s="347">
        <v>123989</v>
      </c>
      <c r="W7" s="346">
        <f t="shared" si="9"/>
        <v>1.7800531938566635</v>
      </c>
      <c r="X7" s="347">
        <v>130188</v>
      </c>
      <c r="Y7" s="346">
        <f t="shared" si="10"/>
        <v>1.5805025222993405</v>
      </c>
    </row>
    <row r="8" spans="1:25" x14ac:dyDescent="0.25">
      <c r="A8" s="352" t="s">
        <v>509</v>
      </c>
      <c r="B8" s="351">
        <v>473850</v>
      </c>
      <c r="C8" s="350">
        <f>(B8/$B$10)*100</f>
        <v>9.3499454611179598</v>
      </c>
      <c r="D8" s="349">
        <v>163000</v>
      </c>
      <c r="E8" s="348">
        <f t="shared" si="0"/>
        <v>2.5498328060550239</v>
      </c>
      <c r="F8" s="349">
        <v>321316</v>
      </c>
      <c r="G8" s="348">
        <f t="shared" si="1"/>
        <v>5.0263931160145772</v>
      </c>
      <c r="H8" s="349">
        <v>65240</v>
      </c>
      <c r="I8" s="348">
        <f t="shared" si="2"/>
        <v>1.0826311055648301</v>
      </c>
      <c r="J8" s="347">
        <v>0</v>
      </c>
      <c r="K8" s="346">
        <f>(J8/$H$10)*100</f>
        <v>0</v>
      </c>
      <c r="L8" s="347"/>
      <c r="M8" s="346">
        <f>(L8/$H$10)*100</f>
        <v>0</v>
      </c>
      <c r="N8" s="347"/>
      <c r="O8" s="346">
        <f t="shared" si="5"/>
        <v>0</v>
      </c>
      <c r="P8" s="347"/>
      <c r="Q8" s="346">
        <f t="shared" si="6"/>
        <v>0</v>
      </c>
      <c r="R8" s="347">
        <v>43646</v>
      </c>
      <c r="S8" s="346">
        <f t="shared" si="7"/>
        <v>0.50982236814978021</v>
      </c>
      <c r="T8" s="347">
        <v>44918</v>
      </c>
      <c r="U8" s="346">
        <f t="shared" si="8"/>
        <v>0.55775671486038325</v>
      </c>
      <c r="V8" s="347">
        <v>49096</v>
      </c>
      <c r="W8" s="346">
        <f t="shared" si="9"/>
        <v>0.70484874953090004</v>
      </c>
      <c r="X8" s="347">
        <v>88104</v>
      </c>
      <c r="Y8" s="346">
        <f t="shared" si="10"/>
        <v>1.0695962317929539</v>
      </c>
    </row>
    <row r="9" spans="1:25" x14ac:dyDescent="0.25">
      <c r="B9" s="344"/>
      <c r="D9" s="345"/>
      <c r="E9" s="336"/>
      <c r="F9" s="345"/>
      <c r="G9" s="336"/>
      <c r="H9" s="345"/>
      <c r="J9" s="344"/>
      <c r="L9" s="344"/>
      <c r="N9" s="344"/>
      <c r="P9" s="344"/>
      <c r="R9" s="344"/>
      <c r="T9" s="344"/>
      <c r="V9" s="344"/>
      <c r="X9" s="344"/>
    </row>
    <row r="10" spans="1:25" x14ac:dyDescent="0.25">
      <c r="A10" s="343" t="s">
        <v>508</v>
      </c>
      <c r="B10" s="342">
        <f t="shared" ref="B10:Y10" si="11">SUM(B2:B9)</f>
        <v>5067944</v>
      </c>
      <c r="C10" s="341">
        <f t="shared" si="11"/>
        <v>100</v>
      </c>
      <c r="D10" s="340">
        <f t="shared" si="11"/>
        <v>6392576</v>
      </c>
      <c r="E10" s="339">
        <f t="shared" si="11"/>
        <v>100</v>
      </c>
      <c r="F10" s="340">
        <f t="shared" si="11"/>
        <v>6873083</v>
      </c>
      <c r="G10" s="339">
        <f t="shared" si="11"/>
        <v>107.51664117876737</v>
      </c>
      <c r="H10" s="340">
        <f t="shared" si="11"/>
        <v>6026060</v>
      </c>
      <c r="I10" s="339">
        <f t="shared" si="11"/>
        <v>100</v>
      </c>
      <c r="J10" s="338">
        <f t="shared" si="11"/>
        <v>7081466</v>
      </c>
      <c r="K10" s="337">
        <f t="shared" si="11"/>
        <v>99.999999999999972</v>
      </c>
      <c r="L10" s="338">
        <f t="shared" si="11"/>
        <v>6932099</v>
      </c>
      <c r="M10" s="337">
        <f t="shared" si="11"/>
        <v>100.00000000000001</v>
      </c>
      <c r="N10" s="338">
        <f t="shared" si="11"/>
        <v>6280193</v>
      </c>
      <c r="O10" s="337">
        <f t="shared" si="11"/>
        <v>100</v>
      </c>
      <c r="P10" s="338">
        <f t="shared" si="11"/>
        <v>6946192</v>
      </c>
      <c r="Q10" s="337">
        <f t="shared" si="11"/>
        <v>100</v>
      </c>
      <c r="R10" s="338">
        <f t="shared" si="11"/>
        <v>8561021</v>
      </c>
      <c r="S10" s="337">
        <f t="shared" si="11"/>
        <v>100</v>
      </c>
      <c r="T10" s="338">
        <f t="shared" si="11"/>
        <v>8053332</v>
      </c>
      <c r="U10" s="337">
        <f t="shared" si="11"/>
        <v>100.00000000000003</v>
      </c>
      <c r="V10" s="338">
        <f t="shared" si="11"/>
        <v>6965466</v>
      </c>
      <c r="W10" s="337">
        <f t="shared" si="11"/>
        <v>99.999999999999986</v>
      </c>
      <c r="X10" s="338">
        <f t="shared" si="11"/>
        <v>8237127</v>
      </c>
      <c r="Y10" s="337">
        <f t="shared" si="11"/>
        <v>100</v>
      </c>
    </row>
    <row r="11" spans="1:25" x14ac:dyDescent="0.25">
      <c r="B11" s="313">
        <v>4697998</v>
      </c>
    </row>
    <row r="12" spans="1:25" x14ac:dyDescent="0.25">
      <c r="B12" s="282">
        <f>B11-B10</f>
        <v>-369946</v>
      </c>
    </row>
    <row r="13" spans="1:25" x14ac:dyDescent="0.25">
      <c r="D13" s="282">
        <f>D7+D5+D8</f>
        <v>1925579</v>
      </c>
      <c r="E13" s="282"/>
      <c r="F13" s="282"/>
      <c r="G13" s="282"/>
      <c r="H13" s="291">
        <f>H7+H5+H8</f>
        <v>1490689</v>
      </c>
      <c r="J13" s="282">
        <f>J7+J5+J8</f>
        <v>2115318</v>
      </c>
      <c r="L13" s="282">
        <f>L7+L5+L8</f>
        <v>1986590</v>
      </c>
      <c r="N13" s="282">
        <f>N7+N5+N8</f>
        <v>1508406</v>
      </c>
      <c r="P13" s="282">
        <f>P7+P5+P8</f>
        <v>1970873</v>
      </c>
      <c r="R13" s="282">
        <f>R7+R5+R8</f>
        <v>3357475</v>
      </c>
      <c r="T13" s="282">
        <f>T7+T5+T8</f>
        <v>2332201</v>
      </c>
      <c r="V13" s="282">
        <f>V7+V5+V8</f>
        <v>764908</v>
      </c>
      <c r="X13" s="282">
        <f>X7+X5+X8</f>
        <v>920053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10</vt:i4>
      </vt:variant>
      <vt:variant>
        <vt:lpstr>grafy</vt:lpstr>
      </vt:variant>
      <vt:variant>
        <vt:i4>6</vt:i4>
      </vt:variant>
      <vt:variant>
        <vt:lpstr>Pojmenované oblasti</vt:lpstr>
      </vt:variant>
      <vt:variant>
        <vt:i4>7</vt:i4>
      </vt:variant>
    </vt:vector>
  </HeadingPairs>
  <TitlesOfParts>
    <vt:vector size="23" baseType="lpstr">
      <vt:lpstr>OBSAH</vt:lpstr>
      <vt:lpstr>Dotační programy 2018</vt:lpstr>
      <vt:lpstr>Akce spolufin. z evr.fin.zdr.</vt:lpstr>
      <vt:lpstr>Akce EU a jiné akce-úvěr ČSOB</vt:lpstr>
      <vt:lpstr>Akce Chytrý region</vt:lpstr>
      <vt:lpstr>Přehled příjmů</vt:lpstr>
      <vt:lpstr>Zdrojová data I.s</vt:lpstr>
      <vt:lpstr>Zdrojová data II. a III. s</vt:lpstr>
      <vt:lpstr>Zdrojová data IV.</vt:lpstr>
      <vt:lpstr>Zdrojová data V.a VI.</vt:lpstr>
      <vt:lpstr>Graf 1. Rozpočet 2014 - 2018</vt:lpstr>
      <vt:lpstr>Graf 2. Příjmy 2014 - 2018</vt:lpstr>
      <vt:lpstr>Graf 3. Výdaje B+K 2014 - 2018</vt:lpstr>
      <vt:lpstr>Graf 4. Příjmy 2018</vt:lpstr>
      <vt:lpstr>Graf 5. Výdaje 2018</vt:lpstr>
      <vt:lpstr>Graf 6. Výdaje EU 2018</vt:lpstr>
      <vt:lpstr>'Akce EU a jiné akce-úvěr ČSOB'!Názvy_tisku</vt:lpstr>
      <vt:lpstr>'Akce spolufin. z evr.fin.zdr.'!Názvy_tisku</vt:lpstr>
      <vt:lpstr>'Přehled příjmů'!Názvy_tisku</vt:lpstr>
      <vt:lpstr>'Akce EU a jiné akce-úvěr ČSOB'!Oblast_tisku</vt:lpstr>
      <vt:lpstr>'Akce spolufin. z evr.fin.zdr.'!Oblast_tisku</vt:lpstr>
      <vt:lpstr>'Dotační programy 2018'!Oblast_tisku</vt:lpstr>
      <vt:lpstr>'Přehled příjmů'!Oblast_tisku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2017-11-28T15:01:56Z</cp:lastPrinted>
  <dcterms:created xsi:type="dcterms:W3CDTF">2017-09-20T06:24:12Z</dcterms:created>
  <dcterms:modified xsi:type="dcterms:W3CDTF">2017-11-28T15:02:11Z</dcterms:modified>
</cp:coreProperties>
</file>