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240" windowWidth="27795" windowHeight="12465" tabRatio="837"/>
  </bookViews>
  <sheets>
    <sheet name="seznam" sheetId="3" r:id="rId1"/>
    <sheet name="Tab. 1" sheetId="1" r:id="rId2"/>
    <sheet name="Tab. 1 VÝDAJE" sheetId="2" r:id="rId3"/>
    <sheet name="Tab. 2" sheetId="4" r:id="rId4"/>
    <sheet name="Tab. 3 " sheetId="16" r:id="rId5"/>
    <sheet name="Tab. 4" sheetId="11" r:id="rId6"/>
    <sheet name="Tab. 5" sheetId="15" r:id="rId7"/>
    <sheet name="Tab. 6" sheetId="18" r:id="rId8"/>
    <sheet name="Tab. 7" sheetId="13" r:id="rId9"/>
    <sheet name="Tab. 8" sheetId="14" r:id="rId10"/>
  </sheets>
  <definedNames>
    <definedName name="_xlnm._FilterDatabase" localSheetId="3" hidden="1">'Tab. 2'!$A$21:$F$46</definedName>
    <definedName name="_xlnm.Print_Titles" localSheetId="1">'Tab. 1'!$5:$5</definedName>
    <definedName name="_xlnm.Print_Titles" localSheetId="2">'Tab. 1 VÝDAJE'!$1:$2</definedName>
    <definedName name="_xlnm.Print_Titles" localSheetId="3">'Tab. 2'!$3:$4</definedName>
    <definedName name="_xlnm.Print_Titles" localSheetId="4">'Tab. 3 '!$4:$5</definedName>
    <definedName name="_xlnm.Print_Titles" localSheetId="5">'Tab. 4'!$4:$5</definedName>
    <definedName name="_xlnm.Print_Titles" localSheetId="6">'Tab. 5'!$4:$5</definedName>
    <definedName name="_xlnm.Print_Titles" localSheetId="7">'Tab. 6'!$5:$7</definedName>
    <definedName name="_xlnm.Print_Area" localSheetId="1">'Tab. 1'!$A$1:$H$65</definedName>
    <definedName name="_xlnm.Print_Area" localSheetId="5">'Tab. 4'!$A$1:$H$45</definedName>
    <definedName name="_xlnm.Print_Area" localSheetId="7">'Tab. 6'!$A$1:$I$86</definedName>
    <definedName name="_xlnm.Print_Area" localSheetId="9">'Tab. 8'!$C$1:$J$50</definedName>
    <definedName name="Z_011A6C4B_2327_4720_A085_B414162D3D4F_.wvu.PrintTitles" localSheetId="3" hidden="1">'Tab. 2'!$3:$3</definedName>
    <definedName name="Z_101071BA_2FA5_4A0F_9E83_07DE84746187_.wvu.PrintArea" localSheetId="1" hidden="1">'Tab. 1'!$A$1:$H$63</definedName>
    <definedName name="Z_101071BA_2FA5_4A0F_9E83_07DE84746187_.wvu.PrintTitles" localSheetId="1" hidden="1">'Tab. 1'!$5:$5</definedName>
    <definedName name="Z_101071BA_2FA5_4A0F_9E83_07DE84746187_.wvu.PrintTitles" localSheetId="2" hidden="1">'Tab. 1 VÝDAJE'!$1:$2</definedName>
    <definedName name="Z_101071BA_2FA5_4A0F_9E83_07DE84746187_.wvu.Rows" localSheetId="1" hidden="1">'Tab. 1'!$24:$24</definedName>
    <definedName name="Z_101071BA_2FA5_4A0F_9E83_07DE84746187_.wvu.Rows" localSheetId="2" hidden="1">'Tab. 1 VÝDAJE'!$71:$74</definedName>
    <definedName name="Z_45C5CFB9_158D_4F03_A633_881DCDF96A2D_.wvu.PrintArea" localSheetId="7" hidden="1">'Tab. 6'!$A$1:$H$85</definedName>
    <definedName name="Z_45C5CFB9_158D_4F03_A633_881DCDF96A2D_.wvu.PrintTitles" localSheetId="7" hidden="1">'Tab. 6'!$5:$7</definedName>
    <definedName name="Z_45C5CFB9_158D_4F03_A633_881DCDF96A2D_.wvu.Rows" localSheetId="7" hidden="1">'Tab. 6'!#REF!,'Tab. 6'!#REF!</definedName>
    <definedName name="Z_49829188_FED5_46AD_A01B_AD023612A570_.wvu.Cols" localSheetId="1" hidden="1">'Tab. 1'!#REF!</definedName>
    <definedName name="Z_49829188_FED5_46AD_A01B_AD023612A570_.wvu.Cols" localSheetId="2" hidden="1">'Tab. 1 VÝDAJE'!#REF!</definedName>
    <definedName name="Z_49829188_FED5_46AD_A01B_AD023612A570_.wvu.PrintArea" localSheetId="1" hidden="1">'Tab. 1'!$A$5:$A$33</definedName>
    <definedName name="Z_49829188_FED5_46AD_A01B_AD023612A570_.wvu.PrintArea" localSheetId="2" hidden="1">'Tab. 1 VÝDAJE'!#REF!</definedName>
    <definedName name="Z_49829188_FED5_46AD_A01B_AD023612A570_.wvu.Rows" localSheetId="1" hidden="1">'Tab. 1'!#REF!</definedName>
    <definedName name="Z_49829188_FED5_46AD_A01B_AD023612A570_.wvu.Rows" localSheetId="2" hidden="1">'Tab. 1 VÝDAJE'!#REF!</definedName>
    <definedName name="Z_5B91070D_F9B9_4820_9E86_BB01741C4EA5_.wvu.PrintArea" localSheetId="7" hidden="1">'Tab. 6'!$A$1:$H$87</definedName>
    <definedName name="Z_5B91070D_F9B9_4820_9E86_BB01741C4EA5_.wvu.PrintTitles" localSheetId="7" hidden="1">'Tab. 6'!$5:$7</definedName>
    <definedName name="Z_5DB6203E_29E2_4B15_9753_B7E7D9EC8456_.wvu.PrintArea" localSheetId="7" hidden="1">'Tab. 6'!$A$1:$H$87</definedName>
    <definedName name="Z_5DB6203E_29E2_4B15_9753_B7E7D9EC8456_.wvu.PrintTitles" localSheetId="7" hidden="1">'Tab. 6'!$5:$7</definedName>
    <definedName name="Z_5DB6203E_29E2_4B15_9753_B7E7D9EC8456_.wvu.Rows" localSheetId="7" hidden="1">'Tab. 6'!#REF!,'Tab. 6'!#REF!</definedName>
    <definedName name="Z_6043CA5C_3C88_42F1_8743_AE7C341B6A5D_.wvu.PrintTitles" localSheetId="7" hidden="1">'Tab. 6'!$6:$7</definedName>
    <definedName name="Z_6773646E_4FE1_4144_9FDF_4FF97C20B4A9_.wvu.PrintArea" localSheetId="1" hidden="1">'Tab. 1'!$A$5:$C$33</definedName>
    <definedName name="Z_6773646E_4FE1_4144_9FDF_4FF97C20B4A9_.wvu.PrintArea" localSheetId="2" hidden="1">'Tab. 1 VÝDAJE'!#REF!</definedName>
    <definedName name="Z_6773646E_4FE1_4144_9FDF_4FF97C20B4A9_.wvu.Rows" localSheetId="1" hidden="1">'Tab. 1'!$24:$24</definedName>
    <definedName name="Z_6773646E_4FE1_4144_9FDF_4FF97C20B4A9_.wvu.Rows" localSheetId="2" hidden="1">'Tab. 1 VÝDAJE'!#REF!</definedName>
    <definedName name="Z_BCCA6061_3DB5_4487_907E_7813A1F1537A_.wvu.PrintArea" localSheetId="1" hidden="1">'Tab. 1'!$A$5:$C$33</definedName>
    <definedName name="Z_BCCA6061_3DB5_4487_907E_7813A1F1537A_.wvu.PrintArea" localSheetId="2" hidden="1">'Tab. 1 VÝDAJE'!#REF!</definedName>
    <definedName name="Z_BCCA6061_3DB5_4487_907E_7813A1F1537A_.wvu.Rows" localSheetId="1" hidden="1">'Tab. 1'!$24:$24</definedName>
    <definedName name="Z_BCCA6061_3DB5_4487_907E_7813A1F1537A_.wvu.Rows" localSheetId="2" hidden="1">'Tab. 1 VÝDAJE'!#REF!</definedName>
    <definedName name="Z_C2C9F2E1_638E_40AC_851E_1591296A9463_.wvu.PrintTitles" localSheetId="7" hidden="1">'Tab. 6'!$6:$7</definedName>
    <definedName name="Z_E5D11231_1473_4685_9500_D27714D32333_.wvu.Cols" localSheetId="1" hidden="1">'Tab. 1'!#REF!</definedName>
    <definedName name="Z_E5D11231_1473_4685_9500_D27714D32333_.wvu.Cols" localSheetId="2" hidden="1">'Tab. 1 VÝDAJE'!#REF!</definedName>
    <definedName name="Z_E5D11231_1473_4685_9500_D27714D32333_.wvu.Rows" localSheetId="1" hidden="1">'Tab. 1'!#REF!</definedName>
    <definedName name="Z_E5D11231_1473_4685_9500_D27714D32333_.wvu.Rows" localSheetId="2" hidden="1">'Tab. 1 VÝDAJE'!#REF!</definedName>
  </definedNames>
  <calcPr calcId="152511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G43" i="18" l="1"/>
  <c r="H43" i="18"/>
  <c r="I43" i="18"/>
  <c r="F43" i="18"/>
  <c r="G19" i="18"/>
  <c r="H19" i="18"/>
  <c r="I19" i="18"/>
  <c r="F19" i="18"/>
  <c r="I18" i="18"/>
  <c r="H85" i="18" l="1"/>
  <c r="G85" i="18"/>
  <c r="F85" i="18"/>
  <c r="E80" i="15"/>
  <c r="H11" i="18" l="1"/>
  <c r="G11" i="18"/>
  <c r="F11" i="18"/>
  <c r="I10" i="18"/>
  <c r="I9" i="18"/>
  <c r="H83" i="18"/>
  <c r="G83" i="18"/>
  <c r="F83" i="18"/>
  <c r="I82" i="18"/>
  <c r="I81" i="18"/>
  <c r="I80" i="18"/>
  <c r="I79" i="18"/>
  <c r="I78" i="18"/>
  <c r="I77" i="18"/>
  <c r="I76" i="18"/>
  <c r="H74" i="18"/>
  <c r="G74" i="18"/>
  <c r="F74" i="18"/>
  <c r="I73" i="18"/>
  <c r="I72" i="18"/>
  <c r="I71" i="18"/>
  <c r="H69" i="18"/>
  <c r="G69" i="18"/>
  <c r="F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H55" i="18"/>
  <c r="G55" i="18"/>
  <c r="F55" i="18"/>
  <c r="I52" i="18"/>
  <c r="I51" i="18"/>
  <c r="I50" i="18"/>
  <c r="I49" i="18"/>
  <c r="I47" i="18"/>
  <c r="I46" i="18"/>
  <c r="I45" i="18"/>
  <c r="H38" i="18"/>
  <c r="G38" i="18"/>
  <c r="F38" i="18"/>
  <c r="I37" i="18"/>
  <c r="I38" i="18" s="1"/>
  <c r="I41" i="18"/>
  <c r="I40" i="18"/>
  <c r="H35" i="18"/>
  <c r="G35" i="18"/>
  <c r="F35" i="18"/>
  <c r="I34" i="18"/>
  <c r="I33" i="18"/>
  <c r="I32" i="18"/>
  <c r="I31" i="18"/>
  <c r="I30" i="18"/>
  <c r="I29" i="18"/>
  <c r="I28" i="18"/>
  <c r="I27" i="18"/>
  <c r="I26" i="18"/>
  <c r="I25" i="18"/>
  <c r="I24" i="18"/>
  <c r="H15" i="18"/>
  <c r="G15" i="18"/>
  <c r="F15" i="18"/>
  <c r="I14" i="18"/>
  <c r="I13" i="18"/>
  <c r="H22" i="18"/>
  <c r="G22" i="18"/>
  <c r="F22" i="18"/>
  <c r="I21" i="18"/>
  <c r="I22" i="18" s="1"/>
  <c r="I17" i="18"/>
  <c r="I15" i="18" l="1"/>
  <c r="I74" i="18"/>
  <c r="I83" i="18"/>
  <c r="I11" i="18"/>
  <c r="I35" i="18"/>
  <c r="I69" i="18"/>
  <c r="I55" i="18"/>
  <c r="I85" i="18" l="1"/>
  <c r="G103" i="16"/>
  <c r="F103" i="16"/>
  <c r="E103" i="16"/>
  <c r="E105" i="16" s="1"/>
  <c r="D103" i="16"/>
  <c r="C102" i="16"/>
  <c r="C101" i="16"/>
  <c r="C100" i="16"/>
  <c r="C99" i="16"/>
  <c r="C98" i="16"/>
  <c r="C97" i="16"/>
  <c r="C96" i="16"/>
  <c r="C95" i="16"/>
  <c r="C103" i="16" s="1"/>
  <c r="G93" i="16"/>
  <c r="F93" i="16"/>
  <c r="E93" i="16"/>
  <c r="D93" i="16"/>
  <c r="C92" i="16"/>
  <c r="C91" i="16"/>
  <c r="C90" i="16"/>
  <c r="C89" i="16"/>
  <c r="C88" i="16"/>
  <c r="C93" i="16" s="1"/>
  <c r="G86" i="16"/>
  <c r="F86" i="16"/>
  <c r="E86" i="16"/>
  <c r="D86" i="16"/>
  <c r="D105" i="16" s="1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86" i="16" s="1"/>
  <c r="G71" i="16"/>
  <c r="F71" i="16"/>
  <c r="E71" i="16"/>
  <c r="D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71" i="16" s="1"/>
  <c r="C57" i="16"/>
  <c r="C56" i="16"/>
  <c r="G54" i="16"/>
  <c r="F54" i="16"/>
  <c r="E54" i="16"/>
  <c r="D54" i="16"/>
  <c r="C53" i="16"/>
  <c r="C54" i="16" s="1"/>
  <c r="C52" i="16"/>
  <c r="C51" i="16"/>
  <c r="G49" i="16"/>
  <c r="F49" i="16"/>
  <c r="E49" i="16"/>
  <c r="D49" i="16"/>
  <c r="C48" i="16"/>
  <c r="C47" i="16"/>
  <c r="C46" i="16"/>
  <c r="C45" i="16"/>
  <c r="C44" i="16"/>
  <c r="C49" i="16" s="1"/>
  <c r="G42" i="16"/>
  <c r="F42" i="16"/>
  <c r="E42" i="16"/>
  <c r="D42" i="16"/>
  <c r="C41" i="16"/>
  <c r="C40" i="16"/>
  <c r="C39" i="16"/>
  <c r="C38" i="16"/>
  <c r="C37" i="16"/>
  <c r="C36" i="16"/>
  <c r="C35" i="16"/>
  <c r="C34" i="16"/>
  <c r="C33" i="16"/>
  <c r="C42" i="16" s="1"/>
  <c r="G31" i="16"/>
  <c r="F31" i="16"/>
  <c r="E31" i="16"/>
  <c r="D31" i="16"/>
  <c r="C30" i="16"/>
  <c r="C29" i="16"/>
  <c r="C28" i="16"/>
  <c r="C27" i="16"/>
  <c r="C26" i="16"/>
  <c r="C31" i="16" s="1"/>
  <c r="G24" i="16"/>
  <c r="F24" i="16"/>
  <c r="E24" i="16"/>
  <c r="D24" i="16"/>
  <c r="C23" i="16"/>
  <c r="C22" i="16"/>
  <c r="C21" i="16"/>
  <c r="C20" i="16"/>
  <c r="C19" i="16"/>
  <c r="C18" i="16"/>
  <c r="C17" i="16"/>
  <c r="C16" i="16"/>
  <c r="C15" i="16"/>
  <c r="C14" i="16"/>
  <c r="C24" i="16" s="1"/>
  <c r="G12" i="16"/>
  <c r="F12" i="16"/>
  <c r="E12" i="16"/>
  <c r="D12" i="16"/>
  <c r="C12" i="16"/>
  <c r="C11" i="16"/>
  <c r="C10" i="16"/>
  <c r="G8" i="16"/>
  <c r="G105" i="16" s="1"/>
  <c r="F8" i="16"/>
  <c r="F105" i="16" s="1"/>
  <c r="E8" i="16"/>
  <c r="D8" i="16"/>
  <c r="C7" i="16"/>
  <c r="C8" i="16" s="1"/>
  <c r="G78" i="15"/>
  <c r="F78" i="15"/>
  <c r="E78" i="15"/>
  <c r="D78" i="15"/>
  <c r="C78" i="15"/>
  <c r="G71" i="15"/>
  <c r="F71" i="15"/>
  <c r="E71" i="15"/>
  <c r="D71" i="15"/>
  <c r="C70" i="15"/>
  <c r="C69" i="15"/>
  <c r="C71" i="15" s="1"/>
  <c r="G67" i="15"/>
  <c r="F67" i="15"/>
  <c r="E67" i="15"/>
  <c r="D67" i="15"/>
  <c r="C66" i="15"/>
  <c r="C65" i="15"/>
  <c r="C64" i="15"/>
  <c r="C67" i="15" s="1"/>
  <c r="G62" i="15"/>
  <c r="F62" i="15"/>
  <c r="E62" i="15"/>
  <c r="D62" i="15"/>
  <c r="C61" i="15"/>
  <c r="C62" i="15" s="1"/>
  <c r="G59" i="15"/>
  <c r="F59" i="15"/>
  <c r="E59" i="15"/>
  <c r="D59" i="15"/>
  <c r="C58" i="15"/>
  <c r="C59" i="15" s="1"/>
  <c r="G56" i="15"/>
  <c r="F56" i="15"/>
  <c r="E56" i="15"/>
  <c r="D56" i="15"/>
  <c r="C55" i="15"/>
  <c r="C54" i="15"/>
  <c r="C53" i="15"/>
  <c r="C52" i="15"/>
  <c r="C56" i="15" s="1"/>
  <c r="G50" i="15"/>
  <c r="F50" i="15"/>
  <c r="E50" i="15"/>
  <c r="D50" i="15"/>
  <c r="C49" i="15"/>
  <c r="C48" i="15"/>
  <c r="C50" i="15" s="1"/>
  <c r="G46" i="15"/>
  <c r="F46" i="15"/>
  <c r="E46" i="15"/>
  <c r="D46" i="15"/>
  <c r="C45" i="15"/>
  <c r="C46" i="15" s="1"/>
  <c r="F43" i="15"/>
  <c r="E43" i="15"/>
  <c r="D43" i="15"/>
  <c r="G42" i="15"/>
  <c r="C42" i="15" s="1"/>
  <c r="G41" i="15"/>
  <c r="C41" i="15" s="1"/>
  <c r="G40" i="15"/>
  <c r="C40" i="15" s="1"/>
  <c r="G39" i="15"/>
  <c r="C39" i="15" s="1"/>
  <c r="G38" i="15"/>
  <c r="C38" i="15" s="1"/>
  <c r="G37" i="15"/>
  <c r="C37" i="15" s="1"/>
  <c r="G36" i="15"/>
  <c r="C36" i="15" s="1"/>
  <c r="G35" i="15"/>
  <c r="C35" i="15" s="1"/>
  <c r="G34" i="15"/>
  <c r="C34" i="15" s="1"/>
  <c r="G33" i="15"/>
  <c r="C33" i="15" s="1"/>
  <c r="C32" i="15"/>
  <c r="C31" i="15"/>
  <c r="C30" i="15"/>
  <c r="C29" i="15"/>
  <c r="C28" i="15"/>
  <c r="C27" i="15"/>
  <c r="C26" i="15"/>
  <c r="C25" i="15"/>
  <c r="G24" i="15"/>
  <c r="C24" i="15" s="1"/>
  <c r="C23" i="15"/>
  <c r="C22" i="15"/>
  <c r="C21" i="15"/>
  <c r="C43" i="15" s="1"/>
  <c r="F19" i="15"/>
  <c r="E19" i="15"/>
  <c r="D19" i="15"/>
  <c r="C18" i="15"/>
  <c r="C17" i="15"/>
  <c r="C16" i="15"/>
  <c r="C15" i="15"/>
  <c r="C14" i="15"/>
  <c r="C13" i="15"/>
  <c r="G12" i="15"/>
  <c r="G19" i="15" s="1"/>
  <c r="C11" i="15"/>
  <c r="G9" i="15"/>
  <c r="F9" i="15"/>
  <c r="F80" i="15" s="1"/>
  <c r="E9" i="15"/>
  <c r="D9" i="15"/>
  <c r="D80" i="15" s="1"/>
  <c r="C8" i="15"/>
  <c r="C9" i="15" s="1"/>
  <c r="C7" i="15"/>
  <c r="C105" i="16" l="1"/>
  <c r="G80" i="15"/>
  <c r="G43" i="15"/>
  <c r="C12" i="15"/>
  <c r="C19" i="15" s="1"/>
  <c r="C80" i="15" s="1"/>
  <c r="D42" i="2" l="1"/>
  <c r="E42" i="2"/>
  <c r="C42" i="2"/>
  <c r="B42" i="2"/>
  <c r="D50" i="2"/>
  <c r="C50" i="2"/>
  <c r="B50" i="2"/>
  <c r="H48" i="14" l="1"/>
  <c r="G48" i="14"/>
  <c r="J47" i="14"/>
  <c r="J48" i="14" s="1"/>
  <c r="I47" i="14"/>
  <c r="I48" i="14" s="1"/>
  <c r="H47" i="14"/>
  <c r="G47" i="14"/>
  <c r="F47" i="14"/>
  <c r="F48" i="14" s="1"/>
  <c r="E47" i="14"/>
  <c r="E48" i="14" s="1"/>
  <c r="J34" i="14"/>
  <c r="I34" i="14"/>
  <c r="H34" i="14"/>
  <c r="G34" i="14"/>
  <c r="F34" i="14"/>
  <c r="E34" i="14"/>
  <c r="J31" i="14"/>
  <c r="J39" i="14" s="1"/>
  <c r="I31" i="14"/>
  <c r="I39" i="14" s="1"/>
  <c r="H31" i="14"/>
  <c r="G31" i="14"/>
  <c r="F31" i="14"/>
  <c r="F39" i="14" s="1"/>
  <c r="E31" i="14"/>
  <c r="E39" i="14" s="1"/>
  <c r="J27" i="14"/>
  <c r="I27" i="14"/>
  <c r="H27" i="14"/>
  <c r="H38" i="14" s="1"/>
  <c r="G27" i="14"/>
  <c r="G38" i="14" s="1"/>
  <c r="F27" i="14"/>
  <c r="E27" i="14"/>
  <c r="J21" i="14"/>
  <c r="I21" i="14"/>
  <c r="H21" i="14"/>
  <c r="G21" i="14"/>
  <c r="F21" i="14"/>
  <c r="E21" i="14"/>
  <c r="J20" i="14"/>
  <c r="J22" i="14" s="1"/>
  <c r="J36" i="14" s="1"/>
  <c r="J40" i="14" s="1"/>
  <c r="I20" i="14"/>
  <c r="I22" i="14" s="1"/>
  <c r="I36" i="14" s="1"/>
  <c r="I40" i="14" s="1"/>
  <c r="H20" i="14"/>
  <c r="G20" i="14"/>
  <c r="F20" i="14"/>
  <c r="F22" i="14" s="1"/>
  <c r="F36" i="14" s="1"/>
  <c r="F40" i="14" s="1"/>
  <c r="E20" i="14"/>
  <c r="E22" i="14" s="1"/>
  <c r="E36" i="14" s="1"/>
  <c r="E40" i="14" s="1"/>
  <c r="J19" i="14"/>
  <c r="I19" i="14"/>
  <c r="H19" i="14"/>
  <c r="H22" i="14" s="1"/>
  <c r="H36" i="14" s="1"/>
  <c r="H40" i="14" s="1"/>
  <c r="G19" i="14"/>
  <c r="G22" i="14" s="1"/>
  <c r="G36" i="14" s="1"/>
  <c r="G40" i="14" s="1"/>
  <c r="F19" i="14"/>
  <c r="E19" i="14"/>
  <c r="J12" i="14"/>
  <c r="I12" i="14"/>
  <c r="F12" i="14"/>
  <c r="E12" i="14"/>
  <c r="J10" i="14"/>
  <c r="I10" i="14"/>
  <c r="H10" i="14"/>
  <c r="H12" i="14" s="1"/>
  <c r="G10" i="14"/>
  <c r="G12" i="14" s="1"/>
  <c r="F10" i="14"/>
  <c r="E10" i="14"/>
  <c r="E38" i="14" l="1"/>
  <c r="I38" i="14"/>
  <c r="G39" i="14"/>
  <c r="F38" i="14"/>
  <c r="J38" i="14"/>
  <c r="H39" i="14"/>
  <c r="K8" i="13" l="1"/>
  <c r="L8" i="13"/>
  <c r="M8" i="13"/>
  <c r="E9" i="13"/>
  <c r="K9" i="13" s="1"/>
  <c r="L9" i="13"/>
  <c r="M9" i="13"/>
  <c r="L10" i="13"/>
  <c r="M10" i="13"/>
  <c r="L11" i="13"/>
  <c r="M11" i="13"/>
  <c r="L12" i="13"/>
  <c r="M12" i="13"/>
  <c r="L13" i="13"/>
  <c r="M13" i="13"/>
  <c r="L14" i="13"/>
  <c r="M14" i="13"/>
  <c r="L15" i="13"/>
  <c r="M15" i="13"/>
  <c r="E10" i="13" l="1"/>
  <c r="G43" i="11"/>
  <c r="F43" i="11"/>
  <c r="F45" i="11" s="1"/>
  <c r="E43" i="11"/>
  <c r="E45" i="11" s="1"/>
  <c r="D43" i="11"/>
  <c r="D45" i="11" s="1"/>
  <c r="C42" i="11"/>
  <c r="C41" i="11"/>
  <c r="C40" i="11"/>
  <c r="C39" i="11"/>
  <c r="C38" i="11"/>
  <c r="C37" i="11"/>
  <c r="C36" i="11"/>
  <c r="C35" i="11"/>
  <c r="C43" i="11" s="1"/>
  <c r="G33" i="11"/>
  <c r="F33" i="11"/>
  <c r="E33" i="11"/>
  <c r="D33" i="11"/>
  <c r="C32" i="11"/>
  <c r="C31" i="11"/>
  <c r="C33" i="11" s="1"/>
  <c r="G29" i="11"/>
  <c r="F29" i="11"/>
  <c r="E29" i="11"/>
  <c r="D29" i="11"/>
  <c r="C28" i="11"/>
  <c r="C27" i="11"/>
  <c r="C26" i="11"/>
  <c r="C25" i="11"/>
  <c r="C24" i="11"/>
  <c r="C29" i="11" s="1"/>
  <c r="G22" i="11"/>
  <c r="F22" i="11"/>
  <c r="E22" i="11"/>
  <c r="D22" i="11"/>
  <c r="C21" i="11"/>
  <c r="C20" i="11"/>
  <c r="C19" i="11"/>
  <c r="C18" i="11"/>
  <c r="C22" i="11" s="1"/>
  <c r="G16" i="11"/>
  <c r="F16" i="11"/>
  <c r="E16" i="11"/>
  <c r="D16" i="11"/>
  <c r="C15" i="11"/>
  <c r="C16" i="11" s="1"/>
  <c r="G13" i="11"/>
  <c r="F13" i="11"/>
  <c r="E13" i="11"/>
  <c r="D13" i="11"/>
  <c r="C12" i="11"/>
  <c r="C11" i="11"/>
  <c r="C10" i="11"/>
  <c r="C13" i="11" s="1"/>
  <c r="F8" i="11"/>
  <c r="E8" i="11"/>
  <c r="D8" i="11"/>
  <c r="G7" i="11"/>
  <c r="G8" i="11" s="1"/>
  <c r="K10" i="13" l="1"/>
  <c r="E11" i="13"/>
  <c r="G45" i="11"/>
  <c r="C45" i="11"/>
  <c r="C7" i="11"/>
  <c r="C8" i="11" s="1"/>
  <c r="K11" i="13" l="1"/>
  <c r="E12" i="13"/>
  <c r="C9" i="1"/>
  <c r="D9" i="1"/>
  <c r="E9" i="1"/>
  <c r="B9" i="1"/>
  <c r="C10" i="1"/>
  <c r="B10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E58" i="1"/>
  <c r="E10" i="1" s="1"/>
  <c r="D58" i="1"/>
  <c r="G58" i="1" s="1"/>
  <c r="C58" i="1"/>
  <c r="B58" i="1"/>
  <c r="F58" i="1" s="1"/>
  <c r="H57" i="1"/>
  <c r="G57" i="1"/>
  <c r="F57" i="1"/>
  <c r="H56" i="1"/>
  <c r="G56" i="1"/>
  <c r="F56" i="1"/>
  <c r="E55" i="1"/>
  <c r="H55" i="1" s="1"/>
  <c r="D55" i="1"/>
  <c r="C55" i="1"/>
  <c r="F55" i="1" s="1"/>
  <c r="B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H45" i="1"/>
  <c r="H44" i="1"/>
  <c r="G44" i="1"/>
  <c r="F44" i="1"/>
  <c r="G43" i="1"/>
  <c r="F43" i="1"/>
  <c r="H42" i="1"/>
  <c r="G42" i="1"/>
  <c r="F42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E36" i="1"/>
  <c r="D36" i="1"/>
  <c r="C36" i="1"/>
  <c r="F36" i="1" s="1"/>
  <c r="B36" i="1"/>
  <c r="H35" i="1"/>
  <c r="G35" i="1"/>
  <c r="H34" i="1"/>
  <c r="G34" i="1"/>
  <c r="F34" i="1"/>
  <c r="H33" i="1"/>
  <c r="G33" i="1"/>
  <c r="F33" i="1"/>
  <c r="H32" i="1"/>
  <c r="G32" i="1"/>
  <c r="F32" i="1"/>
  <c r="E31" i="1"/>
  <c r="H31" i="1" s="1"/>
  <c r="D31" i="1"/>
  <c r="C31" i="1"/>
  <c r="F31" i="1" s="1"/>
  <c r="B31" i="1"/>
  <c r="B65" i="1" s="1"/>
  <c r="E53" i="2"/>
  <c r="D53" i="2"/>
  <c r="C53" i="2"/>
  <c r="B53" i="2"/>
  <c r="E35" i="2"/>
  <c r="D35" i="2"/>
  <c r="C35" i="2"/>
  <c r="B35" i="2"/>
  <c r="E28" i="2"/>
  <c r="D28" i="2"/>
  <c r="C28" i="2"/>
  <c r="B28" i="2"/>
  <c r="E14" i="2"/>
  <c r="D14" i="2"/>
  <c r="C14" i="2"/>
  <c r="B14" i="2"/>
  <c r="E4" i="2"/>
  <c r="D4" i="2"/>
  <c r="C4" i="2"/>
  <c r="B4" i="2"/>
  <c r="K12" i="13" l="1"/>
  <c r="E13" i="13"/>
  <c r="B69" i="2"/>
  <c r="H58" i="1"/>
  <c r="D10" i="1"/>
  <c r="D65" i="1"/>
  <c r="H36" i="1"/>
  <c r="G36" i="1"/>
  <c r="C69" i="2"/>
  <c r="E69" i="2"/>
  <c r="D69" i="2"/>
  <c r="G55" i="1"/>
  <c r="E65" i="1"/>
  <c r="H65" i="1" s="1"/>
  <c r="C65" i="1"/>
  <c r="F65" i="1" s="1"/>
  <c r="G31" i="1"/>
  <c r="K13" i="13" l="1"/>
  <c r="E14" i="13"/>
  <c r="G65" i="1"/>
  <c r="K14" i="13" l="1"/>
  <c r="E15" i="13"/>
  <c r="K15" i="13" s="1"/>
  <c r="F42" i="4" l="1"/>
  <c r="F46" i="4" s="1"/>
  <c r="F12" i="4" s="1"/>
  <c r="E42" i="4"/>
  <c r="E46" i="4" s="1"/>
  <c r="E12" i="4" s="1"/>
  <c r="D42" i="4"/>
  <c r="D46" i="4" s="1"/>
  <c r="D12" i="4" s="1"/>
  <c r="C42" i="4"/>
  <c r="C46" i="4" s="1"/>
  <c r="C12" i="4" s="1"/>
  <c r="F41" i="4"/>
  <c r="E41" i="4"/>
  <c r="D41" i="4"/>
  <c r="C41" i="4"/>
  <c r="F21" i="4"/>
  <c r="E21" i="4"/>
  <c r="D21" i="4"/>
  <c r="C21" i="4"/>
  <c r="F18" i="4"/>
  <c r="E18" i="4"/>
  <c r="D18" i="4"/>
  <c r="C18" i="4"/>
  <c r="F15" i="4"/>
  <c r="E15" i="4"/>
  <c r="D15" i="4"/>
  <c r="C15" i="4"/>
  <c r="F5" i="4"/>
  <c r="F51" i="4" s="1"/>
  <c r="E5" i="4"/>
  <c r="E51" i="4" s="1"/>
  <c r="D5" i="4"/>
  <c r="C5" i="4"/>
  <c r="C51" i="4" s="1"/>
  <c r="D51" i="4" l="1"/>
  <c r="H55" i="2" l="1"/>
  <c r="G55" i="2"/>
  <c r="F55" i="2"/>
  <c r="H37" i="2"/>
  <c r="G37" i="2"/>
  <c r="F37" i="2"/>
  <c r="G36" i="2"/>
  <c r="F36" i="2"/>
  <c r="F30" i="2"/>
  <c r="E16" i="1" l="1"/>
  <c r="D16" i="1"/>
  <c r="C16" i="1"/>
  <c r="B16" i="1"/>
  <c r="F46" i="2"/>
  <c r="G46" i="2"/>
  <c r="F47" i="2"/>
  <c r="G47" i="2"/>
  <c r="H47" i="2"/>
  <c r="F48" i="2"/>
  <c r="G48" i="2"/>
  <c r="H48" i="2"/>
  <c r="F49" i="2"/>
  <c r="G49" i="2"/>
  <c r="H49" i="2"/>
  <c r="F50" i="2"/>
  <c r="G50" i="2"/>
  <c r="H50" i="2"/>
  <c r="H51" i="2"/>
  <c r="H54" i="2" l="1"/>
  <c r="G54" i="2"/>
  <c r="F54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45" i="2"/>
  <c r="G45" i="2"/>
  <c r="F45" i="2"/>
  <c r="H44" i="2"/>
  <c r="G44" i="2"/>
  <c r="F44" i="2"/>
  <c r="H43" i="2"/>
  <c r="G43" i="2"/>
  <c r="F43" i="2"/>
  <c r="G38" i="2"/>
  <c r="F38" i="2"/>
  <c r="H34" i="2"/>
  <c r="G34" i="2"/>
  <c r="F34" i="2"/>
  <c r="H33" i="2"/>
  <c r="G33" i="2"/>
  <c r="F33" i="2"/>
  <c r="H32" i="2"/>
  <c r="G32" i="2"/>
  <c r="F32" i="2"/>
  <c r="H31" i="2"/>
  <c r="G31" i="2"/>
  <c r="F31" i="2"/>
  <c r="H29" i="2"/>
  <c r="G29" i="2"/>
  <c r="F29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67" i="2"/>
  <c r="G67" i="2"/>
  <c r="F67" i="2"/>
  <c r="H40" i="2"/>
  <c r="G40" i="2"/>
  <c r="F40" i="2"/>
  <c r="H3" i="2"/>
  <c r="G3" i="2"/>
  <c r="F3" i="2"/>
  <c r="C23" i="1" l="1"/>
  <c r="D23" i="1"/>
  <c r="E23" i="1"/>
  <c r="B23" i="1"/>
  <c r="F42" i="2"/>
  <c r="B21" i="1"/>
  <c r="C8" i="1"/>
  <c r="D8" i="1"/>
  <c r="E8" i="1"/>
  <c r="B8" i="1"/>
  <c r="B20" i="1"/>
  <c r="E19" i="1"/>
  <c r="F35" i="2" l="1"/>
  <c r="G42" i="2"/>
  <c r="B17" i="1"/>
  <c r="H35" i="2"/>
  <c r="G28" i="2"/>
  <c r="F4" i="2"/>
  <c r="D21" i="1"/>
  <c r="H42" i="2"/>
  <c r="C21" i="1"/>
  <c r="G35" i="2"/>
  <c r="E20" i="1"/>
  <c r="D20" i="1"/>
  <c r="C20" i="1"/>
  <c r="D19" i="1"/>
  <c r="H28" i="2"/>
  <c r="C19" i="1"/>
  <c r="C17" i="1"/>
  <c r="E21" i="1"/>
  <c r="B19" i="1"/>
  <c r="E7" i="1"/>
  <c r="F28" i="2" l="1"/>
  <c r="H53" i="2"/>
  <c r="E22" i="1"/>
  <c r="G53" i="2"/>
  <c r="D22" i="1"/>
  <c r="C22" i="1"/>
  <c r="H14" i="2"/>
  <c r="E18" i="1"/>
  <c r="C18" i="1"/>
  <c r="G14" i="2"/>
  <c r="D18" i="1"/>
  <c r="G4" i="2"/>
  <c r="D17" i="1"/>
  <c r="H4" i="2"/>
  <c r="E17" i="1"/>
  <c r="C7" i="1"/>
  <c r="B7" i="1"/>
  <c r="D7" i="1"/>
  <c r="B22" i="1"/>
  <c r="C15" i="1" l="1"/>
  <c r="F14" i="2"/>
  <c r="F69" i="2"/>
  <c r="D15" i="1"/>
  <c r="E15" i="1"/>
  <c r="F53" i="2"/>
  <c r="B18" i="1"/>
  <c r="B15" i="1" s="1"/>
  <c r="G69" i="2"/>
  <c r="E6" i="1"/>
  <c r="C6" i="1"/>
  <c r="B11" i="1"/>
  <c r="C11" i="1"/>
  <c r="E11" i="1"/>
  <c r="D11" i="1"/>
  <c r="H69" i="2" l="1"/>
  <c r="B6" i="1"/>
  <c r="D6" i="1"/>
  <c r="C24" i="1"/>
  <c r="D24" i="1" l="1"/>
  <c r="E24" i="1"/>
  <c r="B24" i="1" l="1"/>
</calcChain>
</file>

<file path=xl/sharedStrings.xml><?xml version="1.0" encoding="utf-8"?>
<sst xmlns="http://schemas.openxmlformats.org/spreadsheetml/2006/main" count="978" uniqueCount="612">
  <si>
    <t>BILANCE v tis. Kč</t>
  </si>
  <si>
    <t xml:space="preserve">PŘÍJMY CELKEM </t>
  </si>
  <si>
    <t>Daňové příjmy</t>
  </si>
  <si>
    <t>Nedaňové příjmy</t>
  </si>
  <si>
    <t>Kapitálové příjmy</t>
  </si>
  <si>
    <t>Přijaté dotace</t>
  </si>
  <si>
    <t>FINANCOVÁNÍ CELKEM (další zdroje rozpočtu)</t>
  </si>
  <si>
    <t>x</t>
  </si>
  <si>
    <t>VÝDAJE CELKEM</t>
  </si>
  <si>
    <t>Běžné výdaje na zastupitelstvo kraje a krajský úřad</t>
  </si>
  <si>
    <t>Finance a správa majetku</t>
  </si>
  <si>
    <t>Příspěvek na provoz příspěvkovým organizacím</t>
  </si>
  <si>
    <t>SALDO ROZPOČTU CELKEM</t>
  </si>
  <si>
    <t>PŘÍJMY v tis. Kč</t>
  </si>
  <si>
    <t xml:space="preserve"> - příjmy ze sdílených daní celkem</t>
  </si>
  <si>
    <t xml:space="preserve"> - daň z příjmů právnických osob za kraj</t>
  </si>
  <si>
    <t xml:space="preserve"> - správní poplatky</t>
  </si>
  <si>
    <t xml:space="preserve"> - příjmy z úroků</t>
  </si>
  <si>
    <t xml:space="preserve"> - odvody příspěvkových organizací</t>
  </si>
  <si>
    <t xml:space="preserve"> - příspěvek od HMMC na zabezpečení úkolů jednotky požární ochrany </t>
  </si>
  <si>
    <t xml:space="preserve"> - poplatky za odběr podzemní vody</t>
  </si>
  <si>
    <t xml:space="preserve"> - příjmy z pronájmu majetku Letišti Ostrava a.s.</t>
  </si>
  <si>
    <t xml:space="preserve"> - příjmy z pronájmu nemocnice v Novém Jičíně</t>
  </si>
  <si>
    <t xml:space="preserve"> - příjmy z pronájmu prostor na krajském úřadě</t>
  </si>
  <si>
    <t xml:space="preserve"> - příjmy z pronájmu pozemků</t>
  </si>
  <si>
    <t xml:space="preserve"> - příjmy za věcná břemena</t>
  </si>
  <si>
    <t xml:space="preserve"> - ostatní nedaňové příjmy</t>
  </si>
  <si>
    <t xml:space="preserve"> - příjmy z prodeje nemovitostí</t>
  </si>
  <si>
    <t>Přijaté transfery</t>
  </si>
  <si>
    <t xml:space="preserve"> - souhrnný finanční vztah</t>
  </si>
  <si>
    <t xml:space="preserve"> - dotace na dofinancování dopravní obslužnosti veřejnou železniční osobní dopravou</t>
  </si>
  <si>
    <t xml:space="preserve"> - ostatní přijaté dotace</t>
  </si>
  <si>
    <t>VÝDAJE v tis. Kč</t>
  </si>
  <si>
    <t xml:space="preserve"> - platby daní</t>
  </si>
  <si>
    <t xml:space="preserve"> - hrazené úroky z úvěrů</t>
  </si>
  <si>
    <t xml:space="preserve"> - poplatky z bankovních účtů</t>
  </si>
  <si>
    <t xml:space="preserve"> - dotace Regionální radě regionu soudržnosti</t>
  </si>
  <si>
    <t xml:space="preserve"> - pojištění majetku a odpovědnosti kraje</t>
  </si>
  <si>
    <t xml:space="preserve"> - rezerva na mimořádné akce a akce s nedořešeným financováním</t>
  </si>
  <si>
    <t xml:space="preserve"> - výdaje související se sdílenými službami</t>
  </si>
  <si>
    <t xml:space="preserve"> - ostatní</t>
  </si>
  <si>
    <t xml:space="preserve"> - krizové řízení</t>
  </si>
  <si>
    <t xml:space="preserve"> - kultura</t>
  </si>
  <si>
    <t xml:space="preserve"> - prezentace kraje a ediční plán</t>
  </si>
  <si>
    <t xml:space="preserve"> - regionální rozvoj</t>
  </si>
  <si>
    <t xml:space="preserve"> - cestovní ruch</t>
  </si>
  <si>
    <t xml:space="preserve"> - sociální věci</t>
  </si>
  <si>
    <t xml:space="preserve"> - školství</t>
  </si>
  <si>
    <t xml:space="preserve"> - územní plánování a stavební řád</t>
  </si>
  <si>
    <t xml:space="preserve"> - zdravotnictví</t>
  </si>
  <si>
    <t xml:space="preserve"> - životní prostředí</t>
  </si>
  <si>
    <t xml:space="preserve">Reprodukce majetku kraje vyjma akcí spolufinancovaných z evr. fin. zdrojů </t>
  </si>
  <si>
    <t xml:space="preserve"> - finance a správa majetku</t>
  </si>
  <si>
    <t xml:space="preserve"> VÝDAJE CELKEM</t>
  </si>
  <si>
    <t>Pozn.</t>
  </si>
  <si>
    <t>SOUVISEJÍCÍ S EU</t>
  </si>
  <si>
    <t>CHYBNÉ, NUTNO OPRAVIT</t>
  </si>
  <si>
    <t xml:space="preserve"> - dotace na akce spolufinancované z evropských fin. zdrojů</t>
  </si>
  <si>
    <t>PŘÍJMY CELKEM</t>
  </si>
  <si>
    <t>Očekávaná skutečnost</t>
  </si>
  <si>
    <t>Výhled</t>
  </si>
  <si>
    <t>Zapojení zálohových plateb u projektů spolufinancovaných zálohově z evr. fin. zdrojů</t>
  </si>
  <si>
    <t>Čerpání úvěrů</t>
  </si>
  <si>
    <t>Splátky úvěrů</t>
  </si>
  <si>
    <t>Ostatní (zapojení zůstatku minulého roku, fondů)</t>
  </si>
  <si>
    <t>Výhled 2019</t>
  </si>
  <si>
    <t>Tabulka č. 1</t>
  </si>
  <si>
    <t>%
Výhled 19 / 
Oček.skut. 18</t>
  </si>
  <si>
    <t>%
Výhled 20 / Výhled 19</t>
  </si>
  <si>
    <t>%
Výhled 21 / Výhled 20</t>
  </si>
  <si>
    <t>Samosprávné a jiné činnosti zajišťované prostřednictvím KÚ</t>
  </si>
  <si>
    <t>Reprodukce majetku kraje vyjma akcí spolufinancovaných z evr.fin.zdrojů</t>
  </si>
  <si>
    <t>Výdaje na akce spolufinancované z evropských finančních zdrojů</t>
  </si>
  <si>
    <t>Návratné finanční výpomoci příspěvkovým organizacím</t>
  </si>
  <si>
    <t>Akce spolufinancované z evropských finančních zdrojů</t>
  </si>
  <si>
    <t>Očekávaná skutečnost 2018</t>
  </si>
  <si>
    <t>Výhled 2020</t>
  </si>
  <si>
    <t>Výhled 2021</t>
  </si>
  <si>
    <t xml:space="preserve"> - poplatky za znečištění ovzduší</t>
  </si>
  <si>
    <t xml:space="preserve"> - vrácené návratné finanční výpomoci - p. o. v odvětví sociálních věcí</t>
  </si>
  <si>
    <t xml:space="preserve"> - vrácené návratné finanční výpomoci - p. o. v odvětví školství</t>
  </si>
  <si>
    <t xml:space="preserve"> - vrácené návratné finanční výpomoci - p. o. v odvětví kultury</t>
  </si>
  <si>
    <t xml:space="preserve"> - vrácené návratné finanční výpomoci - p. o. v odvětví zdravotnictví</t>
  </si>
  <si>
    <t xml:space="preserve"> - vrácené návratné finanční výpomoci - Program na poskytování návratných finančních výpomocí z Fondu sociálních služeb</t>
  </si>
  <si>
    <t xml:space="preserve"> - vrácené prostředky na základě operačních smluv s Fondy rozvoje měst</t>
  </si>
  <si>
    <t xml:space="preserve"> - doprava a chytrý region - dopravní obslužnost drážní</t>
  </si>
  <si>
    <t xml:space="preserve"> - doprava a chytrý region - dopravní obslužnost linková</t>
  </si>
  <si>
    <t xml:space="preserve"> - doprava a chytrý region - ostatní</t>
  </si>
  <si>
    <t xml:space="preserve"> - doprava a chytrý region</t>
  </si>
  <si>
    <t xml:space="preserve"> - krajský úřad a zastupitelstvo kraje</t>
  </si>
  <si>
    <t>Očekávané účelové dotace ze státního rozpočtu</t>
  </si>
  <si>
    <t>Zapojení očekávaných účelových dotací ze státního rozpočtu</t>
  </si>
  <si>
    <t>Střednědobý výhled rozpočtu Moravskoslezského kraje</t>
  </si>
  <si>
    <t>na léta 2019 – 2021</t>
  </si>
  <si>
    <t>Tabulka č. 2</t>
  </si>
  <si>
    <t>Tabulka č. 3</t>
  </si>
  <si>
    <t>Tabulka č. 4</t>
  </si>
  <si>
    <t>Tabulka č. 5</t>
  </si>
  <si>
    <t>Tabulka č. 6</t>
  </si>
  <si>
    <t>Tabulka č. 7</t>
  </si>
  <si>
    <t>Tabulka č. 8</t>
  </si>
  <si>
    <t>TABULKOVÁ ČÁST</t>
  </si>
  <si>
    <t>Přehled očekávaných účelových dotací v letech 2019 – 2021</t>
  </si>
  <si>
    <t>Přehled splácení jistiny a úroků z úvěrů čerpaných Moravskoslezským krajem</t>
  </si>
  <si>
    <t>Ukazatel zadluženosti dle Moody´s Investors Service</t>
  </si>
  <si>
    <t>Ukazatel zadluženosti dle uzavřené smlouvy s Evropskou investiční bankou</t>
  </si>
  <si>
    <t>Fiskální pravidlo dle zákona č. 23/2017 Sb., o pravidlech rozpočtové odpovědnosti</t>
  </si>
  <si>
    <t>Bilance příjmů a výdajů v letech 2019 -2021</t>
  </si>
  <si>
    <t>Účel dotace</t>
  </si>
  <si>
    <t>ÚZ</t>
  </si>
  <si>
    <t>Očekávaná výše dotace (v tis. Kč)</t>
  </si>
  <si>
    <t>Dotace zahrnuté do schvalovaných rozpočtů MSK celkem</t>
  </si>
  <si>
    <t xml:space="preserve"> - z toho:</t>
  </si>
  <si>
    <t>Souhrnný finanční vztah</t>
  </si>
  <si>
    <t xml:space="preserve">Dotace na akce spolufinancované z evropských finančních zdrojů </t>
  </si>
  <si>
    <t>Příspěvek na ztrátu dopravce z provozu veřejné osobní drážní dopravy</t>
  </si>
  <si>
    <t>Ostatní přijaté dotace zahrnuté v rozpočtu</t>
  </si>
  <si>
    <t>Očekávané účelové dotace ze státního rozpočtu nezapojované do schvalovaných rozpočtů MSK celkem</t>
  </si>
  <si>
    <t>Podpora koordinátorů romských poradců</t>
  </si>
  <si>
    <t>ÚŘAD VLÁDY</t>
  </si>
  <si>
    <t>Neinvestiční nedávkové transfery podle zákona č. 108/2006 Sb., o sociálních službách (§ 101, § 102 a § 103)</t>
  </si>
  <si>
    <t>Transfery na státní příspěvek zřizovatelům zařízení pro děti vyžadující okamžitou pomoc</t>
  </si>
  <si>
    <t>MINISTERSTVO PRÁCE A SOCIÁLNÍCH VĚCÍ</t>
  </si>
  <si>
    <t>Připravenost poskytovatele ZZS na řešení mimořádných událostí a krizových situací</t>
  </si>
  <si>
    <t>Specializační vzdělávání zdravotnických pracovníků - rezidenční místa - neinvestice a Specializační vzdělávání nelékařů</t>
  </si>
  <si>
    <t>35015, 35019</t>
  </si>
  <si>
    <t>MINISTERSTVO ZDRAVOTNICTVÍ</t>
  </si>
  <si>
    <t>Asistenti pedagogů pro děti, žáky a studenty se sociálním znevýhodněním</t>
  </si>
  <si>
    <t>Bezplatná příprava dětí azylantů, účastníků řízení o azyl a dětí osob se státní příslušností jiného členského státu EU k začlenění do základního vzdělávání</t>
  </si>
  <si>
    <t>Dotace pro soukromé školy</t>
  </si>
  <si>
    <t>Excelence středních škol</t>
  </si>
  <si>
    <t>OP VVV – PO3 neinvestice - Individuální projekty škol</t>
  </si>
  <si>
    <t>Podpora odborného vzdělávání</t>
  </si>
  <si>
    <t>Podpora organizace a ukončování středního vzdělávání maturitní zkouškou na vybraných školách v podzimním zkušebním období</t>
  </si>
  <si>
    <t>Podpora výuky plavání v základních školách</t>
  </si>
  <si>
    <t>Program sociální prevence a prevence kriminality</t>
  </si>
  <si>
    <t>Projekty romské komunity</t>
  </si>
  <si>
    <t>Přímé náklady na vzdělávání</t>
  </si>
  <si>
    <t>Přímé náklady na vzdělávání - sportovní gymnázia</t>
  </si>
  <si>
    <t>Rozvojový program MŠMT pro děti-cizince ze 3. zemí</t>
  </si>
  <si>
    <t>Naplňování Koncepce podpory mládeže na krajské úrovni</t>
  </si>
  <si>
    <t>Podpora navýšení kapacit ve školských poradenských zařízeních</t>
  </si>
  <si>
    <t>Soutěže</t>
  </si>
  <si>
    <t>Spolupráce s francouzskými, vlámskými a španělskými školami</t>
  </si>
  <si>
    <t>Vzdělávací programy paměťových institucí do škol</t>
  </si>
  <si>
    <t>MINISTERSTVO ŠKOLSTVÍ, MLÁDEŽE A SPORTU</t>
  </si>
  <si>
    <t>Kulturní aktivity</t>
  </si>
  <si>
    <t>Veřejné informační služby knihoven</t>
  </si>
  <si>
    <t>34053, 34544</t>
  </si>
  <si>
    <t>Program restaurování movitých kulturních památek</t>
  </si>
  <si>
    <t>Program státní podpory profesionálních divadel a stálých profesionálních symfonických orchestrů a pěveckých sborů</t>
  </si>
  <si>
    <t>MINISTERSTVO KULTURY</t>
  </si>
  <si>
    <t>Zálohové platby u projektů spolufinancovaných zálohově z evropských finančních zdrojů celkem</t>
  </si>
  <si>
    <t xml:space="preserve">CELKEM </t>
  </si>
  <si>
    <t>PŘEHLED VÝDAJŮ NA ZAJIŠTĚNÍ UDRŽITELNOSTI AKCÍ SPOLUFINANCOVANÝCH Z EVROPSKÝCH FINANČNÍCH ZDROJŮ</t>
  </si>
  <si>
    <t>v tis. Kč</t>
  </si>
  <si>
    <t>Název projektu</t>
  </si>
  <si>
    <t>Celkové výdaje na akci (způsobilé a nezpůsobilé)</t>
  </si>
  <si>
    <t>období realizace
v letech</t>
  </si>
  <si>
    <t>Výdaje na udržitelnost</t>
  </si>
  <si>
    <t>rok 2019</t>
  </si>
  <si>
    <t>rok 2020</t>
  </si>
  <si>
    <t>rok 2021</t>
  </si>
  <si>
    <t>Silnice II/478 prodloužená Mostní I. etapa</t>
  </si>
  <si>
    <t>2017 - 2019</t>
  </si>
  <si>
    <t>ODVĚTVÍ FINANCÍ A SPRÁVY MAJETKU:</t>
  </si>
  <si>
    <t>Jednotný ekonomický informační systém Moravskoslezského kraje</t>
  </si>
  <si>
    <t>3384</t>
  </si>
  <si>
    <t>2017 - 2020</t>
  </si>
  <si>
    <t>Jednotný personální a mzdový systém pro Moravskoslezský kraj</t>
  </si>
  <si>
    <t>3263</t>
  </si>
  <si>
    <t>ODVĚTVÍ FINANCÍ A SPRÁVY MAJETKU CELKEM</t>
  </si>
  <si>
    <t>ODVĚTVÍ KULTURY:</t>
  </si>
  <si>
    <t>Jednotný evidenční systém sbírek a publikační portál</t>
  </si>
  <si>
    <t>3388</t>
  </si>
  <si>
    <t>2017 - 2018</t>
  </si>
  <si>
    <t>Muzeum automobilů TATRA</t>
  </si>
  <si>
    <t>3305</t>
  </si>
  <si>
    <t>2016 - 2020</t>
  </si>
  <si>
    <t>NKP Zámek Bruntál - Revitalizace objektu „saly terreny"</t>
  </si>
  <si>
    <t>2016 - 2018</t>
  </si>
  <si>
    <t>NKP Zámek Bruntál - Revitalizace zámeckého parku</t>
  </si>
  <si>
    <t>3390</t>
  </si>
  <si>
    <t>Památník J. A. Komenského ve Fulneku - živé muzeum</t>
  </si>
  <si>
    <t>2016 - 2019</t>
  </si>
  <si>
    <t>Rekonstrukce výstavní budovy a nová expozice Muzea Těšínska</t>
  </si>
  <si>
    <t>3304</t>
  </si>
  <si>
    <t>2015 - 2019</t>
  </si>
  <si>
    <t>Revitalizace zámku ve Frýdku včetně obnovy expozice</t>
  </si>
  <si>
    <t>3267</t>
  </si>
  <si>
    <t>Zámek Nová Horka - muzeum pro veřejnost</t>
  </si>
  <si>
    <t>3233</t>
  </si>
  <si>
    <t>2016 -2019</t>
  </si>
  <si>
    <t>ODVĚTVÍ KULTURY CELKEM</t>
  </si>
  <si>
    <t>ODVĚTVÍ CESTOVNÍHO RUCHU:</t>
  </si>
  <si>
    <t>2015 - 2020</t>
  </si>
  <si>
    <t>Bez bariér se nám žije snáz</t>
  </si>
  <si>
    <t>3270</t>
  </si>
  <si>
    <t>2018 - 2021</t>
  </si>
  <si>
    <t>ODVĚTVÍ CESTOVNÍHO RUCHU CELKEM</t>
  </si>
  <si>
    <t>ODVĚTVÍ REGIONÁLNÍHO ROZVOJE:</t>
  </si>
  <si>
    <t>Smart akcelerátor RIS 3 strategie</t>
  </si>
  <si>
    <t>ODVĚTVÍ REGIONÁLNÍHO ROZVOJE CELKEM</t>
  </si>
  <si>
    <t>ODVĚTVÍ SOCIÁLNÍCH VĚCÍ: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</si>
  <si>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</si>
  <si>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</si>
  <si>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</si>
  <si>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Jednotný informační sociální systém pro příspěvkové organizace Moravskoslezského kraje</t>
  </si>
  <si>
    <t>Nákup bytů pro chráněné bydlení</t>
  </si>
  <si>
    <t xml:space="preserve">Odborné sociální poradenství ve Frýdku-Místku </t>
  </si>
  <si>
    <t>2016 - 2017</t>
  </si>
  <si>
    <t>Sociálně terapeutické dílny a zázemí pro vedení organizace Sagapo v Bruntále</t>
  </si>
  <si>
    <t>Sociální služby pro osoby s duševním onemocněním v Suchdolu nad Odrou</t>
  </si>
  <si>
    <t>Efektivní naplňování střednědobého plánu v podmínkách MSK</t>
  </si>
  <si>
    <t>Chráněné bydlení Fontána</t>
  </si>
  <si>
    <t>Je předpokládaná potřeba zvýšených provozních výdajů. Jejich výše bude upřesněna po zpracování žádosti o dotaci.</t>
  </si>
  <si>
    <t>ODVĚTVÍ SOCIÁLNÍCH VĚCÍ CELKEM</t>
  </si>
  <si>
    <t>ODVĚTVÍ ŠKOLSTVÍ:</t>
  </si>
  <si>
    <t>Budova dílen pro obor Opravář zemědělských strojů ve Střední odborné škole Bruntál</t>
  </si>
  <si>
    <t>Elektrolaboratoře</t>
  </si>
  <si>
    <t>Laboratoře technických měření</t>
  </si>
  <si>
    <t xml:space="preserve">Laboratoře virtuální reality </t>
  </si>
  <si>
    <t>Modernizace výuky přírodovědných předmětů I</t>
  </si>
  <si>
    <t>Modernizace výuky přírodovědných předmětů II (SVL)</t>
  </si>
  <si>
    <t>Modernizace výuky svařování</t>
  </si>
  <si>
    <t>Podpora digitálního vzdělávání v SŠ MSK</t>
  </si>
  <si>
    <t>Podpora jazykového vzdělávání v SŠ MSK</t>
  </si>
  <si>
    <t>2017 -2018</t>
  </si>
  <si>
    <t>Podpora výuky CNC obrábění</t>
  </si>
  <si>
    <t>Rozvoj dovedností žáků v přírodovědných a technických oborech</t>
  </si>
  <si>
    <t>Výuka pro Průmysl 4.0</t>
  </si>
  <si>
    <t>ODVĚTVÍ ŠKOLSTVÍ CELKEM</t>
  </si>
  <si>
    <t>ODVĚTVÍ ZDRAVOTNICTVÍ:</t>
  </si>
  <si>
    <t>Elektronizace procesů jako podpora sdílení dat a komunikace ve zdravotnictví a zároveň zvýšení bezpečí a kvality poskytované péče</t>
  </si>
  <si>
    <t>Systém pomoci na vyžádání</t>
  </si>
  <si>
    <t>Vybavení vzdělávacího střediska Zdravotnické záchranné služby Moravskoslezského kraje, p.o.</t>
  </si>
  <si>
    <t>3330</t>
  </si>
  <si>
    <t>ODVĚTVÍ ZDRAVOTNICTVÍ CELKEM</t>
  </si>
  <si>
    <t>EVL Hukvaldy, tvorba biotopu páchníka hnědého</t>
  </si>
  <si>
    <t>3378</t>
  </si>
  <si>
    <t>EVL Karviná-rybníky, tvorba biotopu páchníka hnědého</t>
  </si>
  <si>
    <t>3379</t>
  </si>
  <si>
    <t>EVL Paskov, tvorba biotopu páchníka hnědého</t>
  </si>
  <si>
    <t>3294</t>
  </si>
  <si>
    <t>EVL Šilheřovice, tvorba biotopu páchníka hnědého</t>
  </si>
  <si>
    <t>3377</t>
  </si>
  <si>
    <t>i-AIR REGION</t>
  </si>
  <si>
    <t>3301</t>
  </si>
  <si>
    <t>Implementace soustavy Natura 2000 v Moravskoslezském kraji, 2. vlna</t>
  </si>
  <si>
    <t>3293</t>
  </si>
  <si>
    <t>EVL Niva Olše-Věřňovice, tvorba biotopu páchníka hnědého</t>
  </si>
  <si>
    <t>ODVĚTVÍ ŽIVOTNÍHO PROSTŘEDÍ CELKEM</t>
  </si>
  <si>
    <t>Realizace bezpečnostních opatření podle zákona o kybernetické bezpečnosti</t>
  </si>
  <si>
    <t>3303</t>
  </si>
  <si>
    <t>Rozvoj architektury ICT Moravskoslezského kraje</t>
  </si>
  <si>
    <t>CELKEM</t>
  </si>
  <si>
    <t xml:space="preserve">Přehled splácení jistiny a úroků z úvěrů čerpaných Moravskoslezským krajem </t>
  </si>
  <si>
    <t>Instituce</t>
  </si>
  <si>
    <r>
      <t xml:space="preserve">EIB I
</t>
    </r>
    <r>
      <rPr>
        <sz val="10"/>
        <rFont val="Tahoma"/>
        <family val="2"/>
        <charset val="238"/>
      </rPr>
      <t>(smlouva z r. 2005 na poskytnutí úvěrového rámce</t>
    </r>
    <r>
      <rPr>
        <b/>
        <sz val="10"/>
        <rFont val="Tahoma"/>
        <family val="2"/>
        <charset val="238"/>
      </rPr>
      <t xml:space="preserve">
ve výši 1,1 mld. Kč</t>
    </r>
    <r>
      <rPr>
        <sz val="10"/>
        <rFont val="Tahoma"/>
        <family val="2"/>
        <charset val="238"/>
      </rPr>
      <t>)</t>
    </r>
  </si>
  <si>
    <r>
      <t xml:space="preserve">EIB II
</t>
    </r>
    <r>
      <rPr>
        <sz val="10"/>
        <rFont val="Tahoma"/>
        <family val="2"/>
        <charset val="238"/>
      </rPr>
      <t xml:space="preserve">(smlouva z r. 2010 na poskytnutí úvěrového rámce </t>
    </r>
    <r>
      <rPr>
        <b/>
        <sz val="10"/>
        <rFont val="Tahoma"/>
        <family val="2"/>
        <charset val="238"/>
      </rPr>
      <t xml:space="preserve">
ve výši 2 mld. Kč</t>
    </r>
    <r>
      <rPr>
        <sz val="10"/>
        <rFont val="Tahoma"/>
        <family val="2"/>
        <charset val="238"/>
      </rPr>
      <t>)</t>
    </r>
  </si>
  <si>
    <r>
      <t xml:space="preserve">ČSOB 
</t>
    </r>
    <r>
      <rPr>
        <sz val="10"/>
        <rFont val="Tahoma"/>
        <family val="2"/>
        <charset val="238"/>
      </rPr>
      <t>(smlouva
o poskytnutí úvěrového rámce</t>
    </r>
    <r>
      <rPr>
        <b/>
        <sz val="10"/>
        <rFont val="Tahoma"/>
        <family val="2"/>
        <charset val="238"/>
      </rPr>
      <t xml:space="preserve">
ve výši 1,2 mld. Kč</t>
    </r>
    <r>
      <rPr>
        <sz val="10"/>
        <rFont val="Tahoma"/>
        <family val="2"/>
        <charset val="238"/>
      </rPr>
      <t>)</t>
    </r>
  </si>
  <si>
    <t>Celkem</t>
  </si>
  <si>
    <t>rok</t>
  </si>
  <si>
    <t>dlužná částka
na konci roku</t>
  </si>
  <si>
    <t>splátka jistiny</t>
  </si>
  <si>
    <t>úrok</t>
  </si>
  <si>
    <t>dlužná částka na konci roku</t>
  </si>
  <si>
    <t>Název akce</t>
  </si>
  <si>
    <t>Číslo akce</t>
  </si>
  <si>
    <t>Závazky celkem</t>
  </si>
  <si>
    <t xml:space="preserve">Poznámka                                                    </t>
  </si>
  <si>
    <t>2019</t>
  </si>
  <si>
    <t>2020</t>
  </si>
  <si>
    <t>2021</t>
  </si>
  <si>
    <t>po r. 2021</t>
  </si>
  <si>
    <t>Realizace energetických úspor metodou EPC ve vybraných objektech Moravskoslezského kraje</t>
  </si>
  <si>
    <t>ODVĚTVÍ DOPRAVY  A CHYTRÉHO REGIONU:</t>
  </si>
  <si>
    <t>Vypořádání pozemků pod stavbami silnic II. a III. třídy</t>
  </si>
  <si>
    <t>Silnice II/478 Nová Krmelínská Ostrava</t>
  </si>
  <si>
    <t>Silnice II/478, Mostní II. etapa</t>
  </si>
  <si>
    <t>ODVĚTVÍ DOPRAVY A CHYTRÉHO REGIONU CELKEM</t>
  </si>
  <si>
    <t>ODVĚTVÍ KRIZOVÉHO ŘÍZENÍ:</t>
  </si>
  <si>
    <t>Integrované výjezdové centrum v Českém Těšíně</t>
  </si>
  <si>
    <t xml:space="preserve">Financování akce bylo schváleno usnesením zastupitelstva kraje č.  3/146 ze dne 16. 3. 2017. Akce probíhá od roku 2016 s celkovými výdaji 180 mil. Kč a je spolufinancována ze státního rozpočtu (MV) ve výši 50 mil. Kč a z rozpočtu města Český Těšín ve výši 15 mil. Kč. </t>
  </si>
  <si>
    <t>ODVĚTVÍ KRIZOVÉHO ŘÍZENÍ CELKEM</t>
  </si>
  <si>
    <t>Zámek Nová Horka - úprava areálových zpevněných ploch a zámecký parter (Muzeum Novojičínska, příspěvková organizace)</t>
  </si>
  <si>
    <t>Zámek Nová Horka - nová příjezdová komunikace, zámecký park a ohradní zeď (Muzeum Novojičínska, příspěvková organizace)</t>
  </si>
  <si>
    <t>Rekonstrukce ubytovací části a přístavba
budovy D (Nový domov, příspěvková organizace, Karviná)</t>
  </si>
  <si>
    <t>Financování akce bylo schváleno usnesením zastupitelstva kraje č.  17/1686 ze dne 17.12.2015.  Akce je realizována od r. 2016 s  celkovými výdaji 61 mil. Kč a je spolufinancována ze státního rozpočtu (MPSV) v režimu ex-post plateb ve výši 20.300 tis. Kč.</t>
  </si>
  <si>
    <t>Zateplení správní budovy, pavilonu P1 a P3a (Domov Březiny, příspěvková organizace, Petřvald)</t>
  </si>
  <si>
    <t>Rekonstrukce budovy a spojovací chodby Máchova (Domov Duha, příspěvková organizace, Nový Jičín)</t>
  </si>
  <si>
    <t>Výstavba domova pro seniory a domova se zvláštním režimem Kopřivnice</t>
  </si>
  <si>
    <t>Rekonstrukce a výstavba domova Březiny (Domov Březiny, příspěvková organizace, Petřvald)</t>
  </si>
  <si>
    <t xml:space="preserve">Financování akce bylo schváleno usnesením zastupitelstva kraje č. 2/28 ze dne 22.12.2016 </t>
  </si>
  <si>
    <t>Novostavba tělocvičny (Gymnázium Josefa Božka, Český Těšín, příspěvková organizace)</t>
  </si>
  <si>
    <t>Rekonstrukce budovy na ulici Praskova čp. 411 (Základní škola, Opava, Havlíčkova 1, příspěvková organizace)</t>
  </si>
  <si>
    <t>Nemocnice s poliklinikou v Novém Jičíně – reinvestiční část nájemného a opravy</t>
  </si>
  <si>
    <t>Výstavba nadzemních koridorů (Slezská nemocnice v Opavě, příspěvková organizace)</t>
  </si>
  <si>
    <t>Financování akce bylo schváleno usnesením zastupitelstva kraje č. 17/1686 dne 17.12.2015.</t>
  </si>
  <si>
    <t>Přestavba hospodářské budovy na rehabilitační oddělení (Nemocnice s poliklinikou Havířov, příspěvková organizace)</t>
  </si>
  <si>
    <t>Nemocnice Havířov - ČOV (Nemocnice s poliklinikou Havířov, příspěvková organizace)</t>
  </si>
  <si>
    <t>Rekonstrukce elektroinstalace (Nemocnice s poliklinikou Havířov, příspěvková organizace)</t>
  </si>
  <si>
    <t>Pavilon A, stavební úpravy a přístavba (Sdružené zdravotnické zařízení Krnov, příspěvková organizace)</t>
  </si>
  <si>
    <t>Pavilon L - stavební úpravy (Slezská nemocnice v Opavě, příspěvková organizace)</t>
  </si>
  <si>
    <t>Elektronizace zdravotnických procesů</t>
  </si>
  <si>
    <t xml:space="preserve">Financování akce pro rok 2017 bylo schváleno usnesením rady kraje č.18/1554 ze dne 8. 8. 2017, financování akce pro rok 2018 bude předloženo ke schválení na jednání zastupitelstva kraje dne 14. 12. 2017. </t>
  </si>
  <si>
    <t xml:space="preserve">Poznámka                                                           </t>
  </si>
  <si>
    <t>ODVĚTVÍ VLASTNÍ SPRÁVNÍ ČINNOST KRAJE A ČINNOST ZASTUPITELSTVA KRAJE:</t>
  </si>
  <si>
    <t>Kvalita a odborné vzdělávání zaměstnanců KÚ MSK</t>
  </si>
  <si>
    <t>Zastupitelstvo kraje rozhodlo o profinancování a kofinancování projektu dne 15.6.2017 usnesením č. 4/315.</t>
  </si>
  <si>
    <t>ODVĚTVÍ VLASTNÍ SPRÁVNÍ ČINNOST KRAJE A ČINNOST ZASTUPITELSTVA KRAJE CELKEM</t>
  </si>
  <si>
    <t>Zastupitelstvo kraje rozhodlo o profinancování a kofinancování projektu dne 15.6.2017 usnesením č. 4/317.</t>
  </si>
  <si>
    <t>Zastupitelstvo kraje rozhodlo o profinancování a kofinancování projektu dne 15.6.2017 usnesením č. 4/317 a dále jeho navýšení usnesením č. 5/469 ze dne 14.9.2017.</t>
  </si>
  <si>
    <t>ODVĚTVÍ DOPRAVY A CHYTRÉHO REGIONU:</t>
  </si>
  <si>
    <t>MÚK Bazaly – II. a III. etapa</t>
  </si>
  <si>
    <t>Zastupitelstvo kraje rozhodlo o profinancování a kofinancování projektu dne 22.9.2016 usnesením č. 21/2233.</t>
  </si>
  <si>
    <t>Přeložka sil. II/461 (Jižní obchvat - dokončení)</t>
  </si>
  <si>
    <t>Rekonstrukce a modernizace silnice II/479 Ostrava, ul. Opavská</t>
  </si>
  <si>
    <t>Rekonstrukce a modernizace silnice II/479 Ostrava, ul. 28. října, vč. silnice III/4793 ul. Vítkovická/Na Karolíně</t>
  </si>
  <si>
    <t>Rekonstrukce silnice II/477 Frýdek - Místek - Lískovec</t>
  </si>
  <si>
    <t>Zastupitelstvo kraje rozhodlo o profinancování a kofinancování projektu dne 25.6.2015 usnesením č. 15/1535.</t>
  </si>
  <si>
    <t>Silnice II/442 Staré Heřminovy – Horní Benešov, včetně OZ</t>
  </si>
  <si>
    <t>Zastupitelstvo kraje rozhodlo o profinancování a kofinancování projektu dne 23.6.2016 usnesením č. 20/2083 a o navýšení profinancování a kofinancování dne 16.3.2017 usnesením č. 3/145.</t>
  </si>
  <si>
    <t>Silnice III/4787 Ostrava ul. Výškovická – rekonstrukce mostů ev. č. 4787-3.3 a 4787-4.3</t>
  </si>
  <si>
    <t>Zastupitelstvo kraje rozhodlo o profinancování a kofinancování projektu dne 23.6.2016 usnesením č. 20/2083.</t>
  </si>
  <si>
    <t>Geoportál MSK - část dopravní infrastruktura - založení digitální technické mapy MSK</t>
  </si>
  <si>
    <t>Zastupitelstvo kraje rozhodlo o profinancování a kofinancování projektu dne 14.9.2017 usnesením č. 5/455.</t>
  </si>
  <si>
    <t>RESOLVE - Sustainable mobility and the transition to a low-carbon retailing economy</t>
  </si>
  <si>
    <t>3262</t>
  </si>
  <si>
    <t>Zastupitelstvo kraje rozhodlo o profinancování a kofinancování projektu dne 25.9.2015 usnesením č. 16/1620.</t>
  </si>
  <si>
    <t>Modernizace technicko-výcvikové základny Hranečník</t>
  </si>
  <si>
    <t>Rozvoj ICT a služeb v prostředí IZS</t>
  </si>
  <si>
    <t>Zastupitelstvo kraje rozhodlo o profinancování a kofinancování projektu dne 15.6.2017 usnesením č. 4/309.</t>
  </si>
  <si>
    <t>Speciální výcvik jednotek hasičů pro připravenost zdolávání mimořádných událostí v oblasti chemie</t>
  </si>
  <si>
    <t xml:space="preserve">Zastupitelstvo kraje rozhodlo o profinancování a kofinancování projektu dne 21.4.2016 usnesením č. 19/1989.  </t>
  </si>
  <si>
    <t>Vybudování komunikační platformy krizového řízení</t>
  </si>
  <si>
    <t>Zvyšování akceschopnosti vyhledávacích a záchranných modulů USAR a WASAR</t>
  </si>
  <si>
    <t>Kapucínský klášter - Dům v zahradě Páně</t>
  </si>
  <si>
    <t>3235</t>
  </si>
  <si>
    <t>Zastupitelstvo kraje dne 21.4.2016 usnesením č. 19/1990 schválilo profinancování a kofinancování projektu.</t>
  </si>
  <si>
    <t>Zastupitelstvo kraje usnesením č. 3/141 ze dne 16.3.2017 rozhodlo o profinancování a kofinancování projektu.</t>
  </si>
  <si>
    <t>Zastupitelstvo kraje rozhodlo o profinancování a kofinancování projektu usnesením č. 18/1906 ze dne 25.2.2016 a dále o jeho navýšení usnesením č. 19/2006 ze dne 21.4.2016.</t>
  </si>
  <si>
    <t>Zastupitelstvo kraje rozhodlo o profinancování a kofinancování dne 21.4.2016 usnesením č. 19/2006.</t>
  </si>
  <si>
    <t>Vybudování expozice muzea Těšínska v Jablunkově "Muzeum Trojmezí"</t>
  </si>
  <si>
    <t>3234</t>
  </si>
  <si>
    <t>Zastupitelstvo kraje dne 23.6.2016 usnesením č. 20/2092 rozhodlo o profinancování a kofinancování projektu.</t>
  </si>
  <si>
    <t>Zámek Nová Horka - muzeum pro veřejnost II.</t>
  </si>
  <si>
    <t>3236</t>
  </si>
  <si>
    <t>Toulky údolím Olše</t>
  </si>
  <si>
    <t>PO_7000</t>
  </si>
  <si>
    <t>O profinancování a kofinancování projektu rozhodlo zastupitelstvo kraje usnesením č. 19/1971 ze dne 21.4.2016.</t>
  </si>
  <si>
    <t>Foster excellence in the Moravian-Silesian Region</t>
  </si>
  <si>
    <t>Regionální poradenské centrum SK-CZ</t>
  </si>
  <si>
    <t>Zastupitelstvo kraje rozhodlo o profinancování a kofinancování projektu dne 23.6.2016 usnesením č. 20/2088.</t>
  </si>
  <si>
    <t>Zastupitelstvo kraje rozhodlo o profinancování a kofinancování projektu dne 25.9.2015 usnesením č. 16/1632.</t>
  </si>
  <si>
    <t>Podpora činnosti sekretariátu a zajištění chodu Regionální stálé konference Moravskoslezského kraje II</t>
  </si>
  <si>
    <t>Rozhodnutí o profinancování a kofinancování projektu bude předloženo ke schválení na jednání zastupitelstva kraje dne 14.12.2017.</t>
  </si>
  <si>
    <t>Technická pomoc - Podpora aktivit v rámci Programu Interreg V-A ČR - PR II</t>
  </si>
  <si>
    <t>Chutě a vůně bez hranic</t>
  </si>
  <si>
    <t>3274</t>
  </si>
  <si>
    <t>Na bicykli k susedom</t>
  </si>
  <si>
    <t>3277</t>
  </si>
  <si>
    <t>Zastupitelstvo kraje dne 22.9.2016 usnesením č. 21/2254 rozhodlo o profinancování a kofinancování projektu.</t>
  </si>
  <si>
    <t>Interdisciplinární spolupráce v soudním regionu Nový Jičín</t>
  </si>
  <si>
    <t xml:space="preserve">Zastupitelstvo kraje rozhodlo o profinancování a kofinancování projektu dne 22.9.2016 usnesením č. 21/2245. </t>
  </si>
  <si>
    <t xml:space="preserve">Optimalizace odborného sociálního poradenství a dluhového poradenství v Moravskoslezském kraji </t>
  </si>
  <si>
    <t xml:space="preserve">Zastupitelstvo kraje rozhodlo o profinancování a kofinancování projektu dne 22.12.2016 usnesením č. 2/68. </t>
  </si>
  <si>
    <t>Podpora rozvoje rodičovských kompetencí</t>
  </si>
  <si>
    <t xml:space="preserve">Zastupitelstvo kraje rozhodlo o profinancování a kofinancování projektu dne 25.9.2015 usnesením č. 16/1633. </t>
  </si>
  <si>
    <t>Podpora služeb sociální prevence 1</t>
  </si>
  <si>
    <t>Podpora služeb sociální prevence 2</t>
  </si>
  <si>
    <t xml:space="preserve">Zastupitelstvo kraje rozhodlo o profinancování a kofinancování projektu dne 21.4.2016 usnesením č. 19/1988. </t>
  </si>
  <si>
    <t>Podpora služeb sociální prevence 4</t>
  </si>
  <si>
    <t xml:space="preserve">Zastupitelstvo kraje rozhodlo o profinancování a kofinancování projektu dne 15.6.2017 usnesením č.4/305. </t>
  </si>
  <si>
    <t>Podpora transformace v MSK III</t>
  </si>
  <si>
    <t>Podporujeme hrdinství, které není vidět</t>
  </si>
  <si>
    <t xml:space="preserve">Zastupitelstvo kraje rozhodlo o profinancování a kofinancování projektu dne 25.6.2015 usnesením č. 16/1633. </t>
  </si>
  <si>
    <t>Dílny pro Střední školu stavební a dřevozpracující, Ostrava, příspěvková organizace</t>
  </si>
  <si>
    <t xml:space="preserve">Zastupitelstvo kraje rozhodlo o profinancování a kofinancování projektu dne 22.9.2016 usnesením č. 21/2254. </t>
  </si>
  <si>
    <t>Energetické úspory v  Dětském domově v Lichnově</t>
  </si>
  <si>
    <t xml:space="preserve">Zastupitelstvo kraje rozhodlo o profinancování a kofinancování projektu dne 15.6.2017 usnesením č. 4/266. </t>
  </si>
  <si>
    <t>Energetické úspory v ZUŠ v Ostravě-Porubě</t>
  </si>
  <si>
    <t>Energetické úspory ve SŠ technické a dopravní v Ostravě-Vítkovicích</t>
  </si>
  <si>
    <t xml:space="preserve">Energetické úspory v areálu  Dětského domova SRDCE a SŠ, ZŠ a MŠ v Karviné </t>
  </si>
  <si>
    <t>Energetické úspory historické budovy SŠ průmyslové a umělecké v Opavě</t>
  </si>
  <si>
    <t>Modernizace Školního statku v Opavě</t>
  </si>
  <si>
    <t>Vybudování dílen pro praktické vyučování, Střední odborná škola, Frýdek-Místek, příspěvková organizace</t>
  </si>
  <si>
    <t>Cooperation in vocational training for European labour market</t>
  </si>
  <si>
    <t>Zastupitelstvo kraje rozhodlo o profinancování a kofinancování projektu dne 5.3 2015 usnesením č. 13/1160 a usnesením č. 3/173 dne 16.3.2017 rozhodlo o jeho zvýšení.</t>
  </si>
  <si>
    <t>Krajský akční plán rozvoje vzdělávání Moravskoslezského kraje</t>
  </si>
  <si>
    <t xml:space="preserve">Zastupitelstvo kraje rozhodlo o profinancování a kofinancování projektu dne 25.9.2015 usnesením č. 16/1634.  </t>
  </si>
  <si>
    <t>Odborné, kariérové a polytechnické vzdělávání</t>
  </si>
  <si>
    <t xml:space="preserve">Zastupitelstvo kraje rozhodlo o profinancování a kofinancování projektu dne 14.9.2017 usnesením č. 5/450.  </t>
  </si>
  <si>
    <t>Podpora inkluze v Moravskoslezském kraji</t>
  </si>
  <si>
    <t>3283</t>
  </si>
  <si>
    <t xml:space="preserve">Zastupitelstvo kraje rozhodlo o profinancování a kofinancování projektu dne 25.9.2015 usnesením č. 16/1634 a usnesením č. 17/1747 dne 17.12.2015 o jeho navýšení. </t>
  </si>
  <si>
    <t>Zateplení vybraných objektů Slezské nemocnice v Opavě - II. etapa, památkové objekty</t>
  </si>
  <si>
    <t>Zastupitelstvo kraje usnesením č. 4/275 ze dne 15.6.2017 rozhodlo profinancovat a kofinancovat projekt.</t>
  </si>
  <si>
    <t>Zastupitelstvo kraje rozhodlo o profinancování a kofinancování projektu dne 23.6.2016 usnesením č. 20/2086 a dále jeho navýšení usnesením č. 2/61 ze dne 22.12.2016.</t>
  </si>
  <si>
    <t>ODVĚTVÍ ŽIVOTNÍHO PROSTŘEDÍ:</t>
  </si>
  <si>
    <t>Zastupitelstvo kraje rozhodlo o profinancování a kofinancování projektu dne 22.9.2016 usnesením č. 21/2247.</t>
  </si>
  <si>
    <t>Zastupitelstvo kraje rozhodlo o profinancování a kofinancování projektu dne 25.2.2016 usnesením č. 18/1880 a jeho navýšení usnesením č. 3/156 dne 16.3.2017.</t>
  </si>
  <si>
    <t>Revitalizace EVL Osoblažský výběžek</t>
  </si>
  <si>
    <t>3296</t>
  </si>
  <si>
    <t>Zahájení přípravy původního projektu „Zajištění péče o lokality soustavy Natura 2000“ bylo schváleno zastupitelstvem kraje dne 5. 3. 2015 usnesením č. 13/1158, vyčlenění projektu "Vybudování tůní na Krnovsku" dne 25.9.2015 usnesením č. 16/1629. Změna rozsahu projektu a názvu projektu na „Revitalizace EVL Osoblažský výběžek“ byla schválena zastupitelstvem kraje dne 22.9.2016 usnesením č. 21/2247.</t>
  </si>
  <si>
    <t>Kotlíkové dotace v Moravskoslezském kraji – 2. grantové schéma</t>
  </si>
  <si>
    <t>Zastupitelstvo kraje usnesním č. 4/319 ze dne 15.6.2017 vzalo na vědomí Registraci akce a Rozhodnutí o poskytnutí dotace k projektu, rozhodlo o závazku kraje na období 2016 – 2020 na příspěvek kraje všem konečným uživatelům a schvalilo předfinancování příspěvků obcí.</t>
  </si>
  <si>
    <t xml:space="preserve">Poznámka                                                            </t>
  </si>
  <si>
    <t>Operativní leasing automobilů Moravskoslezského kraje</t>
  </si>
  <si>
    <t>Zpracovaní ratingu Moravskoslezského kraje</t>
  </si>
  <si>
    <t>Zajištění centrálního pojištění nemovitého, movitého majetku, vozidel a odpovědnosti Moravskoslezského kraje a jeho organizací</t>
  </si>
  <si>
    <t>Závazek Moravskoslezského kraje byl schválen usnesením zastupitelstva kraje č. 17/1792 ze dne 17.12.2015.</t>
  </si>
  <si>
    <t>Platba poplatků z bankovních účtů</t>
  </si>
  <si>
    <t>Smlouva o financování projektu Moravia-Silesia Regional Infra II - úvěrový rámce od Evropské investiční banky II - splátky jistin</t>
  </si>
  <si>
    <t>Smlouva o financování projektu Moravia-Silesia Regional Infra II - úvěrový rámce od Evropské investiční banky II - platba úroků</t>
  </si>
  <si>
    <t>Smlouva o poskytnutí úvěrového rámce ve výši 1.200.000 tis. Kč mezi Československou obchodní bankou, a.s. a Moravskoslezským krajem - splátka jistiny</t>
  </si>
  <si>
    <t xml:space="preserve">O uzavření smlouvy o poskytnutí úvěrového rámce mezi Československou obchodní bankou, a.s. ve výši 1.200 mil. Kč rozhodlo zastupitelstvo kraje svým usnesením č. 16/1567 ze dne 25.9.2015. </t>
  </si>
  <si>
    <t>Smlouva o poskytnutí úvěrového rámce ve výši 1.200.000 tis. Kč mezi Československou obchodní bankou, a.s. a Moravskoslezským krajem - platba úroků</t>
  </si>
  <si>
    <t>Vytvoření metodiky a nástrojů sledování finančního zdraví obcí  (Dotace Slezské univerzitě v Opavě, IČO 47813059)</t>
  </si>
  <si>
    <t>Závazek Moravskoslezského kraje byl schválen usnesením zastupitelstva kraje č. 4/258 ze dne 15.6.2017.</t>
  </si>
  <si>
    <t>Zajištění financování drážní dopravy - Smlouva o závazku veřejné služby v drážní dopravě k zajištění dopravní obslužnosti území MSK</t>
  </si>
  <si>
    <t>Závazek Moravskoslezského kraje byl schválen usnesením zastupitelstva kraje č. 8/739 ze dne 18.11.2009.</t>
  </si>
  <si>
    <t>Zajištění financování drážní dopravy - prodloužení termínu platnosti Smlouvy o závazku veřejné služby v drážní dopravě k zajištění dopravní obslužnosti - linky zajišťované vozidly pořízenými s využitím prostředků z ERDF</t>
  </si>
  <si>
    <t>Závazek Moravskoslezského kraje byl schválen usnesením zastupitelstva kraje č. 12/1022 ze dne 11.12.2014.</t>
  </si>
  <si>
    <t>Zajištění financování drážní dopravy - prodloužení termínu platnosti Smlouvy o závazku veřejné služby v drážní dopravě k zajištění dopravní obslužnosti - ve vztahu k lince S2 Bohumín - Mošnov, Ostrava Airport</t>
  </si>
  <si>
    <t>Závazek Moravskoslezského kraje byl schválen usnesením zastupitelstva kraje č. 13/1128 ze dne 5.3.2015.</t>
  </si>
  <si>
    <t>Zajištění dopravní obslužnosti v Moravskoslezském kraji veřejnou drážní osobní dopravou vybraných vlaků na lince S6 Ostrava hl. n. – Frýdek-Místek – Frenštát pod Radhoštěm město na trati 323 Ostrava – Valašské Meziříčí od prosince roku 2019 do prosince roku 2023</t>
  </si>
  <si>
    <t>Provozování železniční dráhy v letech 2015-2019</t>
  </si>
  <si>
    <t>Závazek Moravskoslezského kraje byl schválen usnesením zastupitelstva kraje č. 8/684 ze dne 27.2.2014.</t>
  </si>
  <si>
    <t>Zvýšení základního kapitálu Letiště Ostrava, a.s.</t>
  </si>
  <si>
    <t>Závazek Moravskoslezského kraje byl schválen usnesením zastupitelstva kraje č. 25/2209 ze dne 5.9.2012, 21/2215 ze dne 22.9.2016.</t>
  </si>
  <si>
    <t>Zajištění dopravní obslužnosti linkovou dopravou - oblast Jablunkovsko - Třinecko</t>
  </si>
  <si>
    <t>Zajištění dopravní obslužnosti linkovou dopravou - oblast Českotěšínsko</t>
  </si>
  <si>
    <t>Smlouva o finanční spolupráci ve veřejné linkové dopravě mezi Moravskoslezským krajem a Olomouckým krajem</t>
  </si>
  <si>
    <t>Zajištění dopravní obslužnosti linkovou dopravou - oblast Karvinsko</t>
  </si>
  <si>
    <t>Zajištění dopravní obslužnosti linkovou dopravou - oblast Orlovsko</t>
  </si>
  <si>
    <t>Zajištění dopravní obslužnosti linkovou dopravou - oblast Frýdlantsko</t>
  </si>
  <si>
    <t>Zajištění dopravní obslužnosti linkovou dopravou - oblast Novojičínsko východ</t>
  </si>
  <si>
    <t>Zajištění dopravní obslužnosti linkovou dopravou - oblast Novojičínsko západ</t>
  </si>
  <si>
    <t>Zajištění dopravní obslužnosti linkovou dopravou - oblast Bílovecko</t>
  </si>
  <si>
    <t>Zajištění dopravní obslužnosti linkovou dopravou - oblast Hlučínsko</t>
  </si>
  <si>
    <t>Zajištění dopravní obslužnosti linkovou dopravou - oblast Krnovsko</t>
  </si>
  <si>
    <t>Zajištění dopravní obslužnosti linkovou dopravou - oblast Opavsko</t>
  </si>
  <si>
    <t>Zajištění dopravní obslužnosti linkovou dopravou - oblast Rýmařovsko</t>
  </si>
  <si>
    <t>Zajištění dopravní obslužnosti linkovou dopravou - oblast Vítkovsko</t>
  </si>
  <si>
    <t>Zajištění dopravní obslužnosti linkovou dopravou - oblast Bruntálsko</t>
  </si>
  <si>
    <t>Provoz lodní dopravy na Slezské Hartě</t>
  </si>
  <si>
    <t>Závazek Moravskoslezského kraje byl schválen usnesením zastupitelstva kraje č. 2/73 ze dne 22.12.2016.</t>
  </si>
  <si>
    <t>Zajištění udržitelnosti projektu Zdravé stárnutí v Moravskoslezském kraji</t>
  </si>
  <si>
    <t>Závazek Moravskoslezského kraje byl schválen usnesením zastupitelstva kraje č. 5/497 ze dne 14. 9. 2017.</t>
  </si>
  <si>
    <t>Zajištění  podpory k vybudování tréninkového centra  - „Klubové akademie Ostravy“ v areálu „stadionu Bazaly“ a k vytvoření podmínek pro zajištění školní docházky členů „Klubové akademie Ostravy“</t>
  </si>
  <si>
    <t>Závazek Moravskoslezského kraje byl schválen usnesením zastupitelstva kraje č. 5/496 ze dne 14.9.2017.</t>
  </si>
  <si>
    <t>Závazek  k technickému zhodnocení majetku "I. etapa stará interna" (Nemocnice Nový Jičín)</t>
  </si>
  <si>
    <t>Vypořádání zůstatkové hodnoty technického zhodnocení majetku v rámci stavby "Rekonstrukce budovy ředitelství - umístění veřejné lékárny" (Nemocnice Nový Jičín)</t>
  </si>
  <si>
    <t>Zajištění lékařské pohotovostní služby a pohotovostní služby v oboru zubní lékařství na území statutárního města Ostravy</t>
  </si>
  <si>
    <t>Závazek Moravskoslezského kraje byl schválen usnesením zastupitelstva kraje č. 3/153 ze dne 16.3.2017 a změněn usnesením zastupitelstva kraje č. 4/284 ze dne 15.6.2017.</t>
  </si>
  <si>
    <t>Dobrovolné dohody v oblasti ochrany ovzduší</t>
  </si>
  <si>
    <t>Závazek Moravskoslezského kraje byl schválen usnesením zastupitelstva kraje č. 5/482 ze dne 14.9.2017.</t>
  </si>
  <si>
    <t>Chráněné části přírody</t>
  </si>
  <si>
    <t>BILANCE PŘÍJMŮ A VÝDAJŮ V LETECH 2019 - 2021</t>
  </si>
  <si>
    <t>PŘEHLED OČEKÁVANÝCH ÚČELOVÝCH DOTACÍ V LETECH 2019 - 2021</t>
  </si>
  <si>
    <t xml:space="preserve">PŘEHLED OSTATNÍCH DLOUHODOBÝCH ZÁVAZKŮ KRAJE  </t>
  </si>
  <si>
    <t>Požadavek na rozpočet kraje</t>
  </si>
  <si>
    <t xml:space="preserve"> - vrácené návratné finanční výpomoci - Sanatorium Jablunkov, a.s.</t>
  </si>
  <si>
    <t xml:space="preserve"> - vrácené návratné finanční výpomoci - Bílovecká nemocnice, a.s.</t>
  </si>
  <si>
    <t>Zálohové platby u projektů spolufinancovaných zálohově
z evropských finančních zdrojů</t>
  </si>
  <si>
    <t>Výdaje financované z očekávaných účelových dotací ze státního rozpočtu mimo zálohové platby</t>
  </si>
  <si>
    <t xml:space="preserve">Zastupitelstvo kraje rozhodlo o profinancování a kofinancování projektu dne 15.6.2017 usnesením č. 4/312. </t>
  </si>
  <si>
    <t>Podporujeme hrdinství, které není vidět II</t>
  </si>
  <si>
    <t>Rozhodnutí o profinancování a kofinancování projektu bude předloženo ke schválení na jednání zastupitelstva kraje dne 14. 12. 2017.</t>
  </si>
  <si>
    <t>Závazek Moravskoslezského kraje vznikl na základě Smlouvy o poskytování energetických služeb se zaručeným výsledkem č. 00481/2012/IM, vč. dodatků. Jedná se o náklady za realizaci investičních opatření, včetně úhrady úroků a služeb za energetický management. Závazek trvá do roku 2023.</t>
  </si>
  <si>
    <t xml:space="preserve">Financování akce bude předloženo ke schválení na jednání zastupitelstva kraje dne 14. 12. 2017 v rámci schvalování rozpočtu kraje na rok 2018. Je předpoklad, že výdaje budou potřeba i v dalších letech. Toto bude předmětem při schvalování dalších rozpočtů. </t>
  </si>
  <si>
    <t>Financování akce bude předloženo ke schválení na jednání zastupitelstva kraje dne 14. 12. 2017 v rámci schvalování rozpočtu kraje na rok 2018.</t>
  </si>
  <si>
    <t>Rada kraje rozhodla vyčlenit finanční prostředky z rozpočtu kraje na projektovou přípravu akce usnesením č. 12/893  dne 25. 4. 2017. Financování realizace akce bude předloženo ke schválení na jednání zastupitelstva kraje dne 14. 12. 2017 v rámci schvalování rozpočtu kraje na rok 2018.</t>
  </si>
  <si>
    <t>Rada kraje rozhodla vyčlenit finanční prostředky z rozpočtu kraje na projektovou přípravu akce usnesením č. 16/1352 ze dne 27. 6. 2017.  Financování realizace akce bude předloženo ke schválení na jednání zastupitelstva kraje dne 14. 12. 2017 v rámci schvalování rozpočtu kraje na rok 2018.</t>
  </si>
  <si>
    <t xml:space="preserve">Závazek Moravskoslezského kraje vznikl na základě Smlouvy o nájmu podniku č. 02262/2011/ZDR, vč. dodatků. Závazek trvá do roku 2032.   </t>
  </si>
  <si>
    <t>Členský příspěvek v Asociaci krajů České republiky</t>
  </si>
  <si>
    <t>ODVĚTVÍ PREZENTACE KRAJE A EDIČNÍ PLÁN:</t>
  </si>
  <si>
    <t>Členský příspěvek v Evropskému seskupení pro územní spolupráci TRITIA</t>
  </si>
  <si>
    <t>Členství Moravskoslezského kraje v Evropskému seskupení pro územní spolupráci TRITIA na dobu neurčitou schválilo zastupitelstvo kraje usnesením č. 11/946 ze dne 21.4.2010. Nové stanovy a zmocnění hejtmana kraje jako člena valné hromady k hlasování pro navýšení členského příspěvku na 32 tis. EUR včetně závazku budou předloženy ke schválení na zasedání zastupitelstva kraje dne 14.12.2017.</t>
  </si>
  <si>
    <t>ODVĚTVÍ PREZENTACE KRAJE A EDIČNÍ PLÁN CELKEM</t>
  </si>
  <si>
    <t>Členský příspěvek v zájmovém sdružení právnických osob Trojhalí Karolina</t>
  </si>
  <si>
    <t>Členství Moravskoslezského kraje v zájmovém sdružení na dobu neurčitou schválilo za zastupitelstvo kraje usnesením č. 18/1535 ze dne 23.3.2011. Závazek Moravskoslezského kraje bude předložen ke schválení na zasedání zastupitelstva kraje dne 14.12.2017.</t>
  </si>
  <si>
    <t xml:space="preserve">Členský příspěvek  v zájmové sdružení Národní síť zdravých měst České republiky </t>
  </si>
  <si>
    <t>Stálá expozice historických dopravních prostředků s restaurátorskou dílnou</t>
  </si>
  <si>
    <t>Členský příspěvek v zájmovém sdružení právnických osob Evropská kulturní stezka sv. Cyrila a Metoděje</t>
  </si>
  <si>
    <t xml:space="preserve">SingleTraiis Bílá </t>
  </si>
  <si>
    <t>Poplatek za dočasné odnětí pozemku plnění funkcí lesa do roku 2022. Závazek Moravskoslezského kraje bude předložen ke schválení na zasedání zastupitelstva kraje dne 14.12.2017.</t>
  </si>
  <si>
    <t>Závazek Moravskoslezského kraje byl schválen usnesením zastupitelstva kraje č. 2/91 ze dne 20.12.2012. K datu řádného ukončení smlouvy o nájmu podniku k 31.12.2031 činí závazek ve výši 31 mil. Kč.</t>
  </si>
  <si>
    <t>UKAZATELE ZADLUŽENOSTI</t>
  </si>
  <si>
    <t>řádek</t>
  </si>
  <si>
    <t>rozp. skladba</t>
  </si>
  <si>
    <t>název</t>
  </si>
  <si>
    <r>
      <t xml:space="preserve">2017 </t>
    </r>
    <r>
      <rPr>
        <b/>
        <vertAlign val="superscript"/>
        <sz val="10"/>
        <rFont val="Tahoma"/>
        <family val="2"/>
        <charset val="238"/>
      </rPr>
      <t>1)</t>
    </r>
  </si>
  <si>
    <r>
      <t>2018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</si>
  <si>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2019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</si>
  <si>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2020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</si>
  <si>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2021</t>
    </r>
    <r>
      <rPr>
        <b/>
        <vertAlign val="superscript"/>
        <sz val="10"/>
        <rFont val="Tahoma"/>
        <family val="2"/>
        <charset val="238"/>
      </rPr>
      <t xml:space="preserve"> 1)</t>
    </r>
  </si>
  <si>
    <t>třída 1</t>
  </si>
  <si>
    <t>daňové příjmy</t>
  </si>
  <si>
    <t>třída 2</t>
  </si>
  <si>
    <t>nedaňové příjmy</t>
  </si>
  <si>
    <t>sesk.pol. 41</t>
  </si>
  <si>
    <t>provozní dotace vč. provozního přebytku minulých let</t>
  </si>
  <si>
    <t>ř. 1 + ř. 2 + ř. 3</t>
  </si>
  <si>
    <t>PROVOZNÍ PŘÍJMY</t>
  </si>
  <si>
    <t>Provozní příjmy</t>
  </si>
  <si>
    <r>
      <t>DLUH</t>
    </r>
    <r>
      <rPr>
        <sz val="11"/>
        <rFont val="Tahoma"/>
        <family val="2"/>
        <charset val="238"/>
      </rPr>
      <t xml:space="preserve">, tj. zůstatky nesplacených úvěrů a návratných finančních výpomocí k rozvahovému dni 31.12.20xx </t>
    </r>
  </si>
  <si>
    <r>
      <t>DLUH</t>
    </r>
    <r>
      <rPr>
        <sz val="10"/>
        <rFont val="Tahoma"/>
        <family val="2"/>
        <charset val="238"/>
      </rPr>
      <t xml:space="preserve">, tj. zůstatky nesplacených úvěrů a návratných finančních výpomocí k rozvahovému dni 31.12.20xx </t>
    </r>
  </si>
  <si>
    <t>(ř. 5/ ř. 4)*100</t>
  </si>
  <si>
    <t>DLUH K PROVOZNÍM PŘÍJMŮM</t>
  </si>
  <si>
    <t>Celková zadluženost (v %)</t>
  </si>
  <si>
    <t>1)</t>
  </si>
  <si>
    <t>Pro léta 2013 a 2014 se jedná o očekávanou skutečnost k 31.12.20xx</t>
  </si>
  <si>
    <t>2)</t>
  </si>
  <si>
    <t>Pro léta 2015 až 2017 jsou uváděny hodnoty rozpočtového výhledu</t>
  </si>
  <si>
    <t>Účetní závěrka</t>
  </si>
  <si>
    <t>finanční závazky</t>
  </si>
  <si>
    <t>Rozvaha + Příloha účetní závěrky</t>
  </si>
  <si>
    <t>poskytnuté záruky</t>
  </si>
  <si>
    <t>Příloha účetní závěrky</t>
  </si>
  <si>
    <t>fin. leasing</t>
  </si>
  <si>
    <t>ř. 5 + ř. 6 + ř. 7</t>
  </si>
  <si>
    <t>CELKOVÉ ZADLUŽENÍ</t>
  </si>
  <si>
    <t>pol. 8xx4,8xx2 (vyjma pol. 8902)</t>
  </si>
  <si>
    <t>uhrazené splátky jistin úvěrů, dluhopisů a splátky fin. leasingu</t>
  </si>
  <si>
    <t>pol. 5141, 5143, 5144, 5149</t>
  </si>
  <si>
    <t xml:space="preserve">platby úroků </t>
  </si>
  <si>
    <t>ř. 9 + ř. 10</t>
  </si>
  <si>
    <t>VÝDAJE NA DLUHOVOU SLUŽBU</t>
  </si>
  <si>
    <t>třída 5</t>
  </si>
  <si>
    <t>běžné výdaje</t>
  </si>
  <si>
    <t>ř. 13</t>
  </si>
  <si>
    <t>PROVOZNÍ VÝDAJE</t>
  </si>
  <si>
    <t>ř. 4 - (ř. 13 - ř. 10)</t>
  </si>
  <si>
    <t>HRUBÝ PROVOZNÍ PŘEBYTEK</t>
  </si>
  <si>
    <t>(ř. 8/ ř. 4) *100</t>
  </si>
  <si>
    <t>CELKOVÉ ZADLUŽENÍ K PROVOZNÍM PŘÍJMŮM 
(&lt; 50%)</t>
  </si>
  <si>
    <t>(ř. 11/ ř. 4) *100</t>
  </si>
  <si>
    <t>výdaje na dluhovou službu k provozním příjmům 
(&lt; 15% )</t>
  </si>
  <si>
    <t>(ř. 14/ ř. 10) *100</t>
  </si>
  <si>
    <t>hrubý provozní přebytek ke splátkám úroků 
( &gt; 150% )</t>
  </si>
  <si>
    <t>CELKOVÉ PŘÍJMY k 31.12.</t>
  </si>
  <si>
    <t>Průměr příjmů za poslední 4 roky</t>
  </si>
  <si>
    <t>DLUH k 31.12.</t>
  </si>
  <si>
    <t>PODÍL DLUHU K PRŮMĚRU PŘÍJMŮ</t>
  </si>
  <si>
    <t>1) Pro léta 2017 až 2021 se jedná o očekávanou skutečnost k 31.12.20xx</t>
  </si>
  <si>
    <t>Obsah:</t>
  </si>
  <si>
    <t>str.</t>
  </si>
  <si>
    <t>v mil. Kč</t>
  </si>
  <si>
    <t xml:space="preserve"> - reprodukce majetku kraje - nezařazeno do odvětví</t>
  </si>
  <si>
    <t xml:space="preserve"> - akce spolufin. z evr.fin.zdrojů - nezařazeno do odvětví</t>
  </si>
  <si>
    <t>Závazek Moravskoslezského kraje byl schválen usnesením zastupitelstva kraje č. 5/426 ze dne 14.9.2017. Moravskoslezského kraje bude předložen ke schválení na zasedání zastupitelstva kraje dne 14.12.2017.</t>
  </si>
  <si>
    <t>Bankovní poplatky za vedení účtů a provedené bankovní operace u peněžních ústavů, které plynou z uzavřených smluv na dobu neurčitou a všeobecných platebních podmínek.</t>
  </si>
  <si>
    <t>O uzavření smlouvy o financování projektu "Moravia-Silesia Regional Infra II (CZ)" ve výši 2.000 mil. Kč,  rozhodlo zastupitelstvo kraje svým usnesením č. 15/1270 ze dne 10. 11. 2010. Závazek trvá do roku 2025.</t>
  </si>
  <si>
    <t>Závazek Moravskoslezského kraje byl schválen usnesením zastupitelstva kraje č. 5/423 ze dne 14.9.2017. Závazek trvá do roku 2023. Úprava závazku bude předložena na zasedání zastupitelstva kraje dne 14.12.2017.</t>
  </si>
  <si>
    <t>Financování pravidelné letecké dopravy Helsinky, Amsterdam a Dubai</t>
  </si>
  <si>
    <t>Závazek Moravskoslezského kraje byl schválen usnesením zastupitelstva kraje č. 21/2156 ze dne 22.9.2016, usnesením zastupitelstva kraje č. 4/248 ze dne 15.6.2017 a usnesením zastupitelstva kraje č. 2/44 ze dne 22.12.2016 .</t>
  </si>
  <si>
    <t>Zastupitelstvo kraje svým usnesením č. 3/131 ze dne 16.3.2017 rozhodlo o uzavření smlouvy o finanční spolupráci ve veřejné linkové osobní dopravě mezi Moravskoslezským krajem a Olomouckým krajem. Závazek Moravskoslezského kraje bude předložen ke schválení na zasedání zastupitelstva kraje dne 14.12.2017. Závazek bude trvat do roku 2027.</t>
  </si>
  <si>
    <t>Závazek Moravskoslezského kraje byl schválen usnesením zastupitelstva kraje č. 15/1485 ze dne 25.6.2015. Závazek trvá do roku 2025.</t>
  </si>
  <si>
    <t>Závazek Moravskoslezského kraje byl schválen usnesením zastupitelstva kraje č. 16/1564 ze dne 25.9.2015. Závazek trvá do roku 2026.</t>
  </si>
  <si>
    <t>Závazek Moravskoslezského kraje byl schválen usnesením zastupitelstva kraje č. 3/132 ze dne 16.3.2017. Závazek trvá do roku 2028.</t>
  </si>
  <si>
    <t>Závazek Moravskoslezského kraje byl schválen usnesením zastupitelstva kraje č.  3/132 ze dne 16.3.2017. Závazek trvá do roku 2028.</t>
  </si>
  <si>
    <t>Závazek Moravskoslezského kraje byl schválen usnesením zastupitelstva kraje č. 3/132 ze dne 16.3.2017. Závazek trvá do roku 2028. Úprava závazku bude předložena na zasedání zastupitelstva kraje dne 14.12.2017.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</si>
  <si>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4/253 ze dne 15.6.2017. Závazek trvá do roku 2028. Úprava závazku bude předložena na zasedání zastupitelstva kraje dne 14.12.2017.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</si>
  <si>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5/420 ze dne 14.9.2017. Závazek trvá do roku 2028. Úprava závazku bude předložena na zasedání zastupitelstva kraje dne 14.12.2017.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</si>
  <si>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r>
      <t>Členství Moravskoslezského kraje v zájmovém sdružení  je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na dobu neurčitou schválilo zastupitelstvo kraje usnesením č. 3/259 ze dne 21.3.2013. Závazek Moravskoslezského kraje bude předložen ke schválení na zasedání zastupitelstva kraje dne 14.12.2017.</t>
    </r>
  </si>
  <si>
    <t>Závazek Moravskoslezského kraje byl schválen  usnesením zastupitelstva kraje č. 16/1673 ze dne 25.9.2015 na období 2016-2020 v celkové výši 5.645 tis. Kč. Tento závazek bude upraven na zasedání zastupitelstva kraje dne 14.12.2017.</t>
  </si>
  <si>
    <t>Členství Moravskoslezského kraje v zájmovém sdružení právnických osob Evropská kulturní stezka sv. Cyrila a Metoděje na dobu neurčitou schválilo zastupitelstvo kraje usnesením č. 12/1085 ze dne 11.12.2014. Závazek Moravskoslezského kraje bude předložen ke schválení na zasedání zastupitelstva kraje dne 14.12.2017.</t>
  </si>
  <si>
    <t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bude předložen ke schválení na zasedání zastupitelstva kraje dne 14.12.2017.</t>
  </si>
  <si>
    <t xml:space="preserve">Ručitelské závazky </t>
  </si>
  <si>
    <t>ručitelský závazek MSK za úvěr společnosti Bílovecká nemocnice, a.s. - očekávaný stav k 31.12.2017</t>
  </si>
  <si>
    <t>O převzetí ručitelského závazku rozhodlo zastupitelstvo kraje usnesením č. 6/422 ze dne 19. 9. 2013. Splatnost závazku je dána podmínkami smlouvy o úvěru č. 1424/13/5628 mezi Bíloveckou nemocnicí, a.s., a Československou obchodní bankou, a.s. (úvěr je splatný nejpozději do 27. 1. 2020), roční splátka činí 1 980 tis. Kč</t>
  </si>
  <si>
    <t>RUČITELSKÉ ZÁVAZKY CELKEM</t>
  </si>
  <si>
    <t>Zastupitelstvo kraje rozhodlo o zahájení přípravy projektu usnesením č. 5/436 ze dne 14.9.2017. Rozhodnutí o profinancování a kofinancování projektu bude předloženo ke schválení na jednání zastupitelstva kraje dne 14.12.2017.</t>
  </si>
  <si>
    <t>Zastupitelstvo kraje usnesením č. 4/264 ze dne 15.6.2017 rozhodlo zahájit přípravu projektu. Rozhodnutí o profinancování a kofinancování projektu bude předloženo ke schválení na jednání zastupitelstva kraje dne 14.12.2017.</t>
  </si>
  <si>
    <t>Zahájení přípravy projektu bylo schváleno zastupitelstvem kraje dne 15.6.2017 usnesením č. 4/264. Rozhodnutí o profinancování a kofinancování projektu bude předloženo ke schválení na jednání zastupitelstva kraje dne 14.12.2017.</t>
  </si>
  <si>
    <t>Zastupitelstvo kraje rozhodlo o profinancování a kofinancování projektu dne 22.9.2016 usnesením č. 21/2251. Financování trvá do roku 2022.</t>
  </si>
  <si>
    <t>Zastupitelstvo kraje rozhodlo o profinancování a kofinancování projektu dne 23.6.2016 usnesením č. 20/2088. Financování trvá do roku 2022.</t>
  </si>
  <si>
    <t>Zateplení ZZS Moravskoslezského kraje, Výjezdové stanoviště Havířov</t>
  </si>
  <si>
    <t>Zastupitelstvo kraje usnesením č. 21/2234 ze dne 22. 9. 2016 rozhodlo profinancovat a kofinancovat projekt.</t>
  </si>
  <si>
    <t>Zateplení ZZS Moravskoslezského kraje, Výjezdové stanoviště Opava</t>
  </si>
  <si>
    <t>Výstavba výjezdového stanoviště v Novém Jičíně</t>
  </si>
  <si>
    <t>Zastupitelstvo kraje usnesením č. 21/2254 ze dne 22. 9. 2016 rozhodlo profinancovat a kofinancovat projekt.</t>
  </si>
  <si>
    <t>po roce 2021</t>
  </si>
  <si>
    <t>2018 - 2020</t>
  </si>
  <si>
    <t>2017 -2020</t>
  </si>
  <si>
    <t xml:space="preserve">Přehled závazků kraje u akcí reprodukce majetku kraje </t>
  </si>
  <si>
    <t>Přehled ostatních dlouhodobých závazků kraje</t>
  </si>
  <si>
    <t xml:space="preserve">PŘEHLED ZÁVAZKŮ KRAJE U AKCÍ SPOLUFINANCOVANÝCH Z EVROPSKÝCH FINANČNÍCH ZDROJŮ </t>
  </si>
  <si>
    <t>Členství Moravskoslezského kraje v Asociaci krajů České republiky na dobu neurčitou bylo schváleno usnesením zastupitelstva kraje č. 47/M1 ze dne 12.2.2001. Závazek Moravskoslezského kraje bude předložen ke schválení na zasedání zastupitelstva kraje dne 14.12.2017.</t>
  </si>
  <si>
    <t>Závazek Moravskoslezského kraje byl schválen usnesením zastupitelstva kraje č. 16/1584 ze dne 25.9.2015. K datu řádného ukončení smlouvy o nájmu podniku k 31.12.2031 bude závazek ve výši 9,8 mil. Kč</t>
  </si>
  <si>
    <t>ručitelský závazek MSK za závazky společnosti VaK Bruntál, a.s. - stav k 30. 6. 2017</t>
  </si>
  <si>
    <r>
      <t xml:space="preserve">V souvislosti s žádostí společnosti VaK Bruntál, a.s. a na základě usnesením č. 5/277 ze dne 17. 6. 2009 rozhodlo zastupitelstvo kraje o převzetí ručitelského závazku za všechny dluhy obchodní společnosti </t>
    </r>
    <r>
      <rPr>
        <sz val="10"/>
        <rFont val="Tahoma"/>
        <family val="2"/>
        <charset val="238"/>
      </rPr>
      <t xml:space="preserve">VaK Bruntál a. s., </t>
    </r>
    <r>
      <rPr>
        <sz val="8"/>
        <rFont val="Tahoma"/>
        <family val="2"/>
        <charset val="238"/>
      </rPr>
      <t xml:space="preserve">a vydání prohlášení ručitele ve smyslu § 546 zákona č. 40/1964 Sb., občanský zákoník, ve znění pozdějších předpisů. Moravskoslezský kraj převzal ručení s ohledem na ust. § 143 odst. 4 insolvenčního zákona, když takový krok vyššího územního samosprávného celku je zákonným důvodem pro zamítnutí insolvenčního návrhu podaného věřitelem. Ve věci zajištění ručitelského závazku Moravskoslezského kraje je uzavřena smlouva o budoucí smlouvě zástavní se společností VaK Bruntál, a.s. Ručitelský závazek je aktualizován pololetně podle údajů z účetnictví společnosti VaK Bruntál, a. s. </t>
    </r>
  </si>
  <si>
    <r>
      <t>Zahájení přípravy projektu bylo schváleno zastupitelstvem kraje usnesením č. 16/1635 ze dne 25. 9. 2015. Financování realizace akce bude předloženo ke schválení na jednání zastupitelstva kraje dne 14. 12. 2017.Předpokládá se možnost spolufinancování akce Ministerstvem kultury  a Statutárním městem Ostrava.</t>
    </r>
    <r>
      <rPr>
        <sz val="8"/>
        <color rgb="FFFF0000"/>
        <rFont val="Tahoma"/>
        <family val="2"/>
        <charset val="238"/>
      </rPr>
      <t xml:space="preserve">  </t>
    </r>
  </si>
  <si>
    <t xml:space="preserve">Financování akce bylo schváleno usnesením zastupitelstva kraje č. 2/28 dne 22. 12. 2016. Předpokládá se možnost  spolufinancování akce Ministerstvem kultury a Statutárním městem Ostrava.  </t>
  </si>
  <si>
    <t xml:space="preserve">podíl MSK  (pouze způsobilé výdaje) v %  </t>
  </si>
  <si>
    <t>Příloha č. 13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</si>
  <si>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</si>
  <si>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</si>
  <si>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Financování akce bylo schváleno usnesením zastupitelstva kraje č. 2/28 ze dne 22.12.2016.</t>
  </si>
  <si>
    <t>Závazek na zpracování ratingu Moravskoslezského kraje vyplývá z uzavřených smluv s EIB na základě usnesení zastupitelstva č. 5/209 ze dne 23.6.2005 a č. 15/1270 ze dne 10.11.2010. Závazek trvá do roku 2025. O uzavření smlouvy s Moody´s rozhodla rada kraje usnesením č. 80/2952 ze dne 2.8.2006, smlouva sjednána na dobu neurčitou.</t>
  </si>
  <si>
    <t xml:space="preserve">ODVĚTVÍ KRIZOVÉHO ŘÍZENÍ: </t>
  </si>
  <si>
    <t>ODVĚTVÍ VLASTNÍ SPRÁVNÍ ČINNOST KRAJE
A ČINNOST ZASTUPITELSTVA KRAJE CELKEM</t>
  </si>
  <si>
    <t>Pozn. Výdaje na udržitelnost projektů je povinen kraje dle rozhodnutí řídícho orgánu zajistit po dobu 5 let. Výjimkou jsou projekty EVL v odvětví životního prostředí, kde je doba udržitelnosti stanovena na 10 let.</t>
  </si>
  <si>
    <t>Přehled výdajů na zajištění udržitelnosti akcí spolufinancovaných z evropských finančních zdrojů</t>
  </si>
  <si>
    <t xml:space="preserve">Ukazatele zadluženosti </t>
  </si>
  <si>
    <t>2018 - 2022</t>
  </si>
  <si>
    <t xml:space="preserve"> - rezerva pro rozvoj znevýhodněných částí kraje</t>
  </si>
  <si>
    <t>Závazek Moravskoslezského kraje byl schválen usnesením zastupitelstva kraje č. 5/421 ze dne 14. 9. 2017. Akce "Silnice II/479, III/4721, Bazaly, II. etapa" je zařazena v závazcích kraje spolufinancovaných z evropských finančních zdrojů pod názvem projektu "MÚK Bazaly – II. a III. etapa".</t>
  </si>
  <si>
    <t xml:space="preserve">PŘEHLED ZÁVAZKŮ KRAJE U AKCÍ REPRODUKCE MAJETKU KRAJE </t>
  </si>
  <si>
    <t xml:space="preserve">Přehled závazků kraje u akcí spolufinancovaných z evropských finančních zdrojů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</si>
</sst>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\ _K_č"/>
    <numFmt numFmtId="166" formatCode="#,##0\ _K_č;\-#,##0\_\K_č"/>
    <numFmt numFmtId="167" formatCode="0000"/>
    <numFmt numFmtId="168" formatCode="0.0%"/>
  </numFmts>
  <fonts count="5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indexed="60"/>
      <name val="Tahoma"/>
      <family val="2"/>
      <charset val="238"/>
    </font>
    <font>
      <sz val="11"/>
      <color indexed="12"/>
      <name val="Tahoma"/>
      <family val="2"/>
      <charset val="238"/>
    </font>
    <font>
      <i/>
      <sz val="8"/>
      <name val="Tahoma"/>
      <family val="2"/>
      <charset val="238"/>
    </font>
    <font>
      <b/>
      <i/>
      <sz val="10"/>
      <name val="Tahoma"/>
      <family val="2"/>
      <charset val="238"/>
    </font>
    <font>
      <i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i/>
      <sz val="12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8"/>
      <color rgb="FFFF000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sz val="10"/>
      <name val="Arial"/>
      <family val="2"/>
      <charset val="238"/>
    </font>
    <font>
      <sz val="12"/>
      <color indexed="10"/>
      <name val="Tahoma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4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20" fillId="9" borderId="0" applyNumberFormat="0" applyBorder="0" applyAlignment="0" applyProtection="0"/>
    <xf numFmtId="0" fontId="21" fillId="21" borderId="27" applyNumberFormat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4" fillId="0" borderId="0"/>
    <xf numFmtId="0" fontId="18" fillId="23" borderId="28" applyNumberFormat="0" applyFont="0" applyAlignment="0" applyProtection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7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4" fillId="0" borderId="0"/>
    <xf numFmtId="0" fontId="24" fillId="0" borderId="0"/>
    <xf numFmtId="0" fontId="18" fillId="0" borderId="0"/>
    <xf numFmtId="0" fontId="2" fillId="0" borderId="0"/>
    <xf numFmtId="0" fontId="1" fillId="0" borderId="0"/>
  </cellStyleXfs>
  <cellXfs count="720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0" fillId="3" borderId="0" xfId="1" applyFont="1" applyFill="1" applyAlignment="1">
      <alignment vertical="center"/>
    </xf>
    <xf numFmtId="49" fontId="12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4" fontId="7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164" fontId="7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4" fontId="7" fillId="0" borderId="0" xfId="1" applyNumberFormat="1" applyFont="1" applyFill="1" applyAlignment="1">
      <alignment vertical="center"/>
    </xf>
    <xf numFmtId="49" fontId="11" fillId="0" borderId="4" xfId="1" applyNumberFormat="1" applyFont="1" applyFill="1" applyBorder="1" applyAlignment="1">
      <alignment horizontal="left" vertical="center" wrapText="1"/>
    </xf>
    <xf numFmtId="0" fontId="7" fillId="5" borderId="0" xfId="1" applyFont="1" applyFill="1" applyAlignment="1">
      <alignment vertical="center"/>
    </xf>
    <xf numFmtId="0" fontId="31" fillId="0" borderId="15" xfId="1" applyFont="1" applyFill="1" applyBorder="1" applyAlignment="1">
      <alignment horizontal="center" vertical="center" wrapText="1"/>
    </xf>
    <xf numFmtId="1" fontId="31" fillId="28" borderId="17" xfId="1" applyNumberFormat="1" applyFont="1" applyFill="1" applyBorder="1" applyAlignment="1">
      <alignment horizontal="center" vertical="center" wrapText="1"/>
    </xf>
    <xf numFmtId="1" fontId="31" fillId="28" borderId="16" xfId="1" applyNumberFormat="1" applyFont="1" applyFill="1" applyBorder="1" applyAlignment="1">
      <alignment horizontal="center" vertical="center" wrapText="1"/>
    </xf>
    <xf numFmtId="164" fontId="31" fillId="6" borderId="18" xfId="1" applyNumberFormat="1" applyFont="1" applyFill="1" applyBorder="1" applyAlignment="1">
      <alignment horizontal="center" vertical="center" wrapText="1"/>
    </xf>
    <xf numFmtId="3" fontId="32" fillId="28" borderId="9" xfId="1" applyNumberFormat="1" applyFont="1" applyFill="1" applyBorder="1" applyAlignment="1"/>
    <xf numFmtId="49" fontId="7" fillId="0" borderId="3" xfId="1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>
      <alignment horizontal="left" wrapText="1"/>
    </xf>
    <xf numFmtId="3" fontId="32" fillId="6" borderId="9" xfId="1" applyNumberFormat="1" applyFont="1" applyFill="1" applyBorder="1" applyAlignment="1"/>
    <xf numFmtId="0" fontId="31" fillId="6" borderId="25" xfId="1" applyFont="1" applyFill="1" applyBorder="1" applyAlignment="1">
      <alignment horizontal="center" vertical="center" wrapText="1"/>
    </xf>
    <xf numFmtId="0" fontId="31" fillId="28" borderId="25" xfId="1" applyFont="1" applyFill="1" applyBorder="1" applyAlignment="1">
      <alignment horizontal="center" vertical="center" wrapText="1"/>
    </xf>
    <xf numFmtId="0" fontId="31" fillId="28" borderId="24" xfId="1" applyFont="1" applyFill="1" applyBorder="1" applyAlignment="1">
      <alignment horizontal="center" vertical="center" wrapText="1"/>
    </xf>
    <xf numFmtId="164" fontId="31" fillId="6" borderId="23" xfId="1" applyNumberFormat="1" applyFont="1" applyFill="1" applyBorder="1" applyAlignment="1">
      <alignment horizontal="center" vertical="center" wrapText="1"/>
    </xf>
    <xf numFmtId="0" fontId="31" fillId="28" borderId="23" xfId="1" applyFont="1" applyFill="1" applyBorder="1" applyAlignment="1">
      <alignment horizontal="center" vertical="center" wrapText="1"/>
    </xf>
    <xf numFmtId="0" fontId="31" fillId="28" borderId="22" xfId="1" applyFont="1" applyFill="1" applyBorder="1" applyAlignment="1">
      <alignment horizontal="center" vertical="center" wrapText="1"/>
    </xf>
    <xf numFmtId="3" fontId="9" fillId="2" borderId="10" xfId="1" applyNumberFormat="1" applyFont="1" applyFill="1" applyBorder="1" applyAlignment="1"/>
    <xf numFmtId="3" fontId="31" fillId="28" borderId="2" xfId="1" applyNumberFormat="1" applyFont="1" applyFill="1" applyBorder="1" applyAlignment="1"/>
    <xf numFmtId="3" fontId="13" fillId="2" borderId="10" xfId="1" applyNumberFormat="1" applyFont="1" applyFill="1" applyBorder="1" applyAlignment="1"/>
    <xf numFmtId="3" fontId="7" fillId="2" borderId="10" xfId="1" applyNumberFormat="1" applyFont="1" applyFill="1" applyBorder="1" applyAlignment="1"/>
    <xf numFmtId="3" fontId="7" fillId="28" borderId="10" xfId="1" applyNumberFormat="1" applyFont="1" applyFill="1" applyBorder="1" applyAlignment="1"/>
    <xf numFmtId="3" fontId="7" fillId="2" borderId="12" xfId="1" applyNumberFormat="1" applyFont="1" applyFill="1" applyBorder="1" applyAlignment="1"/>
    <xf numFmtId="3" fontId="7" fillId="2" borderId="4" xfId="1" applyNumberFormat="1" applyFont="1" applyFill="1" applyBorder="1" applyAlignment="1"/>
    <xf numFmtId="3" fontId="9" fillId="2" borderId="4" xfId="1" applyNumberFormat="1" applyFont="1" applyFill="1" applyBorder="1" applyAlignment="1"/>
    <xf numFmtId="3" fontId="9" fillId="2" borderId="18" xfId="1" applyNumberFormat="1" applyFont="1" applyFill="1" applyBorder="1" applyAlignment="1"/>
    <xf numFmtId="3" fontId="13" fillId="28" borderId="9" xfId="1" applyNumberFormat="1" applyFont="1" applyFill="1" applyBorder="1" applyAlignment="1"/>
    <xf numFmtId="3" fontId="31" fillId="0" borderId="10" xfId="1" applyNumberFormat="1" applyFont="1" applyFill="1" applyBorder="1"/>
    <xf numFmtId="3" fontId="31" fillId="0" borderId="9" xfId="1" applyNumberFormat="1" applyFont="1" applyFill="1" applyBorder="1"/>
    <xf numFmtId="3" fontId="31" fillId="0" borderId="13" xfId="1" applyNumberFormat="1" applyFont="1" applyFill="1" applyBorder="1"/>
    <xf numFmtId="3" fontId="7" fillId="0" borderId="10" xfId="1" applyNumberFormat="1" applyFont="1" applyFill="1" applyBorder="1"/>
    <xf numFmtId="3" fontId="7" fillId="0" borderId="9" xfId="1" applyNumberFormat="1" applyFont="1" applyFill="1" applyBorder="1"/>
    <xf numFmtId="3" fontId="7" fillId="0" borderId="13" xfId="1" applyNumberFormat="1" applyFont="1" applyFill="1" applyBorder="1"/>
    <xf numFmtId="49" fontId="13" fillId="4" borderId="3" xfId="1" applyNumberFormat="1" applyFont="1" applyFill="1" applyBorder="1" applyAlignment="1"/>
    <xf numFmtId="3" fontId="13" fillId="4" borderId="4" xfId="1" applyNumberFormat="1" applyFont="1" applyFill="1" applyBorder="1" applyAlignment="1">
      <alignment horizontal="right"/>
    </xf>
    <xf numFmtId="0" fontId="14" fillId="0" borderId="0" xfId="1" applyFont="1" applyAlignment="1"/>
    <xf numFmtId="49" fontId="9" fillId="4" borderId="19" xfId="1" applyNumberFormat="1" applyFont="1" applyFill="1" applyBorder="1" applyAlignment="1">
      <alignment vertical="center"/>
    </xf>
    <xf numFmtId="3" fontId="9" fillId="4" borderId="22" xfId="1" applyNumberFormat="1" applyFont="1" applyFill="1" applyBorder="1" applyAlignment="1">
      <alignment horizontal="right" vertical="center"/>
    </xf>
    <xf numFmtId="3" fontId="13" fillId="4" borderId="5" xfId="1" applyNumberFormat="1" applyFont="1" applyFill="1" applyBorder="1" applyAlignment="1">
      <alignment horizontal="right"/>
    </xf>
    <xf numFmtId="3" fontId="32" fillId="28" borderId="13" xfId="1" applyNumberFormat="1" applyFont="1" applyFill="1" applyBorder="1" applyAlignment="1"/>
    <xf numFmtId="49" fontId="7" fillId="0" borderId="14" xfId="1" applyNumberFormat="1" applyFont="1" applyFill="1" applyBorder="1" applyAlignment="1">
      <alignment horizontal="left" wrapText="1"/>
    </xf>
    <xf numFmtId="3" fontId="32" fillId="6" borderId="23" xfId="1" applyNumberFormat="1" applyFont="1" applyFill="1" applyBorder="1" applyAlignment="1"/>
    <xf numFmtId="3" fontId="32" fillId="28" borderId="23" xfId="1" applyNumberFormat="1" applyFont="1" applyFill="1" applyBorder="1" applyAlignment="1"/>
    <xf numFmtId="3" fontId="32" fillId="28" borderId="21" xfId="1" applyNumberFormat="1" applyFont="1" applyFill="1" applyBorder="1" applyAlignment="1"/>
    <xf numFmtId="0" fontId="7" fillId="0" borderId="0" xfId="1" applyFont="1"/>
    <xf numFmtId="0" fontId="4" fillId="0" borderId="0" xfId="1"/>
    <xf numFmtId="164" fontId="4" fillId="0" borderId="0" xfId="1" applyNumberFormat="1"/>
    <xf numFmtId="3" fontId="4" fillId="0" borderId="0" xfId="1" applyNumberFormat="1"/>
    <xf numFmtId="49" fontId="7" fillId="0" borderId="0" xfId="1" applyNumberFormat="1" applyFont="1"/>
    <xf numFmtId="0" fontId="33" fillId="0" borderId="0" xfId="1" applyFont="1"/>
    <xf numFmtId="164" fontId="33" fillId="0" borderId="0" xfId="1" applyNumberFormat="1" applyFont="1"/>
    <xf numFmtId="3" fontId="34" fillId="0" borderId="0" xfId="1" applyNumberFormat="1" applyFont="1"/>
    <xf numFmtId="0" fontId="34" fillId="0" borderId="0" xfId="1" applyFont="1"/>
    <xf numFmtId="0" fontId="35" fillId="0" borderId="0" xfId="1" applyFont="1" applyAlignment="1">
      <alignment horizontal="center" vertical="center" wrapText="1"/>
    </xf>
    <xf numFmtId="164" fontId="35" fillId="0" borderId="0" xfId="1" applyNumberFormat="1" applyFont="1" applyAlignment="1">
      <alignment horizontal="center" vertical="center" wrapText="1"/>
    </xf>
    <xf numFmtId="3" fontId="35" fillId="0" borderId="0" xfId="1" applyNumberFormat="1" applyFont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right"/>
    </xf>
    <xf numFmtId="3" fontId="7" fillId="0" borderId="13" xfId="1" applyNumberFormat="1" applyFont="1" applyFill="1" applyBorder="1" applyAlignment="1">
      <alignment horizontal="right"/>
    </xf>
    <xf numFmtId="3" fontId="9" fillId="2" borderId="8" xfId="1" applyNumberFormat="1" applyFont="1" applyFill="1" applyBorder="1" applyAlignment="1"/>
    <xf numFmtId="3" fontId="31" fillId="28" borderId="7" xfId="1" applyNumberFormat="1" applyFont="1" applyFill="1" applyBorder="1" applyAlignment="1"/>
    <xf numFmtId="3" fontId="31" fillId="0" borderId="12" xfId="1" applyNumberFormat="1" applyFont="1" applyFill="1" applyBorder="1"/>
    <xf numFmtId="3" fontId="31" fillId="0" borderId="26" xfId="1" applyNumberFormat="1" applyFont="1" applyFill="1" applyBorder="1"/>
    <xf numFmtId="3" fontId="31" fillId="0" borderId="11" xfId="1" applyNumberFormat="1" applyFont="1" applyFill="1" applyBorder="1"/>
    <xf numFmtId="3" fontId="31" fillId="28" borderId="17" xfId="1" applyNumberFormat="1" applyFont="1" applyFill="1" applyBorder="1" applyAlignment="1"/>
    <xf numFmtId="3" fontId="31" fillId="0" borderId="18" xfId="1" applyNumberFormat="1" applyFont="1" applyFill="1" applyBorder="1"/>
    <xf numFmtId="3" fontId="31" fillId="0" borderId="17" xfId="1" applyNumberFormat="1" applyFont="1" applyFill="1" applyBorder="1"/>
    <xf numFmtId="3" fontId="31" fillId="0" borderId="16" xfId="1" applyNumberFormat="1" applyFont="1" applyFill="1" applyBorder="1"/>
    <xf numFmtId="49" fontId="9" fillId="0" borderId="1" xfId="1" applyNumberFormat="1" applyFont="1" applyFill="1" applyBorder="1" applyAlignment="1"/>
    <xf numFmtId="49" fontId="13" fillId="0" borderId="3" xfId="1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/>
    <xf numFmtId="49" fontId="9" fillId="0" borderId="3" xfId="1" applyNumberFormat="1" applyFont="1" applyFill="1" applyBorder="1" applyAlignment="1"/>
    <xf numFmtId="49" fontId="9" fillId="0" borderId="3" xfId="1" applyNumberFormat="1" applyFont="1" applyFill="1" applyBorder="1" applyAlignment="1">
      <alignment horizontal="left"/>
    </xf>
    <xf numFmtId="49" fontId="7" fillId="0" borderId="6" xfId="1" applyNumberFormat="1" applyFont="1" applyFill="1" applyBorder="1" applyAlignment="1"/>
    <xf numFmtId="49" fontId="7" fillId="0" borderId="6" xfId="1" applyNumberFormat="1" applyFont="1" applyFill="1" applyBorder="1" applyAlignment="1">
      <alignment wrapText="1"/>
    </xf>
    <xf numFmtId="49" fontId="9" fillId="0" borderId="6" xfId="1" applyNumberFormat="1" applyFont="1" applyFill="1" applyBorder="1" applyAlignment="1">
      <alignment horizontal="left" wrapText="1"/>
    </xf>
    <xf numFmtId="49" fontId="9" fillId="0" borderId="15" xfId="1" applyNumberFormat="1" applyFont="1" applyFill="1" applyBorder="1" applyAlignment="1"/>
    <xf numFmtId="0" fontId="31" fillId="6" borderId="24" xfId="1" applyFont="1" applyFill="1" applyBorder="1" applyAlignment="1">
      <alignment horizontal="center" vertical="center" wrapText="1"/>
    </xf>
    <xf numFmtId="164" fontId="31" fillId="6" borderId="22" xfId="1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right"/>
    </xf>
    <xf numFmtId="3" fontId="9" fillId="0" borderId="24" xfId="1" applyNumberFormat="1" applyFont="1" applyFill="1" applyBorder="1"/>
    <xf numFmtId="3" fontId="9" fillId="0" borderId="25" xfId="1" applyNumberFormat="1" applyFont="1" applyFill="1" applyBorder="1"/>
    <xf numFmtId="3" fontId="9" fillId="0" borderId="36" xfId="1" applyNumberFormat="1" applyFont="1" applyFill="1" applyBorder="1"/>
    <xf numFmtId="3" fontId="9" fillId="0" borderId="4" xfId="1" applyNumberFormat="1" applyFont="1" applyFill="1" applyBorder="1"/>
    <xf numFmtId="3" fontId="9" fillId="0" borderId="5" xfId="1" applyNumberFormat="1" applyFont="1" applyFill="1" applyBorder="1"/>
    <xf numFmtId="3" fontId="7" fillId="0" borderId="4" xfId="1" applyNumberFormat="1" applyFont="1" applyFill="1" applyBorder="1"/>
    <xf numFmtId="3" fontId="7" fillId="0" borderId="5" xfId="1" applyNumberFormat="1" applyFont="1" applyFill="1" applyBorder="1"/>
    <xf numFmtId="0" fontId="6" fillId="0" borderId="4" xfId="1" applyFont="1" applyFill="1" applyBorder="1" applyAlignment="1">
      <alignment vertical="center"/>
    </xf>
    <xf numFmtId="3" fontId="9" fillId="2" borderId="24" xfId="1" applyNumberFormat="1" applyFont="1" applyFill="1" applyBorder="1" applyAlignment="1"/>
    <xf numFmtId="0" fontId="9" fillId="0" borderId="3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 wrapText="1"/>
    </xf>
    <xf numFmtId="0" fontId="7" fillId="0" borderId="3" xfId="1" applyFont="1" applyFill="1" applyBorder="1" applyAlignment="1">
      <alignment horizontal="left"/>
    </xf>
    <xf numFmtId="0" fontId="9" fillId="0" borderId="3" xfId="1" applyFont="1" applyFill="1" applyBorder="1" applyAlignment="1">
      <alignment horizontal="left" wrapText="1"/>
    </xf>
    <xf numFmtId="0" fontId="7" fillId="0" borderId="37" xfId="1" applyFont="1" applyFill="1" applyBorder="1" applyAlignment="1">
      <alignment horizontal="left"/>
    </xf>
    <xf numFmtId="0" fontId="9" fillId="0" borderId="37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left"/>
    </xf>
    <xf numFmtId="0" fontId="9" fillId="0" borderId="15" xfId="1" applyFont="1" applyFill="1" applyBorder="1" applyAlignment="1">
      <alignment horizontal="left"/>
    </xf>
    <xf numFmtId="0" fontId="6" fillId="0" borderId="5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wrapText="1"/>
    </xf>
    <xf numFmtId="0" fontId="16" fillId="0" borderId="8" xfId="1" applyFont="1" applyFill="1" applyBorder="1" applyAlignment="1">
      <alignment vertical="center"/>
    </xf>
    <xf numFmtId="0" fontId="16" fillId="0" borderId="38" xfId="1" applyFont="1" applyFill="1" applyBorder="1" applyAlignment="1">
      <alignment vertical="center"/>
    </xf>
    <xf numFmtId="3" fontId="9" fillId="0" borderId="18" xfId="1" applyNumberFormat="1" applyFont="1" applyFill="1" applyBorder="1"/>
    <xf numFmtId="3" fontId="9" fillId="0" borderId="16" xfId="1" applyNumberFormat="1" applyFont="1" applyFill="1" applyBorder="1"/>
    <xf numFmtId="3" fontId="7" fillId="28" borderId="4" xfId="1" applyNumberFormat="1" applyFont="1" applyFill="1" applyBorder="1" applyAlignment="1"/>
    <xf numFmtId="0" fontId="7" fillId="0" borderId="1" xfId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4" fillId="0" borderId="0" xfId="51"/>
    <xf numFmtId="0" fontId="4" fillId="0" borderId="0" xfId="51" applyAlignment="1">
      <alignment vertical="center"/>
    </xf>
    <xf numFmtId="0" fontId="37" fillId="0" borderId="42" xfId="51" applyNumberFormat="1" applyFont="1" applyFill="1" applyBorder="1" applyAlignment="1">
      <alignment horizontal="center" vertical="center" wrapText="1"/>
    </xf>
    <xf numFmtId="0" fontId="37" fillId="0" borderId="43" xfId="51" applyNumberFormat="1" applyFont="1" applyFill="1" applyBorder="1" applyAlignment="1">
      <alignment horizontal="center" vertical="center" wrapText="1"/>
    </xf>
    <xf numFmtId="0" fontId="39" fillId="28" borderId="44" xfId="34" applyFont="1" applyFill="1" applyBorder="1" applyAlignment="1">
      <alignment horizontal="left" vertical="center" wrapText="1"/>
    </xf>
    <xf numFmtId="0" fontId="39" fillId="28" borderId="10" xfId="34" applyFont="1" applyFill="1" applyBorder="1" applyAlignment="1">
      <alignment horizontal="left" vertical="center" wrapText="1"/>
    </xf>
    <xf numFmtId="3" fontId="39" fillId="28" borderId="10" xfId="34" applyNumberFormat="1" applyFont="1" applyFill="1" applyBorder="1" applyAlignment="1">
      <alignment horizontal="right" vertical="center" wrapText="1"/>
    </xf>
    <xf numFmtId="3" fontId="39" fillId="28" borderId="13" xfId="34" applyNumberFormat="1" applyFont="1" applyFill="1" applyBorder="1" applyAlignment="1">
      <alignment horizontal="right" vertical="center" wrapText="1"/>
    </xf>
    <xf numFmtId="0" fontId="40" fillId="0" borderId="3" xfId="51" applyFont="1" applyFill="1" applyBorder="1" applyAlignment="1">
      <alignment horizontal="justify" vertical="center" wrapText="1"/>
    </xf>
    <xf numFmtId="0" fontId="40" fillId="29" borderId="4" xfId="51" applyFont="1" applyFill="1" applyBorder="1" applyAlignment="1">
      <alignment horizontal="center" vertical="center"/>
    </xf>
    <xf numFmtId="3" fontId="39" fillId="0" borderId="4" xfId="51" applyNumberFormat="1" applyFont="1" applyFill="1" applyBorder="1" applyAlignment="1">
      <alignment horizontal="right" vertical="center" wrapText="1"/>
    </xf>
    <xf numFmtId="3" fontId="39" fillId="0" borderId="45" xfId="51" applyNumberFormat="1" applyFont="1" applyFill="1" applyBorder="1" applyAlignment="1">
      <alignment horizontal="right" vertical="center" wrapText="1"/>
    </xf>
    <xf numFmtId="0" fontId="4" fillId="0" borderId="0" xfId="51" applyFill="1" applyAlignment="1">
      <alignment vertical="center"/>
    </xf>
    <xf numFmtId="49" fontId="38" fillId="0" borderId="3" xfId="1" applyNumberFormat="1" applyFont="1" applyFill="1" applyBorder="1" applyAlignment="1">
      <alignment horizontal="justify" vertical="center"/>
    </xf>
    <xf numFmtId="3" fontId="38" fillId="0" borderId="4" xfId="1" applyNumberFormat="1" applyFont="1" applyFill="1" applyBorder="1" applyAlignment="1">
      <alignment vertical="center"/>
    </xf>
    <xf numFmtId="3" fontId="38" fillId="0" borderId="45" xfId="1" applyNumberFormat="1" applyFont="1" applyFill="1" applyBorder="1" applyAlignment="1">
      <alignment vertical="center"/>
    </xf>
    <xf numFmtId="49" fontId="38" fillId="0" borderId="6" xfId="1" applyNumberFormat="1" applyFont="1" applyFill="1" applyBorder="1" applyAlignment="1">
      <alignment horizontal="justify" vertical="center"/>
    </xf>
    <xf numFmtId="3" fontId="38" fillId="0" borderId="46" xfId="1" applyNumberFormat="1" applyFont="1" applyFill="1" applyBorder="1" applyAlignment="1">
      <alignment vertical="center"/>
    </xf>
    <xf numFmtId="0" fontId="40" fillId="0" borderId="6" xfId="51" applyFont="1" applyFill="1" applyBorder="1" applyAlignment="1">
      <alignment horizontal="justify" vertical="center" wrapText="1"/>
    </xf>
    <xf numFmtId="0" fontId="40" fillId="0" borderId="8" xfId="51" applyFont="1" applyFill="1" applyBorder="1" applyAlignment="1">
      <alignment horizontal="center" vertical="center"/>
    </xf>
    <xf numFmtId="3" fontId="40" fillId="0" borderId="4" xfId="51" applyNumberFormat="1" applyFont="1" applyFill="1" applyBorder="1" applyAlignment="1">
      <alignment horizontal="right" vertical="center" wrapText="1"/>
    </xf>
    <xf numFmtId="3" fontId="40" fillId="0" borderId="46" xfId="51" applyNumberFormat="1" applyFont="1" applyFill="1" applyBorder="1" applyAlignment="1">
      <alignment horizontal="right" vertical="center" wrapText="1"/>
    </xf>
    <xf numFmtId="0" fontId="39" fillId="28" borderId="3" xfId="34" applyFont="1" applyFill="1" applyBorder="1" applyAlignment="1">
      <alignment horizontal="left" vertical="center" wrapText="1"/>
    </xf>
    <xf numFmtId="0" fontId="39" fillId="28" borderId="4" xfId="34" applyFont="1" applyFill="1" applyBorder="1" applyAlignment="1">
      <alignment horizontal="left" vertical="center" wrapText="1"/>
    </xf>
    <xf numFmtId="3" fontId="39" fillId="28" borderId="4" xfId="34" applyNumberFormat="1" applyFont="1" applyFill="1" applyBorder="1" applyAlignment="1">
      <alignment horizontal="center" vertical="center" wrapText="1"/>
    </xf>
    <xf numFmtId="3" fontId="39" fillId="28" borderId="5" xfId="34" applyNumberFormat="1" applyFont="1" applyFill="1" applyBorder="1" applyAlignment="1">
      <alignment horizontal="center" vertical="center" wrapText="1"/>
    </xf>
    <xf numFmtId="0" fontId="40" fillId="0" borderId="4" xfId="51" applyFont="1" applyFill="1" applyBorder="1" applyAlignment="1">
      <alignment horizontal="center" vertical="center"/>
    </xf>
    <xf numFmtId="0" fontId="40" fillId="0" borderId="3" xfId="51" applyFont="1" applyFill="1" applyBorder="1" applyAlignment="1">
      <alignment vertical="center" wrapText="1"/>
    </xf>
    <xf numFmtId="3" fontId="40" fillId="0" borderId="45" xfId="51" applyNumberFormat="1" applyFont="1" applyFill="1" applyBorder="1" applyAlignment="1">
      <alignment horizontal="right" vertical="center" wrapText="1"/>
    </xf>
    <xf numFmtId="0" fontId="39" fillId="0" borderId="3" xfId="51" applyFont="1" applyFill="1" applyBorder="1" applyAlignment="1">
      <alignment vertical="center" wrapText="1"/>
    </xf>
    <xf numFmtId="3" fontId="40" fillId="0" borderId="5" xfId="51" applyNumberFormat="1" applyFont="1" applyFill="1" applyBorder="1" applyAlignment="1">
      <alignment horizontal="right" vertical="center" wrapText="1"/>
    </xf>
    <xf numFmtId="0" fontId="41" fillId="0" borderId="3" xfId="51" applyFont="1" applyFill="1" applyBorder="1" applyAlignment="1">
      <alignment vertical="center" wrapText="1"/>
    </xf>
    <xf numFmtId="0" fontId="41" fillId="0" borderId="4" xfId="51" applyFont="1" applyFill="1" applyBorder="1" applyAlignment="1">
      <alignment horizontal="center" vertical="center"/>
    </xf>
    <xf numFmtId="3" fontId="41" fillId="0" borderId="4" xfId="51" applyNumberFormat="1" applyFont="1" applyFill="1" applyBorder="1" applyAlignment="1">
      <alignment horizontal="right" vertical="center" wrapText="1"/>
    </xf>
    <xf numFmtId="3" fontId="41" fillId="0" borderId="5" xfId="51" applyNumberFormat="1" applyFont="1" applyFill="1" applyBorder="1" applyAlignment="1">
      <alignment horizontal="right" vertical="center" wrapText="1"/>
    </xf>
    <xf numFmtId="0" fontId="39" fillId="0" borderId="1" xfId="51" applyFont="1" applyFill="1" applyBorder="1" applyAlignment="1">
      <alignment vertical="center" wrapText="1"/>
    </xf>
    <xf numFmtId="0" fontId="40" fillId="0" borderId="10" xfId="51" applyFont="1" applyFill="1" applyBorder="1" applyAlignment="1">
      <alignment horizontal="center" vertical="center"/>
    </xf>
    <xf numFmtId="3" fontId="39" fillId="0" borderId="5" xfId="51" applyNumberFormat="1" applyFont="1" applyFill="1" applyBorder="1" applyAlignment="1">
      <alignment horizontal="right" vertical="center" wrapText="1"/>
    </xf>
    <xf numFmtId="0" fontId="40" fillId="30" borderId="4" xfId="51" applyFont="1" applyFill="1" applyBorder="1" applyAlignment="1">
      <alignment horizontal="center" vertical="center"/>
    </xf>
    <xf numFmtId="3" fontId="40" fillId="30" borderId="4" xfId="51" applyNumberFormat="1" applyFont="1" applyFill="1" applyBorder="1" applyAlignment="1">
      <alignment horizontal="right" vertical="center"/>
    </xf>
    <xf numFmtId="3" fontId="40" fillId="30" borderId="45" xfId="51" applyNumberFormat="1" applyFont="1" applyFill="1" applyBorder="1" applyAlignment="1">
      <alignment horizontal="right" vertical="center"/>
    </xf>
    <xf numFmtId="3" fontId="40" fillId="0" borderId="4" xfId="51" applyNumberFormat="1" applyFont="1" applyFill="1" applyBorder="1" applyAlignment="1">
      <alignment horizontal="right" vertical="center"/>
    </xf>
    <xf numFmtId="3" fontId="40" fillId="0" borderId="45" xfId="51" applyNumberFormat="1" applyFont="1" applyFill="1" applyBorder="1" applyAlignment="1">
      <alignment horizontal="right" vertical="center"/>
    </xf>
    <xf numFmtId="0" fontId="39" fillId="0" borderId="6" xfId="51" applyFont="1" applyFill="1" applyBorder="1" applyAlignment="1">
      <alignment vertical="center" wrapText="1"/>
    </xf>
    <xf numFmtId="3" fontId="39" fillId="0" borderId="46" xfId="51" applyNumberFormat="1" applyFont="1" applyFill="1" applyBorder="1" applyAlignment="1">
      <alignment horizontal="right" vertical="center" wrapText="1"/>
    </xf>
    <xf numFmtId="3" fontId="39" fillId="28" borderId="4" xfId="34" applyNumberFormat="1" applyFont="1" applyFill="1" applyBorder="1" applyAlignment="1">
      <alignment horizontal="right" vertical="center" wrapText="1"/>
    </xf>
    <xf numFmtId="3" fontId="39" fillId="28" borderId="45" xfId="34" applyNumberFormat="1" applyFont="1" applyFill="1" applyBorder="1" applyAlignment="1">
      <alignment horizontal="right" vertical="center" wrapText="1"/>
    </xf>
    <xf numFmtId="0" fontId="39" fillId="28" borderId="14" xfId="34" applyFont="1" applyFill="1" applyBorder="1" applyAlignment="1">
      <alignment horizontal="left" vertical="center" wrapText="1"/>
    </xf>
    <xf numFmtId="0" fontId="39" fillId="28" borderId="42" xfId="34" applyFont="1" applyFill="1" applyBorder="1" applyAlignment="1">
      <alignment horizontal="left" vertical="center" wrapText="1"/>
    </xf>
    <xf numFmtId="3" fontId="39" fillId="28" borderId="42" xfId="34" applyNumberFormat="1" applyFont="1" applyFill="1" applyBorder="1" applyAlignment="1">
      <alignment horizontal="right" vertical="center" wrapText="1"/>
    </xf>
    <xf numFmtId="3" fontId="39" fillId="28" borderId="43" xfId="34" applyNumberFormat="1" applyFont="1" applyFill="1" applyBorder="1" applyAlignment="1">
      <alignment horizontal="right" vertical="center" wrapText="1"/>
    </xf>
    <xf numFmtId="0" fontId="4" fillId="0" borderId="0" xfId="51" applyFont="1"/>
    <xf numFmtId="0" fontId="4" fillId="0" borderId="0" xfId="34" applyFont="1"/>
    <xf numFmtId="0" fontId="7" fillId="0" borderId="0" xfId="34" applyFont="1" applyAlignment="1" applyProtection="1">
      <alignment vertical="center" wrapText="1"/>
      <protection locked="0"/>
    </xf>
    <xf numFmtId="0" fontId="42" fillId="0" borderId="0" xfId="34" applyFont="1" applyAlignment="1" applyProtection="1">
      <alignment horizontal="right" vertical="center" wrapText="1"/>
      <protection locked="0"/>
    </xf>
    <xf numFmtId="0" fontId="42" fillId="0" borderId="48" xfId="34" applyFont="1" applyBorder="1" applyAlignment="1" applyProtection="1">
      <alignment horizontal="center" vertical="center" wrapText="1"/>
      <protection locked="0"/>
    </xf>
    <xf numFmtId="0" fontId="42" fillId="0" borderId="50" xfId="34" applyFont="1" applyBorder="1" applyAlignment="1" applyProtection="1">
      <alignment horizontal="center" vertical="center" wrapText="1"/>
      <protection locked="0"/>
    </xf>
    <xf numFmtId="4" fontId="42" fillId="28" borderId="4" xfId="34" applyNumberFormat="1" applyFont="1" applyFill="1" applyBorder="1" applyAlignment="1" applyProtection="1">
      <alignment horizontal="center" vertical="center"/>
      <protection locked="0"/>
    </xf>
    <xf numFmtId="4" fontId="42" fillId="28" borderId="50" xfId="34" applyNumberFormat="1" applyFont="1" applyFill="1" applyBorder="1" applyAlignment="1" applyProtection="1">
      <alignment horizontal="center" vertical="center"/>
      <protection locked="0"/>
    </xf>
    <xf numFmtId="0" fontId="43" fillId="0" borderId="49" xfId="34" applyFont="1" applyFill="1" applyBorder="1" applyAlignment="1" applyProtection="1">
      <alignment horizontal="left" vertical="center" wrapText="1"/>
      <protection locked="0"/>
    </xf>
    <xf numFmtId="0" fontId="43" fillId="0" borderId="4" xfId="52" applyFont="1" applyFill="1" applyBorder="1" applyAlignment="1">
      <alignment horizontal="center" vertical="center" wrapText="1"/>
    </xf>
    <xf numFmtId="3" fontId="43" fillId="0" borderId="4" xfId="34" applyNumberFormat="1" applyFont="1" applyFill="1" applyBorder="1" applyAlignment="1" applyProtection="1">
      <alignment horizontal="right" vertical="center"/>
      <protection locked="0"/>
    </xf>
    <xf numFmtId="3" fontId="43" fillId="0" borderId="4" xfId="34" applyNumberFormat="1" applyFont="1" applyFill="1" applyBorder="1" applyAlignment="1" applyProtection="1">
      <alignment horizontal="center" vertical="center"/>
      <protection locked="0"/>
    </xf>
    <xf numFmtId="3" fontId="43" fillId="0" borderId="4" xfId="34" applyNumberFormat="1" applyFont="1" applyBorder="1" applyAlignment="1" applyProtection="1">
      <alignment horizontal="center" vertical="center"/>
      <protection locked="0"/>
    </xf>
    <xf numFmtId="3" fontId="42" fillId="28" borderId="49" xfId="34" applyNumberFormat="1" applyFont="1" applyFill="1" applyBorder="1" applyAlignment="1" applyProtection="1">
      <alignment vertical="center" wrapText="1"/>
      <protection locked="0"/>
    </xf>
    <xf numFmtId="3" fontId="42" fillId="28" borderId="50" xfId="34" applyNumberFormat="1" applyFont="1" applyFill="1" applyBorder="1" applyAlignment="1" applyProtection="1">
      <alignment vertical="center" wrapText="1"/>
      <protection locked="0"/>
    </xf>
    <xf numFmtId="3" fontId="42" fillId="28" borderId="4" xfId="34" applyNumberFormat="1" applyFont="1" applyFill="1" applyBorder="1" applyAlignment="1" applyProtection="1">
      <alignment horizontal="center" vertical="center" wrapText="1"/>
      <protection locked="0"/>
    </xf>
    <xf numFmtId="3" fontId="42" fillId="28" borderId="4" xfId="34" applyNumberFormat="1" applyFont="1" applyFill="1" applyBorder="1" applyAlignment="1" applyProtection="1">
      <alignment horizontal="right" vertical="center" wrapText="1"/>
      <protection locked="0"/>
    </xf>
    <xf numFmtId="0" fontId="42" fillId="28" borderId="49" xfId="52" applyFont="1" applyFill="1" applyBorder="1" applyAlignment="1">
      <alignment vertical="center" wrapText="1"/>
    </xf>
    <xf numFmtId="3" fontId="42" fillId="28" borderId="3" xfId="34" applyNumberFormat="1" applyFont="1" applyFill="1" applyBorder="1" applyAlignment="1" applyProtection="1">
      <alignment vertical="center" wrapText="1"/>
      <protection locked="0"/>
    </xf>
    <xf numFmtId="3" fontId="42" fillId="28" borderId="51" xfId="34" applyNumberFormat="1" applyFont="1" applyFill="1" applyBorder="1" applyAlignment="1" applyProtection="1">
      <alignment vertical="center" wrapText="1"/>
      <protection locked="0"/>
    </xf>
    <xf numFmtId="1" fontId="43" fillId="0" borderId="4" xfId="34" applyNumberFormat="1" applyFont="1" applyFill="1" applyBorder="1" applyAlignment="1" applyProtection="1">
      <alignment horizontal="center" vertical="center"/>
      <protection locked="0"/>
    </xf>
    <xf numFmtId="3" fontId="43" fillId="0" borderId="15" xfId="34" applyNumberFormat="1" applyFont="1" applyFill="1" applyBorder="1" applyAlignment="1" applyProtection="1">
      <alignment vertical="center" wrapText="1"/>
      <protection locked="0"/>
    </xf>
    <xf numFmtId="3" fontId="43" fillId="0" borderId="53" xfId="34" applyNumberFormat="1" applyFont="1" applyFill="1" applyBorder="1" applyAlignment="1" applyProtection="1">
      <alignment vertical="center" wrapText="1"/>
      <protection locked="0"/>
    </xf>
    <xf numFmtId="3" fontId="43" fillId="0" borderId="53" xfId="34" applyNumberFormat="1" applyFont="1" applyBorder="1" applyAlignment="1" applyProtection="1">
      <alignment vertical="center" wrapText="1"/>
      <protection locked="0"/>
    </xf>
    <xf numFmtId="3" fontId="43" fillId="0" borderId="53" xfId="34" applyNumberFormat="1" applyFont="1" applyBorder="1" applyAlignment="1" applyProtection="1">
      <alignment horizontal="center" vertical="center" wrapText="1"/>
      <protection locked="0"/>
    </xf>
    <xf numFmtId="3" fontId="43" fillId="0" borderId="54" xfId="34" applyNumberFormat="1" applyFont="1" applyBorder="1" applyAlignment="1" applyProtection="1">
      <alignment vertical="center" wrapText="1"/>
      <protection locked="0"/>
    </xf>
    <xf numFmtId="3" fontId="42" fillId="28" borderId="55" xfId="34" applyNumberFormat="1" applyFont="1" applyFill="1" applyBorder="1" applyAlignment="1" applyProtection="1">
      <alignment horizontal="left" vertical="center" wrapText="1"/>
      <protection locked="0"/>
    </xf>
    <xf numFmtId="3" fontId="42" fillId="28" borderId="54" xfId="34" applyNumberFormat="1" applyFont="1" applyFill="1" applyBorder="1" applyAlignment="1" applyProtection="1">
      <alignment horizontal="left" vertical="center" wrapText="1"/>
      <protection locked="0"/>
    </xf>
    <xf numFmtId="3" fontId="42" fillId="28" borderId="18" xfId="34" applyNumberFormat="1" applyFont="1" applyFill="1" applyBorder="1" applyAlignment="1" applyProtection="1">
      <alignment horizontal="center" vertical="center" wrapText="1"/>
      <protection locked="0"/>
    </xf>
    <xf numFmtId="3" fontId="42" fillId="28" borderId="18" xfId="34" applyNumberFormat="1" applyFont="1" applyFill="1" applyBorder="1" applyAlignment="1" applyProtection="1">
      <alignment horizontal="center" vertical="center"/>
      <protection locked="0"/>
    </xf>
    <xf numFmtId="3" fontId="42" fillId="28" borderId="18" xfId="34" applyNumberFormat="1" applyFont="1" applyFill="1" applyBorder="1" applyAlignment="1" applyProtection="1">
      <alignment horizontal="right" vertical="center"/>
      <protection locked="0"/>
    </xf>
    <xf numFmtId="0" fontId="12" fillId="0" borderId="0" xfId="54" applyFont="1" applyFill="1" applyAlignment="1">
      <alignment vertical="center"/>
    </xf>
    <xf numFmtId="0" fontId="7" fillId="0" borderId="0" xfId="34" applyFont="1" applyAlignment="1" applyProtection="1">
      <alignment vertical="center"/>
      <protection locked="0"/>
    </xf>
    <xf numFmtId="0" fontId="7" fillId="0" borderId="0" xfId="34" applyFont="1" applyAlignment="1" applyProtection="1">
      <alignment horizontal="center" vertical="center"/>
      <protection locked="0"/>
    </xf>
    <xf numFmtId="0" fontId="12" fillId="0" borderId="0" xfId="34" applyFont="1" applyFill="1" applyAlignment="1" applyProtection="1">
      <alignment vertical="center"/>
      <protection locked="0"/>
    </xf>
    <xf numFmtId="0" fontId="12" fillId="0" borderId="0" xfId="34" applyFont="1" applyFill="1" applyAlignment="1" applyProtection="1">
      <alignment horizontal="center" vertical="center"/>
      <protection locked="0"/>
    </xf>
    <xf numFmtId="0" fontId="12" fillId="0" borderId="0" xfId="34" applyFont="1" applyAlignment="1" applyProtection="1">
      <alignment vertical="center"/>
      <protection locked="0"/>
    </xf>
    <xf numFmtId="0" fontId="12" fillId="0" borderId="0" xfId="34" applyFont="1" applyAlignment="1" applyProtection="1">
      <alignment horizontal="center" vertical="center"/>
      <protection locked="0"/>
    </xf>
    <xf numFmtId="0" fontId="7" fillId="0" borderId="0" xfId="1" applyFont="1" applyProtection="1">
      <protection locked="0"/>
    </xf>
    <xf numFmtId="0" fontId="7" fillId="0" borderId="0" xfId="37" applyFont="1"/>
    <xf numFmtId="166" fontId="7" fillId="0" borderId="0" xfId="37" applyNumberFormat="1" applyFont="1" applyAlignment="1">
      <alignment horizontal="right"/>
    </xf>
    <xf numFmtId="0" fontId="7" fillId="0" borderId="0" xfId="37" applyFont="1" applyAlignment="1">
      <alignment horizontal="right"/>
    </xf>
    <xf numFmtId="0" fontId="7" fillId="0" borderId="56" xfId="37" applyFont="1" applyBorder="1" applyAlignment="1">
      <alignment horizontal="center" vertical="center" wrapText="1"/>
    </xf>
    <xf numFmtId="0" fontId="7" fillId="0" borderId="3" xfId="37" applyFont="1" applyBorder="1" applyAlignment="1">
      <alignment horizontal="center" vertical="center" wrapText="1"/>
    </xf>
    <xf numFmtId="0" fontId="7" fillId="0" borderId="3" xfId="37" applyFont="1" applyBorder="1" applyAlignment="1">
      <alignment horizontal="center" vertical="center"/>
    </xf>
    <xf numFmtId="3" fontId="7" fillId="0" borderId="4" xfId="37" applyNumberFormat="1" applyFont="1" applyBorder="1" applyAlignment="1">
      <alignment vertical="center"/>
    </xf>
    <xf numFmtId="3" fontId="7" fillId="0" borderId="2" xfId="37" applyNumberFormat="1" applyFont="1" applyBorder="1" applyAlignment="1">
      <alignment vertical="center"/>
    </xf>
    <xf numFmtId="3" fontId="7" fillId="0" borderId="49" xfId="37" applyNumberFormat="1" applyFont="1" applyBorder="1" applyAlignment="1">
      <alignment vertical="center"/>
    </xf>
    <xf numFmtId="3" fontId="7" fillId="0" borderId="5" xfId="37" applyNumberFormat="1" applyFont="1" applyBorder="1" applyAlignment="1">
      <alignment vertical="center"/>
    </xf>
    <xf numFmtId="3" fontId="7" fillId="0" borderId="8" xfId="37" applyNumberFormat="1" applyFont="1" applyBorder="1" applyAlignment="1">
      <alignment vertical="center"/>
    </xf>
    <xf numFmtId="3" fontId="7" fillId="0" borderId="38" xfId="37" applyNumberFormat="1" applyFont="1" applyBorder="1" applyAlignment="1">
      <alignment vertical="center"/>
    </xf>
    <xf numFmtId="0" fontId="7" fillId="0" borderId="6" xfId="37" applyFont="1" applyBorder="1" applyAlignment="1">
      <alignment horizontal="center" vertical="center"/>
    </xf>
    <xf numFmtId="3" fontId="7" fillId="0" borderId="7" xfId="37" applyNumberFormat="1" applyFont="1" applyBorder="1" applyAlignment="1">
      <alignment vertical="center"/>
    </xf>
    <xf numFmtId="0" fontId="7" fillId="0" borderId="14" xfId="37" applyFont="1" applyBorder="1" applyAlignment="1">
      <alignment horizontal="center" vertical="center"/>
    </xf>
    <xf numFmtId="3" fontId="7" fillId="0" borderId="42" xfId="37" applyNumberFormat="1" applyFont="1" applyBorder="1" applyAlignment="1">
      <alignment vertical="center"/>
    </xf>
    <xf numFmtId="3" fontId="7" fillId="0" borderId="57" xfId="37" applyNumberFormat="1" applyFont="1" applyBorder="1" applyAlignment="1">
      <alignment vertical="center"/>
    </xf>
    <xf numFmtId="3" fontId="7" fillId="0" borderId="58" xfId="37" applyNumberFormat="1" applyFont="1" applyBorder="1" applyAlignment="1">
      <alignment vertical="center"/>
    </xf>
    <xf numFmtId="3" fontId="7" fillId="0" borderId="43" xfId="37" applyNumberFormat="1" applyFont="1" applyBorder="1" applyAlignment="1">
      <alignment vertical="center"/>
    </xf>
    <xf numFmtId="0" fontId="39" fillId="0" borderId="0" xfId="55" applyFont="1" applyAlignment="1">
      <alignment horizontal="center" vertical="center" wrapText="1"/>
    </xf>
    <xf numFmtId="0" fontId="40" fillId="0" borderId="0" xfId="55" applyFont="1" applyAlignment="1">
      <alignment vertical="center"/>
    </xf>
    <xf numFmtId="0" fontId="40" fillId="0" borderId="0" xfId="55" applyFont="1" applyAlignment="1">
      <alignment horizontal="center" vertical="center"/>
    </xf>
    <xf numFmtId="0" fontId="42" fillId="0" borderId="0" xfId="55" applyFont="1" applyAlignment="1">
      <alignment horizontal="right" vertical="justify"/>
    </xf>
    <xf numFmtId="49" fontId="42" fillId="28" borderId="42" xfId="56" applyNumberFormat="1" applyFont="1" applyFill="1" applyBorder="1" applyAlignment="1">
      <alignment horizontal="center" vertical="center" wrapText="1"/>
    </xf>
    <xf numFmtId="0" fontId="40" fillId="0" borderId="0" xfId="55" applyFont="1" applyFill="1" applyAlignment="1">
      <alignment vertical="center"/>
    </xf>
    <xf numFmtId="0" fontId="43" fillId="0" borderId="61" xfId="57" applyFont="1" applyFill="1" applyBorder="1" applyAlignment="1" applyProtection="1">
      <alignment horizontal="left" vertical="center" wrapText="1"/>
    </xf>
    <xf numFmtId="0" fontId="43" fillId="0" borderId="8" xfId="57" applyFont="1" applyFill="1" applyBorder="1" applyAlignment="1" applyProtection="1">
      <alignment horizontal="center" vertical="center" wrapText="1"/>
    </xf>
    <xf numFmtId="3" fontId="43" fillId="0" borderId="8" xfId="57" applyNumberFormat="1" applyFont="1" applyFill="1" applyBorder="1" applyAlignment="1" applyProtection="1">
      <alignment horizontal="right" vertical="center" wrapText="1"/>
    </xf>
    <xf numFmtId="3" fontId="43" fillId="0" borderId="8" xfId="55" applyNumberFormat="1" applyFont="1" applyFill="1" applyBorder="1" applyAlignment="1">
      <alignment vertical="center"/>
    </xf>
    <xf numFmtId="3" fontId="43" fillId="0" borderId="62" xfId="55" applyNumberFormat="1" applyFont="1" applyFill="1" applyBorder="1" applyAlignment="1">
      <alignment vertical="center"/>
    </xf>
    <xf numFmtId="3" fontId="43" fillId="0" borderId="63" xfId="55" applyNumberFormat="1" applyFont="1" applyFill="1" applyBorder="1" applyAlignment="1">
      <alignment vertical="center"/>
    </xf>
    <xf numFmtId="3" fontId="43" fillId="0" borderId="64" xfId="55" applyNumberFormat="1" applyFont="1" applyFill="1" applyBorder="1" applyAlignment="1">
      <alignment horizontal="right" vertical="center"/>
    </xf>
    <xf numFmtId="3" fontId="43" fillId="0" borderId="46" xfId="55" applyNumberFormat="1" applyFont="1" applyFill="1" applyBorder="1" applyAlignment="1">
      <alignment horizontal="justify" vertical="center" wrapText="1"/>
    </xf>
    <xf numFmtId="0" fontId="42" fillId="28" borderId="65" xfId="55" applyFont="1" applyFill="1" applyBorder="1" applyAlignment="1">
      <alignment vertical="center"/>
    </xf>
    <xf numFmtId="0" fontId="42" fillId="28" borderId="66" xfId="55" applyFont="1" applyFill="1" applyBorder="1" applyAlignment="1">
      <alignment horizontal="center" vertical="center"/>
    </xf>
    <xf numFmtId="3" fontId="42" fillId="28" borderId="66" xfId="55" applyNumberFormat="1" applyFont="1" applyFill="1" applyBorder="1" applyAlignment="1">
      <alignment vertical="center"/>
    </xf>
    <xf numFmtId="3" fontId="42" fillId="28" borderId="67" xfId="55" applyNumberFormat="1" applyFont="1" applyFill="1" applyBorder="1" applyAlignment="1">
      <alignment vertical="center"/>
    </xf>
    <xf numFmtId="3" fontId="42" fillId="28" borderId="68" xfId="55" applyNumberFormat="1" applyFont="1" applyFill="1" applyBorder="1" applyAlignment="1">
      <alignment horizontal="justify" vertical="justify"/>
    </xf>
    <xf numFmtId="0" fontId="43" fillId="0" borderId="49" xfId="55" applyFont="1" applyFill="1" applyBorder="1" applyAlignment="1">
      <alignment horizontal="left" vertical="center" wrapText="1"/>
    </xf>
    <xf numFmtId="0" fontId="43" fillId="0" borderId="50" xfId="55" applyFont="1" applyFill="1" applyBorder="1" applyAlignment="1">
      <alignment horizontal="center" vertical="center" wrapText="1"/>
    </xf>
    <xf numFmtId="3" fontId="43" fillId="0" borderId="4" xfId="55" applyNumberFormat="1" applyFont="1" applyFill="1" applyBorder="1" applyAlignment="1">
      <alignment horizontal="right" vertical="center" wrapText="1"/>
    </xf>
    <xf numFmtId="3" fontId="43" fillId="0" borderId="69" xfId="55" applyNumberFormat="1" applyFont="1" applyFill="1" applyBorder="1" applyAlignment="1">
      <alignment vertical="center"/>
    </xf>
    <xf numFmtId="3" fontId="43" fillId="0" borderId="70" xfId="55" applyNumberFormat="1" applyFont="1" applyBorder="1" applyAlignment="1">
      <alignment vertical="center"/>
    </xf>
    <xf numFmtId="3" fontId="43" fillId="0" borderId="5" xfId="55" applyNumberFormat="1" applyFont="1" applyFill="1" applyBorder="1" applyAlignment="1">
      <alignment horizontal="justify" vertical="center" wrapText="1"/>
    </xf>
    <xf numFmtId="0" fontId="43" fillId="29" borderId="50" xfId="55" applyFont="1" applyFill="1" applyBorder="1" applyAlignment="1">
      <alignment horizontal="center" vertical="center" wrapText="1"/>
    </xf>
    <xf numFmtId="0" fontId="39" fillId="0" borderId="0" xfId="55" applyFont="1" applyAlignment="1">
      <alignment vertical="center"/>
    </xf>
    <xf numFmtId="0" fontId="43" fillId="0" borderId="71" xfId="57" applyFont="1" applyFill="1" applyBorder="1" applyAlignment="1" applyProtection="1">
      <alignment horizontal="center" vertical="center" wrapText="1"/>
    </xf>
    <xf numFmtId="3" fontId="43" fillId="0" borderId="72" xfId="55" applyNumberFormat="1" applyFont="1" applyFill="1" applyBorder="1" applyAlignment="1">
      <alignment horizontal="right" vertical="center"/>
    </xf>
    <xf numFmtId="3" fontId="43" fillId="0" borderId="73" xfId="55" applyNumberFormat="1" applyFont="1" applyFill="1" applyBorder="1" applyAlignment="1">
      <alignment horizontal="right" vertical="center"/>
    </xf>
    <xf numFmtId="3" fontId="42" fillId="28" borderId="74" xfId="55" applyNumberFormat="1" applyFont="1" applyFill="1" applyBorder="1" applyAlignment="1">
      <alignment horizontal="justify" vertical="justify"/>
    </xf>
    <xf numFmtId="3" fontId="43" fillId="0" borderId="75" xfId="55" applyNumberFormat="1" applyFont="1" applyFill="1" applyBorder="1" applyAlignment="1">
      <alignment horizontal="right" vertical="center"/>
    </xf>
    <xf numFmtId="3" fontId="43" fillId="0" borderId="76" xfId="55" applyNumberFormat="1" applyFont="1" applyFill="1" applyBorder="1" applyAlignment="1">
      <alignment horizontal="right" vertical="center"/>
    </xf>
    <xf numFmtId="3" fontId="43" fillId="0" borderId="77" xfId="55" applyNumberFormat="1" applyFont="1" applyFill="1" applyBorder="1" applyAlignment="1">
      <alignment horizontal="right" vertical="center"/>
    </xf>
    <xf numFmtId="3" fontId="43" fillId="0" borderId="45" xfId="55" applyNumberFormat="1" applyFont="1" applyFill="1" applyBorder="1" applyAlignment="1">
      <alignment horizontal="justify" vertical="center" wrapText="1"/>
    </xf>
    <xf numFmtId="0" fontId="43" fillId="0" borderId="61" xfId="55" applyFont="1" applyFill="1" applyBorder="1" applyAlignment="1">
      <alignment horizontal="left" vertical="center" wrapText="1"/>
    </xf>
    <xf numFmtId="0" fontId="43" fillId="0" borderId="71" xfId="55" applyFont="1" applyFill="1" applyBorder="1" applyAlignment="1">
      <alignment horizontal="center" vertical="center" wrapText="1"/>
    </xf>
    <xf numFmtId="3" fontId="43" fillId="0" borderId="8" xfId="55" applyNumberFormat="1" applyFont="1" applyFill="1" applyBorder="1" applyAlignment="1">
      <alignment horizontal="right" vertical="center" wrapText="1"/>
    </xf>
    <xf numFmtId="0" fontId="43" fillId="0" borderId="4" xfId="55" applyFont="1" applyFill="1" applyBorder="1" applyAlignment="1">
      <alignment horizontal="left" vertical="center" wrapText="1"/>
    </xf>
    <xf numFmtId="167" fontId="47" fillId="29" borderId="4" xfId="58" applyNumberFormat="1" applyFont="1" applyFill="1" applyBorder="1" applyAlignment="1">
      <alignment horizontal="center" vertical="center" wrapText="1"/>
    </xf>
    <xf numFmtId="0" fontId="43" fillId="29" borderId="71" xfId="55" applyFont="1" applyFill="1" applyBorder="1" applyAlignment="1">
      <alignment horizontal="center" vertical="center" wrapText="1"/>
    </xf>
    <xf numFmtId="0" fontId="43" fillId="0" borderId="8" xfId="55" applyFont="1" applyFill="1" applyBorder="1" applyAlignment="1">
      <alignment horizontal="left" vertical="center" wrapText="1"/>
    </xf>
    <xf numFmtId="3" fontId="43" fillId="0" borderId="8" xfId="55" applyNumberFormat="1" applyFont="1" applyFill="1" applyBorder="1" applyAlignment="1">
      <alignment horizontal="right" vertical="center"/>
    </xf>
    <xf numFmtId="3" fontId="43" fillId="0" borderId="8" xfId="55" applyNumberFormat="1" applyFont="1" applyBorder="1" applyAlignment="1">
      <alignment horizontal="right" vertical="center"/>
    </xf>
    <xf numFmtId="3" fontId="43" fillId="0" borderId="12" xfId="55" applyNumberFormat="1" applyFont="1" applyFill="1" applyBorder="1" applyAlignment="1">
      <alignment horizontal="right" vertical="center"/>
    </xf>
    <xf numFmtId="3" fontId="43" fillId="0" borderId="4" xfId="55" applyNumberFormat="1" applyFont="1" applyFill="1" applyBorder="1" applyAlignment="1">
      <alignment horizontal="right" vertical="center"/>
    </xf>
    <xf numFmtId="0" fontId="43" fillId="0" borderId="38" xfId="55" applyFont="1" applyFill="1" applyBorder="1" applyAlignment="1">
      <alignment horizontal="justify" vertical="center" wrapText="1"/>
    </xf>
    <xf numFmtId="0" fontId="40" fillId="0" borderId="0" xfId="55" applyFont="1" applyFill="1" applyBorder="1" applyAlignment="1">
      <alignment vertical="center"/>
    </xf>
    <xf numFmtId="0" fontId="40" fillId="0" borderId="0" xfId="55" applyFont="1" applyFill="1" applyBorder="1" applyAlignment="1">
      <alignment horizontal="center" vertical="center"/>
    </xf>
    <xf numFmtId="0" fontId="40" fillId="0" borderId="78" xfId="55" applyFont="1" applyFill="1" applyBorder="1" applyAlignment="1">
      <alignment horizontal="justify" vertical="justify"/>
    </xf>
    <xf numFmtId="0" fontId="42" fillId="28" borderId="66" xfId="55" applyFont="1" applyFill="1" applyBorder="1" applyAlignment="1">
      <alignment vertical="center"/>
    </xf>
    <xf numFmtId="0" fontId="12" fillId="0" borderId="0" xfId="55" applyFont="1" applyFill="1" applyAlignment="1">
      <alignment horizontal="center" wrapText="1"/>
    </xf>
    <xf numFmtId="0" fontId="40" fillId="0" borderId="0" xfId="55" applyFont="1" applyAlignment="1">
      <alignment horizontal="justify" vertical="justify"/>
    </xf>
    <xf numFmtId="0" fontId="7" fillId="0" borderId="0" xfId="52" applyFont="1" applyAlignment="1">
      <alignment vertical="center"/>
    </xf>
    <xf numFmtId="0" fontId="42" fillId="0" borderId="0" xfId="52" applyFont="1" applyAlignment="1">
      <alignment vertical="center" wrapText="1"/>
    </xf>
    <xf numFmtId="4" fontId="42" fillId="0" borderId="0" xfId="52" applyNumberFormat="1" applyFont="1" applyAlignment="1">
      <alignment horizontal="right" vertical="center"/>
    </xf>
    <xf numFmtId="4" fontId="42" fillId="0" borderId="0" xfId="52" applyNumberFormat="1" applyFont="1" applyAlignment="1">
      <alignment vertical="center"/>
    </xf>
    <xf numFmtId="0" fontId="43" fillId="0" borderId="0" xfId="52" applyFont="1" applyAlignment="1">
      <alignment vertical="center"/>
    </xf>
    <xf numFmtId="0" fontId="43" fillId="0" borderId="49" xfId="52" applyFont="1" applyFill="1" applyBorder="1" applyAlignment="1">
      <alignment horizontal="left" vertical="center" wrapText="1"/>
    </xf>
    <xf numFmtId="3" fontId="43" fillId="0" borderId="51" xfId="52" applyNumberFormat="1" applyFont="1" applyFill="1" applyBorder="1" applyAlignment="1">
      <alignment vertical="center"/>
    </xf>
    <xf numFmtId="3" fontId="43" fillId="0" borderId="4" xfId="52" applyNumberFormat="1" applyFont="1" applyFill="1" applyBorder="1" applyAlignment="1">
      <alignment horizontal="right" vertical="center"/>
    </xf>
    <xf numFmtId="0" fontId="43" fillId="0" borderId="4" xfId="52" applyFont="1" applyBorder="1" applyAlignment="1">
      <alignment vertical="center"/>
    </xf>
    <xf numFmtId="0" fontId="42" fillId="28" borderId="15" xfId="52" applyFont="1" applyFill="1" applyBorder="1" applyAlignment="1">
      <alignment vertical="center" wrapText="1"/>
    </xf>
    <xf numFmtId="0" fontId="42" fillId="28" borderId="54" xfId="52" applyFont="1" applyFill="1" applyBorder="1" applyAlignment="1">
      <alignment vertical="center" wrapText="1"/>
    </xf>
    <xf numFmtId="3" fontId="42" fillId="28" borderId="18" xfId="52" applyNumberFormat="1" applyFont="1" applyFill="1" applyBorder="1" applyAlignment="1">
      <alignment vertical="center" wrapText="1"/>
    </xf>
    <xf numFmtId="0" fontId="43" fillId="28" borderId="16" xfId="52" applyFont="1" applyFill="1" applyBorder="1" applyAlignment="1">
      <alignment horizontal="justify" vertical="center"/>
    </xf>
    <xf numFmtId="3" fontId="43" fillId="0" borderId="4" xfId="52" applyNumberFormat="1" applyFont="1" applyFill="1" applyBorder="1" applyAlignment="1">
      <alignment horizontal="right" vertical="center" wrapText="1"/>
    </xf>
    <xf numFmtId="0" fontId="43" fillId="0" borderId="51" xfId="52" applyFont="1" applyFill="1" applyBorder="1" applyAlignment="1">
      <alignment vertical="center"/>
    </xf>
    <xf numFmtId="3" fontId="43" fillId="0" borderId="79" xfId="52" applyNumberFormat="1" applyFont="1" applyBorder="1" applyAlignment="1">
      <alignment vertical="center" wrapText="1"/>
    </xf>
    <xf numFmtId="0" fontId="43" fillId="0" borderId="4" xfId="52" applyFont="1" applyBorder="1" applyAlignment="1">
      <alignment vertical="center" wrapText="1"/>
    </xf>
    <xf numFmtId="0" fontId="43" fillId="0" borderId="81" xfId="52" applyFont="1" applyFill="1" applyBorder="1" applyAlignment="1">
      <alignment horizontal="left" vertical="center" wrapText="1"/>
    </xf>
    <xf numFmtId="0" fontId="43" fillId="0" borderId="82" xfId="52" applyFont="1" applyFill="1" applyBorder="1" applyAlignment="1">
      <alignment horizontal="center" vertical="center" wrapText="1"/>
    </xf>
    <xf numFmtId="3" fontId="43" fillId="0" borderId="12" xfId="52" applyNumberFormat="1" applyFont="1" applyFill="1" applyBorder="1" applyAlignment="1">
      <alignment horizontal="right" vertical="center" wrapText="1"/>
    </xf>
    <xf numFmtId="0" fontId="42" fillId="28" borderId="55" xfId="52" applyFont="1" applyFill="1" applyBorder="1" applyAlignment="1">
      <alignment vertical="center" wrapText="1"/>
    </xf>
    <xf numFmtId="3" fontId="43" fillId="0" borderId="51" xfId="52" applyNumberFormat="1" applyFont="1" applyFill="1" applyBorder="1" applyAlignment="1">
      <alignment vertical="center" wrapText="1"/>
    </xf>
    <xf numFmtId="0" fontId="43" fillId="0" borderId="4" xfId="52" applyFont="1" applyFill="1" applyBorder="1" applyAlignment="1">
      <alignment vertical="center" wrapText="1"/>
    </xf>
    <xf numFmtId="3" fontId="12" fillId="0" borderId="4" xfId="52" applyNumberFormat="1" applyFont="1" applyFill="1" applyBorder="1" applyAlignment="1">
      <alignment horizontal="right" vertical="center" wrapText="1"/>
    </xf>
    <xf numFmtId="0" fontId="43" fillId="0" borderId="8" xfId="52" applyFont="1" applyFill="1" applyBorder="1" applyAlignment="1">
      <alignment horizontal="center" vertical="center" wrapText="1"/>
    </xf>
    <xf numFmtId="3" fontId="43" fillId="0" borderId="8" xfId="52" applyNumberFormat="1" applyFont="1" applyFill="1" applyBorder="1" applyAlignment="1">
      <alignment horizontal="right" vertical="center" wrapText="1"/>
    </xf>
    <xf numFmtId="0" fontId="43" fillId="0" borderId="8" xfId="52" applyFont="1" applyFill="1" applyBorder="1" applyAlignment="1">
      <alignment vertical="center" wrapText="1"/>
    </xf>
    <xf numFmtId="0" fontId="43" fillId="0" borderId="61" xfId="52" applyFont="1" applyFill="1" applyBorder="1" applyAlignment="1">
      <alignment horizontal="left" vertical="center" wrapText="1"/>
    </xf>
    <xf numFmtId="3" fontId="43" fillId="0" borderId="52" xfId="52" applyNumberFormat="1" applyFont="1" applyFill="1" applyBorder="1" applyAlignment="1">
      <alignment vertical="center" wrapText="1"/>
    </xf>
    <xf numFmtId="3" fontId="12" fillId="0" borderId="8" xfId="52" applyNumberFormat="1" applyFont="1" applyFill="1" applyBorder="1" applyAlignment="1">
      <alignment horizontal="right" vertical="center" wrapText="1"/>
    </xf>
    <xf numFmtId="0" fontId="42" fillId="28" borderId="16" xfId="52" applyFont="1" applyFill="1" applyBorder="1" applyAlignment="1">
      <alignment horizontal="justify" vertical="center"/>
    </xf>
    <xf numFmtId="0" fontId="43" fillId="0" borderId="49" xfId="52" applyFont="1" applyFill="1" applyBorder="1" applyAlignment="1">
      <alignment vertical="center" wrapText="1"/>
    </xf>
    <xf numFmtId="0" fontId="12" fillId="0" borderId="50" xfId="52" applyFont="1" applyFill="1" applyBorder="1" applyAlignment="1">
      <alignment horizontal="center" vertical="center" wrapText="1"/>
    </xf>
    <xf numFmtId="0" fontId="43" fillId="0" borderId="50" xfId="52" applyFont="1" applyFill="1" applyBorder="1" applyAlignment="1">
      <alignment horizontal="center" vertical="center" wrapText="1"/>
    </xf>
    <xf numFmtId="0" fontId="43" fillId="0" borderId="61" xfId="52" applyFont="1" applyFill="1" applyBorder="1" applyAlignment="1">
      <alignment vertical="center" wrapText="1"/>
    </xf>
    <xf numFmtId="0" fontId="43" fillId="0" borderId="71" xfId="52" applyFont="1" applyFill="1" applyBorder="1" applyAlignment="1">
      <alignment horizontal="center" vertical="center" wrapText="1"/>
    </xf>
    <xf numFmtId="3" fontId="43" fillId="0" borderId="52" xfId="52" applyNumberFormat="1" applyFont="1" applyFill="1" applyBorder="1" applyAlignment="1">
      <alignment vertical="center"/>
    </xf>
    <xf numFmtId="3" fontId="42" fillId="28" borderId="18" xfId="52" applyNumberFormat="1" applyFont="1" applyFill="1" applyBorder="1" applyAlignment="1">
      <alignment horizontal="right" vertical="center" wrapText="1"/>
    </xf>
    <xf numFmtId="0" fontId="42" fillId="0" borderId="1" xfId="52" applyFont="1" applyFill="1" applyBorder="1" applyAlignment="1">
      <alignment vertical="center"/>
    </xf>
    <xf numFmtId="0" fontId="42" fillId="0" borderId="79" xfId="52" applyFont="1" applyFill="1" applyBorder="1" applyAlignment="1">
      <alignment vertical="center"/>
    </xf>
    <xf numFmtId="0" fontId="42" fillId="0" borderId="80" xfId="52" applyFont="1" applyFill="1" applyBorder="1" applyAlignment="1">
      <alignment vertical="center"/>
    </xf>
    <xf numFmtId="0" fontId="42" fillId="0" borderId="1" xfId="52" applyFont="1" applyFill="1" applyBorder="1" applyAlignment="1">
      <alignment vertical="center" wrapText="1"/>
    </xf>
    <xf numFmtId="0" fontId="42" fillId="0" borderId="79" xfId="52" applyFont="1" applyFill="1" applyBorder="1" applyAlignment="1">
      <alignment vertical="center" wrapText="1"/>
    </xf>
    <xf numFmtId="0" fontId="42" fillId="0" borderId="80" xfId="52" applyFont="1" applyFill="1" applyBorder="1" applyAlignment="1">
      <alignment vertical="center" wrapText="1"/>
    </xf>
    <xf numFmtId="3" fontId="43" fillId="0" borderId="0" xfId="52" applyNumberFormat="1" applyFont="1" applyAlignment="1">
      <alignment vertical="center"/>
    </xf>
    <xf numFmtId="0" fontId="43" fillId="0" borderId="53" xfId="52" applyFont="1" applyFill="1" applyBorder="1" applyAlignment="1">
      <alignment vertical="center" wrapText="1"/>
    </xf>
    <xf numFmtId="3" fontId="43" fillId="0" borderId="53" xfId="52" applyNumberFormat="1" applyFont="1" applyBorder="1" applyAlignment="1">
      <alignment vertical="center" wrapText="1"/>
    </xf>
    <xf numFmtId="0" fontId="43" fillId="0" borderId="53" xfId="52" applyFont="1" applyBorder="1" applyAlignment="1">
      <alignment vertical="center" wrapText="1"/>
    </xf>
    <xf numFmtId="49" fontId="43" fillId="0" borderId="68" xfId="52" applyNumberFormat="1" applyFont="1" applyFill="1" applyBorder="1" applyAlignment="1">
      <alignment horizontal="justify" vertical="center"/>
    </xf>
    <xf numFmtId="0" fontId="42" fillId="28" borderId="55" xfId="52" applyFont="1" applyFill="1" applyBorder="1" applyAlignment="1">
      <alignment horizontal="left" vertical="center" wrapText="1"/>
    </xf>
    <xf numFmtId="49" fontId="43" fillId="28" borderId="16" xfId="52" applyNumberFormat="1" applyFont="1" applyFill="1" applyBorder="1" applyAlignment="1">
      <alignment horizontal="justify" vertical="center"/>
    </xf>
    <xf numFmtId="0" fontId="7" fillId="0" borderId="0" xfId="52" applyFont="1" applyFill="1" applyAlignment="1">
      <alignment vertical="center"/>
    </xf>
    <xf numFmtId="0" fontId="49" fillId="0" borderId="0" xfId="59" applyFont="1"/>
    <xf numFmtId="3" fontId="43" fillId="0" borderId="4" xfId="52" applyNumberFormat="1" applyFont="1" applyFill="1" applyBorder="1" applyAlignment="1">
      <alignment vertical="center"/>
    </xf>
    <xf numFmtId="3" fontId="43" fillId="0" borderId="79" xfId="52" applyNumberFormat="1" applyFont="1" applyFill="1" applyBorder="1" applyAlignment="1">
      <alignment vertical="center" wrapText="1"/>
    </xf>
    <xf numFmtId="0" fontId="42" fillId="0" borderId="78" xfId="52" applyFont="1" applyFill="1" applyBorder="1" applyAlignment="1">
      <alignment vertical="center" wrapText="1"/>
    </xf>
    <xf numFmtId="3" fontId="43" fillId="0" borderId="2" xfId="52" applyNumberFormat="1" applyFont="1" applyFill="1" applyBorder="1" applyAlignment="1">
      <alignment horizontal="right" vertical="center" wrapText="1"/>
    </xf>
    <xf numFmtId="0" fontId="43" fillId="0" borderId="4" xfId="52" applyFont="1" applyFill="1" applyBorder="1" applyAlignment="1">
      <alignment vertical="center"/>
    </xf>
    <xf numFmtId="0" fontId="43" fillId="0" borderId="4" xfId="52" applyFont="1" applyFill="1" applyBorder="1" applyAlignment="1">
      <alignment horizontal="center" vertical="center"/>
    </xf>
    <xf numFmtId="3" fontId="43" fillId="30" borderId="4" xfId="34" applyNumberFormat="1" applyFont="1" applyFill="1" applyBorder="1" applyAlignment="1" applyProtection="1">
      <alignment horizontal="right" vertical="center"/>
      <protection locked="0"/>
    </xf>
    <xf numFmtId="3" fontId="43" fillId="30" borderId="2" xfId="34" applyNumberFormat="1" applyFont="1" applyFill="1" applyBorder="1" applyAlignment="1" applyProtection="1">
      <alignment horizontal="right" vertical="center"/>
      <protection locked="0"/>
    </xf>
    <xf numFmtId="3" fontId="43" fillId="30" borderId="4" xfId="34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2" fillId="0" borderId="0" xfId="55" applyFont="1" applyFill="1" applyAlignment="1">
      <alignment horizontal="left" wrapText="1"/>
    </xf>
    <xf numFmtId="0" fontId="6" fillId="0" borderId="0" xfId="37" applyFont="1" applyAlignment="1">
      <alignment horizontal="center" vertical="center"/>
    </xf>
    <xf numFmtId="0" fontId="44" fillId="0" borderId="0" xfId="37" applyFont="1" applyAlignment="1">
      <alignment horizontal="center"/>
    </xf>
    <xf numFmtId="0" fontId="43" fillId="0" borderId="5" xfId="60" applyFont="1" applyFill="1" applyBorder="1" applyAlignment="1">
      <alignment vertical="center" wrapText="1"/>
    </xf>
    <xf numFmtId="0" fontId="43" fillId="0" borderId="0" xfId="51" applyFont="1"/>
    <xf numFmtId="0" fontId="6" fillId="0" borderId="0" xfId="51" applyFont="1" applyAlignment="1">
      <alignment horizontal="center" vertical="center"/>
    </xf>
    <xf numFmtId="0" fontId="43" fillId="0" borderId="0" xfId="51" applyFont="1" applyBorder="1"/>
    <xf numFmtId="0" fontId="17" fillId="0" borderId="0" xfId="51" applyFont="1" applyBorder="1"/>
    <xf numFmtId="0" fontId="50" fillId="0" borderId="0" xfId="51" applyFont="1"/>
    <xf numFmtId="0" fontId="42" fillId="0" borderId="0" xfId="51" applyFont="1" applyAlignment="1">
      <alignment horizontal="right"/>
    </xf>
    <xf numFmtId="0" fontId="49" fillId="0" borderId="55" xfId="51" applyFont="1" applyBorder="1" applyAlignment="1">
      <alignment horizontal="center" vertical="center"/>
    </xf>
    <xf numFmtId="0" fontId="49" fillId="0" borderId="17" xfId="5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8" xfId="51" applyFont="1" applyBorder="1" applyAlignment="1">
      <alignment horizontal="center" vertical="center" wrapText="1"/>
    </xf>
    <xf numFmtId="0" fontId="9" fillId="0" borderId="17" xfId="51" applyFont="1" applyBorder="1" applyAlignment="1">
      <alignment horizontal="center" vertical="center" wrapText="1"/>
    </xf>
    <xf numFmtId="0" fontId="9" fillId="0" borderId="16" xfId="51" applyFont="1" applyBorder="1" applyAlignment="1">
      <alignment horizontal="center" vertical="center" wrapText="1"/>
    </xf>
    <xf numFmtId="0" fontId="43" fillId="0" borderId="0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 vertical="center" wrapText="1"/>
    </xf>
    <xf numFmtId="1" fontId="49" fillId="0" borderId="44" xfId="51" applyNumberFormat="1" applyFont="1" applyBorder="1" applyAlignment="1">
      <alignment horizontal="center" vertical="center"/>
    </xf>
    <xf numFmtId="0" fontId="49" fillId="0" borderId="9" xfId="5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10" xfId="51" applyNumberFormat="1" applyFont="1" applyFill="1" applyBorder="1" applyAlignment="1">
      <alignment horizontal="right" vertical="center"/>
    </xf>
    <xf numFmtId="4" fontId="7" fillId="0" borderId="10" xfId="51" applyNumberFormat="1" applyFont="1" applyBorder="1" applyAlignment="1">
      <alignment horizontal="right" vertical="center"/>
    </xf>
    <xf numFmtId="4" fontId="7" fillId="0" borderId="9" xfId="51" applyNumberFormat="1" applyFont="1" applyBorder="1" applyAlignment="1">
      <alignment horizontal="right" vertical="center"/>
    </xf>
    <xf numFmtId="4" fontId="7" fillId="0" borderId="13" xfId="51" applyNumberFormat="1" applyFont="1" applyBorder="1" applyAlignment="1">
      <alignment horizontal="right" vertical="center"/>
    </xf>
    <xf numFmtId="1" fontId="49" fillId="0" borderId="49" xfId="51" applyNumberFormat="1" applyFont="1" applyBorder="1" applyAlignment="1">
      <alignment horizontal="center" vertical="center"/>
    </xf>
    <xf numFmtId="0" fontId="49" fillId="0" borderId="2" xfId="5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4" xfId="51" applyNumberFormat="1" applyFont="1" applyBorder="1" applyAlignment="1">
      <alignment horizontal="right" vertical="center"/>
    </xf>
    <xf numFmtId="4" fontId="7" fillId="0" borderId="2" xfId="51" applyNumberFormat="1" applyFont="1" applyBorder="1" applyAlignment="1">
      <alignment horizontal="right" vertical="center"/>
    </xf>
    <xf numFmtId="4" fontId="7" fillId="0" borderId="5" xfId="51" applyNumberFormat="1" applyFont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0" fontId="49" fillId="0" borderId="2" xfId="5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/>
    </xf>
    <xf numFmtId="4" fontId="9" fillId="0" borderId="4" xfId="51" applyNumberFormat="1" applyFont="1" applyBorder="1" applyAlignment="1">
      <alignment vertical="center"/>
    </xf>
    <xf numFmtId="4" fontId="9" fillId="0" borderId="2" xfId="51" applyNumberFormat="1" applyFont="1" applyBorder="1" applyAlignment="1">
      <alignment vertical="center"/>
    </xf>
    <xf numFmtId="4" fontId="9" fillId="0" borderId="5" xfId="51" applyNumberFormat="1" applyFont="1" applyBorder="1" applyAlignment="1">
      <alignment vertical="center"/>
    </xf>
    <xf numFmtId="0" fontId="43" fillId="0" borderId="0" xfId="51" applyFont="1" applyBorder="1" applyAlignment="1">
      <alignment wrapText="1"/>
    </xf>
    <xf numFmtId="1" fontId="49" fillId="0" borderId="61" xfId="51" applyNumberFormat="1" applyFont="1" applyBorder="1" applyAlignment="1">
      <alignment horizontal="center" vertical="center"/>
    </xf>
    <xf numFmtId="0" fontId="50" fillId="0" borderId="57" xfId="51" applyFont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vertical="center"/>
    </xf>
    <xf numFmtId="4" fontId="7" fillId="0" borderId="8" xfId="51" applyNumberFormat="1" applyFont="1" applyFill="1" applyBorder="1" applyAlignment="1">
      <alignment vertical="center"/>
    </xf>
    <xf numFmtId="4" fontId="7" fillId="0" borderId="7" xfId="51" applyNumberFormat="1" applyFont="1" applyFill="1" applyBorder="1" applyAlignment="1">
      <alignment vertical="center"/>
    </xf>
    <xf numFmtId="4" fontId="7" fillId="0" borderId="38" xfId="51" applyNumberFormat="1" applyFont="1" applyFill="1" applyBorder="1" applyAlignment="1">
      <alignment vertical="center"/>
    </xf>
    <xf numFmtId="0" fontId="43" fillId="0" borderId="0" xfId="51" applyFont="1" applyFill="1" applyBorder="1" applyAlignment="1">
      <alignment horizontal="left" vertical="center" wrapText="1"/>
    </xf>
    <xf numFmtId="4" fontId="43" fillId="0" borderId="0" xfId="51" applyNumberFormat="1" applyFont="1" applyBorder="1" applyAlignment="1">
      <alignment horizontal="center" vertical="center"/>
    </xf>
    <xf numFmtId="1" fontId="49" fillId="28" borderId="55" xfId="51" applyNumberFormat="1" applyFont="1" applyFill="1" applyBorder="1" applyAlignment="1">
      <alignment horizontal="center" vertical="center"/>
    </xf>
    <xf numFmtId="0" fontId="49" fillId="28" borderId="17" xfId="51" applyFont="1" applyFill="1" applyBorder="1" applyAlignment="1">
      <alignment horizontal="center" vertical="center"/>
    </xf>
    <xf numFmtId="10" fontId="9" fillId="28" borderId="18" xfId="0" applyNumberFormat="1" applyFont="1" applyFill="1" applyBorder="1" applyAlignment="1">
      <alignment vertical="center"/>
    </xf>
    <xf numFmtId="10" fontId="9" fillId="28" borderId="18" xfId="51" applyNumberFormat="1" applyFont="1" applyFill="1" applyBorder="1" applyAlignment="1">
      <alignment vertical="center"/>
    </xf>
    <xf numFmtId="10" fontId="9" fillId="28" borderId="17" xfId="51" applyNumberFormat="1" applyFont="1" applyFill="1" applyBorder="1" applyAlignment="1">
      <alignment vertical="center"/>
    </xf>
    <xf numFmtId="10" fontId="9" fillId="28" borderId="16" xfId="51" applyNumberFormat="1" applyFont="1" applyFill="1" applyBorder="1" applyAlignment="1">
      <alignment vertical="center"/>
    </xf>
    <xf numFmtId="0" fontId="7" fillId="0" borderId="0" xfId="51" applyFont="1"/>
    <xf numFmtId="0" fontId="40" fillId="0" borderId="0" xfId="51" applyFont="1" applyAlignment="1">
      <alignment horizontal="right"/>
    </xf>
    <xf numFmtId="0" fontId="40" fillId="0" borderId="0" xfId="51" applyFont="1"/>
    <xf numFmtId="3" fontId="43" fillId="0" borderId="0" xfId="51" applyNumberFormat="1" applyFont="1" applyBorder="1"/>
    <xf numFmtId="0" fontId="42" fillId="0" borderId="0" xfId="51" applyFont="1" applyBorder="1" applyAlignment="1">
      <alignment horizontal="center" vertical="center"/>
    </xf>
    <xf numFmtId="0" fontId="45" fillId="0" borderId="0" xfId="51" applyFont="1"/>
    <xf numFmtId="168" fontId="42" fillId="0" borderId="0" xfId="51" applyNumberFormat="1" applyFont="1" applyBorder="1"/>
    <xf numFmtId="0" fontId="12" fillId="0" borderId="0" xfId="51" applyFont="1"/>
    <xf numFmtId="0" fontId="42" fillId="0" borderId="0" xfId="51" applyFont="1" applyBorder="1" applyAlignment="1">
      <alignment wrapText="1"/>
    </xf>
    <xf numFmtId="4" fontId="42" fillId="0" borderId="0" xfId="51" applyNumberFormat="1" applyFont="1" applyBorder="1" applyAlignment="1">
      <alignment horizontal="center" vertical="center"/>
    </xf>
    <xf numFmtId="1" fontId="49" fillId="0" borderId="47" xfId="51" applyNumberFormat="1" applyFont="1" applyBorder="1" applyAlignment="1">
      <alignment horizontal="center" vertical="center"/>
    </xf>
    <xf numFmtId="0" fontId="49" fillId="0" borderId="40" xfId="5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4" xfId="51" applyNumberFormat="1" applyFont="1" applyBorder="1" applyAlignment="1">
      <alignment horizontal="right" vertical="center"/>
    </xf>
    <xf numFmtId="4" fontId="7" fillId="0" borderId="36" xfId="51" applyNumberFormat="1" applyFont="1" applyBorder="1" applyAlignment="1">
      <alignment horizontal="right" vertical="center"/>
    </xf>
    <xf numFmtId="4" fontId="7" fillId="0" borderId="25" xfId="51" applyNumberFormat="1" applyFont="1" applyBorder="1" applyAlignment="1">
      <alignment horizontal="right" vertical="center"/>
    </xf>
    <xf numFmtId="0" fontId="49" fillId="0" borderId="51" xfId="51" applyFont="1" applyBorder="1" applyAlignment="1">
      <alignment horizontal="center" vertical="center"/>
    </xf>
    <xf numFmtId="0" fontId="43" fillId="0" borderId="0" xfId="51" applyFont="1" applyBorder="1" applyAlignment="1">
      <alignment vertical="center"/>
    </xf>
    <xf numFmtId="0" fontId="49" fillId="0" borderId="0" xfId="51" applyFont="1" applyBorder="1" applyAlignment="1">
      <alignment horizontal="center" vertical="center"/>
    </xf>
    <xf numFmtId="0" fontId="43" fillId="0" borderId="0" xfId="51" applyFont="1" applyBorder="1" applyAlignment="1"/>
    <xf numFmtId="0" fontId="42" fillId="0" borderId="0" xfId="51" applyFont="1" applyBorder="1" applyAlignment="1">
      <alignment horizontal="left" vertical="center" wrapText="1"/>
    </xf>
    <xf numFmtId="10" fontId="42" fillId="0" borderId="0" xfId="51" applyNumberFormat="1" applyFont="1" applyBorder="1" applyAlignment="1">
      <alignment horizontal="center" vertical="center"/>
    </xf>
    <xf numFmtId="1" fontId="49" fillId="0" borderId="58" xfId="51" applyNumberFormat="1" applyFont="1" applyBorder="1" applyAlignment="1">
      <alignment horizontal="center" vertical="center"/>
    </xf>
    <xf numFmtId="0" fontId="49" fillId="0" borderId="84" xfId="51" applyFont="1" applyBorder="1" applyAlignment="1">
      <alignment horizontal="center" vertical="center" wrapText="1"/>
    </xf>
    <xf numFmtId="4" fontId="9" fillId="0" borderId="42" xfId="51" applyNumberFormat="1" applyFont="1" applyBorder="1" applyAlignment="1">
      <alignment horizontal="right" vertical="center"/>
    </xf>
    <xf numFmtId="4" fontId="9" fillId="0" borderId="57" xfId="51" applyNumberFormat="1" applyFont="1" applyBorder="1" applyAlignment="1">
      <alignment horizontal="right" vertical="center"/>
    </xf>
    <xf numFmtId="4" fontId="9" fillId="0" borderId="43" xfId="51" applyNumberFormat="1" applyFont="1" applyBorder="1" applyAlignment="1">
      <alignment horizontal="right" vertical="center"/>
    </xf>
    <xf numFmtId="1" fontId="49" fillId="0" borderId="15" xfId="51" applyNumberFormat="1" applyFont="1" applyFill="1" applyBorder="1" applyAlignment="1">
      <alignment vertical="center"/>
    </xf>
    <xf numFmtId="1" fontId="49" fillId="0" borderId="53" xfId="51" applyNumberFormat="1" applyFont="1" applyFill="1" applyBorder="1" applyAlignment="1">
      <alignment vertical="center"/>
    </xf>
    <xf numFmtId="1" fontId="7" fillId="0" borderId="15" xfId="51" applyNumberFormat="1" applyFont="1" applyFill="1" applyBorder="1" applyAlignment="1">
      <alignment vertical="center"/>
    </xf>
    <xf numFmtId="1" fontId="7" fillId="0" borderId="53" xfId="51" applyNumberFormat="1" applyFont="1" applyFill="1" applyBorder="1" applyAlignment="1">
      <alignment vertical="center"/>
    </xf>
    <xf numFmtId="1" fontId="7" fillId="0" borderId="53" xfId="0" applyNumberFormat="1" applyFont="1" applyFill="1" applyBorder="1" applyAlignment="1">
      <alignment horizontal="center" vertical="center"/>
    </xf>
    <xf numFmtId="1" fontId="7" fillId="0" borderId="17" xfId="51" applyNumberFormat="1" applyFont="1" applyFill="1" applyBorder="1" applyAlignment="1">
      <alignment vertical="center"/>
    </xf>
    <xf numFmtId="1" fontId="7" fillId="0" borderId="16" xfId="51" applyNumberFormat="1" applyFont="1" applyFill="1" applyBorder="1" applyAlignment="1">
      <alignment vertical="center"/>
    </xf>
    <xf numFmtId="1" fontId="49" fillId="0" borderId="56" xfId="51" applyNumberFormat="1" applyFont="1" applyBorder="1" applyAlignment="1">
      <alignment horizontal="center" vertical="center"/>
    </xf>
    <xf numFmtId="1" fontId="49" fillId="0" borderId="25" xfId="51" applyNumberFormat="1" applyFont="1" applyBorder="1" applyAlignment="1">
      <alignment horizontal="center" vertical="center"/>
    </xf>
    <xf numFmtId="4" fontId="7" fillId="0" borderId="24" xfId="0" applyNumberFormat="1" applyFont="1" applyFill="1" applyBorder="1" applyAlignment="1">
      <alignment horizontal="right" vertical="center"/>
    </xf>
    <xf numFmtId="4" fontId="7" fillId="0" borderId="24" xfId="51" applyNumberFormat="1" applyFont="1" applyFill="1" applyBorder="1" applyAlignment="1">
      <alignment horizontal="right" vertical="center"/>
    </xf>
    <xf numFmtId="4" fontId="7" fillId="0" borderId="25" xfId="51" applyNumberFormat="1" applyFont="1" applyFill="1" applyBorder="1" applyAlignment="1">
      <alignment horizontal="right" vertical="center"/>
    </xf>
    <xf numFmtId="4" fontId="7" fillId="0" borderId="36" xfId="51" applyNumberFormat="1" applyFont="1" applyFill="1" applyBorder="1" applyAlignment="1">
      <alignment horizontal="right" vertical="center"/>
    </xf>
    <xf numFmtId="1" fontId="49" fillId="0" borderId="3" xfId="51" applyNumberFormat="1" applyFont="1" applyBorder="1" applyAlignment="1">
      <alignment horizontal="center" vertical="center"/>
    </xf>
    <xf numFmtId="1" fontId="49" fillId="0" borderId="2" xfId="51" applyNumberFormat="1" applyFont="1" applyBorder="1" applyAlignment="1">
      <alignment horizontal="center" vertical="center"/>
    </xf>
    <xf numFmtId="4" fontId="7" fillId="0" borderId="4" xfId="51" applyNumberFormat="1" applyFont="1" applyFill="1" applyBorder="1" applyAlignment="1">
      <alignment horizontal="right" vertical="center"/>
    </xf>
    <xf numFmtId="4" fontId="7" fillId="0" borderId="2" xfId="51" applyNumberFormat="1" applyFont="1" applyFill="1" applyBorder="1" applyAlignment="1">
      <alignment horizontal="right" vertical="center"/>
    </xf>
    <xf numFmtId="4" fontId="7" fillId="0" borderId="5" xfId="51" applyNumberFormat="1" applyFont="1" applyFill="1" applyBorder="1" applyAlignment="1">
      <alignment horizontal="right" vertical="center"/>
    </xf>
    <xf numFmtId="1" fontId="49" fillId="0" borderId="14" xfId="51" applyNumberFormat="1" applyFont="1" applyBorder="1" applyAlignment="1">
      <alignment horizontal="center" vertical="center"/>
    </xf>
    <xf numFmtId="1" fontId="49" fillId="0" borderId="57" xfId="51" applyNumberFormat="1" applyFont="1" applyBorder="1" applyAlignment="1">
      <alignment horizontal="center" vertical="center"/>
    </xf>
    <xf numFmtId="4" fontId="9" fillId="0" borderId="42" xfId="0" applyNumberFormat="1" applyFont="1" applyBorder="1" applyAlignment="1">
      <alignment horizontal="right" vertical="center"/>
    </xf>
    <xf numFmtId="1" fontId="49" fillId="0" borderId="15" xfId="51" applyNumberFormat="1" applyFont="1" applyBorder="1" applyAlignment="1">
      <alignment vertical="center"/>
    </xf>
    <xf numFmtId="1" fontId="49" fillId="0" borderId="53" xfId="51" applyNumberFormat="1" applyFont="1" applyBorder="1" applyAlignment="1">
      <alignment vertical="center"/>
    </xf>
    <xf numFmtId="1" fontId="7" fillId="0" borderId="15" xfId="51" applyNumberFormat="1" applyFont="1" applyBorder="1" applyAlignment="1">
      <alignment vertical="center"/>
    </xf>
    <xf numFmtId="1" fontId="7" fillId="0" borderId="53" xfId="51" applyNumberFormat="1" applyFont="1" applyBorder="1" applyAlignment="1">
      <alignment vertical="center"/>
    </xf>
    <xf numFmtId="1" fontId="7" fillId="0" borderId="17" xfId="51" applyNumberFormat="1" applyFont="1" applyBorder="1" applyAlignment="1">
      <alignment vertical="center"/>
    </xf>
    <xf numFmtId="1" fontId="7" fillId="0" borderId="16" xfId="51" applyNumberFormat="1" applyFont="1" applyBorder="1" applyAlignment="1">
      <alignment vertical="center"/>
    </xf>
    <xf numFmtId="1" fontId="7" fillId="0" borderId="53" xfId="0" applyNumberFormat="1" applyFont="1" applyBorder="1" applyAlignment="1">
      <alignment horizontal="center" vertical="center"/>
    </xf>
    <xf numFmtId="0" fontId="49" fillId="0" borderId="25" xfId="51" applyFont="1" applyBorder="1" applyAlignment="1">
      <alignment horizontal="center" vertical="center"/>
    </xf>
    <xf numFmtId="1" fontId="49" fillId="0" borderId="85" xfId="51" applyNumberFormat="1" applyFont="1" applyBorder="1" applyAlignment="1">
      <alignment horizontal="center" vertical="center"/>
    </xf>
    <xf numFmtId="1" fontId="49" fillId="0" borderId="86" xfId="51" applyNumberFormat="1" applyFont="1" applyBorder="1" applyAlignment="1">
      <alignment horizontal="center" vertical="center"/>
    </xf>
    <xf numFmtId="4" fontId="9" fillId="0" borderId="87" xfId="0" applyNumberFormat="1" applyFont="1" applyBorder="1" applyAlignment="1">
      <alignment horizontal="right" vertical="center"/>
    </xf>
    <xf numFmtId="4" fontId="9" fillId="0" borderId="87" xfId="51" applyNumberFormat="1" applyFont="1" applyBorder="1" applyAlignment="1">
      <alignment horizontal="right" vertical="center"/>
    </xf>
    <xf numFmtId="4" fontId="9" fillId="0" borderId="86" xfId="51" applyNumberFormat="1" applyFont="1" applyBorder="1" applyAlignment="1">
      <alignment horizontal="right" vertical="center"/>
    </xf>
    <xf numFmtId="4" fontId="9" fillId="0" borderId="88" xfId="51" applyNumberFormat="1" applyFont="1" applyBorder="1" applyAlignment="1">
      <alignment horizontal="right" vertical="center"/>
    </xf>
    <xf numFmtId="1" fontId="49" fillId="0" borderId="89" xfId="51" applyNumberFormat="1" applyFont="1" applyBorder="1" applyAlignment="1">
      <alignment vertical="center"/>
    </xf>
    <xf numFmtId="1" fontId="49" fillId="0" borderId="90" xfId="51" applyNumberFormat="1" applyFont="1" applyBorder="1" applyAlignment="1">
      <alignment vertical="center"/>
    </xf>
    <xf numFmtId="1" fontId="7" fillId="0" borderId="89" xfId="51" applyNumberFormat="1" applyFont="1" applyBorder="1" applyAlignment="1">
      <alignment vertical="center"/>
    </xf>
    <xf numFmtId="1" fontId="7" fillId="0" borderId="90" xfId="51" applyNumberFormat="1" applyFont="1" applyBorder="1" applyAlignment="1">
      <alignment vertical="center"/>
    </xf>
    <xf numFmtId="1" fontId="7" fillId="0" borderId="90" xfId="0" applyNumberFormat="1" applyFont="1" applyBorder="1" applyAlignment="1">
      <alignment horizontal="center" vertical="center"/>
    </xf>
    <xf numFmtId="1" fontId="7" fillId="0" borderId="91" xfId="51" applyNumberFormat="1" applyFont="1" applyBorder="1" applyAlignment="1">
      <alignment vertical="center"/>
    </xf>
    <xf numFmtId="1" fontId="7" fillId="0" borderId="92" xfId="51" applyNumberFormat="1" applyFont="1" applyBorder="1" applyAlignment="1">
      <alignment vertical="center"/>
    </xf>
    <xf numFmtId="10" fontId="9" fillId="28" borderId="24" xfId="0" applyNumberFormat="1" applyFont="1" applyFill="1" applyBorder="1" applyAlignment="1">
      <alignment horizontal="right" vertical="center"/>
    </xf>
    <xf numFmtId="10" fontId="9" fillId="28" borderId="24" xfId="51" applyNumberFormat="1" applyFont="1" applyFill="1" applyBorder="1" applyAlignment="1">
      <alignment horizontal="right" vertical="center"/>
    </xf>
    <xf numFmtId="10" fontId="9" fillId="28" borderId="25" xfId="51" applyNumberFormat="1" applyFont="1" applyFill="1" applyBorder="1" applyAlignment="1">
      <alignment horizontal="right" vertical="center"/>
    </xf>
    <xf numFmtId="10" fontId="9" fillId="28" borderId="36" xfId="51" applyNumberFormat="1" applyFont="1" applyFill="1" applyBorder="1" applyAlignment="1">
      <alignment horizontal="right" vertical="center"/>
    </xf>
    <xf numFmtId="10" fontId="9" fillId="0" borderId="4" xfId="0" applyNumberFormat="1" applyFont="1" applyBorder="1" applyAlignment="1">
      <alignment horizontal="right" vertical="center"/>
    </xf>
    <xf numFmtId="10" fontId="9" fillId="0" borderId="4" xfId="51" applyNumberFormat="1" applyFont="1" applyBorder="1" applyAlignment="1">
      <alignment horizontal="right" vertical="center"/>
    </xf>
    <xf numFmtId="10" fontId="9" fillId="0" borderId="2" xfId="51" applyNumberFormat="1" applyFont="1" applyBorder="1" applyAlignment="1">
      <alignment horizontal="right" vertical="center"/>
    </xf>
    <xf numFmtId="10" fontId="9" fillId="0" borderId="5" xfId="51" applyNumberFormat="1" applyFont="1" applyBorder="1" applyAlignment="1">
      <alignment horizontal="right" vertical="center"/>
    </xf>
    <xf numFmtId="10" fontId="9" fillId="0" borderId="42" xfId="0" applyNumberFormat="1" applyFont="1" applyBorder="1" applyAlignment="1">
      <alignment horizontal="right" vertical="center"/>
    </xf>
    <xf numFmtId="10" fontId="9" fillId="0" borderId="42" xfId="51" applyNumberFormat="1" applyFont="1" applyBorder="1" applyAlignment="1">
      <alignment horizontal="right" vertical="center"/>
    </xf>
    <xf numFmtId="10" fontId="9" fillId="0" borderId="57" xfId="51" applyNumberFormat="1" applyFont="1" applyBorder="1" applyAlignment="1">
      <alignment horizontal="right" vertical="center"/>
    </xf>
    <xf numFmtId="10" fontId="9" fillId="0" borderId="43" xfId="51" applyNumberFormat="1" applyFont="1" applyBorder="1" applyAlignment="1">
      <alignment horizontal="right" vertical="center"/>
    </xf>
    <xf numFmtId="1" fontId="49" fillId="0" borderId="0" xfId="51" applyNumberFormat="1" applyFont="1" applyBorder="1" applyAlignment="1">
      <alignment horizontal="center" vertical="center"/>
    </xf>
    <xf numFmtId="0" fontId="43" fillId="0" borderId="0" xfId="51" applyFont="1" applyAlignment="1">
      <alignment horizontal="left"/>
    </xf>
    <xf numFmtId="0" fontId="40" fillId="0" borderId="0" xfId="51" applyFont="1" applyAlignment="1">
      <alignment horizontal="left"/>
    </xf>
    <xf numFmtId="10" fontId="50" fillId="0" borderId="0" xfId="51" applyNumberFormat="1" applyFont="1" applyBorder="1" applyAlignment="1">
      <alignment horizontal="right" vertical="center"/>
    </xf>
    <xf numFmtId="0" fontId="12" fillId="0" borderId="0" xfId="51" applyFont="1" applyBorder="1"/>
    <xf numFmtId="0" fontId="42" fillId="0" borderId="0" xfId="51" applyFont="1"/>
    <xf numFmtId="4" fontId="7" fillId="0" borderId="8" xfId="51" applyNumberFormat="1" applyFont="1" applyBorder="1" applyAlignment="1">
      <alignment horizontal="right" vertical="center"/>
    </xf>
    <xf numFmtId="10" fontId="9" fillId="28" borderId="54" xfId="51" applyNumberFormat="1" applyFont="1" applyFill="1" applyBorder="1" applyAlignment="1">
      <alignment vertical="center"/>
    </xf>
    <xf numFmtId="0" fontId="43" fillId="0" borderId="0" xfId="51" applyFont="1" applyBorder="1" applyAlignment="1">
      <alignment horizontal="center"/>
    </xf>
    <xf numFmtId="4" fontId="12" fillId="0" borderId="0" xfId="51" applyNumberFormat="1" applyFont="1" applyBorder="1"/>
    <xf numFmtId="0" fontId="6" fillId="0" borderId="0" xfId="34" applyFont="1"/>
    <xf numFmtId="0" fontId="5" fillId="0" borderId="0" xfId="34" applyFont="1"/>
    <xf numFmtId="0" fontId="5" fillId="0" borderId="0" xfId="34" applyFont="1" applyAlignment="1">
      <alignment horizontal="right"/>
    </xf>
    <xf numFmtId="0" fontId="40" fillId="0" borderId="0" xfId="34" applyFont="1"/>
    <xf numFmtId="0" fontId="33" fillId="0" borderId="0" xfId="34" applyFont="1" applyFill="1"/>
    <xf numFmtId="0" fontId="5" fillId="0" borderId="0" xfId="34" applyFont="1" applyFill="1" applyAlignment="1"/>
    <xf numFmtId="0" fontId="53" fillId="0" borderId="0" xfId="34" applyFont="1" applyAlignment="1"/>
    <xf numFmtId="0" fontId="33" fillId="0" borderId="0" xfId="34" applyFont="1" applyAlignment="1"/>
    <xf numFmtId="0" fontId="33" fillId="0" borderId="0" xfId="34" applyFont="1"/>
    <xf numFmtId="0" fontId="5" fillId="0" borderId="0" xfId="34" applyFont="1" applyFill="1" applyAlignment="1">
      <alignment vertical="top"/>
    </xf>
    <xf numFmtId="0" fontId="43" fillId="0" borderId="0" xfId="52" applyFont="1" applyFill="1" applyAlignment="1">
      <alignment vertical="center"/>
    </xf>
    <xf numFmtId="0" fontId="43" fillId="0" borderId="61" xfId="61" applyFont="1" applyFill="1" applyBorder="1" applyAlignment="1">
      <alignment vertical="center" wrapText="1"/>
    </xf>
    <xf numFmtId="0" fontId="43" fillId="0" borderId="49" xfId="61" applyFont="1" applyFill="1" applyBorder="1" applyAlignment="1">
      <alignment vertical="center" wrapText="1"/>
    </xf>
    <xf numFmtId="3" fontId="43" fillId="0" borderId="4" xfId="61" applyNumberFormat="1" applyFont="1" applyFill="1" applyBorder="1" applyAlignment="1">
      <alignment vertical="center"/>
    </xf>
    <xf numFmtId="3" fontId="43" fillId="0" borderId="9" xfId="61" applyNumberFormat="1" applyFont="1" applyFill="1" applyBorder="1" applyAlignment="1">
      <alignment vertical="center"/>
    </xf>
    <xf numFmtId="3" fontId="43" fillId="0" borderId="2" xfId="61" applyNumberFormat="1" applyFont="1" applyFill="1" applyBorder="1" applyAlignment="1">
      <alignment vertical="center"/>
    </xf>
    <xf numFmtId="3" fontId="43" fillId="0" borderId="4" xfId="0" applyNumberFormat="1" applyFont="1" applyFill="1" applyBorder="1" applyAlignment="1">
      <alignment vertical="center"/>
    </xf>
    <xf numFmtId="3" fontId="43" fillId="0" borderId="2" xfId="0" applyNumberFormat="1" applyFont="1" applyFill="1" applyBorder="1" applyAlignment="1">
      <alignment vertical="center"/>
    </xf>
    <xf numFmtId="3" fontId="43" fillId="0" borderId="10" xfId="61" applyNumberFormat="1" applyFont="1" applyFill="1" applyBorder="1" applyAlignment="1">
      <alignment vertical="center"/>
    </xf>
    <xf numFmtId="3" fontId="43" fillId="0" borderId="0" xfId="52" applyNumberFormat="1" applyFont="1" applyFill="1" applyAlignment="1">
      <alignment vertical="center"/>
    </xf>
    <xf numFmtId="0" fontId="43" fillId="0" borderId="39" xfId="52" applyFont="1" applyFill="1" applyBorder="1" applyAlignment="1">
      <alignment vertical="center" wrapText="1"/>
    </xf>
    <xf numFmtId="3" fontId="43" fillId="0" borderId="39" xfId="52" applyNumberFormat="1" applyFont="1" applyBorder="1" applyAlignment="1">
      <alignment vertical="center" wrapText="1"/>
    </xf>
    <xf numFmtId="0" fontId="43" fillId="0" borderId="39" xfId="52" applyFont="1" applyBorder="1" applyAlignment="1">
      <alignment vertical="center" wrapText="1"/>
    </xf>
    <xf numFmtId="49" fontId="43" fillId="0" borderId="93" xfId="52" applyNumberFormat="1" applyFont="1" applyFill="1" applyBorder="1" applyAlignment="1">
      <alignment horizontal="justify" vertical="center"/>
    </xf>
    <xf numFmtId="0" fontId="42" fillId="0" borderId="56" xfId="52" applyFont="1" applyFill="1" applyBorder="1" applyAlignment="1">
      <alignment vertical="center" wrapText="1"/>
    </xf>
    <xf numFmtId="0" fontId="42" fillId="0" borderId="40" xfId="52" applyFont="1" applyFill="1" applyBorder="1" applyAlignment="1">
      <alignment vertical="center" wrapText="1"/>
    </xf>
    <xf numFmtId="0" fontId="42" fillId="0" borderId="41" xfId="52" applyFont="1" applyFill="1" applyBorder="1" applyAlignment="1">
      <alignment vertical="center" wrapText="1"/>
    </xf>
    <xf numFmtId="0" fontId="43" fillId="0" borderId="58" xfId="52" applyFont="1" applyFill="1" applyBorder="1" applyAlignment="1">
      <alignment horizontal="left" vertical="center" wrapText="1"/>
    </xf>
    <xf numFmtId="0" fontId="43" fillId="0" borderId="42" xfId="52" applyFont="1" applyFill="1" applyBorder="1" applyAlignment="1">
      <alignment horizontal="center" vertical="center" wrapText="1"/>
    </xf>
    <xf numFmtId="3" fontId="43" fillId="0" borderId="84" xfId="52" applyNumberFormat="1" applyFont="1" applyFill="1" applyBorder="1" applyAlignment="1">
      <alignment vertical="center" wrapText="1"/>
    </xf>
    <xf numFmtId="3" fontId="43" fillId="0" borderId="22" xfId="52" applyNumberFormat="1" applyFont="1" applyFill="1" applyBorder="1" applyAlignment="1">
      <alignment horizontal="right" vertical="center" wrapText="1"/>
    </xf>
    <xf numFmtId="0" fontId="6" fillId="0" borderId="0" xfId="34" applyFont="1" applyAlignment="1"/>
    <xf numFmtId="4" fontId="42" fillId="28" borderId="45" xfId="34" applyNumberFormat="1" applyFont="1" applyFill="1" applyBorder="1" applyAlignment="1" applyProtection="1">
      <alignment horizontal="center" vertical="center"/>
      <protection locked="0"/>
    </xf>
    <xf numFmtId="3" fontId="43" fillId="30" borderId="5" xfId="34" applyNumberFormat="1" applyFont="1" applyFill="1" applyBorder="1" applyAlignment="1" applyProtection="1">
      <alignment horizontal="right" vertical="center"/>
      <protection locked="0"/>
    </xf>
    <xf numFmtId="3" fontId="42" fillId="28" borderId="5" xfId="34" applyNumberFormat="1" applyFont="1" applyFill="1" applyBorder="1" applyAlignment="1" applyProtection="1">
      <alignment horizontal="right" vertical="center" wrapText="1"/>
      <protection locked="0"/>
    </xf>
    <xf numFmtId="3" fontId="43" fillId="0" borderId="2" xfId="34" applyNumberFormat="1" applyFont="1" applyFill="1" applyBorder="1" applyAlignment="1" applyProtection="1">
      <alignment horizontal="right" vertical="center"/>
      <protection locked="0"/>
    </xf>
    <xf numFmtId="3" fontId="43" fillId="0" borderId="5" xfId="34" applyNumberFormat="1" applyFont="1" applyFill="1" applyBorder="1" applyAlignment="1" applyProtection="1">
      <alignment horizontal="right" vertical="center"/>
      <protection locked="0"/>
    </xf>
    <xf numFmtId="3" fontId="43" fillId="0" borderId="68" xfId="34" applyNumberFormat="1" applyFont="1" applyBorder="1" applyAlignment="1" applyProtection="1">
      <alignment vertical="center" wrapText="1"/>
      <protection locked="0"/>
    </xf>
    <xf numFmtId="0" fontId="43" fillId="30" borderId="49" xfId="52" applyFont="1" applyFill="1" applyBorder="1" applyAlignment="1">
      <alignment horizontal="left" vertical="center" wrapText="1"/>
    </xf>
    <xf numFmtId="0" fontId="43" fillId="30" borderId="4" xfId="52" applyFont="1" applyFill="1" applyBorder="1" applyAlignment="1">
      <alignment horizontal="center" vertical="center" wrapText="1"/>
    </xf>
    <xf numFmtId="3" fontId="43" fillId="30" borderId="4" xfId="34" applyNumberFormat="1" applyFont="1" applyFill="1" applyBorder="1" applyAlignment="1" applyProtection="1">
      <alignment horizontal="center" vertical="center"/>
      <protection locked="0"/>
    </xf>
    <xf numFmtId="3" fontId="43" fillId="0" borderId="4" xfId="0" applyNumberFormat="1" applyFont="1" applyBorder="1" applyAlignment="1">
      <alignment horizontal="right" vertical="center" wrapText="1"/>
    </xf>
    <xf numFmtId="0" fontId="43" fillId="0" borderId="4" xfId="0" applyFont="1" applyBorder="1" applyAlignment="1">
      <alignment horizontal="right" vertical="center" wrapText="1"/>
    </xf>
    <xf numFmtId="0" fontId="7" fillId="0" borderId="0" xfId="0" applyFont="1"/>
    <xf numFmtId="0" fontId="7" fillId="31" borderId="4" xfId="37" applyFont="1" applyFill="1" applyBorder="1" applyAlignment="1">
      <alignment horizontal="center" vertical="center" wrapText="1"/>
    </xf>
    <xf numFmtId="0" fontId="7" fillId="31" borderId="2" xfId="37" applyFont="1" applyFill="1" applyBorder="1" applyAlignment="1">
      <alignment horizontal="center" vertical="center" wrapText="1"/>
    </xf>
    <xf numFmtId="0" fontId="7" fillId="31" borderId="49" xfId="37" applyFont="1" applyFill="1" applyBorder="1" applyAlignment="1">
      <alignment horizontal="center" vertical="center" wrapText="1"/>
    </xf>
    <xf numFmtId="0" fontId="7" fillId="31" borderId="5" xfId="37" applyFont="1" applyFill="1" applyBorder="1" applyAlignment="1">
      <alignment horizontal="center" vertical="center" wrapText="1"/>
    </xf>
    <xf numFmtId="0" fontId="43" fillId="0" borderId="15" xfId="52" applyFont="1" applyFill="1" applyBorder="1" applyAlignment="1">
      <alignment vertical="center" wrapText="1"/>
    </xf>
    <xf numFmtId="0" fontId="43" fillId="0" borderId="52" xfId="52" applyFont="1" applyFill="1" applyBorder="1" applyAlignment="1">
      <alignment vertical="center"/>
    </xf>
    <xf numFmtId="0" fontId="43" fillId="0" borderId="8" xfId="52" applyFont="1" applyFill="1" applyBorder="1" applyAlignment="1">
      <alignment vertical="center"/>
    </xf>
    <xf numFmtId="3" fontId="42" fillId="28" borderId="17" xfId="52" applyNumberFormat="1" applyFont="1" applyFill="1" applyBorder="1" applyAlignment="1">
      <alignment horizontal="right" vertical="center" wrapText="1"/>
    </xf>
    <xf numFmtId="0" fontId="42" fillId="28" borderId="68" xfId="52" applyFont="1" applyFill="1" applyBorder="1" applyAlignment="1">
      <alignment horizontal="justify" vertical="center"/>
    </xf>
    <xf numFmtId="0" fontId="43" fillId="0" borderId="45" xfId="52" applyFont="1" applyFill="1" applyBorder="1" applyAlignment="1">
      <alignment horizontal="justify" vertical="center" wrapText="1"/>
    </xf>
    <xf numFmtId="0" fontId="43" fillId="0" borderId="80" xfId="52" applyFont="1" applyBorder="1" applyAlignment="1">
      <alignment horizontal="justify" vertical="center" wrapText="1"/>
    </xf>
    <xf numFmtId="0" fontId="43" fillId="0" borderId="46" xfId="52" applyFont="1" applyFill="1" applyBorder="1" applyAlignment="1">
      <alignment horizontal="justify" vertical="center" wrapText="1"/>
    </xf>
    <xf numFmtId="3" fontId="43" fillId="0" borderId="4" xfId="55" applyNumberFormat="1" applyFont="1" applyBorder="1" applyAlignment="1">
      <alignment horizontal="right" vertical="center"/>
    </xf>
    <xf numFmtId="0" fontId="43" fillId="0" borderId="5" xfId="52" applyFont="1" applyFill="1" applyBorder="1" applyAlignment="1">
      <alignment horizontal="justify" vertical="center" wrapText="1"/>
    </xf>
    <xf numFmtId="0" fontId="43" fillId="0" borderId="5" xfId="0" applyFont="1" applyFill="1" applyBorder="1" applyAlignment="1">
      <alignment horizontal="justify" vertical="center" wrapText="1"/>
    </xf>
    <xf numFmtId="0" fontId="43" fillId="0" borderId="21" xfId="52" applyFont="1" applyFill="1" applyBorder="1" applyAlignment="1">
      <alignment horizontal="justify" vertical="center" wrapText="1"/>
    </xf>
    <xf numFmtId="0" fontId="43" fillId="0" borderId="5" xfId="61" applyFont="1" applyFill="1" applyBorder="1" applyAlignment="1">
      <alignment horizontal="justify" vertical="center" wrapText="1"/>
    </xf>
    <xf numFmtId="0" fontId="43" fillId="0" borderId="80" xfId="52" applyFont="1" applyFill="1" applyBorder="1" applyAlignment="1">
      <alignment horizontal="justify" vertical="center" wrapText="1"/>
    </xf>
    <xf numFmtId="0" fontId="43" fillId="0" borderId="45" xfId="61" applyFont="1" applyFill="1" applyBorder="1" applyAlignment="1">
      <alignment horizontal="justify" vertical="center" wrapText="1"/>
    </xf>
    <xf numFmtId="4" fontId="43" fillId="0" borderId="5" xfId="55" applyNumberFormat="1" applyFont="1" applyFill="1" applyBorder="1" applyAlignment="1">
      <alignment horizontal="justify" vertical="center" wrapText="1"/>
    </xf>
    <xf numFmtId="0" fontId="43" fillId="0" borderId="13" xfId="61" applyFont="1" applyFill="1" applyBorder="1" applyAlignment="1">
      <alignment horizontal="justify" vertical="center" wrapText="1"/>
    </xf>
    <xf numFmtId="0" fontId="43" fillId="0" borderId="78" xfId="52" applyFont="1" applyFill="1" applyBorder="1" applyAlignment="1">
      <alignment horizontal="justify" vertical="center" wrapText="1"/>
    </xf>
    <xf numFmtId="0" fontId="42" fillId="28" borderId="65" xfId="55" applyFont="1" applyFill="1" applyBorder="1" applyAlignment="1">
      <alignment vertical="center" wrapText="1"/>
    </xf>
    <xf numFmtId="0" fontId="43" fillId="0" borderId="8" xfId="52" applyFont="1" applyFill="1" applyBorder="1" applyAlignment="1">
      <alignment horizontal="center" vertical="center"/>
    </xf>
    <xf numFmtId="3" fontId="43" fillId="0" borderId="8" xfId="52" applyNumberFormat="1" applyFont="1" applyFill="1" applyBorder="1" applyAlignment="1">
      <alignment vertical="center"/>
    </xf>
    <xf numFmtId="3" fontId="43" fillId="0" borderId="8" xfId="52" applyNumberFormat="1" applyFont="1" applyFill="1" applyBorder="1" applyAlignment="1">
      <alignment horizontal="right" vertical="center"/>
    </xf>
    <xf numFmtId="3" fontId="43" fillId="0" borderId="8" xfId="52" applyNumberFormat="1" applyFont="1" applyFill="1" applyBorder="1" applyAlignment="1">
      <alignment vertical="center" wrapText="1"/>
    </xf>
    <xf numFmtId="0" fontId="43" fillId="0" borderId="38" xfId="52" applyFont="1" applyFill="1" applyBorder="1" applyAlignment="1">
      <alignment horizontal="justify" vertical="center" wrapText="1"/>
    </xf>
    <xf numFmtId="0" fontId="43" fillId="0" borderId="19" xfId="52" applyFont="1" applyFill="1" applyBorder="1" applyAlignment="1">
      <alignment vertical="center" wrapText="1"/>
    </xf>
    <xf numFmtId="3" fontId="42" fillId="28" borderId="16" xfId="34" applyNumberFormat="1" applyFont="1" applyFill="1" applyBorder="1" applyAlignment="1" applyProtection="1">
      <alignment horizontal="right" vertical="center"/>
      <protection locked="0"/>
    </xf>
    <xf numFmtId="0" fontId="7" fillId="0" borderId="37" xfId="52" applyFont="1" applyBorder="1" applyAlignment="1">
      <alignment vertical="center"/>
    </xf>
    <xf numFmtId="0" fontId="7" fillId="0" borderId="0" xfId="52" applyFont="1" applyBorder="1" applyAlignment="1">
      <alignment vertical="center"/>
    </xf>
    <xf numFmtId="0" fontId="7" fillId="0" borderId="78" xfId="52" applyFont="1" applyBorder="1" applyAlignment="1">
      <alignment vertical="center"/>
    </xf>
    <xf numFmtId="3" fontId="43" fillId="0" borderId="4" xfId="34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31" fillId="0" borderId="32" xfId="1" applyNumberFormat="1" applyFont="1" applyFill="1" applyBorder="1" applyAlignment="1">
      <alignment horizontal="center" vertical="center" wrapText="1"/>
    </xf>
    <xf numFmtId="3" fontId="31" fillId="0" borderId="22" xfId="1" applyNumberFormat="1" applyFont="1" applyFill="1" applyBorder="1" applyAlignment="1">
      <alignment horizontal="center" vertical="center" wrapText="1"/>
    </xf>
    <xf numFmtId="3" fontId="31" fillId="0" borderId="31" xfId="1" applyNumberFormat="1" applyFont="1" applyFill="1" applyBorder="1" applyAlignment="1">
      <alignment horizontal="center" vertical="center" wrapText="1"/>
    </xf>
    <xf numFmtId="3" fontId="31" fillId="0" borderId="23" xfId="1" applyNumberFormat="1" applyFont="1" applyFill="1" applyBorder="1" applyAlignment="1">
      <alignment horizontal="center" vertical="center" wrapText="1"/>
    </xf>
    <xf numFmtId="3" fontId="31" fillId="0" borderId="34" xfId="1" applyNumberFormat="1" applyFont="1" applyFill="1" applyBorder="1" applyAlignment="1">
      <alignment horizontal="center" vertical="center" wrapText="1"/>
    </xf>
    <xf numFmtId="3" fontId="31" fillId="0" borderId="21" xfId="1" applyNumberFormat="1" applyFont="1" applyFill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49" fontId="31" fillId="0" borderId="35" xfId="1" applyNumberFormat="1" applyFont="1" applyBorder="1" applyAlignment="1">
      <alignment horizontal="center" vertical="center" wrapText="1"/>
    </xf>
    <xf numFmtId="49" fontId="31" fillId="0" borderId="19" xfId="1" applyNumberFormat="1" applyFont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/>
    </xf>
    <xf numFmtId="0" fontId="36" fillId="0" borderId="39" xfId="51" applyFont="1" applyFill="1" applyBorder="1" applyAlignment="1">
      <alignment horizontal="center" vertical="center" wrapText="1"/>
    </xf>
    <xf numFmtId="0" fontId="37" fillId="0" borderId="33" xfId="51" applyFont="1" applyFill="1" applyBorder="1" applyAlignment="1">
      <alignment horizontal="center" vertical="center"/>
    </xf>
    <xf numFmtId="0" fontId="37" fillId="0" borderId="20" xfId="51" applyFont="1" applyFill="1" applyBorder="1" applyAlignment="1">
      <alignment horizontal="center" vertical="center"/>
    </xf>
    <xf numFmtId="0" fontId="38" fillId="0" borderId="32" xfId="51" applyFont="1" applyFill="1" applyBorder="1" applyAlignment="1">
      <alignment horizontal="center" vertical="center"/>
    </xf>
    <xf numFmtId="0" fontId="38" fillId="0" borderId="22" xfId="51" applyFont="1" applyFill="1" applyBorder="1" applyAlignment="1">
      <alignment horizontal="center" vertical="center"/>
    </xf>
    <xf numFmtId="165" fontId="37" fillId="0" borderId="40" xfId="51" applyNumberFormat="1" applyFont="1" applyFill="1" applyBorder="1" applyAlignment="1">
      <alignment horizontal="center" vertical="center" wrapText="1"/>
    </xf>
    <xf numFmtId="165" fontId="37" fillId="0" borderId="41" xfId="51" applyNumberFormat="1" applyFont="1" applyFill="1" applyBorder="1" applyAlignment="1">
      <alignment horizontal="center" vertical="center" wrapText="1"/>
    </xf>
    <xf numFmtId="0" fontId="42" fillId="0" borderId="56" xfId="52" applyFont="1" applyFill="1" applyBorder="1" applyAlignment="1">
      <alignment horizontal="left" vertical="center" wrapText="1"/>
    </xf>
    <xf numFmtId="0" fontId="42" fillId="0" borderId="40" xfId="52" applyFont="1" applyFill="1" applyBorder="1" applyAlignment="1">
      <alignment horizontal="left" vertical="center" wrapText="1"/>
    </xf>
    <xf numFmtId="0" fontId="42" fillId="0" borderId="41" xfId="52" applyFont="1" applyFill="1" applyBorder="1" applyAlignment="1">
      <alignment horizontal="left" vertical="center" wrapText="1"/>
    </xf>
    <xf numFmtId="0" fontId="42" fillId="0" borderId="1" xfId="52" applyFont="1" applyFill="1" applyBorder="1" applyAlignment="1">
      <alignment horizontal="left" vertical="center"/>
    </xf>
    <xf numFmtId="0" fontId="42" fillId="0" borderId="79" xfId="52" applyFont="1" applyFill="1" applyBorder="1" applyAlignment="1">
      <alignment horizontal="left" vertical="center"/>
    </xf>
    <xf numFmtId="0" fontId="42" fillId="0" borderId="80" xfId="52" applyFont="1" applyFill="1" applyBorder="1" applyAlignment="1">
      <alignment horizontal="left" vertical="center"/>
    </xf>
    <xf numFmtId="0" fontId="42" fillId="0" borderId="1" xfId="52" applyFont="1" applyBorder="1" applyAlignment="1">
      <alignment horizontal="left" vertical="center" wrapText="1"/>
    </xf>
    <xf numFmtId="0" fontId="42" fillId="0" borderId="79" xfId="52" applyFont="1" applyBorder="1" applyAlignment="1">
      <alignment horizontal="left" vertical="center" wrapText="1"/>
    </xf>
    <xf numFmtId="0" fontId="42" fillId="0" borderId="80" xfId="52" applyFont="1" applyBorder="1" applyAlignment="1">
      <alignment horizontal="left" vertical="center" wrapText="1"/>
    </xf>
    <xf numFmtId="0" fontId="42" fillId="0" borderId="1" xfId="52" applyFont="1" applyFill="1" applyBorder="1" applyAlignment="1">
      <alignment horizontal="left" vertical="center" wrapText="1"/>
    </xf>
    <xf numFmtId="0" fontId="42" fillId="0" borderId="79" xfId="52" applyFont="1" applyFill="1" applyBorder="1" applyAlignment="1">
      <alignment horizontal="left" vertical="center" wrapText="1"/>
    </xf>
    <xf numFmtId="0" fontId="42" fillId="0" borderId="80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0" fontId="4" fillId="0" borderId="0" xfId="55" applyFont="1" applyAlignment="1">
      <alignment horizontal="center" vertical="center" wrapText="1"/>
    </xf>
    <xf numFmtId="0" fontId="42" fillId="28" borderId="47" xfId="52" applyFont="1" applyFill="1" applyBorder="1" applyAlignment="1">
      <alignment horizontal="center" vertical="center" wrapText="1"/>
    </xf>
    <xf numFmtId="0" fontId="42" fillId="28" borderId="58" xfId="52" applyFont="1" applyFill="1" applyBorder="1" applyAlignment="1">
      <alignment horizontal="center" vertical="center" wrapText="1"/>
    </xf>
    <xf numFmtId="0" fontId="42" fillId="28" borderId="32" xfId="52" applyFont="1" applyFill="1" applyBorder="1" applyAlignment="1">
      <alignment horizontal="center" vertical="center" wrapText="1"/>
    </xf>
    <xf numFmtId="0" fontId="4" fillId="0" borderId="22" xfId="55" applyFont="1" applyBorder="1" applyAlignment="1">
      <alignment horizontal="center" vertical="center" wrapText="1"/>
    </xf>
    <xf numFmtId="4" fontId="42" fillId="28" borderId="32" xfId="52" applyNumberFormat="1" applyFont="1" applyFill="1" applyBorder="1" applyAlignment="1">
      <alignment horizontal="center" vertical="center" wrapText="1"/>
    </xf>
    <xf numFmtId="4" fontId="42" fillId="28" borderId="22" xfId="52" applyNumberFormat="1" applyFont="1" applyFill="1" applyBorder="1" applyAlignment="1">
      <alignment horizontal="center" vertical="center" wrapText="1"/>
    </xf>
    <xf numFmtId="4" fontId="42" fillId="28" borderId="24" xfId="34" applyNumberFormat="1" applyFont="1" applyFill="1" applyBorder="1" applyAlignment="1">
      <alignment horizontal="center" vertical="center" wrapText="1"/>
    </xf>
    <xf numFmtId="0" fontId="45" fillId="0" borderId="24" xfId="34" applyFont="1" applyBorder="1" applyAlignment="1">
      <alignment vertical="center"/>
    </xf>
    <xf numFmtId="0" fontId="4" fillId="0" borderId="24" xfId="34" applyFont="1" applyBorder="1" applyAlignment="1">
      <alignment vertical="center"/>
    </xf>
    <xf numFmtId="0" fontId="4" fillId="0" borderId="24" xfId="55" applyFont="1" applyBorder="1" applyAlignment="1">
      <alignment vertical="center"/>
    </xf>
    <xf numFmtId="49" fontId="42" fillId="28" borderId="34" xfId="56" applyNumberFormat="1" applyFont="1" applyFill="1" applyBorder="1" applyAlignment="1">
      <alignment horizontal="center" vertical="center" wrapText="1"/>
    </xf>
    <xf numFmtId="0" fontId="46" fillId="0" borderId="21" xfId="61" applyFont="1" applyBorder="1" applyAlignment="1">
      <alignment horizontal="center" vertical="center" wrapText="1"/>
    </xf>
    <xf numFmtId="0" fontId="6" fillId="0" borderId="0" xfId="55" applyFont="1" applyFill="1" applyAlignment="1">
      <alignment horizontal="center" vertical="center" wrapText="1"/>
    </xf>
    <xf numFmtId="0" fontId="2" fillId="0" borderId="22" xfId="60" applyBorder="1" applyAlignment="1">
      <alignment horizontal="center" vertical="center" wrapText="1"/>
    </xf>
    <xf numFmtId="0" fontId="4" fillId="0" borderId="24" xfId="55" applyBorder="1" applyAlignment="1">
      <alignment vertical="center"/>
    </xf>
    <xf numFmtId="0" fontId="2" fillId="0" borderId="21" xfId="60" applyBorder="1" applyAlignment="1">
      <alignment horizontal="center" vertical="center" wrapText="1"/>
    </xf>
    <xf numFmtId="0" fontId="42" fillId="0" borderId="56" xfId="55" applyFont="1" applyFill="1" applyBorder="1" applyAlignment="1">
      <alignment horizontal="left" vertical="center" wrapText="1"/>
    </xf>
    <xf numFmtId="0" fontId="42" fillId="0" borderId="40" xfId="55" applyFont="1" applyFill="1" applyBorder="1" applyAlignment="1">
      <alignment horizontal="left" vertical="center" wrapText="1"/>
    </xf>
    <xf numFmtId="0" fontId="42" fillId="0" borderId="41" xfId="55" applyFont="1" applyFill="1" applyBorder="1" applyAlignment="1">
      <alignment horizontal="left" vertical="center" wrapText="1"/>
    </xf>
    <xf numFmtId="0" fontId="12" fillId="0" borderId="0" xfId="55" applyFont="1" applyFill="1" applyAlignment="1">
      <alignment horizontal="left" wrapText="1"/>
    </xf>
    <xf numFmtId="0" fontId="42" fillId="0" borderId="35" xfId="55" applyFont="1" applyFill="1" applyBorder="1" applyAlignment="1">
      <alignment horizontal="left" vertical="center" wrapText="1"/>
    </xf>
    <xf numFmtId="0" fontId="42" fillId="0" borderId="59" xfId="55" applyFont="1" applyFill="1" applyBorder="1" applyAlignment="1">
      <alignment horizontal="left" vertical="center" wrapText="1"/>
    </xf>
    <xf numFmtId="0" fontId="42" fillId="0" borderId="60" xfId="55" applyFont="1" applyFill="1" applyBorder="1" applyAlignment="1">
      <alignment horizontal="left" vertical="center" wrapText="1"/>
    </xf>
    <xf numFmtId="3" fontId="43" fillId="0" borderId="38" xfId="55" applyNumberFormat="1" applyFont="1" applyFill="1" applyBorder="1" applyAlignment="1">
      <alignment horizontal="justify" vertical="center" wrapText="1"/>
    </xf>
    <xf numFmtId="0" fontId="46" fillId="0" borderId="21" xfId="60" applyFont="1" applyBorder="1" applyAlignment="1">
      <alignment horizontal="justify" vertical="center" wrapText="1"/>
    </xf>
    <xf numFmtId="0" fontId="46" fillId="0" borderId="22" xfId="61" applyFont="1" applyBorder="1" applyAlignment="1">
      <alignment horizontal="center" vertical="center" wrapText="1"/>
    </xf>
    <xf numFmtId="0" fontId="46" fillId="0" borderId="0" xfId="61" applyFont="1" applyAlignment="1">
      <alignment horizontal="center" vertical="center" wrapText="1"/>
    </xf>
    <xf numFmtId="3" fontId="42" fillId="0" borderId="3" xfId="34" applyNumberFormat="1" applyFont="1" applyFill="1" applyBorder="1" applyAlignment="1" applyProtection="1">
      <alignment horizontal="left" vertical="center" wrapText="1"/>
      <protection locked="0"/>
    </xf>
    <xf numFmtId="3" fontId="42" fillId="0" borderId="51" xfId="34" applyNumberFormat="1" applyFont="1" applyFill="1" applyBorder="1" applyAlignment="1" applyProtection="1">
      <alignment horizontal="left" vertical="center" wrapText="1"/>
      <protection locked="0"/>
    </xf>
    <xf numFmtId="3" fontId="42" fillId="0" borderId="45" xfId="34" applyNumberFormat="1" applyFont="1" applyFill="1" applyBorder="1" applyAlignment="1" applyProtection="1">
      <alignment horizontal="left" vertical="center" wrapText="1"/>
      <protection locked="0"/>
    </xf>
    <xf numFmtId="3" fontId="42" fillId="0" borderId="3" xfId="34" applyNumberFormat="1" applyFont="1" applyFill="1" applyBorder="1" applyAlignment="1" applyProtection="1">
      <alignment horizontal="left" vertical="center"/>
      <protection locked="0"/>
    </xf>
    <xf numFmtId="3" fontId="42" fillId="0" borderId="51" xfId="34" applyNumberFormat="1" applyFont="1" applyFill="1" applyBorder="1" applyAlignment="1" applyProtection="1">
      <alignment horizontal="left" vertical="center"/>
      <protection locked="0"/>
    </xf>
    <xf numFmtId="3" fontId="42" fillId="0" borderId="45" xfId="34" applyNumberFormat="1" applyFont="1" applyFill="1" applyBorder="1" applyAlignment="1" applyProtection="1">
      <alignment horizontal="left" vertical="center"/>
      <protection locked="0"/>
    </xf>
    <xf numFmtId="3" fontId="8" fillId="0" borderId="59" xfId="34" applyNumberFormat="1" applyFont="1" applyBorder="1" applyAlignment="1" applyProtection="1">
      <alignment horizontal="left" vertical="center" wrapText="1"/>
      <protection locked="0"/>
    </xf>
    <xf numFmtId="3" fontId="43" fillId="30" borderId="2" xfId="34" applyNumberFormat="1" applyFont="1" applyFill="1" applyBorder="1" applyAlignment="1" applyProtection="1">
      <alignment horizontal="center" vertical="center" wrapText="1"/>
      <protection locked="0"/>
    </xf>
    <xf numFmtId="3" fontId="43" fillId="30" borderId="51" xfId="34" applyNumberFormat="1" applyFont="1" applyFill="1" applyBorder="1" applyAlignment="1" applyProtection="1">
      <alignment horizontal="center" vertical="center" wrapText="1"/>
      <protection locked="0"/>
    </xf>
    <xf numFmtId="3" fontId="43" fillId="30" borderId="45" xfId="34" applyNumberFormat="1" applyFont="1" applyFill="1" applyBorder="1" applyAlignment="1" applyProtection="1">
      <alignment horizontal="center" vertical="center" wrapText="1"/>
      <protection locked="0"/>
    </xf>
    <xf numFmtId="0" fontId="42" fillId="0" borderId="47" xfId="34" applyFont="1" applyBorder="1" applyAlignment="1" applyProtection="1">
      <alignment horizontal="center" vertical="center" wrapText="1"/>
      <protection locked="0"/>
    </xf>
    <xf numFmtId="0" fontId="42" fillId="0" borderId="49" xfId="34" applyFont="1" applyBorder="1" applyAlignment="1" applyProtection="1">
      <alignment horizontal="center" vertical="center" wrapText="1"/>
      <protection locked="0"/>
    </xf>
    <xf numFmtId="4" fontId="42" fillId="0" borderId="24" xfId="34" applyNumberFormat="1" applyFont="1" applyBorder="1" applyAlignment="1" applyProtection="1">
      <alignment horizontal="center" vertical="center" wrapText="1"/>
      <protection locked="0"/>
    </xf>
    <xf numFmtId="4" fontId="42" fillId="0" borderId="4" xfId="34" applyNumberFormat="1" applyFont="1" applyBorder="1" applyAlignment="1" applyProtection="1">
      <alignment horizontal="center" vertical="center" wrapText="1"/>
      <protection locked="0"/>
    </xf>
    <xf numFmtId="4" fontId="42" fillId="0" borderId="32" xfId="34" applyNumberFormat="1" applyFont="1" applyBorder="1" applyAlignment="1" applyProtection="1">
      <alignment horizontal="center" vertical="center" wrapText="1"/>
      <protection locked="0"/>
    </xf>
    <xf numFmtId="4" fontId="42" fillId="0" borderId="10" xfId="34" applyNumberFormat="1" applyFont="1" applyBorder="1" applyAlignment="1" applyProtection="1">
      <alignment horizontal="center" vertical="center" wrapText="1"/>
      <protection locked="0"/>
    </xf>
    <xf numFmtId="4" fontId="42" fillId="28" borderId="24" xfId="34" applyNumberFormat="1" applyFont="1" applyFill="1" applyBorder="1" applyAlignment="1" applyProtection="1">
      <alignment horizontal="center" vertical="center"/>
      <protection locked="0"/>
    </xf>
    <xf numFmtId="4" fontId="42" fillId="28" borderId="36" xfId="34" applyNumberFormat="1" applyFont="1" applyFill="1" applyBorder="1" applyAlignment="1" applyProtection="1">
      <alignment horizontal="center" vertical="center"/>
      <protection locked="0"/>
    </xf>
    <xf numFmtId="0" fontId="42" fillId="0" borderId="3" xfId="34" applyFont="1" applyBorder="1" applyAlignment="1" applyProtection="1">
      <alignment horizontal="left" vertical="center" wrapText="1"/>
      <protection locked="0"/>
    </xf>
    <xf numFmtId="0" fontId="42" fillId="0" borderId="51" xfId="34" applyFont="1" applyBorder="1" applyAlignment="1" applyProtection="1">
      <alignment horizontal="left" vertical="center" wrapText="1"/>
      <protection locked="0"/>
    </xf>
    <xf numFmtId="0" fontId="42" fillId="0" borderId="45" xfId="34" applyFont="1" applyBorder="1" applyAlignment="1" applyProtection="1">
      <alignment horizontal="left" vertical="center" wrapText="1"/>
      <protection locked="0"/>
    </xf>
    <xf numFmtId="0" fontId="42" fillId="0" borderId="3" xfId="34" applyFont="1" applyBorder="1" applyAlignment="1" applyProtection="1">
      <alignment horizontal="left" vertical="center"/>
      <protection locked="0"/>
    </xf>
    <xf numFmtId="0" fontId="42" fillId="0" borderId="51" xfId="34" applyFont="1" applyBorder="1" applyAlignment="1" applyProtection="1">
      <alignment horizontal="left" vertical="center"/>
      <protection locked="0"/>
    </xf>
    <xf numFmtId="0" fontId="42" fillId="0" borderId="45" xfId="34" applyFont="1" applyBorder="1" applyAlignment="1" applyProtection="1">
      <alignment horizontal="left" vertical="center"/>
      <protection locked="0"/>
    </xf>
    <xf numFmtId="0" fontId="6" fillId="0" borderId="0" xfId="37" applyFont="1" applyAlignment="1">
      <alignment horizontal="center" vertical="center"/>
    </xf>
    <xf numFmtId="0" fontId="44" fillId="0" borderId="0" xfId="37" applyFont="1" applyAlignment="1">
      <alignment horizontal="center"/>
    </xf>
    <xf numFmtId="0" fontId="9" fillId="0" borderId="24" xfId="37" applyFont="1" applyBorder="1" applyAlignment="1">
      <alignment horizontal="center" vertical="center" wrapText="1"/>
    </xf>
    <xf numFmtId="0" fontId="9" fillId="0" borderId="24" xfId="37" applyFont="1" applyBorder="1" applyAlignment="1">
      <alignment horizontal="center" vertical="center"/>
    </xf>
    <xf numFmtId="0" fontId="9" fillId="0" borderId="25" xfId="37" applyFont="1" applyBorder="1" applyAlignment="1">
      <alignment horizontal="center" vertical="center"/>
    </xf>
    <xf numFmtId="0" fontId="9" fillId="0" borderId="47" xfId="37" applyFont="1" applyBorder="1" applyAlignment="1">
      <alignment horizontal="center" vertical="center" wrapText="1"/>
    </xf>
    <xf numFmtId="0" fontId="7" fillId="0" borderId="24" xfId="37" applyFont="1" applyBorder="1" applyAlignment="1">
      <alignment horizontal="center" vertical="center"/>
    </xf>
    <xf numFmtId="0" fontId="7" fillId="0" borderId="36" xfId="37" applyFont="1" applyBorder="1" applyAlignment="1">
      <alignment horizontal="center" vertical="center"/>
    </xf>
    <xf numFmtId="0" fontId="9" fillId="0" borderId="56" xfId="37" applyFont="1" applyBorder="1" applyAlignment="1">
      <alignment horizontal="center" vertical="center" wrapText="1"/>
    </xf>
    <xf numFmtId="0" fontId="7" fillId="0" borderId="40" xfId="37" applyFont="1" applyBorder="1" applyAlignment="1">
      <alignment horizontal="center" vertical="center"/>
    </xf>
    <xf numFmtId="0" fontId="7" fillId="0" borderId="41" xfId="37" applyFont="1" applyBorder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7" fillId="0" borderId="49" xfId="51" applyFont="1" applyFill="1" applyBorder="1" applyAlignment="1">
      <alignment horizontal="left" vertical="center" wrapText="1"/>
    </xf>
    <xf numFmtId="0" fontId="7" fillId="0" borderId="4" xfId="51" applyFont="1" applyFill="1" applyBorder="1" applyAlignment="1">
      <alignment horizontal="left" vertical="center" wrapText="1"/>
    </xf>
    <xf numFmtId="0" fontId="7" fillId="0" borderId="55" xfId="51" applyFont="1" applyBorder="1" applyAlignment="1">
      <alignment horizontal="center" vertical="center"/>
    </xf>
    <xf numFmtId="0" fontId="4" fillId="0" borderId="18" xfId="51" applyFont="1" applyBorder="1" applyAlignment="1">
      <alignment horizontal="center" vertical="center"/>
    </xf>
    <xf numFmtId="0" fontId="7" fillId="0" borderId="44" xfId="51" applyFont="1" applyBorder="1" applyAlignment="1">
      <alignment vertical="center"/>
    </xf>
    <xf numFmtId="0" fontId="4" fillId="0" borderId="10" xfId="51" applyFont="1" applyBorder="1" applyAlignment="1">
      <alignment vertical="center"/>
    </xf>
    <xf numFmtId="0" fontId="7" fillId="0" borderId="49" xfId="51" applyFont="1" applyBorder="1" applyAlignment="1">
      <alignment vertical="center"/>
    </xf>
    <xf numFmtId="0" fontId="4" fillId="0" borderId="4" xfId="51" applyFont="1" applyBorder="1" applyAlignment="1">
      <alignment vertical="center"/>
    </xf>
    <xf numFmtId="0" fontId="50" fillId="0" borderId="0" xfId="51" applyFont="1" applyAlignment="1">
      <alignment horizontal="center" vertical="center"/>
    </xf>
    <xf numFmtId="0" fontId="42" fillId="0" borderId="0" xfId="51" applyFont="1" applyBorder="1" applyAlignment="1">
      <alignment wrapText="1"/>
    </xf>
    <xf numFmtId="0" fontId="7" fillId="0" borderId="47" xfId="51" applyFont="1" applyBorder="1" applyAlignment="1">
      <alignment horizontal="left" vertical="center" wrapText="1"/>
    </xf>
    <xf numFmtId="0" fontId="7" fillId="0" borderId="24" xfId="51" applyFont="1" applyBorder="1" applyAlignment="1">
      <alignment horizontal="left" vertical="center" wrapText="1"/>
    </xf>
    <xf numFmtId="0" fontId="9" fillId="0" borderId="49" xfId="51" applyFont="1" applyBorder="1" applyAlignment="1">
      <alignment vertical="center"/>
    </xf>
    <xf numFmtId="0" fontId="52" fillId="0" borderId="4" xfId="51" applyFont="1" applyBorder="1" applyAlignment="1">
      <alignment vertical="center"/>
    </xf>
    <xf numFmtId="0" fontId="9" fillId="0" borderId="14" xfId="51" applyFont="1" applyBorder="1" applyAlignment="1">
      <alignment horizontal="left" vertical="center" wrapText="1"/>
    </xf>
    <xf numFmtId="0" fontId="4" fillId="0" borderId="83" xfId="51" applyFont="1" applyBorder="1" applyAlignment="1"/>
    <xf numFmtId="0" fontId="9" fillId="28" borderId="15" xfId="51" applyFont="1" applyFill="1" applyBorder="1" applyAlignment="1">
      <alignment vertical="center" wrapText="1"/>
    </xf>
    <xf numFmtId="0" fontId="52" fillId="28" borderId="54" xfId="51" applyFont="1" applyFill="1" applyBorder="1" applyAlignment="1">
      <alignment vertical="center" wrapText="1"/>
    </xf>
    <xf numFmtId="0" fontId="7" fillId="0" borderId="47" xfId="51" applyFont="1" applyFill="1" applyBorder="1" applyAlignment="1">
      <alignment horizontal="left" vertical="center" wrapText="1"/>
    </xf>
    <xf numFmtId="0" fontId="7" fillId="0" borderId="24" xfId="51" applyFont="1" applyFill="1" applyBorder="1" applyAlignment="1">
      <alignment horizontal="left" vertical="center" wrapText="1"/>
    </xf>
    <xf numFmtId="0" fontId="9" fillId="0" borderId="58" xfId="51" applyFont="1" applyBorder="1" applyAlignment="1">
      <alignment vertical="center" wrapText="1"/>
    </xf>
    <xf numFmtId="0" fontId="9" fillId="0" borderId="42" xfId="51" applyFont="1" applyBorder="1" applyAlignment="1">
      <alignment vertical="center" wrapText="1"/>
    </xf>
    <xf numFmtId="0" fontId="9" fillId="0" borderId="14" xfId="51" applyFont="1" applyBorder="1" applyAlignment="1">
      <alignment vertical="center" wrapText="1"/>
    </xf>
    <xf numFmtId="0" fontId="9" fillId="0" borderId="83" xfId="51" applyFont="1" applyBorder="1" applyAlignment="1">
      <alignment vertical="center" wrapText="1"/>
    </xf>
    <xf numFmtId="0" fontId="43" fillId="0" borderId="0" xfId="51" applyFont="1" applyBorder="1" applyAlignment="1">
      <alignment horizontal="center" vertical="center"/>
    </xf>
    <xf numFmtId="0" fontId="43" fillId="0" borderId="0" xfId="51" applyFont="1" applyBorder="1" applyAlignment="1"/>
    <xf numFmtId="0" fontId="7" fillId="0" borderId="47" xfId="51" applyFont="1" applyFill="1" applyBorder="1" applyAlignment="1">
      <alignment vertical="center" wrapText="1"/>
    </xf>
    <xf numFmtId="0" fontId="7" fillId="0" borderId="24" xfId="51" applyFont="1" applyFill="1" applyBorder="1" applyAlignment="1">
      <alignment vertical="center" wrapText="1"/>
    </xf>
    <xf numFmtId="0" fontId="7" fillId="0" borderId="49" xfId="51" applyFont="1" applyFill="1" applyBorder="1" applyAlignment="1">
      <alignment vertical="center" wrapText="1"/>
    </xf>
    <xf numFmtId="0" fontId="7" fillId="0" borderId="4" xfId="51" applyFont="1" applyFill="1" applyBorder="1" applyAlignment="1">
      <alignment vertical="center" wrapText="1"/>
    </xf>
    <xf numFmtId="0" fontId="52" fillId="28" borderId="53" xfId="51" applyFont="1" applyFill="1" applyBorder="1" applyAlignment="1">
      <alignment vertical="center" wrapText="1"/>
    </xf>
    <xf numFmtId="0" fontId="9" fillId="0" borderId="85" xfId="51" applyFont="1" applyBorder="1" applyAlignment="1">
      <alignment vertical="center" wrapText="1"/>
    </xf>
    <xf numFmtId="0" fontId="9" fillId="0" borderId="87" xfId="51" applyFont="1" applyBorder="1" applyAlignment="1">
      <alignment vertical="center" wrapText="1"/>
    </xf>
    <xf numFmtId="0" fontId="9" fillId="28" borderId="47" xfId="51" applyFont="1" applyFill="1" applyBorder="1" applyAlignment="1">
      <alignment horizontal="left" vertical="center" wrapText="1"/>
    </xf>
    <xf numFmtId="0" fontId="9" fillId="28" borderId="24" xfId="51" applyFont="1" applyFill="1" applyBorder="1" applyAlignment="1">
      <alignment horizontal="left" vertical="center" wrapText="1"/>
    </xf>
    <xf numFmtId="0" fontId="9" fillId="0" borderId="49" xfId="51" applyFont="1" applyBorder="1" applyAlignment="1">
      <alignment vertical="center" wrapText="1"/>
    </xf>
    <xf numFmtId="0" fontId="9" fillId="0" borderId="4" xfId="51" applyFont="1" applyBorder="1" applyAlignment="1">
      <alignment vertical="center" wrapText="1"/>
    </xf>
    <xf numFmtId="0" fontId="7" fillId="0" borderId="15" xfId="5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9" fillId="0" borderId="56" xfId="51" applyFont="1" applyBorder="1" applyAlignment="1">
      <alignment vertical="center" wrapText="1"/>
    </xf>
    <xf numFmtId="0" fontId="9" fillId="0" borderId="48" xfId="51" applyFont="1" applyBorder="1" applyAlignment="1">
      <alignment vertical="center" wrapText="1"/>
    </xf>
    <xf numFmtId="0" fontId="7" fillId="0" borderId="44" xfId="51" applyFont="1" applyFill="1" applyBorder="1" applyAlignment="1">
      <alignment horizontal="left" vertical="center" wrapText="1"/>
    </xf>
    <xf numFmtId="0" fontId="7" fillId="0" borderId="9" xfId="51" applyFont="1" applyFill="1" applyBorder="1" applyAlignment="1">
      <alignment horizontal="left" vertical="center" wrapText="1"/>
    </xf>
  </cellXfs>
  <cellStyles count="62">
    <cellStyle name="20 % – Zvýraznění1 2" xfId="2"/>
    <cellStyle name="20 % – Zvýraznění2 2" xfId="3"/>
    <cellStyle name="20 % – Zvýraznění3 2" xfId="4"/>
    <cellStyle name="20 % – Zvýraznění4 2" xfId="5"/>
    <cellStyle name="20 % - zvýraznenie1" xfId="6"/>
    <cellStyle name="20 % - zvýraznenie2" xfId="7"/>
    <cellStyle name="20 % - zvýraznenie3" xfId="8"/>
    <cellStyle name="20 % - zvýraznenie4" xfId="9"/>
    <cellStyle name="20 % - zvýraznenie5" xfId="10"/>
    <cellStyle name="20 % - zvýraznenie6" xfId="11"/>
    <cellStyle name="40 % – Zvýraznění3 2" xfId="12"/>
    <cellStyle name="40 % - zvýraznenie1" xfId="13"/>
    <cellStyle name="40 % - zvýraznenie2" xfId="14"/>
    <cellStyle name="40 % - zvýraznenie3" xfId="15"/>
    <cellStyle name="40 % - zvýraznenie4" xfId="16"/>
    <cellStyle name="40 % - zvýraznenie5" xfId="17"/>
    <cellStyle name="40 % - zvýraznenie6" xfId="18"/>
    <cellStyle name="60 % – Zvýraznění3 2" xfId="19"/>
    <cellStyle name="60 % – Zvýraznění4 2" xfId="20"/>
    <cellStyle name="60 % – Zvýraznění6 2" xfId="21"/>
    <cellStyle name="60 % - zvýraznenie1" xfId="22"/>
    <cellStyle name="60 % - zvýraznenie2" xfId="23"/>
    <cellStyle name="60 % - zvýraznenie3" xfId="24"/>
    <cellStyle name="60 % - zvýraznenie4" xfId="25"/>
    <cellStyle name="60 % - zvýraznenie5" xfId="26"/>
    <cellStyle name="60 % - zvýraznenie6" xfId="27"/>
    <cellStyle name="Dobrá" xfId="28"/>
    <cellStyle name="Kontrolná bunka" xfId="29"/>
    <cellStyle name="Neutrálna" xfId="30"/>
    <cellStyle name="Normal_Zlin II table for road scheme submission_new environmental wording" xfId="31"/>
    <cellStyle name="normálne 2" xfId="32"/>
    <cellStyle name="normálne_2007 až 2013 august 2008" xfId="33"/>
    <cellStyle name="Normální" xfId="0" builtinId="0"/>
    <cellStyle name="normální 2" xfId="34"/>
    <cellStyle name="Normální 3" xfId="35"/>
    <cellStyle name="Normální 3 2" xfId="55"/>
    <cellStyle name="Normální 4" xfId="36"/>
    <cellStyle name="Normální 4 2" xfId="51"/>
    <cellStyle name="Normální 5" xfId="37"/>
    <cellStyle name="Normální 6" xfId="53"/>
    <cellStyle name="Normální 6 2" xfId="60"/>
    <cellStyle name="Normální 6 3" xfId="61"/>
    <cellStyle name="normální_10_BILANCEE" xfId="1"/>
    <cellStyle name="normální_Akce EU - tabulka(tom)-final" xfId="59"/>
    <cellStyle name="normální_číselníky MSK" xfId="58"/>
    <cellStyle name="normální_EU akce-upr 2" xfId="52"/>
    <cellStyle name="normální_List1" xfId="57"/>
    <cellStyle name="normální_Z002_002_05_str_12-14" xfId="54"/>
    <cellStyle name="Poznámka 2" xfId="38"/>
    <cellStyle name="Prepojená bunka" xfId="39"/>
    <cellStyle name="Procenta 2" xfId="56"/>
    <cellStyle name="Spolu" xfId="40"/>
    <cellStyle name="Text upozornenia" xfId="41"/>
    <cellStyle name="Titul" xfId="42"/>
    <cellStyle name="Vysvetľujúci text" xfId="43"/>
    <cellStyle name="Zlá" xfId="44"/>
    <cellStyle name="Zvýraznenie1" xfId="45"/>
    <cellStyle name="Zvýraznenie2" xfId="46"/>
    <cellStyle name="Zvýraznenie3" xfId="47"/>
    <cellStyle name="Zvýraznenie4" xfId="48"/>
    <cellStyle name="Zvýraznenie5" xfId="49"/>
    <cellStyle name="Zvýraznenie6" xfId="5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/>
              <a:t>Přehled splácení jistiny a úroků z úvěrů čerpaných Moravskoslezským krajem</a:t>
            </a:r>
            <a:r>
              <a:rPr lang="cs-CZ" baseline="0"/>
              <a:t> (v tis. Kč)</a:t>
            </a:r>
            <a:endParaRPr lang="cs-CZ"/>
          </a:p>
        </c:rich>
      </c:tx>
      <c:layout>
        <c:manualLayout>
          <c:xMode val="edge"/>
          <c:yMode val="edge"/>
          <c:x val="0.15142679753705285"/>
          <c:y val="4.1666757172594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579881042189453E-2"/>
          <c:y val="0.10293673635623134"/>
          <c:w val="0.85522820309522629"/>
          <c:h val="0.8264541587473981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'Tab. 7'!$L$7</c:f>
              <c:strCache>
                <c:ptCount val="1"/>
                <c:pt idx="0">
                  <c:v>splátka jistiny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7'!$A$8:$A$15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'Tab. 7'!$L$8:$L$15</c:f>
              <c:numCache>
                <c:formatCode>#,##0</c:formatCode>
                <c:ptCount val="8"/>
                <c:pt idx="0">
                  <c:v>961912</c:v>
                </c:pt>
                <c:pt idx="1">
                  <c:v>935706</c:v>
                </c:pt>
                <c:pt idx="2">
                  <c:v>1706944.851</c:v>
                </c:pt>
                <c:pt idx="3">
                  <c:v>245000</c:v>
                </c:pt>
                <c:pt idx="4">
                  <c:v>245000</c:v>
                </c:pt>
                <c:pt idx="5">
                  <c:v>245000</c:v>
                </c:pt>
                <c:pt idx="6">
                  <c:v>245000</c:v>
                </c:pt>
                <c:pt idx="7">
                  <c:v>245000</c:v>
                </c:pt>
              </c:numCache>
            </c:numRef>
          </c:val>
        </c:ser>
        <c:ser>
          <c:idx val="1"/>
          <c:order val="1"/>
          <c:tx>
            <c:strRef>
              <c:f>'Tab. 7'!$M$7</c:f>
              <c:strCache>
                <c:ptCount val="1"/>
                <c:pt idx="0">
                  <c:v>úrok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7'!$A$8:$A$15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'Tab. 7'!$M$8:$M$15</c:f>
              <c:numCache>
                <c:formatCode>#,##0</c:formatCode>
                <c:ptCount val="8"/>
                <c:pt idx="0">
                  <c:v>32000</c:v>
                </c:pt>
                <c:pt idx="1">
                  <c:v>40000</c:v>
                </c:pt>
                <c:pt idx="2">
                  <c:v>35000</c:v>
                </c:pt>
                <c:pt idx="3">
                  <c:v>16000</c:v>
                </c:pt>
                <c:pt idx="4">
                  <c:v>14000</c:v>
                </c:pt>
                <c:pt idx="5">
                  <c:v>10000</c:v>
                </c:pt>
                <c:pt idx="6">
                  <c:v>8000</c:v>
                </c:pt>
                <c:pt idx="7">
                  <c:v>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2868064"/>
        <c:axId val="382871984"/>
        <c:axId val="0"/>
      </c:bar3DChart>
      <c:catAx>
        <c:axId val="38286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382871984"/>
        <c:crosses val="autoZero"/>
        <c:auto val="1"/>
        <c:lblAlgn val="ctr"/>
        <c:lblOffset val="100"/>
        <c:noMultiLvlLbl val="0"/>
      </c:catAx>
      <c:valAx>
        <c:axId val="38287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38286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27277510684521"/>
          <c:y val="0.35458322020092314"/>
          <c:w val="8.2822349692876204E-2"/>
          <c:h val="0.20403746945424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900" b="1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20</xdr:row>
      <xdr:rowOff>19050</xdr:rowOff>
    </xdr:from>
    <xdr:to>
      <xdr:col>12</xdr:col>
      <xdr:colOff>628649</xdr:colOff>
      <xdr:row>54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Normal="100" workbookViewId="0"/>
  </sheetViews>
  <sheetFormatPr defaultRowHeight="15.75" x14ac:dyDescent="0.25"/>
  <cols>
    <col min="1" max="1" width="15.85546875" style="128" customWidth="1"/>
    <col min="2" max="2" width="67.42578125" style="128" customWidth="1"/>
    <col min="3" max="3" width="4.140625" style="510" customWidth="1"/>
    <col min="4" max="16384" width="9.140625" style="128"/>
  </cols>
  <sheetData>
    <row r="1" spans="1:4" ht="15" x14ac:dyDescent="0.2">
      <c r="A1" s="545" t="s">
        <v>597</v>
      </c>
      <c r="C1" s="505"/>
    </row>
    <row r="2" spans="1:4" x14ac:dyDescent="0.25">
      <c r="C2" s="506"/>
    </row>
    <row r="3" spans="1:4" ht="17.25" customHeight="1" x14ac:dyDescent="0.2">
      <c r="A3" s="580" t="s">
        <v>92</v>
      </c>
      <c r="B3" s="580"/>
      <c r="C3" s="132"/>
      <c r="D3" s="132"/>
    </row>
    <row r="4" spans="1:4" ht="19.5" customHeight="1" x14ac:dyDescent="0.2">
      <c r="A4" s="580" t="s">
        <v>93</v>
      </c>
      <c r="B4" s="580"/>
      <c r="C4" s="503"/>
      <c r="D4" s="132"/>
    </row>
    <row r="6" spans="1:4" ht="15" x14ac:dyDescent="0.2">
      <c r="A6" s="581" t="s">
        <v>101</v>
      </c>
      <c r="B6" s="581"/>
      <c r="C6" s="503"/>
    </row>
    <row r="7" spans="1:4" ht="15" x14ac:dyDescent="0.2">
      <c r="A7" s="357"/>
      <c r="B7" s="357"/>
      <c r="C7" s="503"/>
    </row>
    <row r="8" spans="1:4" s="503" customFormat="1" ht="15.75" customHeight="1" x14ac:dyDescent="0.2">
      <c r="A8" s="502" t="s">
        <v>547</v>
      </c>
      <c r="C8" s="504" t="s">
        <v>548</v>
      </c>
    </row>
    <row r="9" spans="1:4" ht="15" x14ac:dyDescent="0.2">
      <c r="A9" s="131" t="s">
        <v>66</v>
      </c>
      <c r="B9" s="129" t="s">
        <v>107</v>
      </c>
      <c r="C9" s="507">
        <v>2</v>
      </c>
    </row>
    <row r="10" spans="1:4" ht="15" x14ac:dyDescent="0.2">
      <c r="A10" s="131"/>
      <c r="B10" s="129"/>
      <c r="C10" s="507"/>
    </row>
    <row r="11" spans="1:4" ht="15" x14ac:dyDescent="0.2">
      <c r="A11" s="131" t="s">
        <v>94</v>
      </c>
      <c r="B11" s="129" t="s">
        <v>102</v>
      </c>
      <c r="C11" s="507">
        <v>5</v>
      </c>
    </row>
    <row r="12" spans="1:4" ht="15" x14ac:dyDescent="0.2">
      <c r="A12" s="131"/>
      <c r="B12" s="129"/>
      <c r="C12" s="507"/>
    </row>
    <row r="13" spans="1:4" ht="30" x14ac:dyDescent="0.2">
      <c r="A13" s="131" t="s">
        <v>95</v>
      </c>
      <c r="B13" s="129" t="s">
        <v>611</v>
      </c>
      <c r="C13" s="511">
        <v>7</v>
      </c>
    </row>
    <row r="14" spans="1:4" ht="15" x14ac:dyDescent="0.2">
      <c r="A14" s="131"/>
      <c r="B14" s="129"/>
      <c r="C14" s="507"/>
    </row>
    <row r="15" spans="1:4" ht="15" x14ac:dyDescent="0.2">
      <c r="A15" s="131" t="s">
        <v>96</v>
      </c>
      <c r="B15" s="129" t="s">
        <v>587</v>
      </c>
      <c r="C15" s="507">
        <v>15</v>
      </c>
    </row>
    <row r="16" spans="1:4" ht="15" x14ac:dyDescent="0.2">
      <c r="A16" s="131"/>
      <c r="B16" s="129"/>
      <c r="C16" s="507"/>
    </row>
    <row r="17" spans="1:3" ht="15" x14ac:dyDescent="0.2">
      <c r="A17" s="131" t="s">
        <v>97</v>
      </c>
      <c r="B17" s="129" t="s">
        <v>588</v>
      </c>
      <c r="C17" s="507">
        <v>18</v>
      </c>
    </row>
    <row r="18" spans="1:3" ht="15" x14ac:dyDescent="0.2">
      <c r="A18" s="131"/>
      <c r="B18" s="129"/>
      <c r="C18" s="507"/>
    </row>
    <row r="19" spans="1:3" ht="30" x14ac:dyDescent="0.2">
      <c r="A19" s="131" t="s">
        <v>98</v>
      </c>
      <c r="B19" s="129" t="s">
        <v>605</v>
      </c>
      <c r="C19" s="511">
        <v>26</v>
      </c>
    </row>
    <row r="20" spans="1:3" ht="15" x14ac:dyDescent="0.2">
      <c r="A20" s="131"/>
      <c r="B20" s="129"/>
      <c r="C20" s="507"/>
    </row>
    <row r="21" spans="1:3" ht="30" x14ac:dyDescent="0.2">
      <c r="A21" s="131" t="s">
        <v>99</v>
      </c>
      <c r="B21" s="129" t="s">
        <v>103</v>
      </c>
      <c r="C21" s="511">
        <v>30</v>
      </c>
    </row>
    <row r="22" spans="1:3" ht="15" x14ac:dyDescent="0.2">
      <c r="A22" s="131"/>
      <c r="B22" s="129"/>
      <c r="C22" s="507"/>
    </row>
    <row r="23" spans="1:3" ht="15" x14ac:dyDescent="0.2">
      <c r="A23" s="131" t="s">
        <v>100</v>
      </c>
      <c r="B23" s="129" t="s">
        <v>606</v>
      </c>
      <c r="C23" s="507">
        <v>31</v>
      </c>
    </row>
    <row r="24" spans="1:3" ht="15" x14ac:dyDescent="0.2">
      <c r="A24" s="131"/>
      <c r="B24" s="129"/>
      <c r="C24" s="507"/>
    </row>
    <row r="25" spans="1:3" ht="15" x14ac:dyDescent="0.2">
      <c r="A25" s="131"/>
      <c r="B25" s="130"/>
      <c r="C25" s="507"/>
    </row>
    <row r="26" spans="1:3" ht="15" x14ac:dyDescent="0.2">
      <c r="C26" s="508"/>
    </row>
    <row r="27" spans="1:3" ht="15" x14ac:dyDescent="0.2">
      <c r="C27" s="507"/>
    </row>
    <row r="28" spans="1:3" x14ac:dyDescent="0.25">
      <c r="C28" s="509"/>
    </row>
    <row r="29" spans="1:3" ht="15" x14ac:dyDescent="0.2">
      <c r="C29" s="507"/>
    </row>
    <row r="30" spans="1:3" x14ac:dyDescent="0.25">
      <c r="C30" s="509"/>
    </row>
    <row r="31" spans="1:3" ht="15" x14ac:dyDescent="0.2">
      <c r="C31" s="507"/>
    </row>
    <row r="32" spans="1:3" x14ac:dyDescent="0.25">
      <c r="C32" s="509"/>
    </row>
    <row r="33" spans="3:3" ht="15" x14ac:dyDescent="0.2">
      <c r="C33" s="507"/>
    </row>
    <row r="34" spans="3:3" x14ac:dyDescent="0.25">
      <c r="C34" s="509"/>
    </row>
    <row r="35" spans="3:3" ht="15" x14ac:dyDescent="0.2">
      <c r="C35" s="507"/>
    </row>
    <row r="36" spans="3:3" x14ac:dyDescent="0.25">
      <c r="C36" s="509"/>
    </row>
    <row r="37" spans="3:3" ht="15" x14ac:dyDescent="0.2">
      <c r="C37" s="507"/>
    </row>
  </sheetData>
  <mergeCells count="3">
    <mergeCell ref="A4:B4"/>
    <mergeCell ref="A3:B3"/>
    <mergeCell ref="A6:B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topLeftCell="C1" zoomScale="90" zoomScaleNormal="90" zoomScaleSheetLayoutView="90" workbookViewId="0">
      <selection activeCell="E26" sqref="E26"/>
    </sheetView>
  </sheetViews>
  <sheetFormatPr defaultRowHeight="10.5" x14ac:dyDescent="0.15"/>
  <cols>
    <col min="1" max="1" width="5.140625" style="362" hidden="1" customWidth="1"/>
    <col min="2" max="2" width="28.140625" style="362" hidden="1" customWidth="1"/>
    <col min="3" max="3" width="38.140625" style="362" customWidth="1"/>
    <col min="4" max="4" width="13.42578125" style="362" customWidth="1"/>
    <col min="5" max="5" width="15.7109375" style="362" customWidth="1"/>
    <col min="6" max="7" width="15.7109375" style="364" customWidth="1"/>
    <col min="8" max="8" width="13.5703125" style="362" customWidth="1"/>
    <col min="9" max="11" width="14.85546875" style="362" customWidth="1"/>
    <col min="12" max="13" width="12.5703125" style="362" bestFit="1" customWidth="1"/>
    <col min="14" max="257" width="9.140625" style="362"/>
    <col min="258" max="259" width="0" style="362" hidden="1" customWidth="1"/>
    <col min="260" max="260" width="11.140625" style="362" customWidth="1"/>
    <col min="261" max="261" width="43.140625" style="362" customWidth="1"/>
    <col min="262" max="263" width="13.28515625" style="362" customWidth="1"/>
    <col min="264" max="264" width="13.5703125" style="362" customWidth="1"/>
    <col min="265" max="267" width="14.85546875" style="362" customWidth="1"/>
    <col min="268" max="269" width="12.5703125" style="362" bestFit="1" customWidth="1"/>
    <col min="270" max="513" width="9.140625" style="362"/>
    <col min="514" max="515" width="0" style="362" hidden="1" customWidth="1"/>
    <col min="516" max="516" width="11.140625" style="362" customWidth="1"/>
    <col min="517" max="517" width="43.140625" style="362" customWidth="1"/>
    <col min="518" max="519" width="13.28515625" style="362" customWidth="1"/>
    <col min="520" max="520" width="13.5703125" style="362" customWidth="1"/>
    <col min="521" max="523" width="14.85546875" style="362" customWidth="1"/>
    <col min="524" max="525" width="12.5703125" style="362" bestFit="1" customWidth="1"/>
    <col min="526" max="769" width="9.140625" style="362"/>
    <col min="770" max="771" width="0" style="362" hidden="1" customWidth="1"/>
    <col min="772" max="772" width="11.140625" style="362" customWidth="1"/>
    <col min="773" max="773" width="43.140625" style="362" customWidth="1"/>
    <col min="774" max="775" width="13.28515625" style="362" customWidth="1"/>
    <col min="776" max="776" width="13.5703125" style="362" customWidth="1"/>
    <col min="777" max="779" width="14.85546875" style="362" customWidth="1"/>
    <col min="780" max="781" width="12.5703125" style="362" bestFit="1" customWidth="1"/>
    <col min="782" max="1025" width="9.140625" style="362"/>
    <col min="1026" max="1027" width="0" style="362" hidden="1" customWidth="1"/>
    <col min="1028" max="1028" width="11.140625" style="362" customWidth="1"/>
    <col min="1029" max="1029" width="43.140625" style="362" customWidth="1"/>
    <col min="1030" max="1031" width="13.28515625" style="362" customWidth="1"/>
    <col min="1032" max="1032" width="13.5703125" style="362" customWidth="1"/>
    <col min="1033" max="1035" width="14.85546875" style="362" customWidth="1"/>
    <col min="1036" max="1037" width="12.5703125" style="362" bestFit="1" customWidth="1"/>
    <col min="1038" max="1281" width="9.140625" style="362"/>
    <col min="1282" max="1283" width="0" style="362" hidden="1" customWidth="1"/>
    <col min="1284" max="1284" width="11.140625" style="362" customWidth="1"/>
    <col min="1285" max="1285" width="43.140625" style="362" customWidth="1"/>
    <col min="1286" max="1287" width="13.28515625" style="362" customWidth="1"/>
    <col min="1288" max="1288" width="13.5703125" style="362" customWidth="1"/>
    <col min="1289" max="1291" width="14.85546875" style="362" customWidth="1"/>
    <col min="1292" max="1293" width="12.5703125" style="362" bestFit="1" customWidth="1"/>
    <col min="1294" max="1537" width="9.140625" style="362"/>
    <col min="1538" max="1539" width="0" style="362" hidden="1" customWidth="1"/>
    <col min="1540" max="1540" width="11.140625" style="362" customWidth="1"/>
    <col min="1541" max="1541" width="43.140625" style="362" customWidth="1"/>
    <col min="1542" max="1543" width="13.28515625" style="362" customWidth="1"/>
    <col min="1544" max="1544" width="13.5703125" style="362" customWidth="1"/>
    <col min="1545" max="1547" width="14.85546875" style="362" customWidth="1"/>
    <col min="1548" max="1549" width="12.5703125" style="362" bestFit="1" customWidth="1"/>
    <col min="1550" max="1793" width="9.140625" style="362"/>
    <col min="1794" max="1795" width="0" style="362" hidden="1" customWidth="1"/>
    <col min="1796" max="1796" width="11.140625" style="362" customWidth="1"/>
    <col min="1797" max="1797" width="43.140625" style="362" customWidth="1"/>
    <col min="1798" max="1799" width="13.28515625" style="362" customWidth="1"/>
    <col min="1800" max="1800" width="13.5703125" style="362" customWidth="1"/>
    <col min="1801" max="1803" width="14.85546875" style="362" customWidth="1"/>
    <col min="1804" max="1805" width="12.5703125" style="362" bestFit="1" customWidth="1"/>
    <col min="1806" max="2049" width="9.140625" style="362"/>
    <col min="2050" max="2051" width="0" style="362" hidden="1" customWidth="1"/>
    <col min="2052" max="2052" width="11.140625" style="362" customWidth="1"/>
    <col min="2053" max="2053" width="43.140625" style="362" customWidth="1"/>
    <col min="2054" max="2055" width="13.28515625" style="362" customWidth="1"/>
    <col min="2056" max="2056" width="13.5703125" style="362" customWidth="1"/>
    <col min="2057" max="2059" width="14.85546875" style="362" customWidth="1"/>
    <col min="2060" max="2061" width="12.5703125" style="362" bestFit="1" customWidth="1"/>
    <col min="2062" max="2305" width="9.140625" style="362"/>
    <col min="2306" max="2307" width="0" style="362" hidden="1" customWidth="1"/>
    <col min="2308" max="2308" width="11.140625" style="362" customWidth="1"/>
    <col min="2309" max="2309" width="43.140625" style="362" customWidth="1"/>
    <col min="2310" max="2311" width="13.28515625" style="362" customWidth="1"/>
    <col min="2312" max="2312" width="13.5703125" style="362" customWidth="1"/>
    <col min="2313" max="2315" width="14.85546875" style="362" customWidth="1"/>
    <col min="2316" max="2317" width="12.5703125" style="362" bestFit="1" customWidth="1"/>
    <col min="2318" max="2561" width="9.140625" style="362"/>
    <col min="2562" max="2563" width="0" style="362" hidden="1" customWidth="1"/>
    <col min="2564" max="2564" width="11.140625" style="362" customWidth="1"/>
    <col min="2565" max="2565" width="43.140625" style="362" customWidth="1"/>
    <col min="2566" max="2567" width="13.28515625" style="362" customWidth="1"/>
    <col min="2568" max="2568" width="13.5703125" style="362" customWidth="1"/>
    <col min="2569" max="2571" width="14.85546875" style="362" customWidth="1"/>
    <col min="2572" max="2573" width="12.5703125" style="362" bestFit="1" customWidth="1"/>
    <col min="2574" max="2817" width="9.140625" style="362"/>
    <col min="2818" max="2819" width="0" style="362" hidden="1" customWidth="1"/>
    <col min="2820" max="2820" width="11.140625" style="362" customWidth="1"/>
    <col min="2821" max="2821" width="43.140625" style="362" customWidth="1"/>
    <col min="2822" max="2823" width="13.28515625" style="362" customWidth="1"/>
    <col min="2824" max="2824" width="13.5703125" style="362" customWidth="1"/>
    <col min="2825" max="2827" width="14.85546875" style="362" customWidth="1"/>
    <col min="2828" max="2829" width="12.5703125" style="362" bestFit="1" customWidth="1"/>
    <col min="2830" max="3073" width="9.140625" style="362"/>
    <col min="3074" max="3075" width="0" style="362" hidden="1" customWidth="1"/>
    <col min="3076" max="3076" width="11.140625" style="362" customWidth="1"/>
    <col min="3077" max="3077" width="43.140625" style="362" customWidth="1"/>
    <col min="3078" max="3079" width="13.28515625" style="362" customWidth="1"/>
    <col min="3080" max="3080" width="13.5703125" style="362" customWidth="1"/>
    <col min="3081" max="3083" width="14.85546875" style="362" customWidth="1"/>
    <col min="3084" max="3085" width="12.5703125" style="362" bestFit="1" customWidth="1"/>
    <col min="3086" max="3329" width="9.140625" style="362"/>
    <col min="3330" max="3331" width="0" style="362" hidden="1" customWidth="1"/>
    <col min="3332" max="3332" width="11.140625" style="362" customWidth="1"/>
    <col min="3333" max="3333" width="43.140625" style="362" customWidth="1"/>
    <col min="3334" max="3335" width="13.28515625" style="362" customWidth="1"/>
    <col min="3336" max="3336" width="13.5703125" style="362" customWidth="1"/>
    <col min="3337" max="3339" width="14.85546875" style="362" customWidth="1"/>
    <col min="3340" max="3341" width="12.5703125" style="362" bestFit="1" customWidth="1"/>
    <col min="3342" max="3585" width="9.140625" style="362"/>
    <col min="3586" max="3587" width="0" style="362" hidden="1" customWidth="1"/>
    <col min="3588" max="3588" width="11.140625" style="362" customWidth="1"/>
    <col min="3589" max="3589" width="43.140625" style="362" customWidth="1"/>
    <col min="3590" max="3591" width="13.28515625" style="362" customWidth="1"/>
    <col min="3592" max="3592" width="13.5703125" style="362" customWidth="1"/>
    <col min="3593" max="3595" width="14.85546875" style="362" customWidth="1"/>
    <col min="3596" max="3597" width="12.5703125" style="362" bestFit="1" customWidth="1"/>
    <col min="3598" max="3841" width="9.140625" style="362"/>
    <col min="3842" max="3843" width="0" style="362" hidden="1" customWidth="1"/>
    <col min="3844" max="3844" width="11.140625" style="362" customWidth="1"/>
    <col min="3845" max="3845" width="43.140625" style="362" customWidth="1"/>
    <col min="3846" max="3847" width="13.28515625" style="362" customWidth="1"/>
    <col min="3848" max="3848" width="13.5703125" style="362" customWidth="1"/>
    <col min="3849" max="3851" width="14.85546875" style="362" customWidth="1"/>
    <col min="3852" max="3853" width="12.5703125" style="362" bestFit="1" customWidth="1"/>
    <col min="3854" max="4097" width="9.140625" style="362"/>
    <col min="4098" max="4099" width="0" style="362" hidden="1" customWidth="1"/>
    <col min="4100" max="4100" width="11.140625" style="362" customWidth="1"/>
    <col min="4101" max="4101" width="43.140625" style="362" customWidth="1"/>
    <col min="4102" max="4103" width="13.28515625" style="362" customWidth="1"/>
    <col min="4104" max="4104" width="13.5703125" style="362" customWidth="1"/>
    <col min="4105" max="4107" width="14.85546875" style="362" customWidth="1"/>
    <col min="4108" max="4109" width="12.5703125" style="362" bestFit="1" customWidth="1"/>
    <col min="4110" max="4353" width="9.140625" style="362"/>
    <col min="4354" max="4355" width="0" style="362" hidden="1" customWidth="1"/>
    <col min="4356" max="4356" width="11.140625" style="362" customWidth="1"/>
    <col min="4357" max="4357" width="43.140625" style="362" customWidth="1"/>
    <col min="4358" max="4359" width="13.28515625" style="362" customWidth="1"/>
    <col min="4360" max="4360" width="13.5703125" style="362" customWidth="1"/>
    <col min="4361" max="4363" width="14.85546875" style="362" customWidth="1"/>
    <col min="4364" max="4365" width="12.5703125" style="362" bestFit="1" customWidth="1"/>
    <col min="4366" max="4609" width="9.140625" style="362"/>
    <col min="4610" max="4611" width="0" style="362" hidden="1" customWidth="1"/>
    <col min="4612" max="4612" width="11.140625" style="362" customWidth="1"/>
    <col min="4613" max="4613" width="43.140625" style="362" customWidth="1"/>
    <col min="4614" max="4615" width="13.28515625" style="362" customWidth="1"/>
    <col min="4616" max="4616" width="13.5703125" style="362" customWidth="1"/>
    <col min="4617" max="4619" width="14.85546875" style="362" customWidth="1"/>
    <col min="4620" max="4621" width="12.5703125" style="362" bestFit="1" customWidth="1"/>
    <col min="4622" max="4865" width="9.140625" style="362"/>
    <col min="4866" max="4867" width="0" style="362" hidden="1" customWidth="1"/>
    <col min="4868" max="4868" width="11.140625" style="362" customWidth="1"/>
    <col min="4869" max="4869" width="43.140625" style="362" customWidth="1"/>
    <col min="4870" max="4871" width="13.28515625" style="362" customWidth="1"/>
    <col min="4872" max="4872" width="13.5703125" style="362" customWidth="1"/>
    <col min="4873" max="4875" width="14.85546875" style="362" customWidth="1"/>
    <col min="4876" max="4877" width="12.5703125" style="362" bestFit="1" customWidth="1"/>
    <col min="4878" max="5121" width="9.140625" style="362"/>
    <col min="5122" max="5123" width="0" style="362" hidden="1" customWidth="1"/>
    <col min="5124" max="5124" width="11.140625" style="362" customWidth="1"/>
    <col min="5125" max="5125" width="43.140625" style="362" customWidth="1"/>
    <col min="5126" max="5127" width="13.28515625" style="362" customWidth="1"/>
    <col min="5128" max="5128" width="13.5703125" style="362" customWidth="1"/>
    <col min="5129" max="5131" width="14.85546875" style="362" customWidth="1"/>
    <col min="5132" max="5133" width="12.5703125" style="362" bestFit="1" customWidth="1"/>
    <col min="5134" max="5377" width="9.140625" style="362"/>
    <col min="5378" max="5379" width="0" style="362" hidden="1" customWidth="1"/>
    <col min="5380" max="5380" width="11.140625" style="362" customWidth="1"/>
    <col min="5381" max="5381" width="43.140625" style="362" customWidth="1"/>
    <col min="5382" max="5383" width="13.28515625" style="362" customWidth="1"/>
    <col min="5384" max="5384" width="13.5703125" style="362" customWidth="1"/>
    <col min="5385" max="5387" width="14.85546875" style="362" customWidth="1"/>
    <col min="5388" max="5389" width="12.5703125" style="362" bestFit="1" customWidth="1"/>
    <col min="5390" max="5633" width="9.140625" style="362"/>
    <col min="5634" max="5635" width="0" style="362" hidden="1" customWidth="1"/>
    <col min="5636" max="5636" width="11.140625" style="362" customWidth="1"/>
    <col min="5637" max="5637" width="43.140625" style="362" customWidth="1"/>
    <col min="5638" max="5639" width="13.28515625" style="362" customWidth="1"/>
    <col min="5640" max="5640" width="13.5703125" style="362" customWidth="1"/>
    <col min="5641" max="5643" width="14.85546875" style="362" customWidth="1"/>
    <col min="5644" max="5645" width="12.5703125" style="362" bestFit="1" customWidth="1"/>
    <col min="5646" max="5889" width="9.140625" style="362"/>
    <col min="5890" max="5891" width="0" style="362" hidden="1" customWidth="1"/>
    <col min="5892" max="5892" width="11.140625" style="362" customWidth="1"/>
    <col min="5893" max="5893" width="43.140625" style="362" customWidth="1"/>
    <col min="5894" max="5895" width="13.28515625" style="362" customWidth="1"/>
    <col min="5896" max="5896" width="13.5703125" style="362" customWidth="1"/>
    <col min="5897" max="5899" width="14.85546875" style="362" customWidth="1"/>
    <col min="5900" max="5901" width="12.5703125" style="362" bestFit="1" customWidth="1"/>
    <col min="5902" max="6145" width="9.140625" style="362"/>
    <col min="6146" max="6147" width="0" style="362" hidden="1" customWidth="1"/>
    <col min="6148" max="6148" width="11.140625" style="362" customWidth="1"/>
    <col min="6149" max="6149" width="43.140625" style="362" customWidth="1"/>
    <col min="6150" max="6151" width="13.28515625" style="362" customWidth="1"/>
    <col min="6152" max="6152" width="13.5703125" style="362" customWidth="1"/>
    <col min="6153" max="6155" width="14.85546875" style="362" customWidth="1"/>
    <col min="6156" max="6157" width="12.5703125" style="362" bestFit="1" customWidth="1"/>
    <col min="6158" max="6401" width="9.140625" style="362"/>
    <col min="6402" max="6403" width="0" style="362" hidden="1" customWidth="1"/>
    <col min="6404" max="6404" width="11.140625" style="362" customWidth="1"/>
    <col min="6405" max="6405" width="43.140625" style="362" customWidth="1"/>
    <col min="6406" max="6407" width="13.28515625" style="362" customWidth="1"/>
    <col min="6408" max="6408" width="13.5703125" style="362" customWidth="1"/>
    <col min="6409" max="6411" width="14.85546875" style="362" customWidth="1"/>
    <col min="6412" max="6413" width="12.5703125" style="362" bestFit="1" customWidth="1"/>
    <col min="6414" max="6657" width="9.140625" style="362"/>
    <col min="6658" max="6659" width="0" style="362" hidden="1" customWidth="1"/>
    <col min="6660" max="6660" width="11.140625" style="362" customWidth="1"/>
    <col min="6661" max="6661" width="43.140625" style="362" customWidth="1"/>
    <col min="6662" max="6663" width="13.28515625" style="362" customWidth="1"/>
    <col min="6664" max="6664" width="13.5703125" style="362" customWidth="1"/>
    <col min="6665" max="6667" width="14.85546875" style="362" customWidth="1"/>
    <col min="6668" max="6669" width="12.5703125" style="362" bestFit="1" customWidth="1"/>
    <col min="6670" max="6913" width="9.140625" style="362"/>
    <col min="6914" max="6915" width="0" style="362" hidden="1" customWidth="1"/>
    <col min="6916" max="6916" width="11.140625" style="362" customWidth="1"/>
    <col min="6917" max="6917" width="43.140625" style="362" customWidth="1"/>
    <col min="6918" max="6919" width="13.28515625" style="362" customWidth="1"/>
    <col min="6920" max="6920" width="13.5703125" style="362" customWidth="1"/>
    <col min="6921" max="6923" width="14.85546875" style="362" customWidth="1"/>
    <col min="6924" max="6925" width="12.5703125" style="362" bestFit="1" customWidth="1"/>
    <col min="6926" max="7169" width="9.140625" style="362"/>
    <col min="7170" max="7171" width="0" style="362" hidden="1" customWidth="1"/>
    <col min="7172" max="7172" width="11.140625" style="362" customWidth="1"/>
    <col min="7173" max="7173" width="43.140625" style="362" customWidth="1"/>
    <col min="7174" max="7175" width="13.28515625" style="362" customWidth="1"/>
    <col min="7176" max="7176" width="13.5703125" style="362" customWidth="1"/>
    <col min="7177" max="7179" width="14.85546875" style="362" customWidth="1"/>
    <col min="7180" max="7181" width="12.5703125" style="362" bestFit="1" customWidth="1"/>
    <col min="7182" max="7425" width="9.140625" style="362"/>
    <col min="7426" max="7427" width="0" style="362" hidden="1" customWidth="1"/>
    <col min="7428" max="7428" width="11.140625" style="362" customWidth="1"/>
    <col min="7429" max="7429" width="43.140625" style="362" customWidth="1"/>
    <col min="7430" max="7431" width="13.28515625" style="362" customWidth="1"/>
    <col min="7432" max="7432" width="13.5703125" style="362" customWidth="1"/>
    <col min="7433" max="7435" width="14.85546875" style="362" customWidth="1"/>
    <col min="7436" max="7437" width="12.5703125" style="362" bestFit="1" customWidth="1"/>
    <col min="7438" max="7681" width="9.140625" style="362"/>
    <col min="7682" max="7683" width="0" style="362" hidden="1" customWidth="1"/>
    <col min="7684" max="7684" width="11.140625" style="362" customWidth="1"/>
    <col min="7685" max="7685" width="43.140625" style="362" customWidth="1"/>
    <col min="7686" max="7687" width="13.28515625" style="362" customWidth="1"/>
    <col min="7688" max="7688" width="13.5703125" style="362" customWidth="1"/>
    <col min="7689" max="7691" width="14.85546875" style="362" customWidth="1"/>
    <col min="7692" max="7693" width="12.5703125" style="362" bestFit="1" customWidth="1"/>
    <col min="7694" max="7937" width="9.140625" style="362"/>
    <col min="7938" max="7939" width="0" style="362" hidden="1" customWidth="1"/>
    <col min="7940" max="7940" width="11.140625" style="362" customWidth="1"/>
    <col min="7941" max="7941" width="43.140625" style="362" customWidth="1"/>
    <col min="7942" max="7943" width="13.28515625" style="362" customWidth="1"/>
    <col min="7944" max="7944" width="13.5703125" style="362" customWidth="1"/>
    <col min="7945" max="7947" width="14.85546875" style="362" customWidth="1"/>
    <col min="7948" max="7949" width="12.5703125" style="362" bestFit="1" customWidth="1"/>
    <col min="7950" max="8193" width="9.140625" style="362"/>
    <col min="8194" max="8195" width="0" style="362" hidden="1" customWidth="1"/>
    <col min="8196" max="8196" width="11.140625" style="362" customWidth="1"/>
    <col min="8197" max="8197" width="43.140625" style="362" customWidth="1"/>
    <col min="8198" max="8199" width="13.28515625" style="362" customWidth="1"/>
    <col min="8200" max="8200" width="13.5703125" style="362" customWidth="1"/>
    <col min="8201" max="8203" width="14.85546875" style="362" customWidth="1"/>
    <col min="8204" max="8205" width="12.5703125" style="362" bestFit="1" customWidth="1"/>
    <col min="8206" max="8449" width="9.140625" style="362"/>
    <col min="8450" max="8451" width="0" style="362" hidden="1" customWidth="1"/>
    <col min="8452" max="8452" width="11.140625" style="362" customWidth="1"/>
    <col min="8453" max="8453" width="43.140625" style="362" customWidth="1"/>
    <col min="8454" max="8455" width="13.28515625" style="362" customWidth="1"/>
    <col min="8456" max="8456" width="13.5703125" style="362" customWidth="1"/>
    <col min="8457" max="8459" width="14.85546875" style="362" customWidth="1"/>
    <col min="8460" max="8461" width="12.5703125" style="362" bestFit="1" customWidth="1"/>
    <col min="8462" max="8705" width="9.140625" style="362"/>
    <col min="8706" max="8707" width="0" style="362" hidden="1" customWidth="1"/>
    <col min="8708" max="8708" width="11.140625" style="362" customWidth="1"/>
    <col min="8709" max="8709" width="43.140625" style="362" customWidth="1"/>
    <col min="8710" max="8711" width="13.28515625" style="362" customWidth="1"/>
    <col min="8712" max="8712" width="13.5703125" style="362" customWidth="1"/>
    <col min="8713" max="8715" width="14.85546875" style="362" customWidth="1"/>
    <col min="8716" max="8717" width="12.5703125" style="362" bestFit="1" customWidth="1"/>
    <col min="8718" max="8961" width="9.140625" style="362"/>
    <col min="8962" max="8963" width="0" style="362" hidden="1" customWidth="1"/>
    <col min="8964" max="8964" width="11.140625" style="362" customWidth="1"/>
    <col min="8965" max="8965" width="43.140625" style="362" customWidth="1"/>
    <col min="8966" max="8967" width="13.28515625" style="362" customWidth="1"/>
    <col min="8968" max="8968" width="13.5703125" style="362" customWidth="1"/>
    <col min="8969" max="8971" width="14.85546875" style="362" customWidth="1"/>
    <col min="8972" max="8973" width="12.5703125" style="362" bestFit="1" customWidth="1"/>
    <col min="8974" max="9217" width="9.140625" style="362"/>
    <col min="9218" max="9219" width="0" style="362" hidden="1" customWidth="1"/>
    <col min="9220" max="9220" width="11.140625" style="362" customWidth="1"/>
    <col min="9221" max="9221" width="43.140625" style="362" customWidth="1"/>
    <col min="9222" max="9223" width="13.28515625" style="362" customWidth="1"/>
    <col min="9224" max="9224" width="13.5703125" style="362" customWidth="1"/>
    <col min="9225" max="9227" width="14.85546875" style="362" customWidth="1"/>
    <col min="9228" max="9229" width="12.5703125" style="362" bestFit="1" customWidth="1"/>
    <col min="9230" max="9473" width="9.140625" style="362"/>
    <col min="9474" max="9475" width="0" style="362" hidden="1" customWidth="1"/>
    <col min="9476" max="9476" width="11.140625" style="362" customWidth="1"/>
    <col min="9477" max="9477" width="43.140625" style="362" customWidth="1"/>
    <col min="9478" max="9479" width="13.28515625" style="362" customWidth="1"/>
    <col min="9480" max="9480" width="13.5703125" style="362" customWidth="1"/>
    <col min="9481" max="9483" width="14.85546875" style="362" customWidth="1"/>
    <col min="9484" max="9485" width="12.5703125" style="362" bestFit="1" customWidth="1"/>
    <col min="9486" max="9729" width="9.140625" style="362"/>
    <col min="9730" max="9731" width="0" style="362" hidden="1" customWidth="1"/>
    <col min="9732" max="9732" width="11.140625" style="362" customWidth="1"/>
    <col min="9733" max="9733" width="43.140625" style="362" customWidth="1"/>
    <col min="9734" max="9735" width="13.28515625" style="362" customWidth="1"/>
    <col min="9736" max="9736" width="13.5703125" style="362" customWidth="1"/>
    <col min="9737" max="9739" width="14.85546875" style="362" customWidth="1"/>
    <col min="9740" max="9741" width="12.5703125" style="362" bestFit="1" customWidth="1"/>
    <col min="9742" max="9985" width="9.140625" style="362"/>
    <col min="9986" max="9987" width="0" style="362" hidden="1" customWidth="1"/>
    <col min="9988" max="9988" width="11.140625" style="362" customWidth="1"/>
    <col min="9989" max="9989" width="43.140625" style="362" customWidth="1"/>
    <col min="9990" max="9991" width="13.28515625" style="362" customWidth="1"/>
    <col min="9992" max="9992" width="13.5703125" style="362" customWidth="1"/>
    <col min="9993" max="9995" width="14.85546875" style="362" customWidth="1"/>
    <col min="9996" max="9997" width="12.5703125" style="362" bestFit="1" customWidth="1"/>
    <col min="9998" max="10241" width="9.140625" style="362"/>
    <col min="10242" max="10243" width="0" style="362" hidden="1" customWidth="1"/>
    <col min="10244" max="10244" width="11.140625" style="362" customWidth="1"/>
    <col min="10245" max="10245" width="43.140625" style="362" customWidth="1"/>
    <col min="10246" max="10247" width="13.28515625" style="362" customWidth="1"/>
    <col min="10248" max="10248" width="13.5703125" style="362" customWidth="1"/>
    <col min="10249" max="10251" width="14.85546875" style="362" customWidth="1"/>
    <col min="10252" max="10253" width="12.5703125" style="362" bestFit="1" customWidth="1"/>
    <col min="10254" max="10497" width="9.140625" style="362"/>
    <col min="10498" max="10499" width="0" style="362" hidden="1" customWidth="1"/>
    <col min="10500" max="10500" width="11.140625" style="362" customWidth="1"/>
    <col min="10501" max="10501" width="43.140625" style="362" customWidth="1"/>
    <col min="10502" max="10503" width="13.28515625" style="362" customWidth="1"/>
    <col min="10504" max="10504" width="13.5703125" style="362" customWidth="1"/>
    <col min="10505" max="10507" width="14.85546875" style="362" customWidth="1"/>
    <col min="10508" max="10509" width="12.5703125" style="362" bestFit="1" customWidth="1"/>
    <col min="10510" max="10753" width="9.140625" style="362"/>
    <col min="10754" max="10755" width="0" style="362" hidden="1" customWidth="1"/>
    <col min="10756" max="10756" width="11.140625" style="362" customWidth="1"/>
    <col min="10757" max="10757" width="43.140625" style="362" customWidth="1"/>
    <col min="10758" max="10759" width="13.28515625" style="362" customWidth="1"/>
    <col min="10760" max="10760" width="13.5703125" style="362" customWidth="1"/>
    <col min="10761" max="10763" width="14.85546875" style="362" customWidth="1"/>
    <col min="10764" max="10765" width="12.5703125" style="362" bestFit="1" customWidth="1"/>
    <col min="10766" max="11009" width="9.140625" style="362"/>
    <col min="11010" max="11011" width="0" style="362" hidden="1" customWidth="1"/>
    <col min="11012" max="11012" width="11.140625" style="362" customWidth="1"/>
    <col min="11013" max="11013" width="43.140625" style="362" customWidth="1"/>
    <col min="11014" max="11015" width="13.28515625" style="362" customWidth="1"/>
    <col min="11016" max="11016" width="13.5703125" style="362" customWidth="1"/>
    <col min="11017" max="11019" width="14.85546875" style="362" customWidth="1"/>
    <col min="11020" max="11021" width="12.5703125" style="362" bestFit="1" customWidth="1"/>
    <col min="11022" max="11265" width="9.140625" style="362"/>
    <col min="11266" max="11267" width="0" style="362" hidden="1" customWidth="1"/>
    <col min="11268" max="11268" width="11.140625" style="362" customWidth="1"/>
    <col min="11269" max="11269" width="43.140625" style="362" customWidth="1"/>
    <col min="11270" max="11271" width="13.28515625" style="362" customWidth="1"/>
    <col min="11272" max="11272" width="13.5703125" style="362" customWidth="1"/>
    <col min="11273" max="11275" width="14.85546875" style="362" customWidth="1"/>
    <col min="11276" max="11277" width="12.5703125" style="362" bestFit="1" customWidth="1"/>
    <col min="11278" max="11521" width="9.140625" style="362"/>
    <col min="11522" max="11523" width="0" style="362" hidden="1" customWidth="1"/>
    <col min="11524" max="11524" width="11.140625" style="362" customWidth="1"/>
    <col min="11525" max="11525" width="43.140625" style="362" customWidth="1"/>
    <col min="11526" max="11527" width="13.28515625" style="362" customWidth="1"/>
    <col min="11528" max="11528" width="13.5703125" style="362" customWidth="1"/>
    <col min="11529" max="11531" width="14.85546875" style="362" customWidth="1"/>
    <col min="11532" max="11533" width="12.5703125" style="362" bestFit="1" customWidth="1"/>
    <col min="11534" max="11777" width="9.140625" style="362"/>
    <col min="11778" max="11779" width="0" style="362" hidden="1" customWidth="1"/>
    <col min="11780" max="11780" width="11.140625" style="362" customWidth="1"/>
    <col min="11781" max="11781" width="43.140625" style="362" customWidth="1"/>
    <col min="11782" max="11783" width="13.28515625" style="362" customWidth="1"/>
    <col min="11784" max="11784" width="13.5703125" style="362" customWidth="1"/>
    <col min="11785" max="11787" width="14.85546875" style="362" customWidth="1"/>
    <col min="11788" max="11789" width="12.5703125" style="362" bestFit="1" customWidth="1"/>
    <col min="11790" max="12033" width="9.140625" style="362"/>
    <col min="12034" max="12035" width="0" style="362" hidden="1" customWidth="1"/>
    <col min="12036" max="12036" width="11.140625" style="362" customWidth="1"/>
    <col min="12037" max="12037" width="43.140625" style="362" customWidth="1"/>
    <col min="12038" max="12039" width="13.28515625" style="362" customWidth="1"/>
    <col min="12040" max="12040" width="13.5703125" style="362" customWidth="1"/>
    <col min="12041" max="12043" width="14.85546875" style="362" customWidth="1"/>
    <col min="12044" max="12045" width="12.5703125" style="362" bestFit="1" customWidth="1"/>
    <col min="12046" max="12289" width="9.140625" style="362"/>
    <col min="12290" max="12291" width="0" style="362" hidden="1" customWidth="1"/>
    <col min="12292" max="12292" width="11.140625" style="362" customWidth="1"/>
    <col min="12293" max="12293" width="43.140625" style="362" customWidth="1"/>
    <col min="12294" max="12295" width="13.28515625" style="362" customWidth="1"/>
    <col min="12296" max="12296" width="13.5703125" style="362" customWidth="1"/>
    <col min="12297" max="12299" width="14.85546875" style="362" customWidth="1"/>
    <col min="12300" max="12301" width="12.5703125" style="362" bestFit="1" customWidth="1"/>
    <col min="12302" max="12545" width="9.140625" style="362"/>
    <col min="12546" max="12547" width="0" style="362" hidden="1" customWidth="1"/>
    <col min="12548" max="12548" width="11.140625" style="362" customWidth="1"/>
    <col min="12549" max="12549" width="43.140625" style="362" customWidth="1"/>
    <col min="12550" max="12551" width="13.28515625" style="362" customWidth="1"/>
    <col min="12552" max="12552" width="13.5703125" style="362" customWidth="1"/>
    <col min="12553" max="12555" width="14.85546875" style="362" customWidth="1"/>
    <col min="12556" max="12557" width="12.5703125" style="362" bestFit="1" customWidth="1"/>
    <col min="12558" max="12801" width="9.140625" style="362"/>
    <col min="12802" max="12803" width="0" style="362" hidden="1" customWidth="1"/>
    <col min="12804" max="12804" width="11.140625" style="362" customWidth="1"/>
    <col min="12805" max="12805" width="43.140625" style="362" customWidth="1"/>
    <col min="12806" max="12807" width="13.28515625" style="362" customWidth="1"/>
    <col min="12808" max="12808" width="13.5703125" style="362" customWidth="1"/>
    <col min="12809" max="12811" width="14.85546875" style="362" customWidth="1"/>
    <col min="12812" max="12813" width="12.5703125" style="362" bestFit="1" customWidth="1"/>
    <col min="12814" max="13057" width="9.140625" style="362"/>
    <col min="13058" max="13059" width="0" style="362" hidden="1" customWidth="1"/>
    <col min="13060" max="13060" width="11.140625" style="362" customWidth="1"/>
    <col min="13061" max="13061" width="43.140625" style="362" customWidth="1"/>
    <col min="13062" max="13063" width="13.28515625" style="362" customWidth="1"/>
    <col min="13064" max="13064" width="13.5703125" style="362" customWidth="1"/>
    <col min="13065" max="13067" width="14.85546875" style="362" customWidth="1"/>
    <col min="13068" max="13069" width="12.5703125" style="362" bestFit="1" customWidth="1"/>
    <col min="13070" max="13313" width="9.140625" style="362"/>
    <col min="13314" max="13315" width="0" style="362" hidden="1" customWidth="1"/>
    <col min="13316" max="13316" width="11.140625" style="362" customWidth="1"/>
    <col min="13317" max="13317" width="43.140625" style="362" customWidth="1"/>
    <col min="13318" max="13319" width="13.28515625" style="362" customWidth="1"/>
    <col min="13320" max="13320" width="13.5703125" style="362" customWidth="1"/>
    <col min="13321" max="13323" width="14.85546875" style="362" customWidth="1"/>
    <col min="13324" max="13325" width="12.5703125" style="362" bestFit="1" customWidth="1"/>
    <col min="13326" max="13569" width="9.140625" style="362"/>
    <col min="13570" max="13571" width="0" style="362" hidden="1" customWidth="1"/>
    <col min="13572" max="13572" width="11.140625" style="362" customWidth="1"/>
    <col min="13573" max="13573" width="43.140625" style="362" customWidth="1"/>
    <col min="13574" max="13575" width="13.28515625" style="362" customWidth="1"/>
    <col min="13576" max="13576" width="13.5703125" style="362" customWidth="1"/>
    <col min="13577" max="13579" width="14.85546875" style="362" customWidth="1"/>
    <col min="13580" max="13581" width="12.5703125" style="362" bestFit="1" customWidth="1"/>
    <col min="13582" max="13825" width="9.140625" style="362"/>
    <col min="13826" max="13827" width="0" style="362" hidden="1" customWidth="1"/>
    <col min="13828" max="13828" width="11.140625" style="362" customWidth="1"/>
    <col min="13829" max="13829" width="43.140625" style="362" customWidth="1"/>
    <col min="13830" max="13831" width="13.28515625" style="362" customWidth="1"/>
    <col min="13832" max="13832" width="13.5703125" style="362" customWidth="1"/>
    <col min="13833" max="13835" width="14.85546875" style="362" customWidth="1"/>
    <col min="13836" max="13837" width="12.5703125" style="362" bestFit="1" customWidth="1"/>
    <col min="13838" max="14081" width="9.140625" style="362"/>
    <col min="14082" max="14083" width="0" style="362" hidden="1" customWidth="1"/>
    <col min="14084" max="14084" width="11.140625" style="362" customWidth="1"/>
    <col min="14085" max="14085" width="43.140625" style="362" customWidth="1"/>
    <col min="14086" max="14087" width="13.28515625" style="362" customWidth="1"/>
    <col min="14088" max="14088" width="13.5703125" style="362" customWidth="1"/>
    <col min="14089" max="14091" width="14.85546875" style="362" customWidth="1"/>
    <col min="14092" max="14093" width="12.5703125" style="362" bestFit="1" customWidth="1"/>
    <col min="14094" max="14337" width="9.140625" style="362"/>
    <col min="14338" max="14339" width="0" style="362" hidden="1" customWidth="1"/>
    <col min="14340" max="14340" width="11.140625" style="362" customWidth="1"/>
    <col min="14341" max="14341" width="43.140625" style="362" customWidth="1"/>
    <col min="14342" max="14343" width="13.28515625" style="362" customWidth="1"/>
    <col min="14344" max="14344" width="13.5703125" style="362" customWidth="1"/>
    <col min="14345" max="14347" width="14.85546875" style="362" customWidth="1"/>
    <col min="14348" max="14349" width="12.5703125" style="362" bestFit="1" customWidth="1"/>
    <col min="14350" max="14593" width="9.140625" style="362"/>
    <col min="14594" max="14595" width="0" style="362" hidden="1" customWidth="1"/>
    <col min="14596" max="14596" width="11.140625" style="362" customWidth="1"/>
    <col min="14597" max="14597" width="43.140625" style="362" customWidth="1"/>
    <col min="14598" max="14599" width="13.28515625" style="362" customWidth="1"/>
    <col min="14600" max="14600" width="13.5703125" style="362" customWidth="1"/>
    <col min="14601" max="14603" width="14.85546875" style="362" customWidth="1"/>
    <col min="14604" max="14605" width="12.5703125" style="362" bestFit="1" customWidth="1"/>
    <col min="14606" max="14849" width="9.140625" style="362"/>
    <col min="14850" max="14851" width="0" style="362" hidden="1" customWidth="1"/>
    <col min="14852" max="14852" width="11.140625" style="362" customWidth="1"/>
    <col min="14853" max="14853" width="43.140625" style="362" customWidth="1"/>
    <col min="14854" max="14855" width="13.28515625" style="362" customWidth="1"/>
    <col min="14856" max="14856" width="13.5703125" style="362" customWidth="1"/>
    <col min="14857" max="14859" width="14.85546875" style="362" customWidth="1"/>
    <col min="14860" max="14861" width="12.5703125" style="362" bestFit="1" customWidth="1"/>
    <col min="14862" max="15105" width="9.140625" style="362"/>
    <col min="15106" max="15107" width="0" style="362" hidden="1" customWidth="1"/>
    <col min="15108" max="15108" width="11.140625" style="362" customWidth="1"/>
    <col min="15109" max="15109" width="43.140625" style="362" customWidth="1"/>
    <col min="15110" max="15111" width="13.28515625" style="362" customWidth="1"/>
    <col min="15112" max="15112" width="13.5703125" style="362" customWidth="1"/>
    <col min="15113" max="15115" width="14.85546875" style="362" customWidth="1"/>
    <col min="15116" max="15117" width="12.5703125" style="362" bestFit="1" customWidth="1"/>
    <col min="15118" max="15361" width="9.140625" style="362"/>
    <col min="15362" max="15363" width="0" style="362" hidden="1" customWidth="1"/>
    <col min="15364" max="15364" width="11.140625" style="362" customWidth="1"/>
    <col min="15365" max="15365" width="43.140625" style="362" customWidth="1"/>
    <col min="15366" max="15367" width="13.28515625" style="362" customWidth="1"/>
    <col min="15368" max="15368" width="13.5703125" style="362" customWidth="1"/>
    <col min="15369" max="15371" width="14.85546875" style="362" customWidth="1"/>
    <col min="15372" max="15373" width="12.5703125" style="362" bestFit="1" customWidth="1"/>
    <col min="15374" max="15617" width="9.140625" style="362"/>
    <col min="15618" max="15619" width="0" style="362" hidden="1" customWidth="1"/>
    <col min="15620" max="15620" width="11.140625" style="362" customWidth="1"/>
    <col min="15621" max="15621" width="43.140625" style="362" customWidth="1"/>
    <col min="15622" max="15623" width="13.28515625" style="362" customWidth="1"/>
    <col min="15624" max="15624" width="13.5703125" style="362" customWidth="1"/>
    <col min="15625" max="15627" width="14.85546875" style="362" customWidth="1"/>
    <col min="15628" max="15629" width="12.5703125" style="362" bestFit="1" customWidth="1"/>
    <col min="15630" max="15873" width="9.140625" style="362"/>
    <col min="15874" max="15875" width="0" style="362" hidden="1" customWidth="1"/>
    <col min="15876" max="15876" width="11.140625" style="362" customWidth="1"/>
    <col min="15877" max="15877" width="43.140625" style="362" customWidth="1"/>
    <col min="15878" max="15879" width="13.28515625" style="362" customWidth="1"/>
    <col min="15880" max="15880" width="13.5703125" style="362" customWidth="1"/>
    <col min="15881" max="15883" width="14.85546875" style="362" customWidth="1"/>
    <col min="15884" max="15885" width="12.5703125" style="362" bestFit="1" customWidth="1"/>
    <col min="15886" max="16129" width="9.140625" style="362"/>
    <col min="16130" max="16131" width="0" style="362" hidden="1" customWidth="1"/>
    <col min="16132" max="16132" width="11.140625" style="362" customWidth="1"/>
    <col min="16133" max="16133" width="43.140625" style="362" customWidth="1"/>
    <col min="16134" max="16135" width="13.28515625" style="362" customWidth="1"/>
    <col min="16136" max="16136" width="13.5703125" style="362" customWidth="1"/>
    <col min="16137" max="16139" width="14.85546875" style="362" customWidth="1"/>
    <col min="16140" max="16141" width="12.5703125" style="362" bestFit="1" customWidth="1"/>
    <col min="16142" max="16384" width="9.140625" style="362"/>
  </cols>
  <sheetData>
    <row r="1" spans="1:25" ht="12.75" x14ac:dyDescent="0.2">
      <c r="C1" s="68" t="s">
        <v>100</v>
      </c>
    </row>
    <row r="2" spans="1:25" ht="27.75" customHeight="1" x14ac:dyDescent="0.15">
      <c r="C2" s="676" t="s">
        <v>489</v>
      </c>
      <c r="D2" s="676"/>
      <c r="E2" s="676"/>
      <c r="F2" s="676"/>
      <c r="G2" s="676"/>
      <c r="H2" s="676"/>
      <c r="I2" s="676"/>
      <c r="J2" s="676"/>
    </row>
    <row r="4" spans="1:25" ht="14.25" customHeight="1" x14ac:dyDescent="0.15">
      <c r="B4" s="363"/>
      <c r="C4" s="685" t="s">
        <v>104</v>
      </c>
      <c r="D4" s="685"/>
      <c r="E4" s="685"/>
      <c r="F4" s="685"/>
      <c r="G4" s="685"/>
      <c r="H4" s="685"/>
      <c r="I4" s="685"/>
      <c r="J4" s="685"/>
      <c r="N4" s="364"/>
      <c r="O4" s="365"/>
      <c r="P4" s="364"/>
      <c r="Q4" s="364"/>
      <c r="R4" s="364"/>
      <c r="S4" s="364"/>
      <c r="T4" s="364"/>
      <c r="U4" s="364"/>
      <c r="V4" s="364"/>
      <c r="W4" s="364"/>
      <c r="X4" s="364"/>
      <c r="Y4" s="364"/>
    </row>
    <row r="5" spans="1:25" ht="12" customHeight="1" thickBot="1" x14ac:dyDescent="0.25">
      <c r="B5" s="366"/>
      <c r="J5" s="367" t="s">
        <v>549</v>
      </c>
      <c r="N5" s="364"/>
      <c r="O5" s="365"/>
      <c r="P5" s="364"/>
      <c r="Q5" s="364"/>
      <c r="R5" s="364"/>
      <c r="S5" s="364"/>
      <c r="T5" s="364"/>
      <c r="U5" s="364"/>
      <c r="V5" s="364"/>
      <c r="W5" s="364"/>
      <c r="X5" s="364"/>
      <c r="Y5" s="364"/>
    </row>
    <row r="6" spans="1:25" ht="18" customHeight="1" thickBot="1" x14ac:dyDescent="0.2">
      <c r="A6" s="368" t="s">
        <v>490</v>
      </c>
      <c r="B6" s="369" t="s">
        <v>491</v>
      </c>
      <c r="C6" s="679" t="s">
        <v>492</v>
      </c>
      <c r="D6" s="680"/>
      <c r="E6" s="370">
        <v>2016</v>
      </c>
      <c r="F6" s="371" t="s">
        <v>493</v>
      </c>
      <c r="G6" s="371" t="s">
        <v>494</v>
      </c>
      <c r="H6" s="371" t="s">
        <v>495</v>
      </c>
      <c r="I6" s="372" t="s">
        <v>496</v>
      </c>
      <c r="J6" s="373" t="s">
        <v>497</v>
      </c>
      <c r="N6" s="374"/>
      <c r="O6" s="375"/>
      <c r="P6" s="375"/>
      <c r="Q6" s="364"/>
      <c r="R6" s="364"/>
      <c r="S6" s="376"/>
      <c r="T6" s="376"/>
      <c r="U6" s="376"/>
      <c r="V6" s="376"/>
      <c r="W6" s="376"/>
      <c r="X6" s="376"/>
      <c r="Y6" s="376"/>
    </row>
    <row r="7" spans="1:25" ht="15" customHeight="1" x14ac:dyDescent="0.15">
      <c r="A7" s="377">
        <v>1</v>
      </c>
      <c r="B7" s="378" t="s">
        <v>498</v>
      </c>
      <c r="C7" s="681" t="s">
        <v>499</v>
      </c>
      <c r="D7" s="682"/>
      <c r="E7" s="379">
        <v>5835.2682822500001</v>
      </c>
      <c r="F7" s="380">
        <v>6232.3878350000005</v>
      </c>
      <c r="G7" s="381">
        <v>6427.05</v>
      </c>
      <c r="H7" s="381">
        <v>6830.55</v>
      </c>
      <c r="I7" s="382">
        <v>7030.65</v>
      </c>
      <c r="J7" s="383">
        <v>7230.65</v>
      </c>
      <c r="N7" s="374"/>
      <c r="O7" s="375"/>
      <c r="P7" s="375"/>
      <c r="Q7" s="364"/>
      <c r="R7" s="364"/>
      <c r="S7" s="376"/>
      <c r="T7" s="376"/>
      <c r="U7" s="376"/>
      <c r="V7" s="376"/>
      <c r="W7" s="376"/>
      <c r="X7" s="376"/>
      <c r="Y7" s="376"/>
    </row>
    <row r="8" spans="1:25" ht="15" customHeight="1" x14ac:dyDescent="0.15">
      <c r="A8" s="384">
        <v>2</v>
      </c>
      <c r="B8" s="385" t="s">
        <v>500</v>
      </c>
      <c r="C8" s="683" t="s">
        <v>501</v>
      </c>
      <c r="D8" s="684" t="s">
        <v>501</v>
      </c>
      <c r="E8" s="386">
        <v>221.20803264000003</v>
      </c>
      <c r="F8" s="387">
        <v>244.149</v>
      </c>
      <c r="G8" s="387">
        <v>613.38099999999997</v>
      </c>
      <c r="H8" s="387">
        <v>449.745</v>
      </c>
      <c r="I8" s="388">
        <v>345.68299999999999</v>
      </c>
      <c r="J8" s="389">
        <v>378.17099999999999</v>
      </c>
      <c r="N8" s="374"/>
      <c r="O8" s="375"/>
      <c r="P8" s="375"/>
      <c r="Q8" s="364"/>
      <c r="R8" s="364"/>
      <c r="S8" s="376"/>
      <c r="T8" s="376"/>
      <c r="U8" s="376"/>
      <c r="V8" s="376"/>
      <c r="W8" s="376"/>
      <c r="X8" s="376"/>
      <c r="Y8" s="376"/>
    </row>
    <row r="9" spans="1:25" ht="15" customHeight="1" x14ac:dyDescent="0.15">
      <c r="A9" s="384">
        <v>3</v>
      </c>
      <c r="B9" s="385" t="s">
        <v>502</v>
      </c>
      <c r="C9" s="677" t="s">
        <v>503</v>
      </c>
      <c r="D9" s="678" t="s">
        <v>503</v>
      </c>
      <c r="E9" s="390">
        <v>12453.911147519999</v>
      </c>
      <c r="F9" s="387">
        <v>13353.432629999999</v>
      </c>
      <c r="G9" s="387">
        <v>13572.876</v>
      </c>
      <c r="H9" s="387">
        <v>13648.708999999999</v>
      </c>
      <c r="I9" s="388">
        <v>13705.823999999999</v>
      </c>
      <c r="J9" s="389">
        <v>13716.047</v>
      </c>
      <c r="N9" s="374"/>
      <c r="O9" s="375"/>
      <c r="P9" s="375"/>
      <c r="Q9" s="364"/>
      <c r="R9" s="364"/>
      <c r="S9" s="376"/>
      <c r="T9" s="376"/>
      <c r="U9" s="376"/>
      <c r="V9" s="376"/>
      <c r="W9" s="376"/>
      <c r="X9" s="376"/>
      <c r="Y9" s="376"/>
    </row>
    <row r="10" spans="1:25" ht="15" customHeight="1" x14ac:dyDescent="0.15">
      <c r="A10" s="384">
        <v>4</v>
      </c>
      <c r="B10" s="391" t="s">
        <v>504</v>
      </c>
      <c r="C10" s="689" t="s">
        <v>505</v>
      </c>
      <c r="D10" s="690" t="s">
        <v>506</v>
      </c>
      <c r="E10" s="392">
        <f t="shared" ref="E10:J10" si="0">SUM(E7:E9)</f>
        <v>18510.387462409999</v>
      </c>
      <c r="F10" s="393">
        <f>SUM(F7:F9)</f>
        <v>19829.969465000002</v>
      </c>
      <c r="G10" s="393">
        <f>SUM(G7:G9)</f>
        <v>20613.307000000001</v>
      </c>
      <c r="H10" s="393">
        <f t="shared" si="0"/>
        <v>20929.004000000001</v>
      </c>
      <c r="I10" s="394">
        <f t="shared" si="0"/>
        <v>21082.156999999999</v>
      </c>
      <c r="J10" s="395">
        <f t="shared" si="0"/>
        <v>21324.868000000002</v>
      </c>
      <c r="N10" s="364"/>
      <c r="O10" s="364"/>
      <c r="P10" s="396"/>
      <c r="Q10" s="396"/>
      <c r="R10" s="396"/>
      <c r="S10" s="396"/>
      <c r="T10" s="396"/>
      <c r="U10" s="396"/>
      <c r="V10" s="396"/>
      <c r="W10" s="396"/>
      <c r="X10" s="396"/>
      <c r="Y10" s="396"/>
    </row>
    <row r="11" spans="1:25" ht="28.5" customHeight="1" thickBot="1" x14ac:dyDescent="0.25">
      <c r="A11" s="397">
        <v>5</v>
      </c>
      <c r="B11" s="398" t="s">
        <v>507</v>
      </c>
      <c r="C11" s="691" t="s">
        <v>508</v>
      </c>
      <c r="D11" s="692"/>
      <c r="E11" s="399">
        <v>2125.0007608300002</v>
      </c>
      <c r="F11" s="400">
        <v>2276.2507608300002</v>
      </c>
      <c r="G11" s="400">
        <v>2464.7282408299998</v>
      </c>
      <c r="H11" s="400">
        <v>2527.6423300000001</v>
      </c>
      <c r="I11" s="401">
        <v>1225.0003300000001</v>
      </c>
      <c r="J11" s="402">
        <v>980.00033000000008</v>
      </c>
      <c r="N11" s="374"/>
      <c r="O11" s="374"/>
      <c r="P11" s="374"/>
      <c r="Q11" s="403"/>
      <c r="R11" s="403"/>
      <c r="S11" s="404"/>
      <c r="T11" s="404"/>
      <c r="U11" s="404"/>
      <c r="V11" s="404"/>
      <c r="W11" s="404"/>
      <c r="X11" s="404"/>
      <c r="Y11" s="404"/>
    </row>
    <row r="12" spans="1:25" ht="28.5" customHeight="1" thickBot="1" x14ac:dyDescent="0.2">
      <c r="A12" s="405">
        <v>6</v>
      </c>
      <c r="B12" s="406" t="s">
        <v>509</v>
      </c>
      <c r="C12" s="693" t="s">
        <v>510</v>
      </c>
      <c r="D12" s="694" t="s">
        <v>511</v>
      </c>
      <c r="E12" s="407">
        <f t="shared" ref="E12:J12" si="1">E11/E10</f>
        <v>0.11480044732425775</v>
      </c>
      <c r="F12" s="408">
        <f t="shared" si="1"/>
        <v>0.11478841482068818</v>
      </c>
      <c r="G12" s="408">
        <f t="shared" si="1"/>
        <v>0.1195697633974985</v>
      </c>
      <c r="H12" s="408">
        <f t="shared" si="1"/>
        <v>0.12077222260552867</v>
      </c>
      <c r="I12" s="409">
        <f t="shared" si="1"/>
        <v>5.8106024445221623E-2</v>
      </c>
      <c r="J12" s="410">
        <f t="shared" si="1"/>
        <v>4.5955751285306899E-2</v>
      </c>
      <c r="N12" s="374"/>
      <c r="O12" s="374"/>
      <c r="P12" s="374"/>
      <c r="Q12" s="403"/>
      <c r="R12" s="403"/>
      <c r="S12" s="404"/>
      <c r="T12" s="404"/>
      <c r="U12" s="404"/>
      <c r="V12" s="404"/>
      <c r="W12" s="404"/>
      <c r="X12" s="404"/>
      <c r="Y12" s="404"/>
    </row>
    <row r="13" spans="1:25" ht="12.75" hidden="1" x14ac:dyDescent="0.2">
      <c r="B13" s="411"/>
      <c r="C13" s="412" t="s">
        <v>512</v>
      </c>
      <c r="D13" s="413" t="s">
        <v>513</v>
      </c>
      <c r="E13" s="413"/>
      <c r="F13" s="414"/>
      <c r="N13" s="374"/>
      <c r="O13" s="374"/>
      <c r="P13" s="415"/>
      <c r="Q13" s="403"/>
      <c r="R13" s="403"/>
      <c r="S13" s="404"/>
      <c r="T13" s="404"/>
      <c r="U13" s="404"/>
      <c r="V13" s="404"/>
      <c r="W13" s="404"/>
      <c r="X13" s="404"/>
      <c r="Y13" s="404"/>
    </row>
    <row r="14" spans="1:25" ht="12" hidden="1" x14ac:dyDescent="0.2">
      <c r="B14" s="416"/>
      <c r="C14" s="412" t="s">
        <v>514</v>
      </c>
      <c r="D14" s="413" t="s">
        <v>515</v>
      </c>
      <c r="E14" s="413"/>
      <c r="F14" s="414"/>
      <c r="N14" s="374"/>
      <c r="O14" s="374"/>
      <c r="P14" s="415"/>
      <c r="Q14" s="403"/>
      <c r="R14" s="403"/>
      <c r="S14" s="404"/>
      <c r="T14" s="404"/>
      <c r="U14" s="404"/>
      <c r="V14" s="404"/>
      <c r="W14" s="404"/>
      <c r="X14" s="404"/>
      <c r="Y14" s="404"/>
    </row>
    <row r="15" spans="1:25" ht="45.75" customHeight="1" x14ac:dyDescent="0.15">
      <c r="F15" s="417"/>
      <c r="N15" s="374"/>
      <c r="O15" s="374"/>
      <c r="P15" s="374"/>
      <c r="Q15" s="403"/>
      <c r="R15" s="403"/>
      <c r="S15" s="404"/>
      <c r="T15" s="404"/>
      <c r="U15" s="404"/>
      <c r="V15" s="404"/>
      <c r="W15" s="404"/>
      <c r="X15" s="404"/>
      <c r="Y15" s="404"/>
    </row>
    <row r="16" spans="1:25" s="418" customFormat="1" ht="17.25" customHeight="1" x14ac:dyDescent="0.15">
      <c r="B16" s="363"/>
      <c r="C16" s="685" t="s">
        <v>105</v>
      </c>
      <c r="D16" s="685"/>
      <c r="E16" s="685"/>
      <c r="F16" s="685"/>
      <c r="G16" s="685"/>
      <c r="H16" s="685"/>
      <c r="I16" s="685"/>
      <c r="J16" s="685"/>
      <c r="K16" s="362"/>
      <c r="L16" s="362"/>
      <c r="M16" s="362"/>
      <c r="N16" s="374"/>
      <c r="O16" s="374"/>
      <c r="P16" s="374"/>
      <c r="Q16" s="419"/>
      <c r="R16" s="419"/>
      <c r="S16" s="420"/>
      <c r="T16" s="420"/>
      <c r="U16" s="420"/>
      <c r="V16" s="420"/>
      <c r="W16" s="420"/>
      <c r="X16" s="420"/>
      <c r="Y16" s="420"/>
    </row>
    <row r="17" spans="1:25" ht="11.25" customHeight="1" thickBot="1" x14ac:dyDescent="0.25">
      <c r="A17" s="364"/>
      <c r="B17" s="364"/>
      <c r="C17" s="366"/>
      <c r="F17" s="362"/>
      <c r="J17" s="367" t="s">
        <v>549</v>
      </c>
      <c r="N17" s="374"/>
      <c r="O17" s="374"/>
      <c r="P17" s="374"/>
      <c r="Q17" s="396"/>
      <c r="R17" s="396"/>
      <c r="S17" s="404"/>
      <c r="T17" s="404"/>
      <c r="U17" s="404"/>
      <c r="V17" s="404"/>
      <c r="W17" s="404"/>
      <c r="X17" s="404"/>
      <c r="Y17" s="404"/>
    </row>
    <row r="18" spans="1:25" ht="18" customHeight="1" thickBot="1" x14ac:dyDescent="0.2">
      <c r="A18" s="368" t="s">
        <v>490</v>
      </c>
      <c r="B18" s="369" t="s">
        <v>491</v>
      </c>
      <c r="C18" s="679" t="s">
        <v>492</v>
      </c>
      <c r="D18" s="680"/>
      <c r="E18" s="370">
        <v>2016</v>
      </c>
      <c r="F18" s="371" t="s">
        <v>493</v>
      </c>
      <c r="G18" s="371" t="s">
        <v>494</v>
      </c>
      <c r="H18" s="371" t="s">
        <v>495</v>
      </c>
      <c r="I18" s="372" t="s">
        <v>496</v>
      </c>
      <c r="J18" s="373" t="s">
        <v>497</v>
      </c>
      <c r="N18" s="374"/>
      <c r="O18" s="375"/>
      <c r="P18" s="375"/>
      <c r="Q18" s="364"/>
      <c r="R18" s="364"/>
      <c r="S18" s="376"/>
      <c r="T18" s="376"/>
      <c r="U18" s="376"/>
      <c r="V18" s="376"/>
      <c r="W18" s="376"/>
      <c r="X18" s="376"/>
      <c r="Y18" s="376"/>
    </row>
    <row r="19" spans="1:25" ht="17.25" hidden="1" customHeight="1" x14ac:dyDescent="0.15">
      <c r="A19" s="421">
        <v>1</v>
      </c>
      <c r="B19" s="422" t="s">
        <v>498</v>
      </c>
      <c r="C19" s="695" t="s">
        <v>499</v>
      </c>
      <c r="D19" s="696"/>
      <c r="E19" s="423">
        <f t="shared" ref="E19:J21" si="2">E7</f>
        <v>5835.2682822500001</v>
      </c>
      <c r="F19" s="424">
        <f t="shared" si="2"/>
        <v>6232.3878350000005</v>
      </c>
      <c r="G19" s="425">
        <f t="shared" si="2"/>
        <v>6427.05</v>
      </c>
      <c r="H19" s="425">
        <f t="shared" si="2"/>
        <v>6830.55</v>
      </c>
      <c r="I19" s="426">
        <f t="shared" si="2"/>
        <v>7030.65</v>
      </c>
      <c r="J19" s="425">
        <f t="shared" si="2"/>
        <v>7230.65</v>
      </c>
      <c r="N19" s="364"/>
      <c r="O19" s="364"/>
      <c r="P19" s="364"/>
      <c r="Q19" s="364"/>
      <c r="R19" s="364"/>
      <c r="S19" s="374"/>
      <c r="T19" s="374"/>
      <c r="U19" s="374"/>
      <c r="V19" s="374"/>
      <c r="W19" s="374"/>
      <c r="X19" s="374"/>
      <c r="Y19" s="374"/>
    </row>
    <row r="20" spans="1:25" ht="17.25" hidden="1" customHeight="1" x14ac:dyDescent="0.15">
      <c r="A20" s="384">
        <v>2</v>
      </c>
      <c r="B20" s="427" t="s">
        <v>500</v>
      </c>
      <c r="C20" s="677" t="s">
        <v>501</v>
      </c>
      <c r="D20" s="678"/>
      <c r="E20" s="423">
        <f t="shared" si="2"/>
        <v>221.20803264000003</v>
      </c>
      <c r="F20" s="424">
        <f t="shared" si="2"/>
        <v>244.149</v>
      </c>
      <c r="G20" s="425">
        <f t="shared" si="2"/>
        <v>613.38099999999997</v>
      </c>
      <c r="H20" s="425">
        <f t="shared" si="2"/>
        <v>449.745</v>
      </c>
      <c r="I20" s="426">
        <f t="shared" si="2"/>
        <v>345.68299999999999</v>
      </c>
      <c r="J20" s="425">
        <f t="shared" si="2"/>
        <v>378.17099999999999</v>
      </c>
      <c r="N20" s="376"/>
      <c r="O20" s="415"/>
      <c r="P20" s="415"/>
      <c r="Q20" s="415"/>
      <c r="R20" s="415"/>
      <c r="S20" s="428"/>
      <c r="T20" s="428"/>
      <c r="U20" s="428"/>
      <c r="V20" s="428"/>
      <c r="W20" s="428"/>
      <c r="X20" s="428"/>
      <c r="Y20" s="428"/>
    </row>
    <row r="21" spans="1:25" ht="42" hidden="1" customHeight="1" x14ac:dyDescent="0.15">
      <c r="A21" s="384">
        <v>3</v>
      </c>
      <c r="B21" s="429" t="s">
        <v>502</v>
      </c>
      <c r="C21" s="677" t="s">
        <v>503</v>
      </c>
      <c r="D21" s="678"/>
      <c r="E21" s="423">
        <f t="shared" si="2"/>
        <v>12453.911147519999</v>
      </c>
      <c r="F21" s="424">
        <f t="shared" si="2"/>
        <v>13353.432629999999</v>
      </c>
      <c r="G21" s="425">
        <f t="shared" si="2"/>
        <v>13572.876</v>
      </c>
      <c r="H21" s="425">
        <f t="shared" si="2"/>
        <v>13648.708999999999</v>
      </c>
      <c r="I21" s="426">
        <f t="shared" si="2"/>
        <v>13705.823999999999</v>
      </c>
      <c r="J21" s="425">
        <f t="shared" si="2"/>
        <v>13716.047</v>
      </c>
      <c r="N21" s="364"/>
      <c r="O21" s="374"/>
      <c r="P21" s="430"/>
      <c r="Q21" s="431"/>
      <c r="R21" s="431"/>
      <c r="S21" s="432"/>
      <c r="T21" s="432"/>
      <c r="U21" s="432"/>
      <c r="V21" s="432"/>
      <c r="W21" s="432"/>
      <c r="X21" s="432"/>
      <c r="Y21" s="432"/>
    </row>
    <row r="22" spans="1:25" ht="16.5" customHeight="1" thickBot="1" x14ac:dyDescent="0.2">
      <c r="A22" s="433">
        <v>4</v>
      </c>
      <c r="B22" s="434" t="s">
        <v>504</v>
      </c>
      <c r="C22" s="699" t="s">
        <v>505</v>
      </c>
      <c r="D22" s="700"/>
      <c r="E22" s="392">
        <f t="shared" ref="E22:J22" si="3">SUM(E19:E21)</f>
        <v>18510.387462409999</v>
      </c>
      <c r="F22" s="435">
        <f t="shared" si="3"/>
        <v>19829.969465000002</v>
      </c>
      <c r="G22" s="436">
        <f t="shared" si="3"/>
        <v>20613.307000000001</v>
      </c>
      <c r="H22" s="436">
        <f t="shared" si="3"/>
        <v>20929.004000000001</v>
      </c>
      <c r="I22" s="436">
        <f t="shared" si="3"/>
        <v>21082.156999999999</v>
      </c>
      <c r="J22" s="437">
        <f t="shared" si="3"/>
        <v>21324.868000000002</v>
      </c>
      <c r="N22" s="364"/>
      <c r="O22" s="374"/>
      <c r="P22" s="430"/>
      <c r="Q22" s="419"/>
      <c r="R22" s="419"/>
      <c r="S22" s="432"/>
      <c r="T22" s="432"/>
      <c r="U22" s="432"/>
      <c r="V22" s="432"/>
      <c r="W22" s="432"/>
      <c r="X22" s="432"/>
      <c r="Y22" s="432"/>
    </row>
    <row r="23" spans="1:25" ht="5.25" customHeight="1" thickBot="1" x14ac:dyDescent="0.2">
      <c r="A23" s="438"/>
      <c r="B23" s="439"/>
      <c r="C23" s="440"/>
      <c r="D23" s="441"/>
      <c r="E23" s="442"/>
      <c r="F23" s="441"/>
      <c r="G23" s="441"/>
      <c r="H23" s="443"/>
      <c r="I23" s="443"/>
      <c r="J23" s="444"/>
      <c r="N23" s="364"/>
      <c r="O23" s="701"/>
      <c r="P23" s="702"/>
      <c r="Q23" s="686"/>
      <c r="R23" s="686"/>
      <c r="S23" s="432"/>
      <c r="T23" s="432"/>
      <c r="U23" s="432"/>
      <c r="V23" s="432"/>
      <c r="W23" s="432"/>
      <c r="X23" s="432"/>
      <c r="Y23" s="432"/>
    </row>
    <row r="24" spans="1:25" ht="15" customHeight="1" x14ac:dyDescent="0.15">
      <c r="A24" s="445">
        <v>5</v>
      </c>
      <c r="B24" s="446" t="s">
        <v>516</v>
      </c>
      <c r="C24" s="687" t="s">
        <v>517</v>
      </c>
      <c r="D24" s="688"/>
      <c r="E24" s="447">
        <v>2445.8270034000002</v>
      </c>
      <c r="F24" s="448">
        <v>2563.9307608300001</v>
      </c>
      <c r="G24" s="449">
        <v>2720.0382408299997</v>
      </c>
      <c r="H24" s="449">
        <v>2750.9523300000001</v>
      </c>
      <c r="I24" s="449">
        <v>1416.31033</v>
      </c>
      <c r="J24" s="450">
        <v>1139.31033</v>
      </c>
    </row>
    <row r="25" spans="1:25" ht="15" customHeight="1" x14ac:dyDescent="0.15">
      <c r="A25" s="451">
        <v>6</v>
      </c>
      <c r="B25" s="452" t="s">
        <v>518</v>
      </c>
      <c r="C25" s="677" t="s">
        <v>519</v>
      </c>
      <c r="D25" s="678"/>
      <c r="E25" s="390">
        <v>77.100534740000001</v>
      </c>
      <c r="F25" s="453">
        <v>78.44</v>
      </c>
      <c r="G25" s="454">
        <v>76.453000000000003</v>
      </c>
      <c r="H25" s="454">
        <v>74.465999999999994</v>
      </c>
      <c r="I25" s="454">
        <v>74.3</v>
      </c>
      <c r="J25" s="455">
        <v>74.3</v>
      </c>
    </row>
    <row r="26" spans="1:25" ht="15" customHeight="1" x14ac:dyDescent="0.15">
      <c r="A26" s="451">
        <v>7</v>
      </c>
      <c r="B26" s="452" t="s">
        <v>520</v>
      </c>
      <c r="C26" s="677" t="s">
        <v>521</v>
      </c>
      <c r="D26" s="678"/>
      <c r="E26" s="390">
        <v>0</v>
      </c>
      <c r="F26" s="387">
        <v>0</v>
      </c>
      <c r="G26" s="388">
        <v>0</v>
      </c>
      <c r="H26" s="388">
        <v>0</v>
      </c>
      <c r="I26" s="388">
        <v>0</v>
      </c>
      <c r="J26" s="389">
        <v>0</v>
      </c>
    </row>
    <row r="27" spans="1:25" ht="15.75" customHeight="1" thickBot="1" x14ac:dyDescent="0.2">
      <c r="A27" s="456">
        <v>8</v>
      </c>
      <c r="B27" s="457" t="s">
        <v>522</v>
      </c>
      <c r="C27" s="697" t="s">
        <v>523</v>
      </c>
      <c r="D27" s="698"/>
      <c r="E27" s="458">
        <f t="shared" ref="E27:J27" si="4">SUM(E24:E26)</f>
        <v>2522.9275381400003</v>
      </c>
      <c r="F27" s="435">
        <f t="shared" si="4"/>
        <v>2642.3707608300001</v>
      </c>
      <c r="G27" s="436">
        <f t="shared" si="4"/>
        <v>2796.4912408299997</v>
      </c>
      <c r="H27" s="436">
        <f t="shared" si="4"/>
        <v>2825.41833</v>
      </c>
      <c r="I27" s="436">
        <f t="shared" si="4"/>
        <v>1490.61033</v>
      </c>
      <c r="J27" s="437">
        <f t="shared" si="4"/>
        <v>1213.61033</v>
      </c>
    </row>
    <row r="28" spans="1:25" ht="3.75" customHeight="1" thickBot="1" x14ac:dyDescent="0.2">
      <c r="A28" s="459"/>
      <c r="B28" s="460"/>
      <c r="C28" s="461"/>
      <c r="D28" s="462"/>
      <c r="E28" s="442"/>
      <c r="F28" s="462"/>
      <c r="G28" s="462"/>
      <c r="H28" s="463"/>
      <c r="I28" s="463"/>
      <c r="J28" s="464"/>
    </row>
    <row r="29" spans="1:25" ht="27" customHeight="1" x14ac:dyDescent="0.15">
      <c r="A29" s="445">
        <v>9</v>
      </c>
      <c r="B29" s="446" t="s">
        <v>524</v>
      </c>
      <c r="C29" s="703" t="s">
        <v>525</v>
      </c>
      <c r="D29" s="704"/>
      <c r="E29" s="447">
        <v>1745.9148784499996</v>
      </c>
      <c r="F29" s="424">
        <v>205</v>
      </c>
      <c r="G29" s="426">
        <v>961.91200000000003</v>
      </c>
      <c r="H29" s="426">
        <v>935.70600000000002</v>
      </c>
      <c r="I29" s="426">
        <v>1706.95</v>
      </c>
      <c r="J29" s="425">
        <v>245</v>
      </c>
    </row>
    <row r="30" spans="1:25" ht="15" customHeight="1" x14ac:dyDescent="0.15">
      <c r="A30" s="451">
        <v>10</v>
      </c>
      <c r="B30" s="452" t="s">
        <v>526</v>
      </c>
      <c r="C30" s="705" t="s">
        <v>527</v>
      </c>
      <c r="D30" s="706"/>
      <c r="E30" s="390">
        <v>31.537628719999994</v>
      </c>
      <c r="F30" s="387">
        <v>29.44</v>
      </c>
      <c r="G30" s="388">
        <v>32</v>
      </c>
      <c r="H30" s="388">
        <v>40</v>
      </c>
      <c r="I30" s="388">
        <v>35</v>
      </c>
      <c r="J30" s="389">
        <v>16</v>
      </c>
    </row>
    <row r="31" spans="1:25" ht="15.75" customHeight="1" thickBot="1" x14ac:dyDescent="0.2">
      <c r="A31" s="456">
        <v>11</v>
      </c>
      <c r="B31" s="457" t="s">
        <v>528</v>
      </c>
      <c r="C31" s="697" t="s">
        <v>529</v>
      </c>
      <c r="D31" s="698"/>
      <c r="E31" s="458">
        <f t="shared" ref="E31:J31" si="5">SUM(E29:E30)</f>
        <v>1777.4525071699995</v>
      </c>
      <c r="F31" s="435">
        <f t="shared" si="5"/>
        <v>234.44</v>
      </c>
      <c r="G31" s="436">
        <f t="shared" si="5"/>
        <v>993.91200000000003</v>
      </c>
      <c r="H31" s="436">
        <f t="shared" si="5"/>
        <v>975.70600000000002</v>
      </c>
      <c r="I31" s="436">
        <f t="shared" si="5"/>
        <v>1741.95</v>
      </c>
      <c r="J31" s="437">
        <f t="shared" si="5"/>
        <v>261</v>
      </c>
    </row>
    <row r="32" spans="1:25" ht="5.25" customHeight="1" thickBot="1" x14ac:dyDescent="0.2">
      <c r="A32" s="459"/>
      <c r="B32" s="460"/>
      <c r="C32" s="461"/>
      <c r="D32" s="462"/>
      <c r="E32" s="465"/>
      <c r="F32" s="462"/>
      <c r="G32" s="462"/>
      <c r="H32" s="463"/>
      <c r="I32" s="463"/>
      <c r="J32" s="464"/>
    </row>
    <row r="33" spans="1:10" ht="15" customHeight="1" x14ac:dyDescent="0.15">
      <c r="A33" s="421">
        <v>12</v>
      </c>
      <c r="B33" s="466" t="s">
        <v>530</v>
      </c>
      <c r="C33" s="703" t="s">
        <v>531</v>
      </c>
      <c r="D33" s="704"/>
      <c r="E33" s="447">
        <v>16889.75</v>
      </c>
      <c r="F33" s="448">
        <v>18715.993505999999</v>
      </c>
      <c r="G33" s="449">
        <v>19684.009999999998</v>
      </c>
      <c r="H33" s="449">
        <v>19691.672999999999</v>
      </c>
      <c r="I33" s="449">
        <v>19848.509999999998</v>
      </c>
      <c r="J33" s="450">
        <v>19820.596000000001</v>
      </c>
    </row>
    <row r="34" spans="1:10" ht="15.75" customHeight="1" thickBot="1" x14ac:dyDescent="0.2">
      <c r="A34" s="456">
        <v>13</v>
      </c>
      <c r="B34" s="457" t="s">
        <v>532</v>
      </c>
      <c r="C34" s="697" t="s">
        <v>533</v>
      </c>
      <c r="D34" s="698"/>
      <c r="E34" s="458">
        <f t="shared" ref="E34:J34" si="6">SUM(E33)</f>
        <v>16889.75</v>
      </c>
      <c r="F34" s="435">
        <f t="shared" si="6"/>
        <v>18715.993505999999</v>
      </c>
      <c r="G34" s="436">
        <f t="shared" si="6"/>
        <v>19684.009999999998</v>
      </c>
      <c r="H34" s="436">
        <f t="shared" si="6"/>
        <v>19691.672999999999</v>
      </c>
      <c r="I34" s="436">
        <f t="shared" si="6"/>
        <v>19848.509999999998</v>
      </c>
      <c r="J34" s="437">
        <f t="shared" si="6"/>
        <v>19820.596000000001</v>
      </c>
    </row>
    <row r="35" spans="1:10" ht="3.75" customHeight="1" thickBot="1" x14ac:dyDescent="0.2">
      <c r="A35" s="459"/>
      <c r="B35" s="460"/>
      <c r="C35" s="461"/>
      <c r="D35" s="462"/>
      <c r="E35" s="465"/>
      <c r="F35" s="462"/>
      <c r="G35" s="462"/>
      <c r="H35" s="463"/>
      <c r="I35" s="463"/>
      <c r="J35" s="464"/>
    </row>
    <row r="36" spans="1:10" ht="24.75" customHeight="1" thickBot="1" x14ac:dyDescent="0.2">
      <c r="A36" s="467">
        <v>14</v>
      </c>
      <c r="B36" s="468" t="s">
        <v>534</v>
      </c>
      <c r="C36" s="708" t="s">
        <v>535</v>
      </c>
      <c r="D36" s="709"/>
      <c r="E36" s="469">
        <f t="shared" ref="E36:J36" si="7">E22-(E34-E30)</f>
        <v>1652.1750911300005</v>
      </c>
      <c r="F36" s="470">
        <f t="shared" si="7"/>
        <v>1143.4159590000017</v>
      </c>
      <c r="G36" s="471">
        <f t="shared" si="7"/>
        <v>961.2970000000023</v>
      </c>
      <c r="H36" s="471">
        <f t="shared" si="7"/>
        <v>1277.3310000000019</v>
      </c>
      <c r="I36" s="471">
        <f t="shared" si="7"/>
        <v>1268.6470000000008</v>
      </c>
      <c r="J36" s="472">
        <f t="shared" si="7"/>
        <v>1520.2720000000008</v>
      </c>
    </row>
    <row r="37" spans="1:10" ht="6" customHeight="1" thickTop="1" thickBot="1" x14ac:dyDescent="0.2">
      <c r="A37" s="473"/>
      <c r="B37" s="474"/>
      <c r="C37" s="475"/>
      <c r="D37" s="476"/>
      <c r="E37" s="477"/>
      <c r="F37" s="476"/>
      <c r="G37" s="476"/>
      <c r="H37" s="478"/>
      <c r="I37" s="478"/>
      <c r="J37" s="479"/>
    </row>
    <row r="38" spans="1:10" ht="33" customHeight="1" x14ac:dyDescent="0.15">
      <c r="A38" s="421">
        <v>15</v>
      </c>
      <c r="B38" s="446" t="s">
        <v>536</v>
      </c>
      <c r="C38" s="710" t="s">
        <v>537</v>
      </c>
      <c r="D38" s="711"/>
      <c r="E38" s="480">
        <f t="shared" ref="E38:J38" si="8">E27/E22</f>
        <v>0.1362979323508727</v>
      </c>
      <c r="F38" s="481">
        <f t="shared" si="8"/>
        <v>0.13325137819772229</v>
      </c>
      <c r="G38" s="482">
        <f t="shared" si="8"/>
        <v>0.13566436675250601</v>
      </c>
      <c r="H38" s="482">
        <f t="shared" si="8"/>
        <v>0.13500013330782487</v>
      </c>
      <c r="I38" s="482">
        <f t="shared" si="8"/>
        <v>7.0704830155661966E-2</v>
      </c>
      <c r="J38" s="483">
        <f t="shared" si="8"/>
        <v>5.6910567043134797E-2</v>
      </c>
    </row>
    <row r="39" spans="1:10" ht="33.75" customHeight="1" x14ac:dyDescent="0.15">
      <c r="A39" s="384">
        <v>16</v>
      </c>
      <c r="B39" s="452" t="s">
        <v>538</v>
      </c>
      <c r="C39" s="712" t="s">
        <v>539</v>
      </c>
      <c r="D39" s="713"/>
      <c r="E39" s="484">
        <f t="shared" ref="E39:J39" si="9">E31/E22</f>
        <v>9.6024597582279908E-2</v>
      </c>
      <c r="F39" s="485">
        <f t="shared" si="9"/>
        <v>1.1822509379744018E-2</v>
      </c>
      <c r="G39" s="486">
        <f t="shared" si="9"/>
        <v>4.8217008556657115E-2</v>
      </c>
      <c r="H39" s="486">
        <f t="shared" si="9"/>
        <v>4.6619800923159073E-2</v>
      </c>
      <c r="I39" s="486">
        <f t="shared" si="9"/>
        <v>8.2626744502471927E-2</v>
      </c>
      <c r="J39" s="487">
        <f t="shared" si="9"/>
        <v>1.2239231680121067E-2</v>
      </c>
    </row>
    <row r="40" spans="1:10" ht="33" customHeight="1" thickBot="1" x14ac:dyDescent="0.2">
      <c r="A40" s="433">
        <v>17</v>
      </c>
      <c r="B40" s="457" t="s">
        <v>540</v>
      </c>
      <c r="C40" s="697" t="s">
        <v>541</v>
      </c>
      <c r="D40" s="698"/>
      <c r="E40" s="488">
        <f t="shared" ref="E40:J40" si="10">E36/E30</f>
        <v>52.387422840140559</v>
      </c>
      <c r="F40" s="489">
        <f t="shared" si="10"/>
        <v>38.83885730298919</v>
      </c>
      <c r="G40" s="490">
        <f t="shared" si="10"/>
        <v>30.040531250000072</v>
      </c>
      <c r="H40" s="490">
        <f t="shared" si="10"/>
        <v>31.933275000000048</v>
      </c>
      <c r="I40" s="490">
        <f t="shared" si="10"/>
        <v>36.247057142857166</v>
      </c>
      <c r="J40" s="491">
        <f t="shared" si="10"/>
        <v>95.017000000000053</v>
      </c>
    </row>
    <row r="41" spans="1:10" ht="35.25" customHeight="1" x14ac:dyDescent="0.15">
      <c r="A41" s="492"/>
      <c r="B41" s="492"/>
      <c r="C41" s="493"/>
      <c r="D41" s="494"/>
      <c r="E41" s="494"/>
      <c r="F41" s="495"/>
      <c r="G41" s="495"/>
    </row>
    <row r="42" spans="1:10" ht="18" customHeight="1" x14ac:dyDescent="0.15">
      <c r="A42" s="492"/>
      <c r="B42" s="492"/>
      <c r="C42" s="685" t="s">
        <v>106</v>
      </c>
      <c r="D42" s="685"/>
      <c r="E42" s="685"/>
      <c r="F42" s="685"/>
      <c r="G42" s="685"/>
      <c r="H42" s="685"/>
      <c r="I42" s="685"/>
      <c r="J42" s="685"/>
    </row>
    <row r="43" spans="1:10" ht="12" thickBot="1" x14ac:dyDescent="0.2">
      <c r="C43" s="412"/>
      <c r="D43" s="413"/>
      <c r="E43" s="413"/>
      <c r="F43" s="496"/>
      <c r="G43" s="496"/>
      <c r="J43" s="367" t="s">
        <v>549</v>
      </c>
    </row>
    <row r="44" spans="1:10" ht="18" customHeight="1" thickBot="1" x14ac:dyDescent="0.2">
      <c r="C44" s="714" t="s">
        <v>492</v>
      </c>
      <c r="D44" s="715"/>
      <c r="E44" s="371">
        <v>2016</v>
      </c>
      <c r="F44" s="371" t="s">
        <v>493</v>
      </c>
      <c r="G44" s="371" t="s">
        <v>494</v>
      </c>
      <c r="H44" s="371" t="s">
        <v>495</v>
      </c>
      <c r="I44" s="372" t="s">
        <v>496</v>
      </c>
      <c r="J44" s="373" t="s">
        <v>497</v>
      </c>
    </row>
    <row r="45" spans="1:10" ht="17.25" customHeight="1" x14ac:dyDescent="0.15">
      <c r="A45" s="497"/>
      <c r="C45" s="716" t="s">
        <v>542</v>
      </c>
      <c r="D45" s="717">
        <v>17394.467784840002</v>
      </c>
      <c r="E45" s="498">
        <v>20650.202568020002</v>
      </c>
      <c r="F45" s="454">
        <v>20565.815523000001</v>
      </c>
      <c r="G45" s="388">
        <v>22527.717000000001</v>
      </c>
      <c r="H45" s="388">
        <v>22703.092000000001</v>
      </c>
      <c r="I45" s="388">
        <v>23470.813999999998</v>
      </c>
      <c r="J45" s="389">
        <v>22059.915000000001</v>
      </c>
    </row>
    <row r="46" spans="1:10" ht="17.25" customHeight="1" x14ac:dyDescent="0.15">
      <c r="C46" s="718" t="s">
        <v>543</v>
      </c>
      <c r="D46" s="719"/>
      <c r="E46" s="387">
        <v>18374.597843950003</v>
      </c>
      <c r="F46" s="387">
        <v>19424.340140200002</v>
      </c>
      <c r="G46" s="387">
        <v>20707.652443990002</v>
      </c>
      <c r="H46" s="387">
        <v>21611.706772755002</v>
      </c>
      <c r="I46" s="387">
        <v>22316.859630750001</v>
      </c>
      <c r="J46" s="389">
        <v>22690.3845</v>
      </c>
    </row>
    <row r="47" spans="1:10" ht="17.25" customHeight="1" thickBot="1" x14ac:dyDescent="0.2">
      <c r="C47" s="699" t="s">
        <v>544</v>
      </c>
      <c r="D47" s="700"/>
      <c r="E47" s="387">
        <f>E11</f>
        <v>2125.0007608300002</v>
      </c>
      <c r="F47" s="387">
        <f t="shared" ref="F47:J47" si="11">F11</f>
        <v>2276.2507608300002</v>
      </c>
      <c r="G47" s="387">
        <f t="shared" si="11"/>
        <v>2464.7282408299998</v>
      </c>
      <c r="H47" s="387">
        <f t="shared" si="11"/>
        <v>2527.6423300000001</v>
      </c>
      <c r="I47" s="387">
        <f t="shared" si="11"/>
        <v>1225.0003300000001</v>
      </c>
      <c r="J47" s="389">
        <f t="shared" si="11"/>
        <v>980.00033000000008</v>
      </c>
    </row>
    <row r="48" spans="1:10" ht="19.5" customHeight="1" thickBot="1" x14ac:dyDescent="0.2">
      <c r="C48" s="693" t="s">
        <v>545</v>
      </c>
      <c r="D48" s="707"/>
      <c r="E48" s="499">
        <f t="shared" ref="E48:J48" si="12">(E47)/E46</f>
        <v>0.11564883100446606</v>
      </c>
      <c r="F48" s="499">
        <f t="shared" si="12"/>
        <v>0.11718548709508764</v>
      </c>
      <c r="G48" s="408">
        <f t="shared" si="12"/>
        <v>0.11902499559023359</v>
      </c>
      <c r="H48" s="408">
        <f t="shared" si="12"/>
        <v>0.11695708981145791</v>
      </c>
      <c r="I48" s="408">
        <f t="shared" si="12"/>
        <v>5.4891250394033669E-2</v>
      </c>
      <c r="J48" s="410">
        <f t="shared" si="12"/>
        <v>4.3190115619239508E-2</v>
      </c>
    </row>
    <row r="49" spans="1:7" x14ac:dyDescent="0.15">
      <c r="F49" s="500"/>
      <c r="G49" s="500"/>
    </row>
    <row r="50" spans="1:7" ht="10.5" customHeight="1" x14ac:dyDescent="0.15">
      <c r="A50" s="492"/>
      <c r="B50" s="492"/>
      <c r="C50" s="493" t="s">
        <v>546</v>
      </c>
      <c r="D50" s="494"/>
      <c r="E50" s="494"/>
      <c r="F50" s="495"/>
      <c r="G50" s="495"/>
    </row>
    <row r="51" spans="1:7" x14ac:dyDescent="0.15">
      <c r="F51" s="414"/>
      <c r="G51" s="414"/>
    </row>
    <row r="52" spans="1:7" x14ac:dyDescent="0.15">
      <c r="F52" s="501"/>
      <c r="G52" s="501"/>
    </row>
    <row r="53" spans="1:7" x14ac:dyDescent="0.15">
      <c r="F53" s="496"/>
      <c r="G53" s="496"/>
    </row>
    <row r="54" spans="1:7" x14ac:dyDescent="0.15">
      <c r="F54" s="496"/>
      <c r="G54" s="496"/>
    </row>
    <row r="55" spans="1:7" ht="10.5" customHeight="1" x14ac:dyDescent="0.15">
      <c r="F55" s="414"/>
      <c r="G55" s="414"/>
    </row>
    <row r="56" spans="1:7" ht="10.5" customHeight="1" x14ac:dyDescent="0.15">
      <c r="F56" s="417"/>
      <c r="G56" s="417"/>
    </row>
    <row r="57" spans="1:7" ht="10.5" customHeight="1" x14ac:dyDescent="0.15"/>
    <row r="59" spans="1:7" ht="21.75" customHeight="1" x14ac:dyDescent="0.15"/>
    <row r="60" spans="1:7" ht="10.5" customHeight="1" x14ac:dyDescent="0.15"/>
    <row r="62" spans="1:7" ht="11.25" customHeight="1" x14ac:dyDescent="0.15"/>
    <row r="64" spans="1:7" ht="10.5" customHeight="1" x14ac:dyDescent="0.15"/>
    <row r="67" spans="6:7" ht="11.25" customHeight="1" x14ac:dyDescent="0.15"/>
    <row r="70" spans="6:7" ht="10.5" customHeight="1" x14ac:dyDescent="0.15"/>
    <row r="71" spans="6:7" ht="10.5" customHeight="1" x14ac:dyDescent="0.15"/>
    <row r="72" spans="6:7" ht="11.25" customHeight="1" x14ac:dyDescent="0.15"/>
    <row r="74" spans="6:7" ht="11.25" customHeight="1" x14ac:dyDescent="0.15"/>
    <row r="77" spans="6:7" ht="10.5" customHeight="1" x14ac:dyDescent="0.15">
      <c r="F77" s="362"/>
      <c r="G77" s="362"/>
    </row>
    <row r="78" spans="6:7" ht="10.5" customHeight="1" x14ac:dyDescent="0.15">
      <c r="F78" s="362"/>
      <c r="G78" s="362"/>
    </row>
    <row r="79" spans="6:7" ht="11.25" customHeight="1" x14ac:dyDescent="0.15">
      <c r="F79" s="362"/>
      <c r="G79" s="362"/>
    </row>
    <row r="80" spans="6:7" x14ac:dyDescent="0.15">
      <c r="F80" s="362"/>
      <c r="G80" s="362"/>
    </row>
    <row r="81" spans="6:7" x14ac:dyDescent="0.15">
      <c r="F81" s="362"/>
      <c r="G81" s="362"/>
    </row>
    <row r="82" spans="6:7" x14ac:dyDescent="0.15">
      <c r="F82" s="362"/>
      <c r="G82" s="362"/>
    </row>
    <row r="83" spans="6:7" x14ac:dyDescent="0.15">
      <c r="F83" s="362"/>
      <c r="G83" s="362"/>
    </row>
    <row r="84" spans="6:7" x14ac:dyDescent="0.15">
      <c r="F84" s="362"/>
      <c r="G84" s="362"/>
    </row>
    <row r="85" spans="6:7" x14ac:dyDescent="0.15">
      <c r="F85" s="362"/>
      <c r="G85" s="362"/>
    </row>
    <row r="86" spans="6:7" x14ac:dyDescent="0.15">
      <c r="F86" s="362"/>
      <c r="G86" s="362"/>
    </row>
    <row r="87" spans="6:7" x14ac:dyDescent="0.15">
      <c r="F87" s="362"/>
      <c r="G87" s="362"/>
    </row>
    <row r="88" spans="6:7" x14ac:dyDescent="0.15">
      <c r="F88" s="362"/>
      <c r="G88" s="362"/>
    </row>
    <row r="89" spans="6:7" x14ac:dyDescent="0.15">
      <c r="F89" s="362"/>
      <c r="G89" s="362"/>
    </row>
    <row r="90" spans="6:7" x14ac:dyDescent="0.15">
      <c r="F90" s="362"/>
      <c r="G90" s="362"/>
    </row>
    <row r="91" spans="6:7" x14ac:dyDescent="0.15">
      <c r="F91" s="362"/>
      <c r="G91" s="362"/>
    </row>
    <row r="92" spans="6:7" x14ac:dyDescent="0.15">
      <c r="F92" s="362"/>
      <c r="G92" s="362"/>
    </row>
    <row r="93" spans="6:7" x14ac:dyDescent="0.15">
      <c r="F93" s="362"/>
      <c r="G93" s="362"/>
    </row>
    <row r="94" spans="6:7" x14ac:dyDescent="0.15">
      <c r="F94" s="362"/>
      <c r="G94" s="362"/>
    </row>
    <row r="95" spans="6:7" x14ac:dyDescent="0.15">
      <c r="F95" s="362"/>
      <c r="G95" s="362"/>
    </row>
    <row r="96" spans="6:7" x14ac:dyDescent="0.15">
      <c r="F96" s="362"/>
      <c r="G96" s="362"/>
    </row>
    <row r="97" spans="6:7" x14ac:dyDescent="0.15">
      <c r="F97" s="362"/>
      <c r="G97" s="362"/>
    </row>
    <row r="98" spans="6:7" x14ac:dyDescent="0.15">
      <c r="F98" s="362"/>
      <c r="G98" s="362"/>
    </row>
    <row r="99" spans="6:7" x14ac:dyDescent="0.15">
      <c r="F99" s="362"/>
      <c r="G99" s="362"/>
    </row>
    <row r="100" spans="6:7" x14ac:dyDescent="0.15">
      <c r="F100" s="362"/>
      <c r="G100" s="362"/>
    </row>
    <row r="101" spans="6:7" x14ac:dyDescent="0.15">
      <c r="F101" s="362"/>
      <c r="G101" s="362"/>
    </row>
    <row r="102" spans="6:7" x14ac:dyDescent="0.15">
      <c r="F102" s="362"/>
      <c r="G102" s="362"/>
    </row>
    <row r="103" spans="6:7" x14ac:dyDescent="0.15">
      <c r="F103" s="362"/>
      <c r="G103" s="362"/>
    </row>
    <row r="104" spans="6:7" x14ac:dyDescent="0.15">
      <c r="F104" s="362"/>
      <c r="G104" s="362"/>
    </row>
  </sheetData>
  <mergeCells count="36">
    <mergeCell ref="C48:D48"/>
    <mergeCell ref="C33:D33"/>
    <mergeCell ref="C34:D34"/>
    <mergeCell ref="C36:D36"/>
    <mergeCell ref="C38:D38"/>
    <mergeCell ref="C39:D39"/>
    <mergeCell ref="C40:D40"/>
    <mergeCell ref="C44:D44"/>
    <mergeCell ref="C45:D45"/>
    <mergeCell ref="C46:D46"/>
    <mergeCell ref="C47:D47"/>
    <mergeCell ref="C42:J42"/>
    <mergeCell ref="C31:D31"/>
    <mergeCell ref="C20:D20"/>
    <mergeCell ref="C21:D21"/>
    <mergeCell ref="C22:D22"/>
    <mergeCell ref="O23:P23"/>
    <mergeCell ref="C25:D25"/>
    <mergeCell ref="C26:D26"/>
    <mergeCell ref="C27:D27"/>
    <mergeCell ref="C29:D29"/>
    <mergeCell ref="C30:D30"/>
    <mergeCell ref="Q23:R23"/>
    <mergeCell ref="C24:D24"/>
    <mergeCell ref="C10:D10"/>
    <mergeCell ref="C11:D11"/>
    <mergeCell ref="C12:D12"/>
    <mergeCell ref="C18:D18"/>
    <mergeCell ref="C19:D19"/>
    <mergeCell ref="C16:J16"/>
    <mergeCell ref="C2:J2"/>
    <mergeCell ref="C9:D9"/>
    <mergeCell ref="C6:D6"/>
    <mergeCell ref="C7:D7"/>
    <mergeCell ref="C8:D8"/>
    <mergeCell ref="C4:J4"/>
  </mergeCells>
  <printOptions horizontalCentered="1"/>
  <pageMargins left="0.39370078740157483" right="0.39370078740157483" top="0.98425196850393704" bottom="0.59055118110236227" header="0.51181102362204722" footer="0.31496062992125984"/>
  <pageSetup paperSize="9" scale="68" firstPageNumber="31" orientation="portrait" useFirstPageNumber="1" r:id="rId1"/>
  <headerFooter>
    <oddHeader xml:space="preserve">&amp;L&amp;"Tahoma,Kurzíva"Střednědobý výhled rozpočtu kraje na léta 2019 - 2021
Příloha č. 13&amp;R&amp;"Tahoma,Kurzíva"Ukazatele zadluženosti </oddHeader>
    <oddFooter>&amp;C&amp;"Tahoma,Obyčejné"&amp;P</oddFooter>
  </headerFooter>
  <ignoredErrors>
    <ignoredError sqref="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82"/>
  <sheetViews>
    <sheetView zoomScaleNormal="100" zoomScaleSheetLayoutView="100" workbookViewId="0">
      <selection activeCell="A3" sqref="A3:H3"/>
    </sheetView>
  </sheetViews>
  <sheetFormatPr defaultRowHeight="12.75" x14ac:dyDescent="0.2"/>
  <cols>
    <col min="1" max="1" width="62.7109375" style="2" customWidth="1"/>
    <col min="2" max="2" width="15.7109375" style="12" customWidth="1"/>
    <col min="3" max="5" width="13.7109375" style="13" customWidth="1"/>
    <col min="6" max="6" width="12" style="2" customWidth="1"/>
    <col min="7" max="7" width="11.5703125" style="2" customWidth="1"/>
    <col min="8" max="8" width="11.7109375" style="2" customWidth="1"/>
    <col min="9" max="12" width="14.7109375" style="2" customWidth="1"/>
    <col min="13" max="16384" width="9.140625" style="2"/>
  </cols>
  <sheetData>
    <row r="1" spans="1:8" s="69" customFormat="1" ht="15" customHeight="1" x14ac:dyDescent="0.2">
      <c r="A1" s="68" t="s">
        <v>66</v>
      </c>
      <c r="E1" s="70"/>
      <c r="F1" s="71"/>
      <c r="G1" s="71"/>
      <c r="H1" s="71"/>
    </row>
    <row r="2" spans="1:8" s="76" customFormat="1" ht="6" customHeight="1" x14ac:dyDescent="0.25">
      <c r="A2" s="72"/>
      <c r="B2" s="73"/>
      <c r="C2" s="73"/>
      <c r="D2" s="73"/>
      <c r="E2" s="74"/>
      <c r="F2" s="75"/>
      <c r="G2" s="75"/>
      <c r="H2" s="75"/>
    </row>
    <row r="3" spans="1:8" s="76" customFormat="1" ht="36" customHeight="1" x14ac:dyDescent="0.2">
      <c r="A3" s="588" t="s">
        <v>459</v>
      </c>
      <c r="B3" s="588"/>
      <c r="C3" s="588"/>
      <c r="D3" s="588"/>
      <c r="E3" s="588"/>
      <c r="F3" s="588"/>
      <c r="G3" s="588"/>
      <c r="H3" s="588"/>
    </row>
    <row r="4" spans="1:8" s="76" customFormat="1" ht="11.25" customHeight="1" thickBot="1" x14ac:dyDescent="0.25">
      <c r="A4" s="77"/>
      <c r="B4" s="78"/>
      <c r="C4" s="78"/>
      <c r="D4" s="78"/>
      <c r="E4" s="78"/>
      <c r="F4" s="79"/>
      <c r="G4" s="79"/>
      <c r="H4" s="79"/>
    </row>
    <row r="5" spans="1:8" s="1" customFormat="1" ht="43.5" customHeight="1" thickBot="1" x14ac:dyDescent="0.25">
      <c r="A5" s="27" t="s">
        <v>0</v>
      </c>
      <c r="B5" s="30" t="s">
        <v>75</v>
      </c>
      <c r="C5" s="28" t="s">
        <v>65</v>
      </c>
      <c r="D5" s="28" t="s">
        <v>76</v>
      </c>
      <c r="E5" s="29" t="s">
        <v>77</v>
      </c>
    </row>
    <row r="6" spans="1:8" s="59" customFormat="1" ht="16.5" customHeight="1" x14ac:dyDescent="0.2">
      <c r="A6" s="57" t="s">
        <v>1</v>
      </c>
      <c r="B6" s="58">
        <f t="shared" ref="B6" si="0">B7+B8+B9+B10</f>
        <v>21692894</v>
      </c>
      <c r="C6" s="58">
        <f t="shared" ref="C6" si="1">C7+C8+C9+C10</f>
        <v>22715259</v>
      </c>
      <c r="D6" s="58">
        <f t="shared" ref="D6" si="2">D7+D8+D9+D10</f>
        <v>23447231</v>
      </c>
      <c r="E6" s="62">
        <f t="shared" ref="E6" si="3">E7+E8+E9+E10</f>
        <v>22082106</v>
      </c>
    </row>
    <row r="7" spans="1:8" s="1" customFormat="1" ht="16.5" customHeight="1" x14ac:dyDescent="0.2">
      <c r="A7" s="32" t="s">
        <v>2</v>
      </c>
      <c r="B7" s="34">
        <f>B31</f>
        <v>6427050</v>
      </c>
      <c r="C7" s="31">
        <f t="shared" ref="C7:E7" si="4">C31</f>
        <v>6830550</v>
      </c>
      <c r="D7" s="31">
        <f t="shared" si="4"/>
        <v>7030650</v>
      </c>
      <c r="E7" s="63">
        <f t="shared" si="4"/>
        <v>7230650</v>
      </c>
    </row>
    <row r="8" spans="1:8" s="1" customFormat="1" ht="16.5" customHeight="1" x14ac:dyDescent="0.2">
      <c r="A8" s="32" t="s">
        <v>3</v>
      </c>
      <c r="B8" s="34">
        <f>B36</f>
        <v>613120</v>
      </c>
      <c r="C8" s="31">
        <f t="shared" ref="C8:E8" si="5">C36</f>
        <v>454314</v>
      </c>
      <c r="D8" s="31">
        <f t="shared" si="5"/>
        <v>346450</v>
      </c>
      <c r="E8" s="63">
        <f t="shared" si="5"/>
        <v>378937</v>
      </c>
    </row>
    <row r="9" spans="1:8" s="1" customFormat="1" ht="16.5" customHeight="1" x14ac:dyDescent="0.2">
      <c r="A9" s="32" t="s">
        <v>4</v>
      </c>
      <c r="B9" s="34">
        <f>B55</f>
        <v>66000</v>
      </c>
      <c r="C9" s="31">
        <f t="shared" ref="C9:E9" si="6">C55</f>
        <v>141000</v>
      </c>
      <c r="D9" s="31">
        <f t="shared" si="6"/>
        <v>36000</v>
      </c>
      <c r="E9" s="63">
        <f t="shared" si="6"/>
        <v>36000</v>
      </c>
    </row>
    <row r="10" spans="1:8" s="1" customFormat="1" ht="16.5" customHeight="1" x14ac:dyDescent="0.2">
      <c r="A10" s="32" t="s">
        <v>5</v>
      </c>
      <c r="B10" s="34">
        <f>B58+B63+B64</f>
        <v>14586724</v>
      </c>
      <c r="C10" s="31">
        <f t="shared" ref="C10:E10" si="7">C58+C63+C64</f>
        <v>15289395</v>
      </c>
      <c r="D10" s="31">
        <f t="shared" si="7"/>
        <v>16034131</v>
      </c>
      <c r="E10" s="63">
        <f t="shared" si="7"/>
        <v>14436519</v>
      </c>
    </row>
    <row r="11" spans="1:8" s="59" customFormat="1" ht="16.5" customHeight="1" x14ac:dyDescent="0.2">
      <c r="A11" s="57" t="s">
        <v>6</v>
      </c>
      <c r="B11" s="58">
        <f>B12+B13+B14</f>
        <v>1115371</v>
      </c>
      <c r="C11" s="58">
        <f>C12+C13+C14</f>
        <v>55494</v>
      </c>
      <c r="D11" s="58">
        <f>D12+D13+D14</f>
        <v>-1203707</v>
      </c>
      <c r="E11" s="62">
        <f>E12+E13+E14</f>
        <v>-117107</v>
      </c>
    </row>
    <row r="12" spans="1:8" s="3" customFormat="1" ht="16.5" customHeight="1" x14ac:dyDescent="0.2">
      <c r="A12" s="33" t="s">
        <v>62</v>
      </c>
      <c r="B12" s="34">
        <v>1150390</v>
      </c>
      <c r="C12" s="31">
        <v>998621</v>
      </c>
      <c r="D12" s="31">
        <v>404302</v>
      </c>
      <c r="E12" s="63">
        <v>0</v>
      </c>
    </row>
    <row r="13" spans="1:8" s="4" customFormat="1" ht="16.5" customHeight="1" x14ac:dyDescent="0.2">
      <c r="A13" s="33" t="s">
        <v>63</v>
      </c>
      <c r="B13" s="34">
        <v>-961912</v>
      </c>
      <c r="C13" s="31">
        <v>-935706</v>
      </c>
      <c r="D13" s="31">
        <v>-1706945</v>
      </c>
      <c r="E13" s="63">
        <v>-245000</v>
      </c>
    </row>
    <row r="14" spans="1:8" s="3" customFormat="1" ht="16.5" customHeight="1" x14ac:dyDescent="0.2">
      <c r="A14" s="33" t="s">
        <v>64</v>
      </c>
      <c r="B14" s="34">
        <v>926893</v>
      </c>
      <c r="C14" s="31">
        <v>-7421</v>
      </c>
      <c r="D14" s="31">
        <v>98936</v>
      </c>
      <c r="E14" s="63">
        <v>127893</v>
      </c>
      <c r="F14" s="8"/>
    </row>
    <row r="15" spans="1:8" s="59" customFormat="1" ht="16.5" customHeight="1" x14ac:dyDescent="0.2">
      <c r="A15" s="57" t="s">
        <v>8</v>
      </c>
      <c r="B15" s="58">
        <f>B16+B17+B18+B19+B20+B21+B22+B23</f>
        <v>22808265</v>
      </c>
      <c r="C15" s="58">
        <f t="shared" ref="C15:E15" si="8">C16+C17+C18+C19+C20+C21+C22+C23</f>
        <v>22770753</v>
      </c>
      <c r="D15" s="58">
        <f t="shared" si="8"/>
        <v>22243524</v>
      </c>
      <c r="E15" s="62">
        <f t="shared" si="8"/>
        <v>21964999</v>
      </c>
    </row>
    <row r="16" spans="1:8" s="1" customFormat="1" ht="16.5" customHeight="1" x14ac:dyDescent="0.2">
      <c r="A16" s="33" t="s">
        <v>9</v>
      </c>
      <c r="B16" s="34">
        <f>'Tab. 1 VÝDAJE'!B3</f>
        <v>611017</v>
      </c>
      <c r="C16" s="31">
        <f>'Tab. 1 VÝDAJE'!C3</f>
        <v>616829</v>
      </c>
      <c r="D16" s="31">
        <f>'Tab. 1 VÝDAJE'!D3</f>
        <v>629166</v>
      </c>
      <c r="E16" s="63">
        <f>'Tab. 1 VÝDAJE'!E3</f>
        <v>648041</v>
      </c>
    </row>
    <row r="17" spans="1:8" s="1" customFormat="1" ht="16.5" customHeight="1" x14ac:dyDescent="0.2">
      <c r="A17" s="33" t="s">
        <v>10</v>
      </c>
      <c r="B17" s="34">
        <f>'Tab. 1 VÝDAJE'!B4</f>
        <v>230412</v>
      </c>
      <c r="C17" s="31">
        <f>'Tab. 1 VÝDAJE'!C4</f>
        <v>237642</v>
      </c>
      <c r="D17" s="31">
        <f>'Tab. 1 VÝDAJE'!D4</f>
        <v>232482</v>
      </c>
      <c r="E17" s="63">
        <f>'Tab. 1 VÝDAJE'!E4</f>
        <v>213332</v>
      </c>
    </row>
    <row r="18" spans="1:8" s="1" customFormat="1" ht="16.5" customHeight="1" x14ac:dyDescent="0.2">
      <c r="A18" s="33" t="s">
        <v>70</v>
      </c>
      <c r="B18" s="34">
        <f>'Tab. 1 VÝDAJE'!B14</f>
        <v>2943633</v>
      </c>
      <c r="C18" s="31">
        <f>'Tab. 1 VÝDAJE'!C14</f>
        <v>2961144</v>
      </c>
      <c r="D18" s="31">
        <f>'Tab. 1 VÝDAJE'!D14</f>
        <v>3180034</v>
      </c>
      <c r="E18" s="63">
        <f>'Tab. 1 VÝDAJE'!E14</f>
        <v>3150990</v>
      </c>
    </row>
    <row r="19" spans="1:8" s="1" customFormat="1" ht="16.5" customHeight="1" x14ac:dyDescent="0.2">
      <c r="A19" s="33" t="s">
        <v>11</v>
      </c>
      <c r="B19" s="34">
        <f>'Tab. 1 VÝDAJE'!B28</f>
        <v>2478254</v>
      </c>
      <c r="C19" s="31">
        <f>'Tab. 1 VÝDAJE'!C28</f>
        <v>2502899</v>
      </c>
      <c r="D19" s="31">
        <f>'Tab. 1 VÝDAJE'!D28</f>
        <v>2527928</v>
      </c>
      <c r="E19" s="63">
        <f>'Tab. 1 VÝDAJE'!E28</f>
        <v>2553207</v>
      </c>
    </row>
    <row r="20" spans="1:8" s="1" customFormat="1" ht="16.5" customHeight="1" x14ac:dyDescent="0.2">
      <c r="A20" s="33" t="s">
        <v>73</v>
      </c>
      <c r="B20" s="34">
        <f>'Tab. 1 VÝDAJE'!B35</f>
        <v>236950</v>
      </c>
      <c r="C20" s="31">
        <f>'Tab. 1 VÝDAJE'!C35</f>
        <v>190959</v>
      </c>
      <c r="D20" s="31">
        <f>'Tab. 1 VÝDAJE'!D35</f>
        <v>87000</v>
      </c>
      <c r="E20" s="63">
        <f>'Tab. 1 VÝDAJE'!E35</f>
        <v>87000</v>
      </c>
    </row>
    <row r="21" spans="1:8" s="1" customFormat="1" ht="16.5" customHeight="1" x14ac:dyDescent="0.2">
      <c r="A21" s="33" t="s">
        <v>71</v>
      </c>
      <c r="B21" s="34">
        <f>'Tab. 1 VÝDAJE'!B42</f>
        <v>759267</v>
      </c>
      <c r="C21" s="31">
        <f>'Tab. 1 VÝDAJE'!C42</f>
        <v>666658</v>
      </c>
      <c r="D21" s="31">
        <f>'Tab. 1 VÝDAJE'!D42</f>
        <v>649252</v>
      </c>
      <c r="E21" s="63">
        <f>'Tab. 1 VÝDAJE'!E42</f>
        <v>1345289</v>
      </c>
    </row>
    <row r="22" spans="1:8" s="1" customFormat="1" ht="16.5" customHeight="1" x14ac:dyDescent="0.2">
      <c r="A22" s="33" t="s">
        <v>72</v>
      </c>
      <c r="B22" s="34">
        <f>'Tab. 1 VÝDAJE'!B53+'Tab. 1 VÝDAJE'!B67</f>
        <v>2360052</v>
      </c>
      <c r="C22" s="31">
        <f>'Tab. 1 VÝDAJE'!C53+'Tab. 1 VÝDAJE'!C67</f>
        <v>2409565</v>
      </c>
      <c r="D22" s="31">
        <f>'Tab. 1 VÝDAJE'!D53+'Tab. 1 VÝDAJE'!D67</f>
        <v>1752945</v>
      </c>
      <c r="E22" s="63">
        <f>'Tab. 1 VÝDAJE'!E53+'Tab. 1 VÝDAJE'!E67</f>
        <v>782423</v>
      </c>
    </row>
    <row r="23" spans="1:8" s="1" customFormat="1" ht="29.25" customHeight="1" thickBot="1" x14ac:dyDescent="0.25">
      <c r="A23" s="64" t="s">
        <v>466</v>
      </c>
      <c r="B23" s="65">
        <f>'Tab. 1 VÝDAJE'!B40</f>
        <v>13188680</v>
      </c>
      <c r="C23" s="66">
        <f>'Tab. 1 VÝDAJE'!C40</f>
        <v>13185057</v>
      </c>
      <c r="D23" s="66">
        <f>'Tab. 1 VÝDAJE'!D40</f>
        <v>13184717</v>
      </c>
      <c r="E23" s="67">
        <f>'Tab. 1 VÝDAJE'!E40</f>
        <v>13184717</v>
      </c>
    </row>
    <row r="24" spans="1:8" s="1" customFormat="1" ht="20.100000000000001" hidden="1" customHeight="1" thickBot="1" x14ac:dyDescent="0.25">
      <c r="A24" s="60" t="s">
        <v>12</v>
      </c>
      <c r="B24" s="61">
        <f>B6+B11-B15</f>
        <v>0</v>
      </c>
      <c r="C24" s="61">
        <f>C6+C11-C15</f>
        <v>0</v>
      </c>
      <c r="D24" s="61">
        <f>D6+D11-D15</f>
        <v>0</v>
      </c>
      <c r="E24" s="61">
        <f>E6+E11-E15</f>
        <v>0</v>
      </c>
    </row>
    <row r="25" spans="1:8" s="7" customFormat="1" ht="12" customHeight="1" x14ac:dyDescent="0.2">
      <c r="A25" s="5"/>
      <c r="B25" s="6"/>
      <c r="C25" s="6"/>
      <c r="D25" s="6"/>
      <c r="E25" s="6"/>
    </row>
    <row r="26" spans="1:8" s="7" customFormat="1" ht="12" customHeight="1" x14ac:dyDescent="0.2">
      <c r="A26" s="5"/>
      <c r="B26" s="6"/>
      <c r="C26" s="6"/>
      <c r="D26" s="6"/>
      <c r="E26" s="6"/>
    </row>
    <row r="27" spans="1:8" s="7" customFormat="1" ht="12" customHeight="1" x14ac:dyDescent="0.2">
      <c r="A27" s="5"/>
      <c r="B27" s="10"/>
      <c r="C27" s="9"/>
      <c r="D27" s="9"/>
      <c r="E27" s="9"/>
    </row>
    <row r="28" spans="1:8" s="7" customFormat="1" ht="16.5" customHeight="1" thickBot="1" x14ac:dyDescent="0.25">
      <c r="A28" s="5"/>
      <c r="B28" s="6"/>
      <c r="C28" s="9"/>
      <c r="D28" s="9"/>
      <c r="E28" s="9"/>
    </row>
    <row r="29" spans="1:8" s="11" customFormat="1" ht="16.5" customHeight="1" x14ac:dyDescent="0.2">
      <c r="A29" s="589" t="s">
        <v>13</v>
      </c>
      <c r="B29" s="100">
        <v>2018</v>
      </c>
      <c r="C29" s="36">
        <v>2019</v>
      </c>
      <c r="D29" s="37">
        <v>2020</v>
      </c>
      <c r="E29" s="36">
        <v>2021</v>
      </c>
      <c r="F29" s="582" t="s">
        <v>67</v>
      </c>
      <c r="G29" s="584" t="s">
        <v>68</v>
      </c>
      <c r="H29" s="586" t="s">
        <v>69</v>
      </c>
    </row>
    <row r="30" spans="1:8" s="11" customFormat="1" ht="41.25" customHeight="1" thickBot="1" x14ac:dyDescent="0.25">
      <c r="A30" s="590"/>
      <c r="B30" s="101" t="s">
        <v>59</v>
      </c>
      <c r="C30" s="39" t="s">
        <v>60</v>
      </c>
      <c r="D30" s="40" t="s">
        <v>60</v>
      </c>
      <c r="E30" s="39" t="s">
        <v>60</v>
      </c>
      <c r="F30" s="583"/>
      <c r="G30" s="585"/>
      <c r="H30" s="587"/>
    </row>
    <row r="31" spans="1:8" s="3" customFormat="1" ht="17.100000000000001" customHeight="1" x14ac:dyDescent="0.2">
      <c r="A31" s="91" t="s">
        <v>2</v>
      </c>
      <c r="B31" s="41">
        <f>B32+B33+B34+B35</f>
        <v>6427050</v>
      </c>
      <c r="C31" s="42">
        <f>C32+C33+C34+C35</f>
        <v>6830550</v>
      </c>
      <c r="D31" s="42">
        <f>D32+D33+D34+D35</f>
        <v>7030650</v>
      </c>
      <c r="E31" s="42">
        <f>E32+E33+E34+E35</f>
        <v>7230650</v>
      </c>
      <c r="F31" s="51">
        <f t="shared" ref="F31:H62" si="9">C31/B31*100</f>
        <v>106.27815249609074</v>
      </c>
      <c r="G31" s="52">
        <f t="shared" si="9"/>
        <v>102.92948591255463</v>
      </c>
      <c r="H31" s="53">
        <f t="shared" si="9"/>
        <v>102.84468719108474</v>
      </c>
    </row>
    <row r="32" spans="1:8" s="1" customFormat="1" ht="17.100000000000001" customHeight="1" x14ac:dyDescent="0.2">
      <c r="A32" s="92" t="s">
        <v>14</v>
      </c>
      <c r="B32" s="43">
        <v>6400000</v>
      </c>
      <c r="C32" s="50">
        <v>6800000</v>
      </c>
      <c r="D32" s="50">
        <v>7000000</v>
      </c>
      <c r="E32" s="50">
        <v>7200000</v>
      </c>
      <c r="F32" s="51">
        <f t="shared" si="9"/>
        <v>106.25</v>
      </c>
      <c r="G32" s="52">
        <f t="shared" si="9"/>
        <v>102.94117647058823</v>
      </c>
      <c r="H32" s="53">
        <f t="shared" si="9"/>
        <v>102.85714285714285</v>
      </c>
    </row>
    <row r="33" spans="1:8" s="1" customFormat="1" ht="17.100000000000001" customHeight="1" x14ac:dyDescent="0.2">
      <c r="A33" s="32" t="s">
        <v>15</v>
      </c>
      <c r="B33" s="44">
        <v>25300</v>
      </c>
      <c r="C33" s="45">
        <v>25300</v>
      </c>
      <c r="D33" s="45">
        <v>25300</v>
      </c>
      <c r="E33" s="45">
        <v>25300</v>
      </c>
      <c r="F33" s="54">
        <f t="shared" si="9"/>
        <v>100</v>
      </c>
      <c r="G33" s="55">
        <f t="shared" si="9"/>
        <v>100</v>
      </c>
      <c r="H33" s="56">
        <f t="shared" si="9"/>
        <v>100</v>
      </c>
    </row>
    <row r="34" spans="1:8" s="1" customFormat="1" ht="17.100000000000001" customHeight="1" x14ac:dyDescent="0.2">
      <c r="A34" s="93" t="s">
        <v>16</v>
      </c>
      <c r="B34" s="47">
        <v>1750</v>
      </c>
      <c r="C34" s="45">
        <v>1750</v>
      </c>
      <c r="D34" s="45">
        <v>1850</v>
      </c>
      <c r="E34" s="45">
        <v>1850</v>
      </c>
      <c r="F34" s="54">
        <f t="shared" si="9"/>
        <v>100</v>
      </c>
      <c r="G34" s="55">
        <f t="shared" si="9"/>
        <v>105.71428571428572</v>
      </c>
      <c r="H34" s="56">
        <f t="shared" si="9"/>
        <v>100</v>
      </c>
    </row>
    <row r="35" spans="1:8" s="1" customFormat="1" ht="17.100000000000001" customHeight="1" x14ac:dyDescent="0.2">
      <c r="A35" s="93" t="s">
        <v>78</v>
      </c>
      <c r="B35" s="46">
        <v>0</v>
      </c>
      <c r="C35" s="45">
        <v>3500</v>
      </c>
      <c r="D35" s="45">
        <v>3500</v>
      </c>
      <c r="E35" s="45">
        <v>3500</v>
      </c>
      <c r="F35" s="80" t="s">
        <v>7</v>
      </c>
      <c r="G35" s="55">
        <f t="shared" si="9"/>
        <v>100</v>
      </c>
      <c r="H35" s="56">
        <f t="shared" si="9"/>
        <v>100</v>
      </c>
    </row>
    <row r="36" spans="1:8" s="3" customFormat="1" ht="17.100000000000001" customHeight="1" x14ac:dyDescent="0.2">
      <c r="A36" s="94" t="s">
        <v>3</v>
      </c>
      <c r="B36" s="48">
        <f>SUM(B37,B38,B39,B40,B41,B42,B43,B44,B45,B46,B47,B48,B49,B50,B51,B52,B53,B54)</f>
        <v>613120</v>
      </c>
      <c r="C36" s="42">
        <f t="shared" ref="C36:E36" si="10">SUM(C37,C38,C39,C40,C41,C42,C43,C44,C45,C46,C47,C48,C49,C50,C51,C52,C53,C54)</f>
        <v>454314</v>
      </c>
      <c r="D36" s="42">
        <f t="shared" si="10"/>
        <v>346450</v>
      </c>
      <c r="E36" s="42">
        <f t="shared" si="10"/>
        <v>378937</v>
      </c>
      <c r="F36" s="51">
        <f t="shared" si="9"/>
        <v>74.098708246346561</v>
      </c>
      <c r="G36" s="52">
        <f t="shared" si="9"/>
        <v>76.257830487284124</v>
      </c>
      <c r="H36" s="53">
        <f t="shared" si="9"/>
        <v>109.37711069418386</v>
      </c>
    </row>
    <row r="37" spans="1:8" s="1" customFormat="1" ht="17.100000000000001" customHeight="1" x14ac:dyDescent="0.2">
      <c r="A37" s="32" t="s">
        <v>17</v>
      </c>
      <c r="B37" s="44">
        <v>8000</v>
      </c>
      <c r="C37" s="45">
        <v>10000</v>
      </c>
      <c r="D37" s="45">
        <v>13000</v>
      </c>
      <c r="E37" s="45">
        <v>15000</v>
      </c>
      <c r="F37" s="54">
        <f t="shared" si="9"/>
        <v>125</v>
      </c>
      <c r="G37" s="55">
        <f t="shared" si="9"/>
        <v>130</v>
      </c>
      <c r="H37" s="56">
        <f t="shared" si="9"/>
        <v>115.38461538461537</v>
      </c>
    </row>
    <row r="38" spans="1:8" s="1" customFormat="1" ht="17.100000000000001" customHeight="1" x14ac:dyDescent="0.2">
      <c r="A38" s="32" t="s">
        <v>18</v>
      </c>
      <c r="B38" s="44">
        <v>47650</v>
      </c>
      <c r="C38" s="45">
        <v>9507</v>
      </c>
      <c r="D38" s="45">
        <v>9507</v>
      </c>
      <c r="E38" s="45">
        <v>9507</v>
      </c>
      <c r="F38" s="54">
        <f t="shared" si="9"/>
        <v>19.951731374606503</v>
      </c>
      <c r="G38" s="55">
        <f t="shared" si="9"/>
        <v>100</v>
      </c>
      <c r="H38" s="56">
        <f t="shared" si="9"/>
        <v>100</v>
      </c>
    </row>
    <row r="39" spans="1:8" s="1" customFormat="1" ht="17.100000000000001" customHeight="1" x14ac:dyDescent="0.2">
      <c r="A39" s="32" t="s">
        <v>79</v>
      </c>
      <c r="B39" s="44">
        <v>87000</v>
      </c>
      <c r="C39" s="45">
        <v>87000</v>
      </c>
      <c r="D39" s="45">
        <v>87000</v>
      </c>
      <c r="E39" s="45">
        <v>87000</v>
      </c>
      <c r="F39" s="54">
        <f t="shared" si="9"/>
        <v>100</v>
      </c>
      <c r="G39" s="55">
        <f t="shared" si="9"/>
        <v>100</v>
      </c>
      <c r="H39" s="56">
        <f t="shared" si="9"/>
        <v>100</v>
      </c>
    </row>
    <row r="40" spans="1:8" s="1" customFormat="1" ht="29.25" customHeight="1" x14ac:dyDescent="0.2">
      <c r="A40" s="97" t="s">
        <v>83</v>
      </c>
      <c r="B40" s="44">
        <v>39687</v>
      </c>
      <c r="C40" s="45">
        <v>96000</v>
      </c>
      <c r="D40" s="45">
        <v>134000</v>
      </c>
      <c r="E40" s="45">
        <v>172000</v>
      </c>
      <c r="F40" s="54">
        <f t="shared" si="9"/>
        <v>241.89281124801573</v>
      </c>
      <c r="G40" s="55">
        <f t="shared" si="9"/>
        <v>139.58333333333331</v>
      </c>
      <c r="H40" s="56">
        <f t="shared" si="9"/>
        <v>128.35820895522389</v>
      </c>
    </row>
    <row r="41" spans="1:8" s="1" customFormat="1" ht="17.100000000000001" customHeight="1" x14ac:dyDescent="0.2">
      <c r="A41" s="32" t="s">
        <v>80</v>
      </c>
      <c r="B41" s="44">
        <v>500</v>
      </c>
      <c r="C41" s="45">
        <v>0</v>
      </c>
      <c r="D41" s="45">
        <v>0</v>
      </c>
      <c r="E41" s="45">
        <v>0</v>
      </c>
      <c r="F41" s="54">
        <f t="shared" si="9"/>
        <v>0</v>
      </c>
      <c r="G41" s="80" t="s">
        <v>7</v>
      </c>
      <c r="H41" s="81" t="s">
        <v>7</v>
      </c>
    </row>
    <row r="42" spans="1:8" s="1" customFormat="1" ht="17.100000000000001" customHeight="1" x14ac:dyDescent="0.2">
      <c r="A42" s="32" t="s">
        <v>81</v>
      </c>
      <c r="B42" s="44">
        <v>6200</v>
      </c>
      <c r="C42" s="45">
        <v>16404</v>
      </c>
      <c r="D42" s="45">
        <v>7615</v>
      </c>
      <c r="E42" s="45">
        <v>0</v>
      </c>
      <c r="F42" s="54">
        <f t="shared" si="9"/>
        <v>264.58064516129036</v>
      </c>
      <c r="G42" s="55">
        <f t="shared" si="9"/>
        <v>46.421604486710564</v>
      </c>
      <c r="H42" s="56">
        <f t="shared" si="9"/>
        <v>0</v>
      </c>
    </row>
    <row r="43" spans="1:8" s="1" customFormat="1" ht="17.100000000000001" customHeight="1" x14ac:dyDescent="0.2">
      <c r="A43" s="32" t="s">
        <v>82</v>
      </c>
      <c r="B43" s="44">
        <v>333917</v>
      </c>
      <c r="C43" s="45">
        <v>140894</v>
      </c>
      <c r="D43" s="45">
        <v>0</v>
      </c>
      <c r="E43" s="45">
        <v>0</v>
      </c>
      <c r="F43" s="54">
        <f t="shared" si="9"/>
        <v>42.19431774962041</v>
      </c>
      <c r="G43" s="55">
        <f t="shared" si="9"/>
        <v>0</v>
      </c>
      <c r="H43" s="81" t="s">
        <v>7</v>
      </c>
    </row>
    <row r="44" spans="1:8" s="1" customFormat="1" ht="17.100000000000001" customHeight="1" x14ac:dyDescent="0.2">
      <c r="A44" s="32" t="s">
        <v>84</v>
      </c>
      <c r="B44" s="44">
        <v>31982</v>
      </c>
      <c r="C44" s="45">
        <v>32024</v>
      </c>
      <c r="D44" s="45">
        <v>32064</v>
      </c>
      <c r="E44" s="45">
        <v>32107</v>
      </c>
      <c r="F44" s="54">
        <f t="shared" si="9"/>
        <v>100.13132386967669</v>
      </c>
      <c r="G44" s="55">
        <f t="shared" si="9"/>
        <v>100.12490632025981</v>
      </c>
      <c r="H44" s="56">
        <f t="shared" si="9"/>
        <v>100.13410678642714</v>
      </c>
    </row>
    <row r="45" spans="1:8" s="1" customFormat="1" ht="16.5" customHeight="1" x14ac:dyDescent="0.2">
      <c r="A45" s="32" t="s">
        <v>463</v>
      </c>
      <c r="B45" s="44">
        <v>0</v>
      </c>
      <c r="C45" s="45">
        <v>1500</v>
      </c>
      <c r="D45" s="45">
        <v>2000</v>
      </c>
      <c r="E45" s="45">
        <v>2000</v>
      </c>
      <c r="F45" s="80" t="s">
        <v>7</v>
      </c>
      <c r="G45" s="80" t="s">
        <v>7</v>
      </c>
      <c r="H45" s="56">
        <f t="shared" si="9"/>
        <v>100</v>
      </c>
    </row>
    <row r="46" spans="1:8" s="1" customFormat="1" ht="17.100000000000001" customHeight="1" x14ac:dyDescent="0.2">
      <c r="A46" s="32" t="s">
        <v>464</v>
      </c>
      <c r="B46" s="44">
        <v>0</v>
      </c>
      <c r="C46" s="45">
        <v>3067</v>
      </c>
      <c r="D46" s="45">
        <v>3067</v>
      </c>
      <c r="E46" s="45">
        <v>3066</v>
      </c>
      <c r="F46" s="80" t="s">
        <v>7</v>
      </c>
      <c r="G46" s="80" t="s">
        <v>7</v>
      </c>
      <c r="H46" s="56">
        <f t="shared" si="9"/>
        <v>99.96739484838605</v>
      </c>
    </row>
    <row r="47" spans="1:8" s="1" customFormat="1" ht="17.100000000000001" customHeight="1" x14ac:dyDescent="0.2">
      <c r="A47" s="32" t="s">
        <v>19</v>
      </c>
      <c r="B47" s="44">
        <v>4400</v>
      </c>
      <c r="C47" s="45">
        <v>5000</v>
      </c>
      <c r="D47" s="45">
        <v>5100</v>
      </c>
      <c r="E47" s="45">
        <v>5200</v>
      </c>
      <c r="F47" s="54">
        <f t="shared" si="9"/>
        <v>113.63636363636364</v>
      </c>
      <c r="G47" s="55">
        <f t="shared" si="9"/>
        <v>102</v>
      </c>
      <c r="H47" s="56">
        <f t="shared" si="9"/>
        <v>101.96078431372548</v>
      </c>
    </row>
    <row r="48" spans="1:8" s="1" customFormat="1" ht="17.100000000000001" customHeight="1" x14ac:dyDescent="0.2">
      <c r="A48" s="32" t="s">
        <v>20</v>
      </c>
      <c r="B48" s="44">
        <v>15000</v>
      </c>
      <c r="C48" s="45">
        <v>15000</v>
      </c>
      <c r="D48" s="45">
        <v>15000</v>
      </c>
      <c r="E48" s="45">
        <v>15000</v>
      </c>
      <c r="F48" s="54">
        <f t="shared" si="9"/>
        <v>100</v>
      </c>
      <c r="G48" s="55">
        <f t="shared" si="9"/>
        <v>100</v>
      </c>
      <c r="H48" s="56">
        <f t="shared" si="9"/>
        <v>100</v>
      </c>
    </row>
    <row r="49" spans="1:8" s="1" customFormat="1" ht="17.100000000000001" customHeight="1" x14ac:dyDescent="0.2">
      <c r="A49" s="32" t="s">
        <v>21</v>
      </c>
      <c r="B49" s="44">
        <v>8954</v>
      </c>
      <c r="C49" s="45">
        <v>8954</v>
      </c>
      <c r="D49" s="45">
        <v>8954</v>
      </c>
      <c r="E49" s="45">
        <v>8954</v>
      </c>
      <c r="F49" s="54">
        <f t="shared" si="9"/>
        <v>100</v>
      </c>
      <c r="G49" s="55">
        <f t="shared" si="9"/>
        <v>100</v>
      </c>
      <c r="H49" s="56">
        <f t="shared" si="9"/>
        <v>100</v>
      </c>
    </row>
    <row r="50" spans="1:8" s="1" customFormat="1" ht="17.100000000000001" customHeight="1" x14ac:dyDescent="0.2">
      <c r="A50" s="32" t="s">
        <v>22</v>
      </c>
      <c r="B50" s="44">
        <v>17328</v>
      </c>
      <c r="C50" s="45">
        <v>17377</v>
      </c>
      <c r="D50" s="45">
        <v>17446</v>
      </c>
      <c r="E50" s="45">
        <v>17516</v>
      </c>
      <c r="F50" s="54">
        <f t="shared" si="9"/>
        <v>100.28277931671283</v>
      </c>
      <c r="G50" s="55">
        <f t="shared" si="9"/>
        <v>100.39707659549978</v>
      </c>
      <c r="H50" s="56">
        <f t="shared" si="9"/>
        <v>100.40123810615613</v>
      </c>
    </row>
    <row r="51" spans="1:8" s="1" customFormat="1" ht="17.100000000000001" customHeight="1" x14ac:dyDescent="0.2">
      <c r="A51" s="32" t="s">
        <v>23</v>
      </c>
      <c r="B51" s="44">
        <v>1808</v>
      </c>
      <c r="C51" s="45">
        <v>1808</v>
      </c>
      <c r="D51" s="45">
        <v>1808</v>
      </c>
      <c r="E51" s="45">
        <v>1808</v>
      </c>
      <c r="F51" s="54">
        <f t="shared" si="9"/>
        <v>100</v>
      </c>
      <c r="G51" s="55">
        <f t="shared" si="9"/>
        <v>100</v>
      </c>
      <c r="H51" s="56">
        <f t="shared" si="9"/>
        <v>100</v>
      </c>
    </row>
    <row r="52" spans="1:8" s="1" customFormat="1" ht="17.100000000000001" customHeight="1" x14ac:dyDescent="0.2">
      <c r="A52" s="32" t="s">
        <v>24</v>
      </c>
      <c r="B52" s="44">
        <v>40</v>
      </c>
      <c r="C52" s="45">
        <v>40</v>
      </c>
      <c r="D52" s="45">
        <v>40</v>
      </c>
      <c r="E52" s="45">
        <v>40</v>
      </c>
      <c r="F52" s="54">
        <f t="shared" si="9"/>
        <v>100</v>
      </c>
      <c r="G52" s="55">
        <f t="shared" si="9"/>
        <v>100</v>
      </c>
      <c r="H52" s="56">
        <f t="shared" si="9"/>
        <v>100</v>
      </c>
    </row>
    <row r="53" spans="1:8" s="3" customFormat="1" ht="17.100000000000001" customHeight="1" x14ac:dyDescent="0.2">
      <c r="A53" s="32" t="s">
        <v>25</v>
      </c>
      <c r="B53" s="44">
        <v>2000</v>
      </c>
      <c r="C53" s="45">
        <v>2000</v>
      </c>
      <c r="D53" s="45">
        <v>2000</v>
      </c>
      <c r="E53" s="45">
        <v>2000</v>
      </c>
      <c r="F53" s="54">
        <f t="shared" si="9"/>
        <v>100</v>
      </c>
      <c r="G53" s="55">
        <f t="shared" si="9"/>
        <v>100</v>
      </c>
      <c r="H53" s="56">
        <f t="shared" si="9"/>
        <v>100</v>
      </c>
    </row>
    <row r="54" spans="1:8" s="1" customFormat="1" ht="17.100000000000001" customHeight="1" x14ac:dyDescent="0.2">
      <c r="A54" s="32" t="s">
        <v>26</v>
      </c>
      <c r="B54" s="44">
        <v>8654</v>
      </c>
      <c r="C54" s="45">
        <v>7739</v>
      </c>
      <c r="D54" s="45">
        <v>7849</v>
      </c>
      <c r="E54" s="45">
        <v>7739</v>
      </c>
      <c r="F54" s="54">
        <f t="shared" si="9"/>
        <v>89.426854633695399</v>
      </c>
      <c r="G54" s="55">
        <f t="shared" si="9"/>
        <v>101.42137227031915</v>
      </c>
      <c r="H54" s="56">
        <f t="shared" si="9"/>
        <v>98.598547585679711</v>
      </c>
    </row>
    <row r="55" spans="1:8" s="1" customFormat="1" ht="16.5" customHeight="1" x14ac:dyDescent="0.2">
      <c r="A55" s="94" t="s">
        <v>4</v>
      </c>
      <c r="B55" s="48">
        <f>SUM(B56,B57)</f>
        <v>66000</v>
      </c>
      <c r="C55" s="42">
        <f t="shared" ref="C55:E55" si="11">SUM(C56,C57)</f>
        <v>141000</v>
      </c>
      <c r="D55" s="42">
        <f t="shared" si="11"/>
        <v>36000</v>
      </c>
      <c r="E55" s="42">
        <f t="shared" si="11"/>
        <v>36000</v>
      </c>
      <c r="F55" s="51">
        <f t="shared" si="9"/>
        <v>213.63636363636363</v>
      </c>
      <c r="G55" s="52">
        <f t="shared" si="9"/>
        <v>25.531914893617021</v>
      </c>
      <c r="H55" s="53">
        <f t="shared" si="9"/>
        <v>100</v>
      </c>
    </row>
    <row r="56" spans="1:8" s="3" customFormat="1" ht="17.100000000000001" customHeight="1" x14ac:dyDescent="0.2">
      <c r="A56" s="32" t="s">
        <v>27</v>
      </c>
      <c r="B56" s="47">
        <v>50000</v>
      </c>
      <c r="C56" s="45">
        <v>125000</v>
      </c>
      <c r="D56" s="45">
        <v>20000</v>
      </c>
      <c r="E56" s="45">
        <v>20000</v>
      </c>
      <c r="F56" s="54">
        <f t="shared" si="9"/>
        <v>250</v>
      </c>
      <c r="G56" s="55">
        <f t="shared" si="9"/>
        <v>16</v>
      </c>
      <c r="H56" s="56">
        <f t="shared" si="9"/>
        <v>100</v>
      </c>
    </row>
    <row r="57" spans="1:8" s="1" customFormat="1" ht="16.5" customHeight="1" x14ac:dyDescent="0.2">
      <c r="A57" s="33" t="s">
        <v>19</v>
      </c>
      <c r="B57" s="47">
        <v>16000</v>
      </c>
      <c r="C57" s="45">
        <v>16000</v>
      </c>
      <c r="D57" s="45">
        <v>16000</v>
      </c>
      <c r="E57" s="45">
        <v>16000</v>
      </c>
      <c r="F57" s="54">
        <f t="shared" si="9"/>
        <v>100</v>
      </c>
      <c r="G57" s="55">
        <f t="shared" si="9"/>
        <v>100</v>
      </c>
      <c r="H57" s="56">
        <f t="shared" si="9"/>
        <v>100</v>
      </c>
    </row>
    <row r="58" spans="1:8" s="1" customFormat="1" ht="16.5" customHeight="1" x14ac:dyDescent="0.2">
      <c r="A58" s="95" t="s">
        <v>28</v>
      </c>
      <c r="B58" s="48">
        <f>SUM(B59:B62)</f>
        <v>1130957</v>
      </c>
      <c r="C58" s="42">
        <f>SUM(C59:C62)</f>
        <v>1865532</v>
      </c>
      <c r="D58" s="42">
        <f>SUM(D59:D62)</f>
        <v>2678029</v>
      </c>
      <c r="E58" s="42">
        <f>SUM(E59:E62)</f>
        <v>1239276</v>
      </c>
      <c r="F58" s="51">
        <f t="shared" si="9"/>
        <v>164.95162946071335</v>
      </c>
      <c r="G58" s="52">
        <f t="shared" si="9"/>
        <v>143.55309906235863</v>
      </c>
      <c r="H58" s="53">
        <f t="shared" si="9"/>
        <v>46.275675132718874</v>
      </c>
    </row>
    <row r="59" spans="1:8" ht="16.5" customHeight="1" x14ac:dyDescent="0.2">
      <c r="A59" s="93" t="s">
        <v>29</v>
      </c>
      <c r="B59" s="47">
        <v>130188</v>
      </c>
      <c r="C59" s="45">
        <v>136697</v>
      </c>
      <c r="D59" s="45">
        <v>143532</v>
      </c>
      <c r="E59" s="45">
        <v>150709</v>
      </c>
      <c r="F59" s="54">
        <f t="shared" si="9"/>
        <v>104.99969275202015</v>
      </c>
      <c r="G59" s="55">
        <f t="shared" si="9"/>
        <v>105.00010973174247</v>
      </c>
      <c r="H59" s="56">
        <f t="shared" si="9"/>
        <v>105.00027868349915</v>
      </c>
    </row>
    <row r="60" spans="1:8" ht="16.5" customHeight="1" x14ac:dyDescent="0.2">
      <c r="A60" s="96" t="s">
        <v>57</v>
      </c>
      <c r="B60" s="47">
        <v>701761</v>
      </c>
      <c r="C60" s="45">
        <v>1374305</v>
      </c>
      <c r="D60" s="45">
        <v>2151580</v>
      </c>
      <c r="E60" s="45">
        <v>707946</v>
      </c>
      <c r="F60" s="54">
        <f t="shared" si="9"/>
        <v>195.83661673988723</v>
      </c>
      <c r="G60" s="55">
        <f t="shared" si="9"/>
        <v>156.55767824464002</v>
      </c>
      <c r="H60" s="56">
        <f t="shared" si="9"/>
        <v>32.903540653845084</v>
      </c>
    </row>
    <row r="61" spans="1:8" s="3" customFormat="1" ht="29.25" customHeight="1" x14ac:dyDescent="0.2">
      <c r="A61" s="97" t="s">
        <v>30</v>
      </c>
      <c r="B61" s="47">
        <v>210904</v>
      </c>
      <c r="C61" s="45">
        <v>213013</v>
      </c>
      <c r="D61" s="45">
        <v>304575</v>
      </c>
      <c r="E61" s="45">
        <v>307621</v>
      </c>
      <c r="F61" s="54">
        <f t="shared" si="9"/>
        <v>100.99998103402497</v>
      </c>
      <c r="G61" s="55">
        <f t="shared" si="9"/>
        <v>142.98423100937501</v>
      </c>
      <c r="H61" s="56">
        <f t="shared" si="9"/>
        <v>101.0000820815891</v>
      </c>
    </row>
    <row r="62" spans="1:8" s="3" customFormat="1" ht="16.5" customHeight="1" x14ac:dyDescent="0.2">
      <c r="A62" s="93" t="s">
        <v>31</v>
      </c>
      <c r="B62" s="47">
        <v>88104</v>
      </c>
      <c r="C62" s="45">
        <v>141517</v>
      </c>
      <c r="D62" s="45">
        <v>78342</v>
      </c>
      <c r="E62" s="45">
        <v>73000</v>
      </c>
      <c r="F62" s="54">
        <f t="shared" si="9"/>
        <v>160.62494324888769</v>
      </c>
      <c r="G62" s="55">
        <f t="shared" si="9"/>
        <v>55.358720153762441</v>
      </c>
      <c r="H62" s="56">
        <f t="shared" si="9"/>
        <v>93.181179954558218</v>
      </c>
    </row>
    <row r="63" spans="1:8" s="3" customFormat="1" ht="17.100000000000001" customHeight="1" x14ac:dyDescent="0.2">
      <c r="A63" s="95" t="s">
        <v>90</v>
      </c>
      <c r="B63" s="48">
        <v>13188680</v>
      </c>
      <c r="C63" s="42">
        <v>13185057</v>
      </c>
      <c r="D63" s="42">
        <v>13184717</v>
      </c>
      <c r="E63" s="42">
        <v>13184717</v>
      </c>
      <c r="F63" s="51">
        <f t="shared" ref="F63:H65" si="12">C63/B63*100</f>
        <v>99.972529472244375</v>
      </c>
      <c r="G63" s="52">
        <f t="shared" si="12"/>
        <v>99.997421323244936</v>
      </c>
      <c r="H63" s="53">
        <f t="shared" si="12"/>
        <v>100</v>
      </c>
    </row>
    <row r="64" spans="1:8" ht="29.25" customHeight="1" thickBot="1" x14ac:dyDescent="0.25">
      <c r="A64" s="98" t="s">
        <v>465</v>
      </c>
      <c r="B64" s="82">
        <v>267087</v>
      </c>
      <c r="C64" s="83">
        <v>238806</v>
      </c>
      <c r="D64" s="83">
        <v>171385</v>
      </c>
      <c r="E64" s="83">
        <v>12526</v>
      </c>
      <c r="F64" s="84">
        <f t="shared" si="12"/>
        <v>89.411315414078558</v>
      </c>
      <c r="G64" s="85">
        <f t="shared" si="12"/>
        <v>71.767459779067536</v>
      </c>
      <c r="H64" s="86">
        <f t="shared" si="12"/>
        <v>7.3086909589520674</v>
      </c>
    </row>
    <row r="65" spans="1:8" ht="16.5" customHeight="1" thickBot="1" x14ac:dyDescent="0.25">
      <c r="A65" s="99" t="s">
        <v>58</v>
      </c>
      <c r="B65" s="49">
        <f>B31+B36+B55+B58+B63+B64</f>
        <v>21692894</v>
      </c>
      <c r="C65" s="87">
        <f>C31+C36+C55+C58+C63+C64</f>
        <v>22715259</v>
      </c>
      <c r="D65" s="87">
        <f t="shared" ref="D65:E65" si="13">D31+D36+D55+D58+D63+D64</f>
        <v>23447231</v>
      </c>
      <c r="E65" s="87">
        <f t="shared" si="13"/>
        <v>22082106</v>
      </c>
      <c r="F65" s="88">
        <f t="shared" si="12"/>
        <v>104.7129027597701</v>
      </c>
      <c r="G65" s="89">
        <f t="shared" si="12"/>
        <v>103.22238016304371</v>
      </c>
      <c r="H65" s="90">
        <f t="shared" si="12"/>
        <v>94.17788394714924</v>
      </c>
    </row>
    <row r="66" spans="1:8" x14ac:dyDescent="0.2">
      <c r="C66" s="24"/>
      <c r="D66" s="24"/>
      <c r="E66" s="24"/>
    </row>
    <row r="67" spans="1:8" x14ac:dyDescent="0.2">
      <c r="C67" s="24"/>
      <c r="D67" s="24"/>
      <c r="E67" s="24"/>
    </row>
    <row r="68" spans="1:8" x14ac:dyDescent="0.2">
      <c r="C68" s="24"/>
      <c r="D68" s="24"/>
      <c r="E68" s="24"/>
    </row>
    <row r="69" spans="1:8" x14ac:dyDescent="0.2">
      <c r="C69" s="24"/>
      <c r="D69" s="24"/>
      <c r="E69" s="24"/>
    </row>
    <row r="70" spans="1:8" x14ac:dyDescent="0.2">
      <c r="C70" s="24"/>
      <c r="D70" s="24"/>
      <c r="E70" s="24"/>
    </row>
    <row r="71" spans="1:8" x14ac:dyDescent="0.2">
      <c r="C71" s="24"/>
      <c r="D71" s="24"/>
      <c r="E71" s="24"/>
    </row>
    <row r="72" spans="1:8" x14ac:dyDescent="0.2">
      <c r="C72" s="24"/>
      <c r="D72" s="24"/>
      <c r="E72" s="24"/>
    </row>
    <row r="73" spans="1:8" x14ac:dyDescent="0.2">
      <c r="C73" s="24"/>
      <c r="D73" s="24"/>
      <c r="E73" s="24"/>
    </row>
    <row r="74" spans="1:8" x14ac:dyDescent="0.2">
      <c r="C74" s="24"/>
      <c r="D74" s="24"/>
      <c r="E74" s="24"/>
    </row>
    <row r="75" spans="1:8" x14ac:dyDescent="0.2">
      <c r="C75" s="24"/>
      <c r="D75" s="24"/>
      <c r="E75" s="24"/>
    </row>
    <row r="76" spans="1:8" x14ac:dyDescent="0.2">
      <c r="C76" s="24"/>
      <c r="D76" s="24"/>
      <c r="E76" s="24"/>
    </row>
    <row r="77" spans="1:8" x14ac:dyDescent="0.2">
      <c r="C77" s="24"/>
      <c r="D77" s="24"/>
      <c r="E77" s="24"/>
    </row>
    <row r="78" spans="1:8" x14ac:dyDescent="0.2">
      <c r="C78" s="24"/>
      <c r="D78" s="24"/>
      <c r="E78" s="24"/>
    </row>
    <row r="79" spans="1:8" x14ac:dyDescent="0.2">
      <c r="C79" s="24"/>
      <c r="D79" s="24"/>
      <c r="E79" s="24"/>
    </row>
    <row r="80" spans="1:8" x14ac:dyDescent="0.2">
      <c r="C80" s="24"/>
      <c r="D80" s="24"/>
      <c r="E80" s="24"/>
    </row>
    <row r="81" spans="3:5" x14ac:dyDescent="0.2">
      <c r="C81" s="24"/>
      <c r="D81" s="24"/>
      <c r="E81" s="24"/>
    </row>
    <row r="82" spans="3:5" x14ac:dyDescent="0.2">
      <c r="C82" s="24"/>
      <c r="D82" s="24"/>
      <c r="E82" s="24"/>
    </row>
  </sheetData>
  <customSheetViews>
    <customSheetView guid="{101071BA-2FA5-4A0F-9E83-07DE84746187}" showPageBreaks="1" fitToPage="1" printArea="1" hiddenRows="1" topLeftCell="A31">
      <selection activeCell="I4" sqref="I4"/>
      <pageMargins left="0.31496062992125984" right="0.31496062992125984" top="0.59055118110236227" bottom="0.59055118110236227" header="0.19685039370078741" footer="0.31496062992125984"/>
      <printOptions horizontalCentered="1"/>
      <pageSetup paperSize="9" scale="63" firstPageNumber="9" fitToHeight="0" orientation="portrait" useFirstPageNumber="1" r:id="rId1"/>
      <headerFooter alignWithMargins="0">
        <oddHeader>&amp;L&amp;"Tahoma,Kurzíva"Návrh rozpočtu na rok 2016
Příloha č. 5&amp;R&amp;"Tahoma,Kurzíva"Rozpočtový výhled 2017 - 2019</oddHeader>
        <oddFooter>&amp;C&amp;"Tahoma,Obyčejné"&amp;P</oddFooter>
      </headerFooter>
    </customSheetView>
  </customSheetViews>
  <mergeCells count="5">
    <mergeCell ref="F29:F30"/>
    <mergeCell ref="G29:G30"/>
    <mergeCell ref="H29:H30"/>
    <mergeCell ref="A3:H3"/>
    <mergeCell ref="A29:A30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64" firstPageNumber="2" fitToHeight="0" orientation="portrait" useFirstPageNumber="1" r:id="rId2"/>
  <headerFooter>
    <oddHeader>&amp;L&amp;"Tahoma,Kurzíva"Střednědobý výhled rozpočtu kraje na léta 2019 - 2021
Příloha č. 13&amp;R&amp;"Tahoma,Kurzíva"Bilance příjmů a výdajů v letech 2019 -2021</oddHeader>
    <oddFooter>&amp;C&amp;"Tahoma,Obyčejné"&amp;P</oddFooter>
  </headerFooter>
  <ignoredErrors>
    <ignoredError sqref="B58:E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M142"/>
  <sheetViews>
    <sheetView zoomScaleNormal="100" zoomScaleSheetLayoutView="100" workbookViewId="0">
      <selection activeCell="A12" sqref="A12"/>
    </sheetView>
  </sheetViews>
  <sheetFormatPr defaultRowHeight="12.75" x14ac:dyDescent="0.2"/>
  <cols>
    <col min="1" max="1" width="50.7109375" style="2" customWidth="1"/>
    <col min="2" max="2" width="14.7109375" style="12" customWidth="1"/>
    <col min="3" max="5" width="12.85546875" style="13" customWidth="1"/>
    <col min="6" max="8" width="12" style="2" customWidth="1"/>
    <col min="9" max="12" width="14.7109375" style="2" customWidth="1"/>
    <col min="13" max="16384" width="9.140625" style="2"/>
  </cols>
  <sheetData>
    <row r="1" spans="1:30" s="1" customFormat="1" ht="16.5" customHeight="1" x14ac:dyDescent="0.2">
      <c r="A1" s="591" t="s">
        <v>32</v>
      </c>
      <c r="B1" s="35">
        <v>2018</v>
      </c>
      <c r="C1" s="36">
        <v>2019</v>
      </c>
      <c r="D1" s="37">
        <v>2020</v>
      </c>
      <c r="E1" s="36">
        <v>2021</v>
      </c>
      <c r="F1" s="582" t="s">
        <v>67</v>
      </c>
      <c r="G1" s="584" t="s">
        <v>68</v>
      </c>
      <c r="H1" s="586" t="s">
        <v>69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s="16" customFormat="1" ht="41.25" customHeight="1" thickBot="1" x14ac:dyDescent="0.25">
      <c r="A2" s="592"/>
      <c r="B2" s="38" t="s">
        <v>59</v>
      </c>
      <c r="C2" s="39" t="s">
        <v>60</v>
      </c>
      <c r="D2" s="40" t="s">
        <v>60</v>
      </c>
      <c r="E2" s="39" t="s">
        <v>60</v>
      </c>
      <c r="F2" s="583"/>
      <c r="G2" s="585"/>
      <c r="H2" s="58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s="3" customFormat="1" ht="16.5" customHeight="1" x14ac:dyDescent="0.2">
      <c r="A3" s="112" t="s">
        <v>9</v>
      </c>
      <c r="B3" s="111">
        <v>611017</v>
      </c>
      <c r="C3" s="42">
        <v>616829</v>
      </c>
      <c r="D3" s="42">
        <v>629166</v>
      </c>
      <c r="E3" s="42">
        <v>648041</v>
      </c>
      <c r="F3" s="103">
        <f t="shared" ref="F3:H3" si="0">C3/B3*100</f>
        <v>100.95120103041324</v>
      </c>
      <c r="G3" s="104">
        <f t="shared" si="0"/>
        <v>102.00006809018383</v>
      </c>
      <c r="H3" s="105">
        <f t="shared" si="0"/>
        <v>103.00000317881131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16.5" customHeight="1" x14ac:dyDescent="0.2">
      <c r="A4" s="112" t="s">
        <v>10</v>
      </c>
      <c r="B4" s="48">
        <f>SUM(B5,B6,B7,B8,B9,B10,B11,B12,B13)</f>
        <v>230412</v>
      </c>
      <c r="C4" s="42">
        <f>SUM(C5,C6,C7,C8,C9,C10,C11,C12,C13)</f>
        <v>237642</v>
      </c>
      <c r="D4" s="42">
        <f>SUM(D5,D6,D7,D8,D9,D10,D11,D12,D13)</f>
        <v>232482</v>
      </c>
      <c r="E4" s="42">
        <f>SUM(E5,E6,E7,E8,E9,E10,E11,E12,E13)</f>
        <v>213332</v>
      </c>
      <c r="F4" s="106">
        <f t="shared" ref="F4" si="1">C4/B4*100</f>
        <v>103.13785740326024</v>
      </c>
      <c r="G4" s="106">
        <f t="shared" ref="G4" si="2">D4/C4*100</f>
        <v>97.828666649834631</v>
      </c>
      <c r="H4" s="107">
        <f t="shared" ref="H4" si="3">E4/D4*100</f>
        <v>91.762803141748606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3" customFormat="1" ht="16.5" customHeight="1" x14ac:dyDescent="0.2">
      <c r="A5" s="113" t="s">
        <v>33</v>
      </c>
      <c r="B5" s="44">
        <v>37100</v>
      </c>
      <c r="C5" s="45">
        <v>37200</v>
      </c>
      <c r="D5" s="45">
        <v>37200</v>
      </c>
      <c r="E5" s="45">
        <v>37200</v>
      </c>
      <c r="F5" s="108">
        <f t="shared" ref="F5:F13" si="4">C5/B5*100</f>
        <v>100.26954177897574</v>
      </c>
      <c r="G5" s="108">
        <f t="shared" ref="G5:G13" si="5">D5/C5*100</f>
        <v>100</v>
      </c>
      <c r="H5" s="109">
        <f t="shared" ref="H5:H13" si="6">E5/D5*100</f>
        <v>100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3" customFormat="1" ht="16.5" customHeight="1" x14ac:dyDescent="0.2">
      <c r="A6" s="113" t="s">
        <v>34</v>
      </c>
      <c r="B6" s="44">
        <v>32000</v>
      </c>
      <c r="C6" s="45">
        <v>40000</v>
      </c>
      <c r="D6" s="45">
        <v>35000</v>
      </c>
      <c r="E6" s="45">
        <v>16000</v>
      </c>
      <c r="F6" s="108">
        <f t="shared" si="4"/>
        <v>125</v>
      </c>
      <c r="G6" s="108">
        <f t="shared" si="5"/>
        <v>87.5</v>
      </c>
      <c r="H6" s="109">
        <f t="shared" si="6"/>
        <v>45.714285714285715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16.5" customHeight="1" x14ac:dyDescent="0.2">
      <c r="A7" s="113" t="s">
        <v>35</v>
      </c>
      <c r="B7" s="44">
        <v>500</v>
      </c>
      <c r="C7" s="45">
        <v>500</v>
      </c>
      <c r="D7" s="45">
        <v>500</v>
      </c>
      <c r="E7" s="45">
        <v>500</v>
      </c>
      <c r="F7" s="108">
        <f t="shared" si="4"/>
        <v>100</v>
      </c>
      <c r="G7" s="108">
        <f t="shared" si="5"/>
        <v>100</v>
      </c>
      <c r="H7" s="109">
        <f t="shared" si="6"/>
        <v>100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3" customFormat="1" ht="16.5" customHeight="1" x14ac:dyDescent="0.2">
      <c r="A8" s="113" t="s">
        <v>36</v>
      </c>
      <c r="B8" s="44">
        <v>670</v>
      </c>
      <c r="C8" s="45">
        <v>600</v>
      </c>
      <c r="D8" s="45">
        <v>500</v>
      </c>
      <c r="E8" s="45">
        <v>400</v>
      </c>
      <c r="F8" s="108">
        <f t="shared" si="4"/>
        <v>89.552238805970148</v>
      </c>
      <c r="G8" s="108">
        <f t="shared" si="5"/>
        <v>83.333333333333343</v>
      </c>
      <c r="H8" s="109">
        <f t="shared" si="6"/>
        <v>80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3" customFormat="1" ht="17.25" customHeight="1" x14ac:dyDescent="0.2">
      <c r="A9" s="113" t="s">
        <v>37</v>
      </c>
      <c r="B9" s="44">
        <v>37000</v>
      </c>
      <c r="C9" s="45">
        <v>37000</v>
      </c>
      <c r="D9" s="45">
        <v>37000</v>
      </c>
      <c r="E9" s="45">
        <v>37000</v>
      </c>
      <c r="F9" s="108">
        <f t="shared" si="4"/>
        <v>100</v>
      </c>
      <c r="G9" s="108">
        <f t="shared" si="5"/>
        <v>100</v>
      </c>
      <c r="H9" s="109">
        <f t="shared" si="6"/>
        <v>100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3" customFormat="1" ht="29.25" customHeight="1" x14ac:dyDescent="0.2">
      <c r="A10" s="113" t="s">
        <v>38</v>
      </c>
      <c r="B10" s="44">
        <v>87370</v>
      </c>
      <c r="C10" s="45">
        <v>87570</v>
      </c>
      <c r="D10" s="45">
        <v>87720</v>
      </c>
      <c r="E10" s="45">
        <v>87720</v>
      </c>
      <c r="F10" s="108">
        <f t="shared" si="4"/>
        <v>100.22891152569531</v>
      </c>
      <c r="G10" s="108">
        <f t="shared" si="5"/>
        <v>100.17129153819802</v>
      </c>
      <c r="H10" s="109">
        <f t="shared" si="6"/>
        <v>100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3" customFormat="1" ht="16.5" customHeight="1" x14ac:dyDescent="0.2">
      <c r="A11" s="113" t="s">
        <v>608</v>
      </c>
      <c r="B11" s="44">
        <v>20000</v>
      </c>
      <c r="C11" s="45">
        <v>20000</v>
      </c>
      <c r="D11" s="45">
        <v>20000</v>
      </c>
      <c r="E11" s="45">
        <v>20000</v>
      </c>
      <c r="F11" s="108">
        <f t="shared" si="4"/>
        <v>100</v>
      </c>
      <c r="G11" s="108">
        <f t="shared" si="5"/>
        <v>100</v>
      </c>
      <c r="H11" s="109">
        <f t="shared" si="6"/>
        <v>100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3" customFormat="1" ht="17.25" customHeight="1" x14ac:dyDescent="0.2">
      <c r="A12" s="114" t="s">
        <v>39</v>
      </c>
      <c r="B12" s="44">
        <v>7520</v>
      </c>
      <c r="C12" s="45">
        <v>6520</v>
      </c>
      <c r="D12" s="45">
        <v>6520</v>
      </c>
      <c r="E12" s="45">
        <v>6520</v>
      </c>
      <c r="F12" s="108">
        <f t="shared" si="4"/>
        <v>86.702127659574472</v>
      </c>
      <c r="G12" s="108">
        <f t="shared" si="5"/>
        <v>100</v>
      </c>
      <c r="H12" s="109">
        <f t="shared" si="6"/>
        <v>100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3" customFormat="1" ht="16.5" customHeight="1" x14ac:dyDescent="0.2">
      <c r="A13" s="114" t="s">
        <v>40</v>
      </c>
      <c r="B13" s="47">
        <v>8252</v>
      </c>
      <c r="C13" s="45">
        <v>8252</v>
      </c>
      <c r="D13" s="45">
        <v>8042</v>
      </c>
      <c r="E13" s="45">
        <v>7992</v>
      </c>
      <c r="F13" s="108">
        <f t="shared" si="4"/>
        <v>100</v>
      </c>
      <c r="G13" s="108">
        <f t="shared" si="5"/>
        <v>97.455162384876388</v>
      </c>
      <c r="H13" s="109">
        <f t="shared" si="6"/>
        <v>99.378264113404626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3" customFormat="1" ht="27.75" customHeight="1" collapsed="1" x14ac:dyDescent="0.2">
      <c r="A14" s="115" t="s">
        <v>70</v>
      </c>
      <c r="B14" s="48">
        <f>SUM(B15,B16,B17,B18,B19,B20,B21,B22,B23,B24,B25,B26,B27)</f>
        <v>2943633</v>
      </c>
      <c r="C14" s="42">
        <f t="shared" ref="C14:E14" si="7">SUM(C15,C16,C17,C18,C19,C20,C21,C22,C23,C24,C25,C26,C27)</f>
        <v>2961144</v>
      </c>
      <c r="D14" s="42">
        <f t="shared" si="7"/>
        <v>3180034</v>
      </c>
      <c r="E14" s="42">
        <f t="shared" si="7"/>
        <v>3150990</v>
      </c>
      <c r="F14" s="106">
        <f t="shared" ref="F14" si="8">C14/B14*100</f>
        <v>100.59487714670952</v>
      </c>
      <c r="G14" s="106">
        <f t="shared" ref="G14" si="9">D14/C14*100</f>
        <v>107.39207549514647</v>
      </c>
      <c r="H14" s="107">
        <f t="shared" ref="H14" si="10">E14/D14*100</f>
        <v>99.086676431761418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3" customFormat="1" ht="16.5" customHeight="1" x14ac:dyDescent="0.2">
      <c r="A15" s="114" t="s">
        <v>85</v>
      </c>
      <c r="B15" s="47">
        <v>897801</v>
      </c>
      <c r="C15" s="45">
        <v>905928</v>
      </c>
      <c r="D15" s="45">
        <v>1006161</v>
      </c>
      <c r="E15" s="45">
        <v>1016204</v>
      </c>
      <c r="F15" s="108">
        <f t="shared" ref="F15:F27" si="11">C15/B15*100</f>
        <v>100.90521173400342</v>
      </c>
      <c r="G15" s="108">
        <f t="shared" ref="G15:G27" si="12">D15/C15*100</f>
        <v>111.06412430126898</v>
      </c>
      <c r="H15" s="109">
        <f t="shared" ref="H15:H27" si="13">E15/D15*100</f>
        <v>100.99815039541386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3" customFormat="1" ht="16.5" customHeight="1" x14ac:dyDescent="0.2">
      <c r="A16" s="114" t="s">
        <v>86</v>
      </c>
      <c r="B16" s="47">
        <v>730373</v>
      </c>
      <c r="C16" s="45">
        <v>764240</v>
      </c>
      <c r="D16" s="45">
        <v>771882</v>
      </c>
      <c r="E16" s="45">
        <v>779601</v>
      </c>
      <c r="F16" s="108">
        <f t="shared" si="11"/>
        <v>104.6369457797591</v>
      </c>
      <c r="G16" s="108">
        <f t="shared" si="12"/>
        <v>100.99994766042082</v>
      </c>
      <c r="H16" s="109">
        <f t="shared" si="13"/>
        <v>101.00002331962656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3" customFormat="1" ht="16.5" customHeight="1" x14ac:dyDescent="0.2">
      <c r="A17" s="114" t="s">
        <v>87</v>
      </c>
      <c r="B17" s="47">
        <v>263191</v>
      </c>
      <c r="C17" s="45">
        <v>229689</v>
      </c>
      <c r="D17" s="45">
        <v>301264</v>
      </c>
      <c r="E17" s="45">
        <v>257381</v>
      </c>
      <c r="F17" s="108">
        <f t="shared" si="11"/>
        <v>87.270841328160913</v>
      </c>
      <c r="G17" s="108">
        <f t="shared" si="12"/>
        <v>131.16170125691696</v>
      </c>
      <c r="H17" s="109">
        <f t="shared" si="13"/>
        <v>85.433705985447986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3" customFormat="1" ht="16.5" customHeight="1" x14ac:dyDescent="0.2">
      <c r="A18" s="114" t="s">
        <v>41</v>
      </c>
      <c r="B18" s="47">
        <v>145589</v>
      </c>
      <c r="C18" s="45">
        <v>108903</v>
      </c>
      <c r="D18" s="45">
        <v>107873</v>
      </c>
      <c r="E18" s="45">
        <v>107863</v>
      </c>
      <c r="F18" s="108">
        <f t="shared" si="11"/>
        <v>74.80166770841204</v>
      </c>
      <c r="G18" s="108">
        <f t="shared" si="12"/>
        <v>99.054204200067957</v>
      </c>
      <c r="H18" s="109">
        <f t="shared" si="13"/>
        <v>99.990729839718924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3" customFormat="1" ht="16.5" customHeight="1" x14ac:dyDescent="0.2">
      <c r="A19" s="114" t="s">
        <v>42</v>
      </c>
      <c r="B19" s="47">
        <v>79062</v>
      </c>
      <c r="C19" s="45">
        <v>77642</v>
      </c>
      <c r="D19" s="45">
        <v>83610</v>
      </c>
      <c r="E19" s="45">
        <v>91445</v>
      </c>
      <c r="F19" s="108">
        <f t="shared" si="11"/>
        <v>98.203941210695405</v>
      </c>
      <c r="G19" s="108">
        <f t="shared" si="12"/>
        <v>107.68656139718193</v>
      </c>
      <c r="H19" s="109">
        <f t="shared" si="13"/>
        <v>109.37088864968305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3" customFormat="1" ht="16.5" customHeight="1" x14ac:dyDescent="0.2">
      <c r="A20" s="114" t="s">
        <v>43</v>
      </c>
      <c r="B20" s="44">
        <v>47120</v>
      </c>
      <c r="C20" s="45">
        <v>44517</v>
      </c>
      <c r="D20" s="45">
        <v>44517</v>
      </c>
      <c r="E20" s="45">
        <v>42717</v>
      </c>
      <c r="F20" s="108">
        <f t="shared" si="11"/>
        <v>94.475806451612897</v>
      </c>
      <c r="G20" s="108">
        <f t="shared" si="12"/>
        <v>100</v>
      </c>
      <c r="H20" s="109">
        <f t="shared" si="13"/>
        <v>95.956600849113826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3" customFormat="1" ht="16.149999999999999" customHeight="1" x14ac:dyDescent="0.2">
      <c r="A21" s="114" t="s">
        <v>44</v>
      </c>
      <c r="B21" s="44">
        <v>185125</v>
      </c>
      <c r="C21" s="45">
        <v>196225</v>
      </c>
      <c r="D21" s="45">
        <v>193725</v>
      </c>
      <c r="E21" s="45">
        <v>184725</v>
      </c>
      <c r="F21" s="108">
        <f t="shared" si="11"/>
        <v>105.99594868332207</v>
      </c>
      <c r="G21" s="108">
        <f t="shared" si="12"/>
        <v>98.725952350617916</v>
      </c>
      <c r="H21" s="109">
        <f t="shared" si="13"/>
        <v>95.354239256678284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3" customFormat="1" ht="16.5" customHeight="1" x14ac:dyDescent="0.2">
      <c r="A22" s="114" t="s">
        <v>45</v>
      </c>
      <c r="B22" s="44">
        <v>109160</v>
      </c>
      <c r="C22" s="45">
        <v>115660</v>
      </c>
      <c r="D22" s="45">
        <v>118160</v>
      </c>
      <c r="E22" s="45">
        <v>114660</v>
      </c>
      <c r="F22" s="108">
        <f t="shared" si="11"/>
        <v>105.95456211066325</v>
      </c>
      <c r="G22" s="108">
        <f t="shared" si="12"/>
        <v>102.16150786788864</v>
      </c>
      <c r="H22" s="109">
        <f t="shared" si="13"/>
        <v>97.037914691943129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3" customFormat="1" ht="16.5" customHeight="1" x14ac:dyDescent="0.2">
      <c r="A23" s="114" t="s">
        <v>46</v>
      </c>
      <c r="B23" s="44">
        <v>147370</v>
      </c>
      <c r="C23" s="45">
        <v>221927</v>
      </c>
      <c r="D23" s="45">
        <v>277761</v>
      </c>
      <c r="E23" s="45">
        <v>315861</v>
      </c>
      <c r="F23" s="108">
        <f t="shared" si="11"/>
        <v>150.59170794598629</v>
      </c>
      <c r="G23" s="108">
        <f t="shared" si="12"/>
        <v>125.15872336398905</v>
      </c>
      <c r="H23" s="109">
        <f t="shared" si="13"/>
        <v>113.71682849644118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3" customFormat="1" ht="16.5" customHeight="1" x14ac:dyDescent="0.2">
      <c r="A24" s="114" t="s">
        <v>47</v>
      </c>
      <c r="B24" s="44">
        <v>159234</v>
      </c>
      <c r="C24" s="45">
        <v>194373</v>
      </c>
      <c r="D24" s="45">
        <v>166828</v>
      </c>
      <c r="E24" s="45">
        <v>133530</v>
      </c>
      <c r="F24" s="108">
        <f t="shared" si="11"/>
        <v>122.06752326764385</v>
      </c>
      <c r="G24" s="108">
        <f t="shared" si="12"/>
        <v>85.82879309369099</v>
      </c>
      <c r="H24" s="109">
        <f t="shared" si="13"/>
        <v>80.040520775888936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8" customFormat="1" ht="16.5" customHeight="1" x14ac:dyDescent="0.2">
      <c r="A25" s="114" t="s">
        <v>48</v>
      </c>
      <c r="B25" s="44">
        <v>2700</v>
      </c>
      <c r="C25" s="45">
        <v>4400</v>
      </c>
      <c r="D25" s="45">
        <v>6900</v>
      </c>
      <c r="E25" s="45">
        <v>4900</v>
      </c>
      <c r="F25" s="108">
        <f t="shared" si="11"/>
        <v>162.96296296296296</v>
      </c>
      <c r="G25" s="108">
        <f t="shared" si="12"/>
        <v>156.81818181818181</v>
      </c>
      <c r="H25" s="109">
        <f t="shared" si="13"/>
        <v>71.014492753623188</v>
      </c>
    </row>
    <row r="26" spans="1:30" s="3" customFormat="1" ht="16.5" customHeight="1" x14ac:dyDescent="0.2">
      <c r="A26" s="114" t="s">
        <v>49</v>
      </c>
      <c r="B26" s="44">
        <v>77341</v>
      </c>
      <c r="C26" s="45">
        <v>45335</v>
      </c>
      <c r="D26" s="45">
        <v>48948</v>
      </c>
      <c r="E26" s="45">
        <v>48748</v>
      </c>
      <c r="F26" s="108">
        <f t="shared" si="11"/>
        <v>58.617033656146155</v>
      </c>
      <c r="G26" s="108">
        <f t="shared" si="12"/>
        <v>107.96955994264917</v>
      </c>
      <c r="H26" s="109">
        <f t="shared" si="13"/>
        <v>99.591403121680159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3" customFormat="1" ht="16.5" customHeight="1" x14ac:dyDescent="0.2">
      <c r="A27" s="114" t="s">
        <v>50</v>
      </c>
      <c r="B27" s="47">
        <v>99567</v>
      </c>
      <c r="C27" s="45">
        <v>52305</v>
      </c>
      <c r="D27" s="45">
        <v>52405</v>
      </c>
      <c r="E27" s="45">
        <v>53355</v>
      </c>
      <c r="F27" s="108">
        <f t="shared" si="11"/>
        <v>52.532465575943831</v>
      </c>
      <c r="G27" s="108">
        <f t="shared" si="12"/>
        <v>100.19118631106012</v>
      </c>
      <c r="H27" s="109">
        <f t="shared" si="13"/>
        <v>101.81280412174412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3" customFormat="1" ht="16.5" customHeight="1" x14ac:dyDescent="0.2">
      <c r="A28" s="112" t="s">
        <v>11</v>
      </c>
      <c r="B28" s="48">
        <f>SUM(B29,B30,B31,B32,B33,B34)</f>
        <v>2478254</v>
      </c>
      <c r="C28" s="42">
        <f>SUM(C29,C30,C31,C32,C33,C34)</f>
        <v>2502899</v>
      </c>
      <c r="D28" s="42">
        <f t="shared" ref="D28:E28" si="14">SUM(D29,D30,D31,D32,D33,D34)</f>
        <v>2527928</v>
      </c>
      <c r="E28" s="42">
        <f t="shared" si="14"/>
        <v>2553207</v>
      </c>
      <c r="F28" s="106">
        <f t="shared" ref="F28" si="15">C28/B28*100</f>
        <v>100.99445012496702</v>
      </c>
      <c r="G28" s="106">
        <f t="shared" ref="G28" si="16">D28/C28*100</f>
        <v>101.00000039953669</v>
      </c>
      <c r="H28" s="107">
        <f t="shared" ref="H28" si="17">E28/D28*100</f>
        <v>100.99998892373516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3" customFormat="1" ht="16.5" customHeight="1" x14ac:dyDescent="0.2">
      <c r="A29" s="114" t="s">
        <v>88</v>
      </c>
      <c r="B29" s="47">
        <v>615915</v>
      </c>
      <c r="C29" s="45">
        <v>622074</v>
      </c>
      <c r="D29" s="45">
        <v>628295</v>
      </c>
      <c r="E29" s="45">
        <v>634578</v>
      </c>
      <c r="F29" s="108">
        <f t="shared" ref="F29:H34" si="18">C29/B29*100</f>
        <v>100.99997564599011</v>
      </c>
      <c r="G29" s="108">
        <f t="shared" si="18"/>
        <v>101.00004179567061</v>
      </c>
      <c r="H29" s="109">
        <f t="shared" si="18"/>
        <v>101.00000795804517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3" customFormat="1" ht="16.5" customHeight="1" x14ac:dyDescent="0.2">
      <c r="A30" s="114" t="s">
        <v>41</v>
      </c>
      <c r="B30" s="47">
        <v>136</v>
      </c>
      <c r="C30" s="45">
        <v>0</v>
      </c>
      <c r="D30" s="45">
        <v>0</v>
      </c>
      <c r="E30" s="45">
        <v>0</v>
      </c>
      <c r="F30" s="108">
        <f t="shared" ref="F30" si="19">C30/B30*100</f>
        <v>0</v>
      </c>
      <c r="G30" s="80" t="s">
        <v>7</v>
      </c>
      <c r="H30" s="81" t="s">
        <v>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3" customFormat="1" ht="16.5" customHeight="1" x14ac:dyDescent="0.2">
      <c r="A31" s="114" t="s">
        <v>42</v>
      </c>
      <c r="B31" s="47">
        <v>236313</v>
      </c>
      <c r="C31" s="45">
        <v>238676</v>
      </c>
      <c r="D31" s="45">
        <v>241063</v>
      </c>
      <c r="E31" s="45">
        <v>243473</v>
      </c>
      <c r="F31" s="108">
        <f t="shared" si="18"/>
        <v>100.99994498821478</v>
      </c>
      <c r="G31" s="108">
        <f t="shared" si="18"/>
        <v>101.0001005547269</v>
      </c>
      <c r="H31" s="109">
        <f t="shared" si="18"/>
        <v>100.99973865752936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3" customFormat="1" ht="16.5" customHeight="1" x14ac:dyDescent="0.2">
      <c r="A32" s="114" t="s">
        <v>46</v>
      </c>
      <c r="B32" s="47">
        <v>278560</v>
      </c>
      <c r="C32" s="45">
        <v>281346</v>
      </c>
      <c r="D32" s="45">
        <v>284159</v>
      </c>
      <c r="E32" s="45">
        <v>287001</v>
      </c>
      <c r="F32" s="108">
        <f t="shared" si="18"/>
        <v>101.0001435956347</v>
      </c>
      <c r="G32" s="108">
        <f t="shared" si="18"/>
        <v>100.99983650025234</v>
      </c>
      <c r="H32" s="109">
        <f t="shared" si="18"/>
        <v>101.00014428541768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65" s="3" customFormat="1" ht="16.5" customHeight="1" x14ac:dyDescent="0.2">
      <c r="A33" s="114" t="s">
        <v>47</v>
      </c>
      <c r="B33" s="47">
        <v>756141</v>
      </c>
      <c r="C33" s="45">
        <v>763702</v>
      </c>
      <c r="D33" s="45">
        <v>771339</v>
      </c>
      <c r="E33" s="45">
        <v>779053</v>
      </c>
      <c r="F33" s="108">
        <f t="shared" si="18"/>
        <v>100.99994577730872</v>
      </c>
      <c r="G33" s="108">
        <f t="shared" si="18"/>
        <v>100.99999738117747</v>
      </c>
      <c r="H33" s="109">
        <f t="shared" si="18"/>
        <v>101.00007908325652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</row>
    <row r="34" spans="1:65" s="3" customFormat="1" ht="16.5" customHeight="1" x14ac:dyDescent="0.2">
      <c r="A34" s="114" t="s">
        <v>49</v>
      </c>
      <c r="B34" s="47">
        <v>591189</v>
      </c>
      <c r="C34" s="45">
        <v>597101</v>
      </c>
      <c r="D34" s="45">
        <v>603072</v>
      </c>
      <c r="E34" s="45">
        <v>609102</v>
      </c>
      <c r="F34" s="108">
        <f t="shared" si="18"/>
        <v>101.00001860657082</v>
      </c>
      <c r="G34" s="108">
        <f t="shared" si="18"/>
        <v>100.99999832524146</v>
      </c>
      <c r="H34" s="109">
        <f t="shared" si="18"/>
        <v>100.9998806112703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65" s="3" customFormat="1" ht="16.5" customHeight="1" x14ac:dyDescent="0.2">
      <c r="A35" s="112" t="s">
        <v>73</v>
      </c>
      <c r="B35" s="48">
        <f>SUM(B36:B38)</f>
        <v>236950</v>
      </c>
      <c r="C35" s="42">
        <f>SUM(C36:C38)</f>
        <v>190959</v>
      </c>
      <c r="D35" s="42">
        <f t="shared" ref="D35:E35" si="20">SUM(D36:D38)</f>
        <v>87000</v>
      </c>
      <c r="E35" s="42">
        <f t="shared" si="20"/>
        <v>87000</v>
      </c>
      <c r="F35" s="106">
        <f t="shared" ref="F35" si="21">C35/B35*100</f>
        <v>80.590419919814309</v>
      </c>
      <c r="G35" s="106">
        <f t="shared" ref="G35" si="22">D35/C35*100</f>
        <v>45.559518011719788</v>
      </c>
      <c r="H35" s="107">
        <f t="shared" ref="H35" si="23">E35/D35*100</f>
        <v>100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65" s="3" customFormat="1" ht="16.5" customHeight="1" x14ac:dyDescent="0.2">
      <c r="A36" s="114" t="s">
        <v>42</v>
      </c>
      <c r="B36" s="44">
        <v>16404</v>
      </c>
      <c r="C36" s="45">
        <v>7615</v>
      </c>
      <c r="D36" s="45">
        <v>0</v>
      </c>
      <c r="E36" s="45">
        <v>0</v>
      </c>
      <c r="F36" s="108">
        <f t="shared" ref="F36:G38" si="24">C36/B36*100</f>
        <v>46.421604486710564</v>
      </c>
      <c r="G36" s="108">
        <f t="shared" si="24"/>
        <v>0</v>
      </c>
      <c r="H36" s="81" t="s">
        <v>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65" s="3" customFormat="1" ht="16.5" customHeight="1" x14ac:dyDescent="0.2">
      <c r="A37" s="114" t="s">
        <v>46</v>
      </c>
      <c r="B37" s="44">
        <v>87000</v>
      </c>
      <c r="C37" s="45">
        <v>87000</v>
      </c>
      <c r="D37" s="45">
        <v>87000</v>
      </c>
      <c r="E37" s="45">
        <v>87000</v>
      </c>
      <c r="F37" s="108">
        <f t="shared" si="24"/>
        <v>100</v>
      </c>
      <c r="G37" s="108">
        <f t="shared" si="24"/>
        <v>100</v>
      </c>
      <c r="H37" s="109">
        <f>E37/D37*100</f>
        <v>100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65" s="3" customFormat="1" ht="16.5" customHeight="1" x14ac:dyDescent="0.2">
      <c r="A38" s="114" t="s">
        <v>49</v>
      </c>
      <c r="B38" s="44">
        <v>133546</v>
      </c>
      <c r="C38" s="45">
        <v>96344</v>
      </c>
      <c r="D38" s="45">
        <v>0</v>
      </c>
      <c r="E38" s="45">
        <v>0</v>
      </c>
      <c r="F38" s="108">
        <f t="shared" si="24"/>
        <v>72.142932023422645</v>
      </c>
      <c r="G38" s="108">
        <f t="shared" si="24"/>
        <v>0</v>
      </c>
      <c r="H38" s="81" t="s">
        <v>7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65" s="3" customFormat="1" ht="6" customHeight="1" x14ac:dyDescent="0.2">
      <c r="A39" s="116"/>
      <c r="B39" s="44"/>
      <c r="C39" s="45"/>
      <c r="D39" s="45"/>
      <c r="E39" s="45"/>
      <c r="F39" s="110"/>
      <c r="G39" s="110"/>
      <c r="H39" s="12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65" s="3" customFormat="1" ht="29.25" customHeight="1" x14ac:dyDescent="0.2">
      <c r="A40" s="115" t="s">
        <v>91</v>
      </c>
      <c r="B40" s="41">
        <v>13188680</v>
      </c>
      <c r="C40" s="42">
        <v>13185057</v>
      </c>
      <c r="D40" s="42">
        <v>13184717</v>
      </c>
      <c r="E40" s="42">
        <v>13184717</v>
      </c>
      <c r="F40" s="106">
        <f t="shared" ref="F40" si="25">C40/B40*100</f>
        <v>99.972529472244375</v>
      </c>
      <c r="G40" s="106">
        <f t="shared" ref="G40" si="26">D40/C40*100</f>
        <v>99.997421323244936</v>
      </c>
      <c r="H40" s="107">
        <f t="shared" ref="H40" si="27">E40/D40*100</f>
        <v>100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65" s="3" customFormat="1" ht="6" customHeight="1" x14ac:dyDescent="0.2">
      <c r="A41" s="117"/>
      <c r="B41" s="41"/>
      <c r="C41" s="42"/>
      <c r="D41" s="42"/>
      <c r="E41" s="42"/>
      <c r="F41" s="110"/>
      <c r="G41" s="110"/>
      <c r="H41" s="12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65" s="3" customFormat="1" ht="29.25" customHeight="1" x14ac:dyDescent="0.2">
      <c r="A42" s="115" t="s">
        <v>51</v>
      </c>
      <c r="B42" s="48">
        <f>SUM(B43,B44,B45,B46,B47,B48,B49,B50,B51)</f>
        <v>759267</v>
      </c>
      <c r="C42" s="42">
        <f>SUM(C43,C44,C45,C46,C47,C48,C49,C50,C51)</f>
        <v>666658</v>
      </c>
      <c r="D42" s="42">
        <f t="shared" ref="D42:E42" si="28">SUM(D43,D44,D45,D46,D47,D48,D49,D50,D51)</f>
        <v>649252</v>
      </c>
      <c r="E42" s="42">
        <f t="shared" si="28"/>
        <v>1345289</v>
      </c>
      <c r="F42" s="106">
        <f t="shared" ref="F42" si="29">C42/B42*100</f>
        <v>87.802841424689873</v>
      </c>
      <c r="G42" s="106">
        <f t="shared" ref="G42" si="30">D42/C42*100</f>
        <v>97.389066057858756</v>
      </c>
      <c r="H42" s="107">
        <f t="shared" ref="H42" si="31">E42/D42*100</f>
        <v>207.20598473320067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65" s="3" customFormat="1" ht="16.5" customHeight="1" x14ac:dyDescent="0.2">
      <c r="A43" s="114" t="s">
        <v>89</v>
      </c>
      <c r="B43" s="44">
        <v>24500</v>
      </c>
      <c r="C43" s="45">
        <v>9090</v>
      </c>
      <c r="D43" s="45">
        <v>7640</v>
      </c>
      <c r="E43" s="45">
        <v>5140</v>
      </c>
      <c r="F43" s="108">
        <f t="shared" ref="F43:H45" si="32">C43/B43*100</f>
        <v>37.102040816326529</v>
      </c>
      <c r="G43" s="108">
        <f t="shared" si="32"/>
        <v>84.048404840484054</v>
      </c>
      <c r="H43" s="109">
        <f t="shared" si="32"/>
        <v>67.277486910994767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65" s="1" customFormat="1" ht="16.5" customHeight="1" x14ac:dyDescent="0.2">
      <c r="A44" s="114" t="s">
        <v>52</v>
      </c>
      <c r="B44" s="47">
        <v>19507</v>
      </c>
      <c r="C44" s="45">
        <v>19507</v>
      </c>
      <c r="D44" s="45">
        <v>19507</v>
      </c>
      <c r="E44" s="45">
        <v>19507</v>
      </c>
      <c r="F44" s="108">
        <f t="shared" si="32"/>
        <v>100</v>
      </c>
      <c r="G44" s="108">
        <f t="shared" si="32"/>
        <v>100</v>
      </c>
      <c r="H44" s="109">
        <f t="shared" si="32"/>
        <v>100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65" s="3" customFormat="1" ht="16.5" customHeight="1" x14ac:dyDescent="0.2">
      <c r="A45" s="114" t="s">
        <v>88</v>
      </c>
      <c r="B45" s="47">
        <v>77654</v>
      </c>
      <c r="C45" s="45">
        <v>171954</v>
      </c>
      <c r="D45" s="45">
        <v>71954</v>
      </c>
      <c r="E45" s="45">
        <v>246954</v>
      </c>
      <c r="F45" s="108">
        <f t="shared" si="32"/>
        <v>221.4361140443506</v>
      </c>
      <c r="G45" s="108">
        <f t="shared" si="32"/>
        <v>41.844912011351873</v>
      </c>
      <c r="H45" s="109">
        <f t="shared" si="32"/>
        <v>343.21094032298413</v>
      </c>
      <c r="I45" s="1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65" s="3" customFormat="1" ht="16.5" customHeight="1" x14ac:dyDescent="0.2">
      <c r="A46" s="114" t="s">
        <v>41</v>
      </c>
      <c r="B46" s="44">
        <v>57835</v>
      </c>
      <c r="C46" s="45">
        <v>50000</v>
      </c>
      <c r="D46" s="45">
        <v>0</v>
      </c>
      <c r="E46" s="45">
        <v>0</v>
      </c>
      <c r="F46" s="108">
        <f t="shared" ref="F46:F50" si="33">C46/B46*100</f>
        <v>86.452839975793211</v>
      </c>
      <c r="G46" s="108">
        <f t="shared" ref="G46:G50" si="34">D46/C46*100</f>
        <v>0</v>
      </c>
      <c r="H46" s="81" t="s">
        <v>7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65" s="3" customFormat="1" ht="16.5" customHeight="1" x14ac:dyDescent="0.2">
      <c r="A47" s="114" t="s">
        <v>42</v>
      </c>
      <c r="B47" s="47">
        <v>63181</v>
      </c>
      <c r="C47" s="45">
        <v>29960</v>
      </c>
      <c r="D47" s="45">
        <v>100000</v>
      </c>
      <c r="E47" s="45">
        <v>129000</v>
      </c>
      <c r="F47" s="108">
        <f t="shared" si="33"/>
        <v>47.419319099096249</v>
      </c>
      <c r="G47" s="108">
        <f t="shared" si="34"/>
        <v>333.77837116154876</v>
      </c>
      <c r="H47" s="109">
        <f t="shared" ref="H47:H51" si="35">E47/D47*100</f>
        <v>129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65" s="3" customFormat="1" ht="16.5" customHeight="1" x14ac:dyDescent="0.2">
      <c r="A48" s="114" t="s">
        <v>46</v>
      </c>
      <c r="B48" s="47">
        <v>161963</v>
      </c>
      <c r="C48" s="45">
        <v>139818</v>
      </c>
      <c r="D48" s="45">
        <v>153280</v>
      </c>
      <c r="E48" s="45">
        <v>28000</v>
      </c>
      <c r="F48" s="108">
        <f t="shared" si="33"/>
        <v>86.327124096244205</v>
      </c>
      <c r="G48" s="108">
        <f t="shared" si="34"/>
        <v>109.62823098599608</v>
      </c>
      <c r="H48" s="109">
        <f t="shared" si="35"/>
        <v>18.26722338204593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3" customFormat="1" ht="16.5" customHeight="1" x14ac:dyDescent="0.2">
      <c r="A49" s="114" t="s">
        <v>47</v>
      </c>
      <c r="B49" s="47">
        <v>128449</v>
      </c>
      <c r="C49" s="45">
        <v>50000</v>
      </c>
      <c r="D49" s="45">
        <v>65000</v>
      </c>
      <c r="E49" s="45">
        <v>0</v>
      </c>
      <c r="F49" s="108">
        <f t="shared" si="33"/>
        <v>38.92595504830711</v>
      </c>
      <c r="G49" s="108">
        <f t="shared" si="34"/>
        <v>130</v>
      </c>
      <c r="H49" s="109">
        <f t="shared" si="35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3" customFormat="1" ht="16.5" customHeight="1" x14ac:dyDescent="0.2">
      <c r="A50" s="114" t="s">
        <v>49</v>
      </c>
      <c r="B50" s="47">
        <f>209689+16489</f>
        <v>226178</v>
      </c>
      <c r="C50" s="45">
        <f>179774+16555</f>
        <v>196329</v>
      </c>
      <c r="D50" s="45">
        <f>180250+16621</f>
        <v>196871</v>
      </c>
      <c r="E50" s="45">
        <v>16688</v>
      </c>
      <c r="F50" s="108">
        <f t="shared" si="33"/>
        <v>86.802872074207045</v>
      </c>
      <c r="G50" s="108">
        <f t="shared" si="34"/>
        <v>100.27606721370761</v>
      </c>
      <c r="H50" s="109">
        <f t="shared" si="35"/>
        <v>8.4766166677672192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3" customFormat="1" ht="16.5" customHeight="1" x14ac:dyDescent="0.2">
      <c r="A51" s="114" t="s">
        <v>550</v>
      </c>
      <c r="B51" s="47">
        <v>0</v>
      </c>
      <c r="C51" s="126">
        <v>0</v>
      </c>
      <c r="D51" s="126">
        <v>35000</v>
      </c>
      <c r="E51" s="126">
        <v>900000</v>
      </c>
      <c r="F51" s="80" t="s">
        <v>7</v>
      </c>
      <c r="G51" s="80" t="s">
        <v>7</v>
      </c>
      <c r="H51" s="109">
        <f t="shared" si="35"/>
        <v>2571.4285714285716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3" customFormat="1" ht="6" customHeight="1" x14ac:dyDescent="0.2">
      <c r="A52" s="127"/>
      <c r="B52" s="44"/>
      <c r="C52" s="45"/>
      <c r="D52" s="45"/>
      <c r="E52" s="45"/>
      <c r="F52" s="110"/>
      <c r="G52" s="110"/>
      <c r="H52" s="120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19" customFormat="1" ht="16.5" customHeight="1" x14ac:dyDescent="0.2">
      <c r="A53" s="118" t="s">
        <v>74</v>
      </c>
      <c r="B53" s="41">
        <f>SUM(B54,B55,B56,B57,B58,B59,B60,B61,B62,B63,B64,B65)</f>
        <v>2092965</v>
      </c>
      <c r="C53" s="42">
        <f t="shared" ref="C53:E53" si="36">SUM(C54,C55,C56,C57,C58,C59,C60,C61,C62,C63,C64,C65)</f>
        <v>2170759</v>
      </c>
      <c r="D53" s="42">
        <f t="shared" si="36"/>
        <v>1581560</v>
      </c>
      <c r="E53" s="42">
        <f t="shared" si="36"/>
        <v>769897</v>
      </c>
      <c r="F53" s="106">
        <f t="shared" ref="F53" si="37">C53/B53*100</f>
        <v>103.71692789893763</v>
      </c>
      <c r="G53" s="106">
        <f t="shared" ref="G53" si="38">D53/C53*100</f>
        <v>72.857465983096233</v>
      </c>
      <c r="H53" s="107">
        <f t="shared" ref="H53" si="39">E53/D53*100</f>
        <v>48.679594830420598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s="19" customFormat="1" ht="16.5" customHeight="1" x14ac:dyDescent="0.2">
      <c r="A54" s="114" t="s">
        <v>89</v>
      </c>
      <c r="B54" s="47">
        <v>67857</v>
      </c>
      <c r="C54" s="45">
        <v>1855</v>
      </c>
      <c r="D54" s="45">
        <v>600</v>
      </c>
      <c r="E54" s="45">
        <v>0</v>
      </c>
      <c r="F54" s="108">
        <f>C54/B54*100</f>
        <v>2.7336899656630855</v>
      </c>
      <c r="G54" s="108">
        <f>D54/C54*100</f>
        <v>32.345013477088948</v>
      </c>
      <c r="H54" s="109">
        <f>E54/D54*100</f>
        <v>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s="19" customFormat="1" ht="16.5" customHeight="1" x14ac:dyDescent="0.2">
      <c r="A55" s="114" t="s">
        <v>52</v>
      </c>
      <c r="B55" s="47">
        <v>52600</v>
      </c>
      <c r="C55" s="45">
        <v>125000</v>
      </c>
      <c r="D55" s="45">
        <v>45628</v>
      </c>
      <c r="E55" s="45">
        <v>0</v>
      </c>
      <c r="F55" s="108">
        <f t="shared" ref="F55" si="40">C55/B55*100</f>
        <v>237.6425855513308</v>
      </c>
      <c r="G55" s="108">
        <f t="shared" ref="G55" si="41">D55/C55*100</f>
        <v>36.502400000000002</v>
      </c>
      <c r="H55" s="109">
        <f t="shared" ref="H55" si="42">E55/D55*100</f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s="19" customFormat="1" ht="16.5" customHeight="1" x14ac:dyDescent="0.2">
      <c r="A56" s="114" t="s">
        <v>88</v>
      </c>
      <c r="B56" s="47">
        <v>866210</v>
      </c>
      <c r="C56" s="45">
        <v>748764</v>
      </c>
      <c r="D56" s="45">
        <v>196200</v>
      </c>
      <c r="E56" s="45">
        <v>76725</v>
      </c>
      <c r="F56" s="108">
        <f t="shared" ref="F56:F64" si="43">C56/B56*100</f>
        <v>86.441394119208965</v>
      </c>
      <c r="G56" s="108">
        <f t="shared" ref="G56:G64" si="44">D56/C56*100</f>
        <v>26.203182845329103</v>
      </c>
      <c r="H56" s="109">
        <f t="shared" ref="H56:H64" si="45">E56/D56*100</f>
        <v>39.105504587155963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9" customFormat="1" ht="16.5" customHeight="1" x14ac:dyDescent="0.2">
      <c r="A57" s="114" t="s">
        <v>41</v>
      </c>
      <c r="B57" s="44">
        <v>5032</v>
      </c>
      <c r="C57" s="45">
        <v>50697</v>
      </c>
      <c r="D57" s="45">
        <v>342700</v>
      </c>
      <c r="E57" s="45">
        <v>0</v>
      </c>
      <c r="F57" s="108">
        <f t="shared" si="43"/>
        <v>1007.4920508744037</v>
      </c>
      <c r="G57" s="108">
        <f t="shared" si="44"/>
        <v>675.97688226127786</v>
      </c>
      <c r="H57" s="109">
        <f t="shared" si="45"/>
        <v>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s="19" customFormat="1" ht="16.5" customHeight="1" x14ac:dyDescent="0.2">
      <c r="A58" s="114" t="s">
        <v>42</v>
      </c>
      <c r="B58" s="44">
        <v>295049</v>
      </c>
      <c r="C58" s="45">
        <v>209155</v>
      </c>
      <c r="D58" s="45">
        <v>134947</v>
      </c>
      <c r="E58" s="45">
        <v>0</v>
      </c>
      <c r="F58" s="108">
        <f t="shared" si="43"/>
        <v>70.888225345620555</v>
      </c>
      <c r="G58" s="108">
        <f t="shared" si="44"/>
        <v>64.520092754177526</v>
      </c>
      <c r="H58" s="109">
        <f t="shared" si="45"/>
        <v>0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 s="19" customFormat="1" ht="16.5" customHeight="1" x14ac:dyDescent="0.2">
      <c r="A59" s="114" t="s">
        <v>44</v>
      </c>
      <c r="B59" s="47">
        <v>61321</v>
      </c>
      <c r="C59" s="45">
        <v>59613</v>
      </c>
      <c r="D59" s="45">
        <v>57040</v>
      </c>
      <c r="E59" s="45">
        <v>55000</v>
      </c>
      <c r="F59" s="108">
        <f t="shared" si="43"/>
        <v>97.214657295216981</v>
      </c>
      <c r="G59" s="108">
        <f t="shared" si="44"/>
        <v>95.683827353094117</v>
      </c>
      <c r="H59" s="109">
        <f t="shared" si="45"/>
        <v>96.423562412342207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pans="1:30" s="23" customFormat="1" ht="16.5" customHeight="1" x14ac:dyDescent="0.2">
      <c r="A60" s="114" t="s">
        <v>45</v>
      </c>
      <c r="B60" s="47">
        <v>7220</v>
      </c>
      <c r="C60" s="45">
        <v>31575</v>
      </c>
      <c r="D60" s="45">
        <v>33500</v>
      </c>
      <c r="E60" s="45">
        <v>18707</v>
      </c>
      <c r="F60" s="108">
        <f t="shared" si="43"/>
        <v>437.32686980609418</v>
      </c>
      <c r="G60" s="108">
        <f t="shared" si="44"/>
        <v>106.09659540775931</v>
      </c>
      <c r="H60" s="109">
        <f t="shared" si="45"/>
        <v>55.841791044776123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s="19" customFormat="1" ht="16.5" customHeight="1" x14ac:dyDescent="0.2">
      <c r="A61" s="114" t="s">
        <v>46</v>
      </c>
      <c r="B61" s="44">
        <v>64071</v>
      </c>
      <c r="C61" s="45">
        <v>141562</v>
      </c>
      <c r="D61" s="45">
        <v>342995</v>
      </c>
      <c r="E61" s="45">
        <v>275</v>
      </c>
      <c r="F61" s="108">
        <f t="shared" si="43"/>
        <v>220.9455135708823</v>
      </c>
      <c r="G61" s="108">
        <f t="shared" si="44"/>
        <v>242.29312951215724</v>
      </c>
      <c r="H61" s="109">
        <f t="shared" si="45"/>
        <v>8.0176095861455715E-2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 s="19" customFormat="1" ht="16.5" customHeight="1" x14ac:dyDescent="0.2">
      <c r="A62" s="114" t="s">
        <v>47</v>
      </c>
      <c r="B62" s="44">
        <v>435288</v>
      </c>
      <c r="C62" s="45">
        <v>185277</v>
      </c>
      <c r="D62" s="45">
        <v>308934</v>
      </c>
      <c r="E62" s="45">
        <v>118950</v>
      </c>
      <c r="F62" s="108">
        <f t="shared" si="43"/>
        <v>42.564233335171195</v>
      </c>
      <c r="G62" s="108">
        <f t="shared" si="44"/>
        <v>166.7416894703606</v>
      </c>
      <c r="H62" s="109">
        <f t="shared" si="45"/>
        <v>38.503369651770278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 s="19" customFormat="1" ht="16.5" customHeight="1" x14ac:dyDescent="0.2">
      <c r="A63" s="114" t="s">
        <v>49</v>
      </c>
      <c r="B63" s="47">
        <v>96590</v>
      </c>
      <c r="C63" s="45">
        <v>189362</v>
      </c>
      <c r="D63" s="45">
        <v>98950</v>
      </c>
      <c r="E63" s="45">
        <v>0</v>
      </c>
      <c r="F63" s="108">
        <f t="shared" si="43"/>
        <v>196.04720985609276</v>
      </c>
      <c r="G63" s="108">
        <f t="shared" si="44"/>
        <v>52.254412184070716</v>
      </c>
      <c r="H63" s="109">
        <f t="shared" si="45"/>
        <v>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 s="19" customFormat="1" ht="16.5" customHeight="1" x14ac:dyDescent="0.2">
      <c r="A64" s="114" t="s">
        <v>50</v>
      </c>
      <c r="B64" s="44">
        <v>141727</v>
      </c>
      <c r="C64" s="45">
        <v>427899</v>
      </c>
      <c r="D64" s="45">
        <v>20066</v>
      </c>
      <c r="E64" s="45">
        <v>240</v>
      </c>
      <c r="F64" s="108">
        <f t="shared" si="43"/>
        <v>301.91777149025944</v>
      </c>
      <c r="G64" s="108">
        <f t="shared" si="44"/>
        <v>4.689424373508702</v>
      </c>
      <c r="H64" s="109">
        <f t="shared" si="45"/>
        <v>1.1960530250174426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s="19" customFormat="1" ht="16.5" customHeight="1" x14ac:dyDescent="0.2">
      <c r="A65" s="114" t="s">
        <v>551</v>
      </c>
      <c r="B65" s="47">
        <v>0</v>
      </c>
      <c r="C65" s="45">
        <v>0</v>
      </c>
      <c r="D65" s="45">
        <v>0</v>
      </c>
      <c r="E65" s="45">
        <v>500000</v>
      </c>
      <c r="F65" s="80" t="s">
        <v>7</v>
      </c>
      <c r="G65" s="80" t="s">
        <v>7</v>
      </c>
      <c r="H65" s="81" t="s">
        <v>7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 s="3" customFormat="1" ht="6" customHeight="1" x14ac:dyDescent="0.2">
      <c r="A66" s="116"/>
      <c r="B66" s="44"/>
      <c r="C66" s="45"/>
      <c r="D66" s="45"/>
      <c r="E66" s="45"/>
      <c r="F66" s="110"/>
      <c r="G66" s="110"/>
      <c r="H66" s="120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3" customFormat="1" ht="29.25" customHeight="1" x14ac:dyDescent="0.2">
      <c r="A67" s="115" t="s">
        <v>61</v>
      </c>
      <c r="B67" s="82">
        <v>267087</v>
      </c>
      <c r="C67" s="83">
        <v>238806</v>
      </c>
      <c r="D67" s="83">
        <v>171385</v>
      </c>
      <c r="E67" s="83">
        <v>12526</v>
      </c>
      <c r="F67" s="106">
        <f t="shared" ref="F67" si="46">C67/B67*100</f>
        <v>89.411315414078558</v>
      </c>
      <c r="G67" s="106">
        <f t="shared" ref="G67" si="47">D67/C67*100</f>
        <v>71.767459779067536</v>
      </c>
      <c r="H67" s="107">
        <f t="shared" ref="H67" si="48">E67/D67*100</f>
        <v>7.3086909589520674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21" customFormat="1" ht="6" customHeight="1" thickBot="1" x14ac:dyDescent="0.25">
      <c r="A68" s="121"/>
      <c r="B68" s="102"/>
      <c r="C68" s="83"/>
      <c r="D68" s="83"/>
      <c r="E68" s="83"/>
      <c r="F68" s="122"/>
      <c r="G68" s="122"/>
      <c r="H68" s="123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1:30" s="19" customFormat="1" ht="16.5" customHeight="1" thickBot="1" x14ac:dyDescent="0.25">
      <c r="A69" s="119" t="s">
        <v>53</v>
      </c>
      <c r="B69" s="49">
        <f>B3+B4+B14+B28+B35+B40+B42+B53+B67</f>
        <v>22808265</v>
      </c>
      <c r="C69" s="87">
        <f>C3+C4+C14+C28+C35+C40+C42+C53+C67</f>
        <v>22770753</v>
      </c>
      <c r="D69" s="87">
        <f>D3+D4+D14+D28+D35+D40+D42+D53+D67</f>
        <v>22243524</v>
      </c>
      <c r="E69" s="87">
        <f>E3+E4+E14+E28+E35+E40+E42+E53+E67</f>
        <v>21964999</v>
      </c>
      <c r="F69" s="124">
        <f t="shared" ref="F69" si="49">C69/B69*100</f>
        <v>99.835533303388047</v>
      </c>
      <c r="G69" s="124">
        <f t="shared" ref="G69" si="50">D69/C69*100</f>
        <v>97.684622023698552</v>
      </c>
      <c r="H69" s="125">
        <f t="shared" ref="H69" si="51">E69/D69*100</f>
        <v>98.747837797643939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spans="1:30" x14ac:dyDescent="0.2">
      <c r="C70" s="24"/>
      <c r="D70" s="24"/>
      <c r="E70" s="24"/>
    </row>
    <row r="71" spans="1:30" ht="12.75" hidden="1" customHeight="1" x14ac:dyDescent="0.2">
      <c r="A71" s="2" t="s">
        <v>54</v>
      </c>
      <c r="C71" s="24"/>
      <c r="D71" s="24"/>
      <c r="E71" s="24"/>
    </row>
    <row r="72" spans="1:30" ht="14.25" hidden="1" customHeight="1" x14ac:dyDescent="0.2">
      <c r="A72" s="25" t="s">
        <v>55</v>
      </c>
      <c r="C72" s="24"/>
      <c r="D72" s="24"/>
      <c r="E72" s="24"/>
    </row>
    <row r="73" spans="1:30" ht="12.75" hidden="1" customHeight="1" x14ac:dyDescent="0.2">
      <c r="A73" s="26" t="s">
        <v>56</v>
      </c>
      <c r="C73" s="24"/>
      <c r="D73" s="24"/>
      <c r="E73" s="24"/>
    </row>
    <row r="74" spans="1:30" ht="12.75" hidden="1" customHeight="1" x14ac:dyDescent="0.2">
      <c r="C74" s="24"/>
      <c r="D74" s="24"/>
      <c r="E74" s="24"/>
    </row>
    <row r="75" spans="1:30" x14ac:dyDescent="0.2">
      <c r="C75" s="24"/>
      <c r="D75" s="24"/>
      <c r="E75" s="24"/>
    </row>
    <row r="76" spans="1:30" x14ac:dyDescent="0.2">
      <c r="C76" s="24"/>
      <c r="D76" s="24"/>
      <c r="E76" s="24"/>
    </row>
    <row r="77" spans="1:30" x14ac:dyDescent="0.2">
      <c r="C77" s="24"/>
      <c r="D77" s="24"/>
      <c r="E77" s="24"/>
    </row>
    <row r="78" spans="1:30" x14ac:dyDescent="0.2">
      <c r="C78" s="24"/>
      <c r="D78" s="24"/>
      <c r="E78" s="24"/>
    </row>
    <row r="79" spans="1:30" x14ac:dyDescent="0.2">
      <c r="C79" s="24"/>
      <c r="D79" s="24"/>
      <c r="E79" s="24"/>
    </row>
    <row r="80" spans="1:30" x14ac:dyDescent="0.2">
      <c r="C80" s="24"/>
      <c r="D80" s="24"/>
      <c r="E80" s="24"/>
    </row>
    <row r="81" spans="3:5" x14ac:dyDescent="0.2">
      <c r="C81" s="24"/>
      <c r="D81" s="24"/>
      <c r="E81" s="24"/>
    </row>
    <row r="82" spans="3:5" x14ac:dyDescent="0.2">
      <c r="C82" s="24"/>
      <c r="D82" s="24"/>
      <c r="E82" s="24"/>
    </row>
    <row r="83" spans="3:5" x14ac:dyDescent="0.2">
      <c r="C83" s="24"/>
      <c r="D83" s="24"/>
      <c r="E83" s="24"/>
    </row>
    <row r="84" spans="3:5" x14ac:dyDescent="0.2">
      <c r="C84" s="24"/>
      <c r="D84" s="24"/>
      <c r="E84" s="24"/>
    </row>
    <row r="85" spans="3:5" x14ac:dyDescent="0.2">
      <c r="C85" s="24"/>
      <c r="D85" s="24"/>
      <c r="E85" s="24"/>
    </row>
    <row r="86" spans="3:5" x14ac:dyDescent="0.2">
      <c r="C86" s="24"/>
      <c r="D86" s="24"/>
      <c r="E86" s="24"/>
    </row>
    <row r="87" spans="3:5" x14ac:dyDescent="0.2">
      <c r="C87" s="24"/>
      <c r="D87" s="24"/>
      <c r="E87" s="24"/>
    </row>
    <row r="88" spans="3:5" x14ac:dyDescent="0.2">
      <c r="C88" s="24"/>
      <c r="D88" s="24"/>
      <c r="E88" s="24"/>
    </row>
    <row r="89" spans="3:5" x14ac:dyDescent="0.2">
      <c r="C89" s="24"/>
      <c r="D89" s="24"/>
      <c r="E89" s="24"/>
    </row>
    <row r="90" spans="3:5" x14ac:dyDescent="0.2">
      <c r="C90" s="24"/>
      <c r="D90" s="24"/>
      <c r="E90" s="24"/>
    </row>
    <row r="91" spans="3:5" x14ac:dyDescent="0.2">
      <c r="C91" s="24"/>
      <c r="D91" s="24"/>
      <c r="E91" s="24"/>
    </row>
    <row r="92" spans="3:5" x14ac:dyDescent="0.2">
      <c r="C92" s="24"/>
      <c r="D92" s="24"/>
      <c r="E92" s="24"/>
    </row>
    <row r="93" spans="3:5" x14ac:dyDescent="0.2">
      <c r="C93" s="24"/>
      <c r="D93" s="24"/>
      <c r="E93" s="24"/>
    </row>
    <row r="94" spans="3:5" x14ac:dyDescent="0.2">
      <c r="C94" s="24"/>
      <c r="D94" s="24"/>
      <c r="E94" s="24"/>
    </row>
    <row r="95" spans="3:5" x14ac:dyDescent="0.2">
      <c r="C95" s="24"/>
      <c r="D95" s="24"/>
      <c r="E95" s="24"/>
    </row>
    <row r="96" spans="3:5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  <row r="99" spans="3:5" x14ac:dyDescent="0.2">
      <c r="C99" s="24"/>
      <c r="D99" s="24"/>
      <c r="E99" s="24"/>
    </row>
    <row r="100" spans="3:5" x14ac:dyDescent="0.2">
      <c r="C100" s="24"/>
      <c r="D100" s="24"/>
      <c r="E100" s="24"/>
    </row>
    <row r="101" spans="3:5" x14ac:dyDescent="0.2">
      <c r="C101" s="24"/>
      <c r="D101" s="24"/>
      <c r="E101" s="24"/>
    </row>
    <row r="102" spans="3:5" x14ac:dyDescent="0.2">
      <c r="C102" s="24"/>
      <c r="D102" s="24"/>
      <c r="E102" s="24"/>
    </row>
    <row r="103" spans="3:5" x14ac:dyDescent="0.2">
      <c r="C103" s="24"/>
      <c r="D103" s="24"/>
      <c r="E103" s="24"/>
    </row>
    <row r="104" spans="3:5" x14ac:dyDescent="0.2">
      <c r="C104" s="24"/>
      <c r="D104" s="24"/>
      <c r="E104" s="24"/>
    </row>
    <row r="105" spans="3:5" x14ac:dyDescent="0.2">
      <c r="C105" s="24"/>
      <c r="D105" s="24"/>
      <c r="E105" s="24"/>
    </row>
    <row r="106" spans="3:5" x14ac:dyDescent="0.2">
      <c r="C106" s="24"/>
      <c r="D106" s="24"/>
      <c r="E106" s="24"/>
    </row>
    <row r="107" spans="3:5" x14ac:dyDescent="0.2">
      <c r="C107" s="24"/>
      <c r="D107" s="24"/>
      <c r="E107" s="24"/>
    </row>
    <row r="108" spans="3:5" x14ac:dyDescent="0.2">
      <c r="C108" s="24"/>
      <c r="D108" s="24"/>
      <c r="E108" s="24"/>
    </row>
    <row r="109" spans="3:5" x14ac:dyDescent="0.2">
      <c r="C109" s="24"/>
      <c r="D109" s="24"/>
      <c r="E109" s="24"/>
    </row>
    <row r="110" spans="3:5" x14ac:dyDescent="0.2">
      <c r="C110" s="24"/>
      <c r="D110" s="24"/>
      <c r="E110" s="24"/>
    </row>
    <row r="111" spans="3:5" x14ac:dyDescent="0.2">
      <c r="C111" s="24"/>
      <c r="D111" s="24"/>
      <c r="E111" s="24"/>
    </row>
    <row r="112" spans="3:5" x14ac:dyDescent="0.2">
      <c r="C112" s="24"/>
      <c r="D112" s="24"/>
      <c r="E112" s="24"/>
    </row>
    <row r="113" spans="3:5" x14ac:dyDescent="0.2">
      <c r="C113" s="24"/>
      <c r="D113" s="24"/>
      <c r="E113" s="24"/>
    </row>
    <row r="114" spans="3:5" x14ac:dyDescent="0.2">
      <c r="C114" s="24"/>
      <c r="D114" s="24"/>
      <c r="E114" s="24"/>
    </row>
    <row r="115" spans="3:5" x14ac:dyDescent="0.2">
      <c r="C115" s="24"/>
      <c r="D115" s="24"/>
      <c r="E115" s="24"/>
    </row>
    <row r="116" spans="3:5" x14ac:dyDescent="0.2">
      <c r="C116" s="24"/>
      <c r="D116" s="24"/>
      <c r="E116" s="24"/>
    </row>
    <row r="117" spans="3:5" x14ac:dyDescent="0.2">
      <c r="C117" s="24"/>
      <c r="D117" s="24"/>
      <c r="E117" s="24"/>
    </row>
    <row r="118" spans="3:5" x14ac:dyDescent="0.2">
      <c r="C118" s="24"/>
      <c r="D118" s="24"/>
      <c r="E118" s="24"/>
    </row>
    <row r="119" spans="3:5" x14ac:dyDescent="0.2">
      <c r="C119" s="24"/>
      <c r="D119" s="24"/>
      <c r="E119" s="24"/>
    </row>
    <row r="120" spans="3:5" x14ac:dyDescent="0.2">
      <c r="C120" s="24"/>
      <c r="D120" s="24"/>
      <c r="E120" s="24"/>
    </row>
    <row r="121" spans="3:5" x14ac:dyDescent="0.2">
      <c r="C121" s="24"/>
      <c r="D121" s="24"/>
      <c r="E121" s="24"/>
    </row>
    <row r="122" spans="3:5" x14ac:dyDescent="0.2">
      <c r="C122" s="24"/>
      <c r="D122" s="24"/>
      <c r="E122" s="24"/>
    </row>
    <row r="123" spans="3:5" x14ac:dyDescent="0.2">
      <c r="C123" s="24"/>
      <c r="D123" s="24"/>
      <c r="E123" s="24"/>
    </row>
    <row r="124" spans="3:5" x14ac:dyDescent="0.2">
      <c r="C124" s="24"/>
      <c r="D124" s="24"/>
      <c r="E124" s="24"/>
    </row>
    <row r="125" spans="3:5" x14ac:dyDescent="0.2">
      <c r="C125" s="24"/>
      <c r="D125" s="24"/>
      <c r="E125" s="24"/>
    </row>
    <row r="126" spans="3:5" x14ac:dyDescent="0.2">
      <c r="C126" s="24"/>
      <c r="D126" s="24"/>
      <c r="E126" s="24"/>
    </row>
    <row r="127" spans="3:5" x14ac:dyDescent="0.2">
      <c r="C127" s="24"/>
      <c r="D127" s="24"/>
      <c r="E127" s="24"/>
    </row>
    <row r="128" spans="3:5" x14ac:dyDescent="0.2">
      <c r="C128" s="24"/>
      <c r="D128" s="24"/>
      <c r="E128" s="24"/>
    </row>
    <row r="129" spans="3:5" x14ac:dyDescent="0.2">
      <c r="C129" s="24"/>
      <c r="D129" s="24"/>
      <c r="E129" s="24"/>
    </row>
    <row r="130" spans="3:5" x14ac:dyDescent="0.2">
      <c r="C130" s="24"/>
      <c r="D130" s="24"/>
      <c r="E130" s="24"/>
    </row>
    <row r="131" spans="3:5" x14ac:dyDescent="0.2">
      <c r="C131" s="24"/>
      <c r="D131" s="24"/>
      <c r="E131" s="24"/>
    </row>
    <row r="132" spans="3:5" x14ac:dyDescent="0.2">
      <c r="C132" s="24"/>
      <c r="D132" s="24"/>
      <c r="E132" s="24"/>
    </row>
    <row r="133" spans="3:5" x14ac:dyDescent="0.2">
      <c r="C133" s="24"/>
      <c r="D133" s="24"/>
      <c r="E133" s="24"/>
    </row>
    <row r="134" spans="3:5" x14ac:dyDescent="0.2">
      <c r="C134" s="24"/>
      <c r="D134" s="24"/>
      <c r="E134" s="24"/>
    </row>
    <row r="135" spans="3:5" x14ac:dyDescent="0.2">
      <c r="C135" s="24"/>
      <c r="D135" s="24"/>
      <c r="E135" s="24"/>
    </row>
    <row r="136" spans="3:5" x14ac:dyDescent="0.2">
      <c r="C136" s="24"/>
      <c r="D136" s="24"/>
      <c r="E136" s="24"/>
    </row>
    <row r="137" spans="3:5" x14ac:dyDescent="0.2">
      <c r="C137" s="24"/>
      <c r="D137" s="24"/>
      <c r="E137" s="24"/>
    </row>
    <row r="138" spans="3:5" x14ac:dyDescent="0.2">
      <c r="C138" s="24"/>
      <c r="D138" s="24"/>
      <c r="E138" s="24"/>
    </row>
    <row r="139" spans="3:5" x14ac:dyDescent="0.2">
      <c r="C139" s="24"/>
      <c r="D139" s="24"/>
      <c r="E139" s="24"/>
    </row>
    <row r="140" spans="3:5" x14ac:dyDescent="0.2">
      <c r="C140" s="24"/>
      <c r="D140" s="24"/>
      <c r="E140" s="24"/>
    </row>
    <row r="141" spans="3:5" x14ac:dyDescent="0.2">
      <c r="C141" s="24"/>
      <c r="D141" s="24"/>
      <c r="E141" s="24"/>
    </row>
    <row r="142" spans="3:5" x14ac:dyDescent="0.2">
      <c r="C142" s="24"/>
      <c r="D142" s="24"/>
      <c r="E142" s="24"/>
    </row>
  </sheetData>
  <customSheetViews>
    <customSheetView guid="{101071BA-2FA5-4A0F-9E83-07DE84746187}" showPageBreaks="1" fitToPage="1" hiddenRows="1">
      <selection activeCell="I2" sqref="I2"/>
      <rowBreaks count="1" manualBreakCount="1">
        <brk id="61" max="16383" man="1"/>
      </rowBreaks>
      <pageMargins left="0.31496062992125984" right="0.31496062992125984" top="0.59055118110236227" bottom="0.59055118110236227" header="0.19685039370078741" footer="0.31496062992125984"/>
      <printOptions horizontalCentered="1"/>
      <pageSetup paperSize="9" scale="71" firstPageNumber="10" fitToHeight="0" orientation="portrait" useFirstPageNumber="1" r:id="rId1"/>
      <headerFooter alignWithMargins="0">
        <oddHeader>&amp;L&amp;"Tahoma,Kurzíva"Návrh rozpočtu na rok 2016
Příloha č. 5&amp;R&amp;"Tahoma,Kurzíva"Rozpočtový výhled na léta 2017 - 2019</oddHeader>
        <oddFooter>&amp;C&amp;"Tahoma,Obyčejné"&amp;P</oddFooter>
      </headerFooter>
    </customSheetView>
  </customSheetViews>
  <mergeCells count="4">
    <mergeCell ref="H1:H2"/>
    <mergeCell ref="A1:A2"/>
    <mergeCell ref="F1:F2"/>
    <mergeCell ref="G1:G2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71" firstPageNumber="3" fitToHeight="0" orientation="portrait" useFirstPageNumber="1" r:id="rId2"/>
  <headerFooter>
    <oddHeader>&amp;L&amp;"Tahoma,Kurzíva"Střednědobý výhled rozpočtu kraje na léta 2019 - 2021
Příloha č. 13&amp;R&amp;"Tahoma,Kurzíva"Bilance příjmů a výdajů v letech 2019 -2021</oddHeader>
    <oddFooter>&amp;C&amp;"Tahoma,Obyčejné"&amp;P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zoomScaleSheetLayoutView="110" workbookViewId="0">
      <selection activeCell="A9" sqref="A9"/>
    </sheetView>
  </sheetViews>
  <sheetFormatPr defaultColWidth="9" defaultRowHeight="12.75" x14ac:dyDescent="0.2"/>
  <cols>
    <col min="1" max="1" width="57.42578125" style="133" customWidth="1"/>
    <col min="2" max="2" width="11.28515625" style="133" hidden="1" customWidth="1"/>
    <col min="3" max="6" width="11.28515625" style="133" customWidth="1"/>
    <col min="7" max="16384" width="9" style="133"/>
  </cols>
  <sheetData>
    <row r="1" spans="1:6" x14ac:dyDescent="0.2">
      <c r="A1" s="68" t="s">
        <v>94</v>
      </c>
    </row>
    <row r="2" spans="1:6" ht="27.75" customHeight="1" thickBot="1" x14ac:dyDescent="0.25">
      <c r="A2" s="593" t="s">
        <v>460</v>
      </c>
      <c r="B2" s="593"/>
      <c r="C2" s="593"/>
      <c r="D2" s="593"/>
      <c r="E2" s="593"/>
      <c r="F2" s="593"/>
    </row>
    <row r="3" spans="1:6" s="134" customFormat="1" ht="27.75" customHeight="1" x14ac:dyDescent="0.2">
      <c r="A3" s="594" t="s">
        <v>108</v>
      </c>
      <c r="B3" s="596" t="s">
        <v>109</v>
      </c>
      <c r="C3" s="598" t="s">
        <v>110</v>
      </c>
      <c r="D3" s="598"/>
      <c r="E3" s="598"/>
      <c r="F3" s="599"/>
    </row>
    <row r="4" spans="1:6" s="134" customFormat="1" ht="18" customHeight="1" thickBot="1" x14ac:dyDescent="0.25">
      <c r="A4" s="595"/>
      <c r="B4" s="597"/>
      <c r="C4" s="135">
        <v>2018</v>
      </c>
      <c r="D4" s="135">
        <v>2019</v>
      </c>
      <c r="E4" s="135">
        <v>2020</v>
      </c>
      <c r="F4" s="136">
        <v>2021</v>
      </c>
    </row>
    <row r="5" spans="1:6" s="134" customFormat="1" ht="15.75" customHeight="1" x14ac:dyDescent="0.2">
      <c r="A5" s="137" t="s">
        <v>111</v>
      </c>
      <c r="B5" s="138"/>
      <c r="C5" s="139">
        <f>SUM(C7:C10)</f>
        <v>1130957</v>
      </c>
      <c r="D5" s="139">
        <f>SUM(D7:D10)</f>
        <v>1865532</v>
      </c>
      <c r="E5" s="139">
        <f>SUM(E7:E10)</f>
        <v>2734279</v>
      </c>
      <c r="F5" s="140">
        <f>SUM(F7:F10)</f>
        <v>1223076</v>
      </c>
    </row>
    <row r="6" spans="1:6" s="145" customFormat="1" ht="15" customHeight="1" x14ac:dyDescent="0.2">
      <c r="A6" s="141" t="s">
        <v>112</v>
      </c>
      <c r="B6" s="142"/>
      <c r="C6" s="143"/>
      <c r="D6" s="143"/>
      <c r="E6" s="143"/>
      <c r="F6" s="144"/>
    </row>
    <row r="7" spans="1:6" s="145" customFormat="1" ht="15" customHeight="1" x14ac:dyDescent="0.2">
      <c r="A7" s="146" t="s">
        <v>113</v>
      </c>
      <c r="B7" s="142"/>
      <c r="C7" s="147">
        <v>130188</v>
      </c>
      <c r="D7" s="147">
        <v>136697</v>
      </c>
      <c r="E7" s="147">
        <v>143532</v>
      </c>
      <c r="F7" s="148">
        <v>150709</v>
      </c>
    </row>
    <row r="8" spans="1:6" s="145" customFormat="1" ht="15" customHeight="1" x14ac:dyDescent="0.2">
      <c r="A8" s="146" t="s">
        <v>114</v>
      </c>
      <c r="B8" s="142"/>
      <c r="C8" s="147">
        <v>701761</v>
      </c>
      <c r="D8" s="147">
        <v>1374305</v>
      </c>
      <c r="E8" s="147">
        <v>2207830</v>
      </c>
      <c r="F8" s="148">
        <v>691746</v>
      </c>
    </row>
    <row r="9" spans="1:6" s="145" customFormat="1" ht="15" customHeight="1" x14ac:dyDescent="0.2">
      <c r="A9" s="149" t="s">
        <v>115</v>
      </c>
      <c r="B9" s="142">
        <v>27355</v>
      </c>
      <c r="C9" s="147">
        <v>210904</v>
      </c>
      <c r="D9" s="147">
        <v>213013</v>
      </c>
      <c r="E9" s="147">
        <v>304575</v>
      </c>
      <c r="F9" s="150">
        <v>307621</v>
      </c>
    </row>
    <row r="10" spans="1:6" s="145" customFormat="1" ht="15" customHeight="1" x14ac:dyDescent="0.2">
      <c r="A10" s="149" t="s">
        <v>116</v>
      </c>
      <c r="B10" s="142"/>
      <c r="C10" s="147">
        <v>88104</v>
      </c>
      <c r="D10" s="147">
        <v>141517</v>
      </c>
      <c r="E10" s="147">
        <v>78342</v>
      </c>
      <c r="F10" s="150">
        <v>73000</v>
      </c>
    </row>
    <row r="11" spans="1:6" s="134" customFormat="1" ht="6" customHeight="1" x14ac:dyDescent="0.2">
      <c r="A11" s="151"/>
      <c r="B11" s="152"/>
      <c r="C11" s="153"/>
      <c r="D11" s="153"/>
      <c r="E11" s="153"/>
      <c r="F11" s="154"/>
    </row>
    <row r="12" spans="1:6" s="134" customFormat="1" ht="29.25" customHeight="1" x14ac:dyDescent="0.2">
      <c r="A12" s="155" t="s">
        <v>117</v>
      </c>
      <c r="B12" s="156"/>
      <c r="C12" s="157">
        <f t="shared" ref="C12:F12" si="0">C15+C18+C21+C41+C46</f>
        <v>13188680</v>
      </c>
      <c r="D12" s="157">
        <f t="shared" si="0"/>
        <v>13185057</v>
      </c>
      <c r="E12" s="157">
        <f t="shared" si="0"/>
        <v>13184717</v>
      </c>
      <c r="F12" s="158">
        <f t="shared" si="0"/>
        <v>13184717</v>
      </c>
    </row>
    <row r="13" spans="1:6" s="134" customFormat="1" ht="15" customHeight="1" x14ac:dyDescent="0.2">
      <c r="A13" s="141" t="s">
        <v>112</v>
      </c>
      <c r="B13" s="159"/>
      <c r="C13" s="143"/>
      <c r="D13" s="143"/>
      <c r="E13" s="143"/>
      <c r="F13" s="144"/>
    </row>
    <row r="14" spans="1:6" s="134" customFormat="1" ht="15" customHeight="1" x14ac:dyDescent="0.2">
      <c r="A14" s="160" t="s">
        <v>118</v>
      </c>
      <c r="B14" s="159">
        <v>4001</v>
      </c>
      <c r="C14" s="153">
        <v>465</v>
      </c>
      <c r="D14" s="153">
        <v>465</v>
      </c>
      <c r="E14" s="153">
        <v>465</v>
      </c>
      <c r="F14" s="161">
        <v>465</v>
      </c>
    </row>
    <row r="15" spans="1:6" s="134" customFormat="1" ht="15.75" customHeight="1" x14ac:dyDescent="0.2">
      <c r="A15" s="162" t="s">
        <v>119</v>
      </c>
      <c r="B15" s="159"/>
      <c r="C15" s="143">
        <f t="shared" ref="C15:F15" si="1">SUM(C14)</f>
        <v>465</v>
      </c>
      <c r="D15" s="143">
        <f t="shared" si="1"/>
        <v>465</v>
      </c>
      <c r="E15" s="143">
        <f t="shared" si="1"/>
        <v>465</v>
      </c>
      <c r="F15" s="144">
        <f t="shared" si="1"/>
        <v>465</v>
      </c>
    </row>
    <row r="16" spans="1:6" s="134" customFormat="1" ht="25.5" customHeight="1" x14ac:dyDescent="0.2">
      <c r="A16" s="160" t="s">
        <v>120</v>
      </c>
      <c r="B16" s="159">
        <v>13305</v>
      </c>
      <c r="C16" s="153">
        <v>1336239</v>
      </c>
      <c r="D16" s="153">
        <v>1336239</v>
      </c>
      <c r="E16" s="153">
        <v>1336239</v>
      </c>
      <c r="F16" s="163">
        <v>1336239</v>
      </c>
    </row>
    <row r="17" spans="1:6" s="134" customFormat="1" ht="25.5" customHeight="1" x14ac:dyDescent="0.2">
      <c r="A17" s="160" t="s">
        <v>121</v>
      </c>
      <c r="B17" s="159">
        <v>13307</v>
      </c>
      <c r="C17" s="153">
        <v>20000</v>
      </c>
      <c r="D17" s="153">
        <v>20000</v>
      </c>
      <c r="E17" s="153">
        <v>20000</v>
      </c>
      <c r="F17" s="161">
        <v>20000</v>
      </c>
    </row>
    <row r="18" spans="1:6" s="134" customFormat="1" ht="15.75" customHeight="1" x14ac:dyDescent="0.2">
      <c r="A18" s="162" t="s">
        <v>122</v>
      </c>
      <c r="B18" s="159"/>
      <c r="C18" s="143">
        <f t="shared" ref="C18:F18" si="2">SUM(C16:C17)</f>
        <v>1356239</v>
      </c>
      <c r="D18" s="143">
        <f t="shared" si="2"/>
        <v>1356239</v>
      </c>
      <c r="E18" s="143">
        <f t="shared" si="2"/>
        <v>1356239</v>
      </c>
      <c r="F18" s="144">
        <f t="shared" si="2"/>
        <v>1356239</v>
      </c>
    </row>
    <row r="19" spans="1:6" s="134" customFormat="1" ht="25.5" customHeight="1" x14ac:dyDescent="0.2">
      <c r="A19" s="160" t="s">
        <v>123</v>
      </c>
      <c r="B19" s="159">
        <v>35018</v>
      </c>
      <c r="C19" s="153">
        <v>12000</v>
      </c>
      <c r="D19" s="153">
        <v>12000</v>
      </c>
      <c r="E19" s="153">
        <v>12000</v>
      </c>
      <c r="F19" s="163">
        <v>12000</v>
      </c>
    </row>
    <row r="20" spans="1:6" s="134" customFormat="1" ht="25.5" customHeight="1" x14ac:dyDescent="0.2">
      <c r="A20" s="160" t="s">
        <v>124</v>
      </c>
      <c r="B20" s="159" t="s">
        <v>125</v>
      </c>
      <c r="C20" s="153">
        <v>3000</v>
      </c>
      <c r="D20" s="153">
        <v>3000</v>
      </c>
      <c r="E20" s="153">
        <v>3000</v>
      </c>
      <c r="F20" s="163">
        <v>3000</v>
      </c>
    </row>
    <row r="21" spans="1:6" s="134" customFormat="1" ht="18" customHeight="1" x14ac:dyDescent="0.2">
      <c r="A21" s="162" t="s">
        <v>126</v>
      </c>
      <c r="B21" s="159"/>
      <c r="C21" s="143">
        <f t="shared" ref="C21:F21" si="3">SUM(C19:C20)</f>
        <v>15000</v>
      </c>
      <c r="D21" s="143">
        <f t="shared" si="3"/>
        <v>15000</v>
      </c>
      <c r="E21" s="143">
        <f t="shared" si="3"/>
        <v>15000</v>
      </c>
      <c r="F21" s="144">
        <f t="shared" si="3"/>
        <v>15000</v>
      </c>
    </row>
    <row r="22" spans="1:6" s="145" customFormat="1" ht="25.5" customHeight="1" x14ac:dyDescent="0.2">
      <c r="A22" s="160" t="s">
        <v>127</v>
      </c>
      <c r="B22" s="159">
        <v>33457</v>
      </c>
      <c r="C22" s="153">
        <v>3623</v>
      </c>
      <c r="D22" s="153" t="s">
        <v>7</v>
      </c>
      <c r="E22" s="153" t="s">
        <v>7</v>
      </c>
      <c r="F22" s="163" t="s">
        <v>7</v>
      </c>
    </row>
    <row r="23" spans="1:6" s="145" customFormat="1" ht="37.5" customHeight="1" x14ac:dyDescent="0.2">
      <c r="A23" s="160" t="s">
        <v>128</v>
      </c>
      <c r="B23" s="159">
        <v>33435</v>
      </c>
      <c r="C23" s="153">
        <v>192</v>
      </c>
      <c r="D23" s="153">
        <v>192</v>
      </c>
      <c r="E23" s="153">
        <v>192</v>
      </c>
      <c r="F23" s="163">
        <v>192</v>
      </c>
    </row>
    <row r="24" spans="1:6" s="145" customFormat="1" ht="15" customHeight="1" x14ac:dyDescent="0.2">
      <c r="A24" s="160" t="s">
        <v>129</v>
      </c>
      <c r="B24" s="159">
        <v>33155</v>
      </c>
      <c r="C24" s="153">
        <v>704000</v>
      </c>
      <c r="D24" s="153">
        <v>704000</v>
      </c>
      <c r="E24" s="153">
        <v>704000</v>
      </c>
      <c r="F24" s="163">
        <v>704000</v>
      </c>
    </row>
    <row r="25" spans="1:6" s="145" customFormat="1" ht="15" customHeight="1" x14ac:dyDescent="0.2">
      <c r="A25" s="160" t="s">
        <v>130</v>
      </c>
      <c r="B25" s="159">
        <v>33038</v>
      </c>
      <c r="C25" s="153">
        <v>1582</v>
      </c>
      <c r="D25" s="153">
        <v>1582</v>
      </c>
      <c r="E25" s="153">
        <v>1582</v>
      </c>
      <c r="F25" s="163">
        <v>1582</v>
      </c>
    </row>
    <row r="26" spans="1:6" s="145" customFormat="1" ht="15" customHeight="1" x14ac:dyDescent="0.2">
      <c r="A26" s="164" t="s">
        <v>131</v>
      </c>
      <c r="B26" s="165">
        <v>33063</v>
      </c>
      <c r="C26" s="166">
        <v>20000</v>
      </c>
      <c r="D26" s="166">
        <v>20000</v>
      </c>
      <c r="E26" s="166">
        <v>20000</v>
      </c>
      <c r="F26" s="167">
        <v>20000</v>
      </c>
    </row>
    <row r="27" spans="1:6" s="145" customFormat="1" ht="15" customHeight="1" x14ac:dyDescent="0.2">
      <c r="A27" s="160" t="s">
        <v>132</v>
      </c>
      <c r="B27" s="159">
        <v>33049</v>
      </c>
      <c r="C27" s="153">
        <v>20100</v>
      </c>
      <c r="D27" s="153">
        <v>20100</v>
      </c>
      <c r="E27" s="153">
        <v>20100</v>
      </c>
      <c r="F27" s="163">
        <v>20100</v>
      </c>
    </row>
    <row r="28" spans="1:6" s="145" customFormat="1" ht="15" customHeight="1" x14ac:dyDescent="0.2">
      <c r="A28" s="160" t="s">
        <v>132</v>
      </c>
      <c r="B28" s="159">
        <v>33244</v>
      </c>
      <c r="C28" s="153">
        <v>77</v>
      </c>
      <c r="D28" s="153">
        <v>77</v>
      </c>
      <c r="E28" s="153">
        <v>77</v>
      </c>
      <c r="F28" s="163">
        <v>77</v>
      </c>
    </row>
    <row r="29" spans="1:6" s="145" customFormat="1" ht="25.5" customHeight="1" x14ac:dyDescent="0.2">
      <c r="A29" s="160" t="s">
        <v>133</v>
      </c>
      <c r="B29" s="159">
        <v>33034</v>
      </c>
      <c r="C29" s="153">
        <v>1246</v>
      </c>
      <c r="D29" s="153">
        <v>1246</v>
      </c>
      <c r="E29" s="153">
        <v>1246</v>
      </c>
      <c r="F29" s="163">
        <v>1246</v>
      </c>
    </row>
    <row r="30" spans="1:6" s="145" customFormat="1" ht="15" customHeight="1" x14ac:dyDescent="0.2">
      <c r="A30" s="160" t="s">
        <v>134</v>
      </c>
      <c r="B30" s="159">
        <v>33070</v>
      </c>
      <c r="C30" s="153">
        <v>3282</v>
      </c>
      <c r="D30" s="153">
        <v>3282</v>
      </c>
      <c r="E30" s="153">
        <v>3282</v>
      </c>
      <c r="F30" s="163">
        <v>3282</v>
      </c>
    </row>
    <row r="31" spans="1:6" s="145" customFormat="1" ht="15" customHeight="1" x14ac:dyDescent="0.2">
      <c r="A31" s="160" t="s">
        <v>135</v>
      </c>
      <c r="B31" s="159">
        <v>33122</v>
      </c>
      <c r="C31" s="153">
        <v>857</v>
      </c>
      <c r="D31" s="153">
        <v>857</v>
      </c>
      <c r="E31" s="153">
        <v>857</v>
      </c>
      <c r="F31" s="163">
        <v>857</v>
      </c>
    </row>
    <row r="32" spans="1:6" s="145" customFormat="1" ht="15" customHeight="1" x14ac:dyDescent="0.2">
      <c r="A32" s="160" t="s">
        <v>136</v>
      </c>
      <c r="B32" s="159">
        <v>33160</v>
      </c>
      <c r="C32" s="153">
        <v>334</v>
      </c>
      <c r="D32" s="153">
        <v>334</v>
      </c>
      <c r="E32" s="153">
        <v>334</v>
      </c>
      <c r="F32" s="163">
        <v>334</v>
      </c>
    </row>
    <row r="33" spans="1:6" s="145" customFormat="1" ht="15" customHeight="1" x14ac:dyDescent="0.2">
      <c r="A33" s="160" t="s">
        <v>137</v>
      </c>
      <c r="B33" s="159">
        <v>33353</v>
      </c>
      <c r="C33" s="153">
        <v>11024000</v>
      </c>
      <c r="D33" s="153">
        <v>11024000</v>
      </c>
      <c r="E33" s="153">
        <v>11024000</v>
      </c>
      <c r="F33" s="163">
        <v>11024000</v>
      </c>
    </row>
    <row r="34" spans="1:6" s="145" customFormat="1" ht="15" customHeight="1" x14ac:dyDescent="0.2">
      <c r="A34" s="160" t="s">
        <v>138</v>
      </c>
      <c r="B34" s="159">
        <v>33354</v>
      </c>
      <c r="C34" s="153">
        <v>14793</v>
      </c>
      <c r="D34" s="153">
        <v>14793</v>
      </c>
      <c r="E34" s="153">
        <v>14793</v>
      </c>
      <c r="F34" s="163">
        <v>14793</v>
      </c>
    </row>
    <row r="35" spans="1:6" s="145" customFormat="1" ht="15" customHeight="1" x14ac:dyDescent="0.2">
      <c r="A35" s="160" t="s">
        <v>139</v>
      </c>
      <c r="B35" s="159">
        <v>33024</v>
      </c>
      <c r="C35" s="153">
        <v>553</v>
      </c>
      <c r="D35" s="153">
        <v>553</v>
      </c>
      <c r="E35" s="153">
        <v>553</v>
      </c>
      <c r="F35" s="163">
        <v>553</v>
      </c>
    </row>
    <row r="36" spans="1:6" s="145" customFormat="1" ht="15" customHeight="1" x14ac:dyDescent="0.2">
      <c r="A36" s="160" t="s">
        <v>140</v>
      </c>
      <c r="B36" s="159">
        <v>33064</v>
      </c>
      <c r="C36" s="153">
        <v>813</v>
      </c>
      <c r="D36" s="153">
        <v>813</v>
      </c>
      <c r="E36" s="153">
        <v>813</v>
      </c>
      <c r="F36" s="163">
        <v>813</v>
      </c>
    </row>
    <row r="37" spans="1:6" s="145" customFormat="1" ht="15" customHeight="1" x14ac:dyDescent="0.2">
      <c r="A37" s="160" t="s">
        <v>141</v>
      </c>
      <c r="B37" s="159">
        <v>33069</v>
      </c>
      <c r="C37" s="153">
        <v>14728</v>
      </c>
      <c r="D37" s="153">
        <v>14728</v>
      </c>
      <c r="E37" s="153">
        <v>14728</v>
      </c>
      <c r="F37" s="163">
        <v>14728</v>
      </c>
    </row>
    <row r="38" spans="1:6" s="145" customFormat="1" ht="15" customHeight="1" x14ac:dyDescent="0.2">
      <c r="A38" s="160" t="s">
        <v>142</v>
      </c>
      <c r="B38" s="159">
        <v>33166</v>
      </c>
      <c r="C38" s="153">
        <v>1818</v>
      </c>
      <c r="D38" s="153">
        <v>1818</v>
      </c>
      <c r="E38" s="153">
        <v>1818</v>
      </c>
      <c r="F38" s="163">
        <v>1818</v>
      </c>
    </row>
    <row r="39" spans="1:6" s="145" customFormat="1" ht="15" customHeight="1" x14ac:dyDescent="0.2">
      <c r="A39" s="160" t="s">
        <v>143</v>
      </c>
      <c r="B39" s="159">
        <v>33192</v>
      </c>
      <c r="C39" s="153">
        <v>160</v>
      </c>
      <c r="D39" s="153">
        <v>160</v>
      </c>
      <c r="E39" s="153">
        <v>160</v>
      </c>
      <c r="F39" s="163">
        <v>160</v>
      </c>
    </row>
    <row r="40" spans="1:6" s="145" customFormat="1" ht="15" customHeight="1" x14ac:dyDescent="0.2">
      <c r="A40" s="160" t="s">
        <v>144</v>
      </c>
      <c r="B40" s="159">
        <v>33071</v>
      </c>
      <c r="C40" s="153">
        <v>858</v>
      </c>
      <c r="D40" s="153">
        <v>858</v>
      </c>
      <c r="E40" s="153">
        <v>858</v>
      </c>
      <c r="F40" s="163">
        <v>858</v>
      </c>
    </row>
    <row r="41" spans="1:6" s="134" customFormat="1" ht="15.75" customHeight="1" x14ac:dyDescent="0.2">
      <c r="A41" s="168" t="s">
        <v>145</v>
      </c>
      <c r="B41" s="169"/>
      <c r="C41" s="143">
        <f>SUM(C22:C40)</f>
        <v>11813016</v>
      </c>
      <c r="D41" s="143">
        <f t="shared" ref="D41:F41" si="4">SUM(D22:D40)</f>
        <v>11809393</v>
      </c>
      <c r="E41" s="143">
        <f t="shared" si="4"/>
        <v>11809393</v>
      </c>
      <c r="F41" s="170">
        <f t="shared" si="4"/>
        <v>11809393</v>
      </c>
    </row>
    <row r="42" spans="1:6" s="134" customFormat="1" ht="15" customHeight="1" x14ac:dyDescent="0.2">
      <c r="A42" s="160" t="s">
        <v>146</v>
      </c>
      <c r="B42" s="171">
        <v>34070</v>
      </c>
      <c r="C42" s="172">
        <f>1100+140</f>
        <v>1240</v>
      </c>
      <c r="D42" s="172">
        <f>1100+140</f>
        <v>1240</v>
      </c>
      <c r="E42" s="172">
        <f>1130+140</f>
        <v>1270</v>
      </c>
      <c r="F42" s="173">
        <f>1130+140</f>
        <v>1270</v>
      </c>
    </row>
    <row r="43" spans="1:6" s="134" customFormat="1" ht="15" customHeight="1" x14ac:dyDescent="0.2">
      <c r="A43" s="160" t="s">
        <v>147</v>
      </c>
      <c r="B43" s="159" t="s">
        <v>148</v>
      </c>
      <c r="C43" s="174">
        <v>270</v>
      </c>
      <c r="D43" s="174">
        <v>270</v>
      </c>
      <c r="E43" s="174">
        <v>250</v>
      </c>
      <c r="F43" s="175">
        <v>250</v>
      </c>
    </row>
    <row r="44" spans="1:6" s="134" customFormat="1" ht="15" customHeight="1" x14ac:dyDescent="0.2">
      <c r="A44" s="160" t="s">
        <v>149</v>
      </c>
      <c r="B44" s="159">
        <v>34090</v>
      </c>
      <c r="C44" s="174">
        <v>150</v>
      </c>
      <c r="D44" s="174">
        <v>150</v>
      </c>
      <c r="E44" s="174">
        <v>100</v>
      </c>
      <c r="F44" s="175">
        <v>100</v>
      </c>
    </row>
    <row r="45" spans="1:6" s="134" customFormat="1" ht="25.5" customHeight="1" x14ac:dyDescent="0.2">
      <c r="A45" s="160" t="s">
        <v>150</v>
      </c>
      <c r="B45" s="159">
        <v>34352</v>
      </c>
      <c r="C45" s="174">
        <v>2300</v>
      </c>
      <c r="D45" s="174">
        <v>2300</v>
      </c>
      <c r="E45" s="174">
        <v>2000</v>
      </c>
      <c r="F45" s="175">
        <v>2000</v>
      </c>
    </row>
    <row r="46" spans="1:6" s="134" customFormat="1" ht="15.75" customHeight="1" x14ac:dyDescent="0.2">
      <c r="A46" s="162" t="s">
        <v>151</v>
      </c>
      <c r="B46" s="159"/>
      <c r="C46" s="143">
        <f t="shared" ref="C46:F46" si="5">SUM(C42:C45)</f>
        <v>3960</v>
      </c>
      <c r="D46" s="143">
        <f t="shared" si="5"/>
        <v>3960</v>
      </c>
      <c r="E46" s="143">
        <f t="shared" si="5"/>
        <v>3620</v>
      </c>
      <c r="F46" s="144">
        <f t="shared" si="5"/>
        <v>3620</v>
      </c>
    </row>
    <row r="47" spans="1:6" s="134" customFormat="1" ht="12.75" hidden="1" customHeight="1" x14ac:dyDescent="0.2">
      <c r="A47" s="176"/>
      <c r="B47" s="152"/>
      <c r="C47" s="143"/>
      <c r="D47" s="143"/>
      <c r="E47" s="143"/>
      <c r="F47" s="177"/>
    </row>
    <row r="48" spans="1:6" s="134" customFormat="1" ht="8.25" customHeight="1" x14ac:dyDescent="0.2">
      <c r="A48" s="151"/>
      <c r="B48" s="152"/>
      <c r="C48" s="153"/>
      <c r="D48" s="153"/>
      <c r="E48" s="153"/>
      <c r="F48" s="154"/>
    </row>
    <row r="49" spans="1:6" s="134" customFormat="1" ht="29.25" customHeight="1" x14ac:dyDescent="0.2">
      <c r="A49" s="155" t="s">
        <v>152</v>
      </c>
      <c r="B49" s="156"/>
      <c r="C49" s="178">
        <v>267087</v>
      </c>
      <c r="D49" s="178">
        <v>238806</v>
      </c>
      <c r="E49" s="178">
        <v>171385</v>
      </c>
      <c r="F49" s="179">
        <v>12526</v>
      </c>
    </row>
    <row r="50" spans="1:6" s="134" customFormat="1" ht="6" customHeight="1" x14ac:dyDescent="0.2">
      <c r="A50" s="176"/>
      <c r="B50" s="152"/>
      <c r="C50" s="143"/>
      <c r="D50" s="143"/>
      <c r="E50" s="143"/>
      <c r="F50" s="177"/>
    </row>
    <row r="51" spans="1:6" s="134" customFormat="1" ht="16.5" customHeight="1" thickBot="1" x14ac:dyDescent="0.25">
      <c r="A51" s="180" t="s">
        <v>153</v>
      </c>
      <c r="B51" s="181"/>
      <c r="C51" s="182">
        <f>C5+C12+C49</f>
        <v>14586724</v>
      </c>
      <c r="D51" s="182">
        <f>D5+D12+D49</f>
        <v>15289395</v>
      </c>
      <c r="E51" s="182">
        <f>E5+E12+E49</f>
        <v>16090381</v>
      </c>
      <c r="F51" s="183">
        <f>F5+F12+F49</f>
        <v>14420319</v>
      </c>
    </row>
    <row r="52" spans="1:6" x14ac:dyDescent="0.2">
      <c r="B52" s="184"/>
    </row>
  </sheetData>
  <mergeCells count="4">
    <mergeCell ref="A2:F2"/>
    <mergeCell ref="A3:A4"/>
    <mergeCell ref="B3:B4"/>
    <mergeCell ref="C3:F3"/>
  </mergeCells>
  <printOptions horizontalCentered="1"/>
  <pageMargins left="0.39370078740157483" right="0.39370078740157483" top="0.98425196850393704" bottom="0.39370078740157483" header="0.51181102362204722" footer="0.31496062992125984"/>
  <pageSetup paperSize="9" scale="94" firstPageNumber="5" fitToHeight="0" orientation="portrait" useFirstPageNumber="1" r:id="rId1"/>
  <headerFooter>
    <oddHeader>&amp;L&amp;"Tahoma,Kurzíva"Střednědobý výhled rozpočtu kraje na léta 2019 - 2021
Příloha č. 13&amp;R&amp;"Tahoma,Kurzíva"Přehled očekávaných účelových dotací v letech 2019 – 2021</oddHeader>
    <oddFooter>&amp;C&amp;"Tahoma,Obyčejné"&amp;P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O110"/>
  <sheetViews>
    <sheetView zoomScaleNormal="100" zoomScaleSheetLayoutView="100" workbookViewId="0">
      <selection activeCell="A15" sqref="A15"/>
    </sheetView>
  </sheetViews>
  <sheetFormatPr defaultRowHeight="12.75" x14ac:dyDescent="0.2"/>
  <cols>
    <col min="1" max="1" width="37.7109375" style="295" customWidth="1"/>
    <col min="2" max="2" width="7.140625" style="295" hidden="1" customWidth="1"/>
    <col min="3" max="7" width="10.7109375" style="295" customWidth="1"/>
    <col min="8" max="8" width="44.7109375" style="295" customWidth="1"/>
    <col min="9" max="9" width="8" style="295" customWidth="1"/>
    <col min="10" max="251" width="9.140625" style="295"/>
    <col min="252" max="252" width="5.5703125" style="295" customWidth="1"/>
    <col min="253" max="253" width="32" style="295" customWidth="1"/>
    <col min="254" max="255" width="9.85546875" style="295" customWidth="1"/>
    <col min="256" max="257" width="9.42578125" style="295" customWidth="1"/>
    <col min="258" max="258" width="11.140625" style="295" customWidth="1"/>
    <col min="259" max="261" width="8.5703125" style="295" customWidth="1"/>
    <col min="262" max="262" width="32.140625" style="295" customWidth="1"/>
    <col min="263" max="263" width="8" style="295" hidden="1" customWidth="1"/>
    <col min="264" max="507" width="9.140625" style="295"/>
    <col min="508" max="508" width="5.5703125" style="295" customWidth="1"/>
    <col min="509" max="509" width="32" style="295" customWidth="1"/>
    <col min="510" max="511" width="9.85546875" style="295" customWidth="1"/>
    <col min="512" max="513" width="9.42578125" style="295" customWidth="1"/>
    <col min="514" max="514" width="11.140625" style="295" customWidth="1"/>
    <col min="515" max="517" width="8.5703125" style="295" customWidth="1"/>
    <col min="518" max="518" width="32.140625" style="295" customWidth="1"/>
    <col min="519" max="519" width="8" style="295" hidden="1" customWidth="1"/>
    <col min="520" max="763" width="9.140625" style="295"/>
    <col min="764" max="764" width="5.5703125" style="295" customWidth="1"/>
    <col min="765" max="765" width="32" style="295" customWidth="1"/>
    <col min="766" max="767" width="9.85546875" style="295" customWidth="1"/>
    <col min="768" max="769" width="9.42578125" style="295" customWidth="1"/>
    <col min="770" max="770" width="11.140625" style="295" customWidth="1"/>
    <col min="771" max="773" width="8.5703125" style="295" customWidth="1"/>
    <col min="774" max="774" width="32.140625" style="295" customWidth="1"/>
    <col min="775" max="775" width="8" style="295" hidden="1" customWidth="1"/>
    <col min="776" max="1019" width="9.140625" style="295"/>
    <col min="1020" max="1020" width="5.5703125" style="295" customWidth="1"/>
    <col min="1021" max="1021" width="32" style="295" customWidth="1"/>
    <col min="1022" max="1023" width="9.85546875" style="295" customWidth="1"/>
    <col min="1024" max="1025" width="9.42578125" style="295" customWidth="1"/>
    <col min="1026" max="1026" width="11.140625" style="295" customWidth="1"/>
    <col min="1027" max="1029" width="8.5703125" style="295" customWidth="1"/>
    <col min="1030" max="1030" width="32.140625" style="295" customWidth="1"/>
    <col min="1031" max="1031" width="8" style="295" hidden="1" customWidth="1"/>
    <col min="1032" max="1275" width="9.140625" style="295"/>
    <col min="1276" max="1276" width="5.5703125" style="295" customWidth="1"/>
    <col min="1277" max="1277" width="32" style="295" customWidth="1"/>
    <col min="1278" max="1279" width="9.85546875" style="295" customWidth="1"/>
    <col min="1280" max="1281" width="9.42578125" style="295" customWidth="1"/>
    <col min="1282" max="1282" width="11.140625" style="295" customWidth="1"/>
    <col min="1283" max="1285" width="8.5703125" style="295" customWidth="1"/>
    <col min="1286" max="1286" width="32.140625" style="295" customWidth="1"/>
    <col min="1287" max="1287" width="8" style="295" hidden="1" customWidth="1"/>
    <col min="1288" max="1531" width="9.140625" style="295"/>
    <col min="1532" max="1532" width="5.5703125" style="295" customWidth="1"/>
    <col min="1533" max="1533" width="32" style="295" customWidth="1"/>
    <col min="1534" max="1535" width="9.85546875" style="295" customWidth="1"/>
    <col min="1536" max="1537" width="9.42578125" style="295" customWidth="1"/>
    <col min="1538" max="1538" width="11.140625" style="295" customWidth="1"/>
    <col min="1539" max="1541" width="8.5703125" style="295" customWidth="1"/>
    <col min="1542" max="1542" width="32.140625" style="295" customWidth="1"/>
    <col min="1543" max="1543" width="8" style="295" hidden="1" customWidth="1"/>
    <col min="1544" max="1787" width="9.140625" style="295"/>
    <col min="1788" max="1788" width="5.5703125" style="295" customWidth="1"/>
    <col min="1789" max="1789" width="32" style="295" customWidth="1"/>
    <col min="1790" max="1791" width="9.85546875" style="295" customWidth="1"/>
    <col min="1792" max="1793" width="9.42578125" style="295" customWidth="1"/>
    <col min="1794" max="1794" width="11.140625" style="295" customWidth="1"/>
    <col min="1795" max="1797" width="8.5703125" style="295" customWidth="1"/>
    <col min="1798" max="1798" width="32.140625" style="295" customWidth="1"/>
    <col min="1799" max="1799" width="8" style="295" hidden="1" customWidth="1"/>
    <col min="1800" max="2043" width="9.140625" style="295"/>
    <col min="2044" max="2044" width="5.5703125" style="295" customWidth="1"/>
    <col min="2045" max="2045" width="32" style="295" customWidth="1"/>
    <col min="2046" max="2047" width="9.85546875" style="295" customWidth="1"/>
    <col min="2048" max="2049" width="9.42578125" style="295" customWidth="1"/>
    <col min="2050" max="2050" width="11.140625" style="295" customWidth="1"/>
    <col min="2051" max="2053" width="8.5703125" style="295" customWidth="1"/>
    <col min="2054" max="2054" width="32.140625" style="295" customWidth="1"/>
    <col min="2055" max="2055" width="8" style="295" hidden="1" customWidth="1"/>
    <col min="2056" max="2299" width="9.140625" style="295"/>
    <col min="2300" max="2300" width="5.5703125" style="295" customWidth="1"/>
    <col min="2301" max="2301" width="32" style="295" customWidth="1"/>
    <col min="2302" max="2303" width="9.85546875" style="295" customWidth="1"/>
    <col min="2304" max="2305" width="9.42578125" style="295" customWidth="1"/>
    <col min="2306" max="2306" width="11.140625" style="295" customWidth="1"/>
    <col min="2307" max="2309" width="8.5703125" style="295" customWidth="1"/>
    <col min="2310" max="2310" width="32.140625" style="295" customWidth="1"/>
    <col min="2311" max="2311" width="8" style="295" hidden="1" customWidth="1"/>
    <col min="2312" max="2555" width="9.140625" style="295"/>
    <col min="2556" max="2556" width="5.5703125" style="295" customWidth="1"/>
    <col min="2557" max="2557" width="32" style="295" customWidth="1"/>
    <col min="2558" max="2559" width="9.85546875" style="295" customWidth="1"/>
    <col min="2560" max="2561" width="9.42578125" style="295" customWidth="1"/>
    <col min="2562" max="2562" width="11.140625" style="295" customWidth="1"/>
    <col min="2563" max="2565" width="8.5703125" style="295" customWidth="1"/>
    <col min="2566" max="2566" width="32.140625" style="295" customWidth="1"/>
    <col min="2567" max="2567" width="8" style="295" hidden="1" customWidth="1"/>
    <col min="2568" max="2811" width="9.140625" style="295"/>
    <col min="2812" max="2812" width="5.5703125" style="295" customWidth="1"/>
    <col min="2813" max="2813" width="32" style="295" customWidth="1"/>
    <col min="2814" max="2815" width="9.85546875" style="295" customWidth="1"/>
    <col min="2816" max="2817" width="9.42578125" style="295" customWidth="1"/>
    <col min="2818" max="2818" width="11.140625" style="295" customWidth="1"/>
    <col min="2819" max="2821" width="8.5703125" style="295" customWidth="1"/>
    <col min="2822" max="2822" width="32.140625" style="295" customWidth="1"/>
    <col min="2823" max="2823" width="8" style="295" hidden="1" customWidth="1"/>
    <col min="2824" max="3067" width="9.140625" style="295"/>
    <col min="3068" max="3068" width="5.5703125" style="295" customWidth="1"/>
    <col min="3069" max="3069" width="32" style="295" customWidth="1"/>
    <col min="3070" max="3071" width="9.85546875" style="295" customWidth="1"/>
    <col min="3072" max="3073" width="9.42578125" style="295" customWidth="1"/>
    <col min="3074" max="3074" width="11.140625" style="295" customWidth="1"/>
    <col min="3075" max="3077" width="8.5703125" style="295" customWidth="1"/>
    <col min="3078" max="3078" width="32.140625" style="295" customWidth="1"/>
    <col min="3079" max="3079" width="8" style="295" hidden="1" customWidth="1"/>
    <col min="3080" max="3323" width="9.140625" style="295"/>
    <col min="3324" max="3324" width="5.5703125" style="295" customWidth="1"/>
    <col min="3325" max="3325" width="32" style="295" customWidth="1"/>
    <col min="3326" max="3327" width="9.85546875" style="295" customWidth="1"/>
    <col min="3328" max="3329" width="9.42578125" style="295" customWidth="1"/>
    <col min="3330" max="3330" width="11.140625" style="295" customWidth="1"/>
    <col min="3331" max="3333" width="8.5703125" style="295" customWidth="1"/>
    <col min="3334" max="3334" width="32.140625" style="295" customWidth="1"/>
    <col min="3335" max="3335" width="8" style="295" hidden="1" customWidth="1"/>
    <col min="3336" max="3579" width="9.140625" style="295"/>
    <col min="3580" max="3580" width="5.5703125" style="295" customWidth="1"/>
    <col min="3581" max="3581" width="32" style="295" customWidth="1"/>
    <col min="3582" max="3583" width="9.85546875" style="295" customWidth="1"/>
    <col min="3584" max="3585" width="9.42578125" style="295" customWidth="1"/>
    <col min="3586" max="3586" width="11.140625" style="295" customWidth="1"/>
    <col min="3587" max="3589" width="8.5703125" style="295" customWidth="1"/>
    <col min="3590" max="3590" width="32.140625" style="295" customWidth="1"/>
    <col min="3591" max="3591" width="8" style="295" hidden="1" customWidth="1"/>
    <col min="3592" max="3835" width="9.140625" style="295"/>
    <col min="3836" max="3836" width="5.5703125" style="295" customWidth="1"/>
    <col min="3837" max="3837" width="32" style="295" customWidth="1"/>
    <col min="3838" max="3839" width="9.85546875" style="295" customWidth="1"/>
    <col min="3840" max="3841" width="9.42578125" style="295" customWidth="1"/>
    <col min="3842" max="3842" width="11.140625" style="295" customWidth="1"/>
    <col min="3843" max="3845" width="8.5703125" style="295" customWidth="1"/>
    <col min="3846" max="3846" width="32.140625" style="295" customWidth="1"/>
    <col min="3847" max="3847" width="8" style="295" hidden="1" customWidth="1"/>
    <col min="3848" max="4091" width="9.140625" style="295"/>
    <col min="4092" max="4092" width="5.5703125" style="295" customWidth="1"/>
    <col min="4093" max="4093" width="32" style="295" customWidth="1"/>
    <col min="4094" max="4095" width="9.85546875" style="295" customWidth="1"/>
    <col min="4096" max="4097" width="9.42578125" style="295" customWidth="1"/>
    <col min="4098" max="4098" width="11.140625" style="295" customWidth="1"/>
    <col min="4099" max="4101" width="8.5703125" style="295" customWidth="1"/>
    <col min="4102" max="4102" width="32.140625" style="295" customWidth="1"/>
    <col min="4103" max="4103" width="8" style="295" hidden="1" customWidth="1"/>
    <col min="4104" max="4347" width="9.140625" style="295"/>
    <col min="4348" max="4348" width="5.5703125" style="295" customWidth="1"/>
    <col min="4349" max="4349" width="32" style="295" customWidth="1"/>
    <col min="4350" max="4351" width="9.85546875" style="295" customWidth="1"/>
    <col min="4352" max="4353" width="9.42578125" style="295" customWidth="1"/>
    <col min="4354" max="4354" width="11.140625" style="295" customWidth="1"/>
    <col min="4355" max="4357" width="8.5703125" style="295" customWidth="1"/>
    <col min="4358" max="4358" width="32.140625" style="295" customWidth="1"/>
    <col min="4359" max="4359" width="8" style="295" hidden="1" customWidth="1"/>
    <col min="4360" max="4603" width="9.140625" style="295"/>
    <col min="4604" max="4604" width="5.5703125" style="295" customWidth="1"/>
    <col min="4605" max="4605" width="32" style="295" customWidth="1"/>
    <col min="4606" max="4607" width="9.85546875" style="295" customWidth="1"/>
    <col min="4608" max="4609" width="9.42578125" style="295" customWidth="1"/>
    <col min="4610" max="4610" width="11.140625" style="295" customWidth="1"/>
    <col min="4611" max="4613" width="8.5703125" style="295" customWidth="1"/>
    <col min="4614" max="4614" width="32.140625" style="295" customWidth="1"/>
    <col min="4615" max="4615" width="8" style="295" hidden="1" customWidth="1"/>
    <col min="4616" max="4859" width="9.140625" style="295"/>
    <col min="4860" max="4860" width="5.5703125" style="295" customWidth="1"/>
    <col min="4861" max="4861" width="32" style="295" customWidth="1"/>
    <col min="4862" max="4863" width="9.85546875" style="295" customWidth="1"/>
    <col min="4864" max="4865" width="9.42578125" style="295" customWidth="1"/>
    <col min="4866" max="4866" width="11.140625" style="295" customWidth="1"/>
    <col min="4867" max="4869" width="8.5703125" style="295" customWidth="1"/>
    <col min="4870" max="4870" width="32.140625" style="295" customWidth="1"/>
    <col min="4871" max="4871" width="8" style="295" hidden="1" customWidth="1"/>
    <col min="4872" max="5115" width="9.140625" style="295"/>
    <col min="5116" max="5116" width="5.5703125" style="295" customWidth="1"/>
    <col min="5117" max="5117" width="32" style="295" customWidth="1"/>
    <col min="5118" max="5119" width="9.85546875" style="295" customWidth="1"/>
    <col min="5120" max="5121" width="9.42578125" style="295" customWidth="1"/>
    <col min="5122" max="5122" width="11.140625" style="295" customWidth="1"/>
    <col min="5123" max="5125" width="8.5703125" style="295" customWidth="1"/>
    <col min="5126" max="5126" width="32.140625" style="295" customWidth="1"/>
    <col min="5127" max="5127" width="8" style="295" hidden="1" customWidth="1"/>
    <col min="5128" max="5371" width="9.140625" style="295"/>
    <col min="5372" max="5372" width="5.5703125" style="295" customWidth="1"/>
    <col min="5373" max="5373" width="32" style="295" customWidth="1"/>
    <col min="5374" max="5375" width="9.85546875" style="295" customWidth="1"/>
    <col min="5376" max="5377" width="9.42578125" style="295" customWidth="1"/>
    <col min="5378" max="5378" width="11.140625" style="295" customWidth="1"/>
    <col min="5379" max="5381" width="8.5703125" style="295" customWidth="1"/>
    <col min="5382" max="5382" width="32.140625" style="295" customWidth="1"/>
    <col min="5383" max="5383" width="8" style="295" hidden="1" customWidth="1"/>
    <col min="5384" max="5627" width="9.140625" style="295"/>
    <col min="5628" max="5628" width="5.5703125" style="295" customWidth="1"/>
    <col min="5629" max="5629" width="32" style="295" customWidth="1"/>
    <col min="5630" max="5631" width="9.85546875" style="295" customWidth="1"/>
    <col min="5632" max="5633" width="9.42578125" style="295" customWidth="1"/>
    <col min="5634" max="5634" width="11.140625" style="295" customWidth="1"/>
    <col min="5635" max="5637" width="8.5703125" style="295" customWidth="1"/>
    <col min="5638" max="5638" width="32.140625" style="295" customWidth="1"/>
    <col min="5639" max="5639" width="8" style="295" hidden="1" customWidth="1"/>
    <col min="5640" max="5883" width="9.140625" style="295"/>
    <col min="5884" max="5884" width="5.5703125" style="295" customWidth="1"/>
    <col min="5885" max="5885" width="32" style="295" customWidth="1"/>
    <col min="5886" max="5887" width="9.85546875" style="295" customWidth="1"/>
    <col min="5888" max="5889" width="9.42578125" style="295" customWidth="1"/>
    <col min="5890" max="5890" width="11.140625" style="295" customWidth="1"/>
    <col min="5891" max="5893" width="8.5703125" style="295" customWidth="1"/>
    <col min="5894" max="5894" width="32.140625" style="295" customWidth="1"/>
    <col min="5895" max="5895" width="8" style="295" hidden="1" customWidth="1"/>
    <col min="5896" max="6139" width="9.140625" style="295"/>
    <col min="6140" max="6140" width="5.5703125" style="295" customWidth="1"/>
    <col min="6141" max="6141" width="32" style="295" customWidth="1"/>
    <col min="6142" max="6143" width="9.85546875" style="295" customWidth="1"/>
    <col min="6144" max="6145" width="9.42578125" style="295" customWidth="1"/>
    <col min="6146" max="6146" width="11.140625" style="295" customWidth="1"/>
    <col min="6147" max="6149" width="8.5703125" style="295" customWidth="1"/>
    <col min="6150" max="6150" width="32.140625" style="295" customWidth="1"/>
    <col min="6151" max="6151" width="8" style="295" hidden="1" customWidth="1"/>
    <col min="6152" max="6395" width="9.140625" style="295"/>
    <col min="6396" max="6396" width="5.5703125" style="295" customWidth="1"/>
    <col min="6397" max="6397" width="32" style="295" customWidth="1"/>
    <col min="6398" max="6399" width="9.85546875" style="295" customWidth="1"/>
    <col min="6400" max="6401" width="9.42578125" style="295" customWidth="1"/>
    <col min="6402" max="6402" width="11.140625" style="295" customWidth="1"/>
    <col min="6403" max="6405" width="8.5703125" style="295" customWidth="1"/>
    <col min="6406" max="6406" width="32.140625" style="295" customWidth="1"/>
    <col min="6407" max="6407" width="8" style="295" hidden="1" customWidth="1"/>
    <col min="6408" max="6651" width="9.140625" style="295"/>
    <col min="6652" max="6652" width="5.5703125" style="295" customWidth="1"/>
    <col min="6653" max="6653" width="32" style="295" customWidth="1"/>
    <col min="6654" max="6655" width="9.85546875" style="295" customWidth="1"/>
    <col min="6656" max="6657" width="9.42578125" style="295" customWidth="1"/>
    <col min="6658" max="6658" width="11.140625" style="295" customWidth="1"/>
    <col min="6659" max="6661" width="8.5703125" style="295" customWidth="1"/>
    <col min="6662" max="6662" width="32.140625" style="295" customWidth="1"/>
    <col min="6663" max="6663" width="8" style="295" hidden="1" customWidth="1"/>
    <col min="6664" max="6907" width="9.140625" style="295"/>
    <col min="6908" max="6908" width="5.5703125" style="295" customWidth="1"/>
    <col min="6909" max="6909" width="32" style="295" customWidth="1"/>
    <col min="6910" max="6911" width="9.85546875" style="295" customWidth="1"/>
    <col min="6912" max="6913" width="9.42578125" style="295" customWidth="1"/>
    <col min="6914" max="6914" width="11.140625" style="295" customWidth="1"/>
    <col min="6915" max="6917" width="8.5703125" style="295" customWidth="1"/>
    <col min="6918" max="6918" width="32.140625" style="295" customWidth="1"/>
    <col min="6919" max="6919" width="8" style="295" hidden="1" customWidth="1"/>
    <col min="6920" max="7163" width="9.140625" style="295"/>
    <col min="7164" max="7164" width="5.5703125" style="295" customWidth="1"/>
    <col min="7165" max="7165" width="32" style="295" customWidth="1"/>
    <col min="7166" max="7167" width="9.85546875" style="295" customWidth="1"/>
    <col min="7168" max="7169" width="9.42578125" style="295" customWidth="1"/>
    <col min="7170" max="7170" width="11.140625" style="295" customWidth="1"/>
    <col min="7171" max="7173" width="8.5703125" style="295" customWidth="1"/>
    <col min="7174" max="7174" width="32.140625" style="295" customWidth="1"/>
    <col min="7175" max="7175" width="8" style="295" hidden="1" customWidth="1"/>
    <col min="7176" max="7419" width="9.140625" style="295"/>
    <col min="7420" max="7420" width="5.5703125" style="295" customWidth="1"/>
    <col min="7421" max="7421" width="32" style="295" customWidth="1"/>
    <col min="7422" max="7423" width="9.85546875" style="295" customWidth="1"/>
    <col min="7424" max="7425" width="9.42578125" style="295" customWidth="1"/>
    <col min="7426" max="7426" width="11.140625" style="295" customWidth="1"/>
    <col min="7427" max="7429" width="8.5703125" style="295" customWidth="1"/>
    <col min="7430" max="7430" width="32.140625" style="295" customWidth="1"/>
    <col min="7431" max="7431" width="8" style="295" hidden="1" customWidth="1"/>
    <col min="7432" max="7675" width="9.140625" style="295"/>
    <col min="7676" max="7676" width="5.5703125" style="295" customWidth="1"/>
    <col min="7677" max="7677" width="32" style="295" customWidth="1"/>
    <col min="7678" max="7679" width="9.85546875" style="295" customWidth="1"/>
    <col min="7680" max="7681" width="9.42578125" style="295" customWidth="1"/>
    <col min="7682" max="7682" width="11.140625" style="295" customWidth="1"/>
    <col min="7683" max="7685" width="8.5703125" style="295" customWidth="1"/>
    <col min="7686" max="7686" width="32.140625" style="295" customWidth="1"/>
    <col min="7687" max="7687" width="8" style="295" hidden="1" customWidth="1"/>
    <col min="7688" max="7931" width="9.140625" style="295"/>
    <col min="7932" max="7932" width="5.5703125" style="295" customWidth="1"/>
    <col min="7933" max="7933" width="32" style="295" customWidth="1"/>
    <col min="7934" max="7935" width="9.85546875" style="295" customWidth="1"/>
    <col min="7936" max="7937" width="9.42578125" style="295" customWidth="1"/>
    <col min="7938" max="7938" width="11.140625" style="295" customWidth="1"/>
    <col min="7939" max="7941" width="8.5703125" style="295" customWidth="1"/>
    <col min="7942" max="7942" width="32.140625" style="295" customWidth="1"/>
    <col min="7943" max="7943" width="8" style="295" hidden="1" customWidth="1"/>
    <col min="7944" max="8187" width="9.140625" style="295"/>
    <col min="8188" max="8188" width="5.5703125" style="295" customWidth="1"/>
    <col min="8189" max="8189" width="32" style="295" customWidth="1"/>
    <col min="8190" max="8191" width="9.85546875" style="295" customWidth="1"/>
    <col min="8192" max="8193" width="9.42578125" style="295" customWidth="1"/>
    <col min="8194" max="8194" width="11.140625" style="295" customWidth="1"/>
    <col min="8195" max="8197" width="8.5703125" style="295" customWidth="1"/>
    <col min="8198" max="8198" width="32.140625" style="295" customWidth="1"/>
    <col min="8199" max="8199" width="8" style="295" hidden="1" customWidth="1"/>
    <col min="8200" max="8443" width="9.140625" style="295"/>
    <col min="8444" max="8444" width="5.5703125" style="295" customWidth="1"/>
    <col min="8445" max="8445" width="32" style="295" customWidth="1"/>
    <col min="8446" max="8447" width="9.85546875" style="295" customWidth="1"/>
    <col min="8448" max="8449" width="9.42578125" style="295" customWidth="1"/>
    <col min="8450" max="8450" width="11.140625" style="295" customWidth="1"/>
    <col min="8451" max="8453" width="8.5703125" style="295" customWidth="1"/>
    <col min="8454" max="8454" width="32.140625" style="295" customWidth="1"/>
    <col min="8455" max="8455" width="8" style="295" hidden="1" customWidth="1"/>
    <col min="8456" max="8699" width="9.140625" style="295"/>
    <col min="8700" max="8700" width="5.5703125" style="295" customWidth="1"/>
    <col min="8701" max="8701" width="32" style="295" customWidth="1"/>
    <col min="8702" max="8703" width="9.85546875" style="295" customWidth="1"/>
    <col min="8704" max="8705" width="9.42578125" style="295" customWidth="1"/>
    <col min="8706" max="8706" width="11.140625" style="295" customWidth="1"/>
    <col min="8707" max="8709" width="8.5703125" style="295" customWidth="1"/>
    <col min="8710" max="8710" width="32.140625" style="295" customWidth="1"/>
    <col min="8711" max="8711" width="8" style="295" hidden="1" customWidth="1"/>
    <col min="8712" max="8955" width="9.140625" style="295"/>
    <col min="8956" max="8956" width="5.5703125" style="295" customWidth="1"/>
    <col min="8957" max="8957" width="32" style="295" customWidth="1"/>
    <col min="8958" max="8959" width="9.85546875" style="295" customWidth="1"/>
    <col min="8960" max="8961" width="9.42578125" style="295" customWidth="1"/>
    <col min="8962" max="8962" width="11.140625" style="295" customWidth="1"/>
    <col min="8963" max="8965" width="8.5703125" style="295" customWidth="1"/>
    <col min="8966" max="8966" width="32.140625" style="295" customWidth="1"/>
    <col min="8967" max="8967" width="8" style="295" hidden="1" customWidth="1"/>
    <col min="8968" max="9211" width="9.140625" style="295"/>
    <col min="9212" max="9212" width="5.5703125" style="295" customWidth="1"/>
    <col min="9213" max="9213" width="32" style="295" customWidth="1"/>
    <col min="9214" max="9215" width="9.85546875" style="295" customWidth="1"/>
    <col min="9216" max="9217" width="9.42578125" style="295" customWidth="1"/>
    <col min="9218" max="9218" width="11.140625" style="295" customWidth="1"/>
    <col min="9219" max="9221" width="8.5703125" style="295" customWidth="1"/>
    <col min="9222" max="9222" width="32.140625" style="295" customWidth="1"/>
    <col min="9223" max="9223" width="8" style="295" hidden="1" customWidth="1"/>
    <col min="9224" max="9467" width="9.140625" style="295"/>
    <col min="9468" max="9468" width="5.5703125" style="295" customWidth="1"/>
    <col min="9469" max="9469" width="32" style="295" customWidth="1"/>
    <col min="9470" max="9471" width="9.85546875" style="295" customWidth="1"/>
    <col min="9472" max="9473" width="9.42578125" style="295" customWidth="1"/>
    <col min="9474" max="9474" width="11.140625" style="295" customWidth="1"/>
    <col min="9475" max="9477" width="8.5703125" style="295" customWidth="1"/>
    <col min="9478" max="9478" width="32.140625" style="295" customWidth="1"/>
    <col min="9479" max="9479" width="8" style="295" hidden="1" customWidth="1"/>
    <col min="9480" max="9723" width="9.140625" style="295"/>
    <col min="9724" max="9724" width="5.5703125" style="295" customWidth="1"/>
    <col min="9725" max="9725" width="32" style="295" customWidth="1"/>
    <col min="9726" max="9727" width="9.85546875" style="295" customWidth="1"/>
    <col min="9728" max="9729" width="9.42578125" style="295" customWidth="1"/>
    <col min="9730" max="9730" width="11.140625" style="295" customWidth="1"/>
    <col min="9731" max="9733" width="8.5703125" style="295" customWidth="1"/>
    <col min="9734" max="9734" width="32.140625" style="295" customWidth="1"/>
    <col min="9735" max="9735" width="8" style="295" hidden="1" customWidth="1"/>
    <col min="9736" max="9979" width="9.140625" style="295"/>
    <col min="9980" max="9980" width="5.5703125" style="295" customWidth="1"/>
    <col min="9981" max="9981" width="32" style="295" customWidth="1"/>
    <col min="9982" max="9983" width="9.85546875" style="295" customWidth="1"/>
    <col min="9984" max="9985" width="9.42578125" style="295" customWidth="1"/>
    <col min="9986" max="9986" width="11.140625" style="295" customWidth="1"/>
    <col min="9987" max="9989" width="8.5703125" style="295" customWidth="1"/>
    <col min="9990" max="9990" width="32.140625" style="295" customWidth="1"/>
    <col min="9991" max="9991" width="8" style="295" hidden="1" customWidth="1"/>
    <col min="9992" max="10235" width="9.140625" style="295"/>
    <col min="10236" max="10236" width="5.5703125" style="295" customWidth="1"/>
    <col min="10237" max="10237" width="32" style="295" customWidth="1"/>
    <col min="10238" max="10239" width="9.85546875" style="295" customWidth="1"/>
    <col min="10240" max="10241" width="9.42578125" style="295" customWidth="1"/>
    <col min="10242" max="10242" width="11.140625" style="295" customWidth="1"/>
    <col min="10243" max="10245" width="8.5703125" style="295" customWidth="1"/>
    <col min="10246" max="10246" width="32.140625" style="295" customWidth="1"/>
    <col min="10247" max="10247" width="8" style="295" hidden="1" customWidth="1"/>
    <col min="10248" max="10491" width="9.140625" style="295"/>
    <col min="10492" max="10492" width="5.5703125" style="295" customWidth="1"/>
    <col min="10493" max="10493" width="32" style="295" customWidth="1"/>
    <col min="10494" max="10495" width="9.85546875" style="295" customWidth="1"/>
    <col min="10496" max="10497" width="9.42578125" style="295" customWidth="1"/>
    <col min="10498" max="10498" width="11.140625" style="295" customWidth="1"/>
    <col min="10499" max="10501" width="8.5703125" style="295" customWidth="1"/>
    <col min="10502" max="10502" width="32.140625" style="295" customWidth="1"/>
    <col min="10503" max="10503" width="8" style="295" hidden="1" customWidth="1"/>
    <col min="10504" max="10747" width="9.140625" style="295"/>
    <col min="10748" max="10748" width="5.5703125" style="295" customWidth="1"/>
    <col min="10749" max="10749" width="32" style="295" customWidth="1"/>
    <col min="10750" max="10751" width="9.85546875" style="295" customWidth="1"/>
    <col min="10752" max="10753" width="9.42578125" style="295" customWidth="1"/>
    <col min="10754" max="10754" width="11.140625" style="295" customWidth="1"/>
    <col min="10755" max="10757" width="8.5703125" style="295" customWidth="1"/>
    <col min="10758" max="10758" width="32.140625" style="295" customWidth="1"/>
    <col min="10759" max="10759" width="8" style="295" hidden="1" customWidth="1"/>
    <col min="10760" max="11003" width="9.140625" style="295"/>
    <col min="11004" max="11004" width="5.5703125" style="295" customWidth="1"/>
    <col min="11005" max="11005" width="32" style="295" customWidth="1"/>
    <col min="11006" max="11007" width="9.85546875" style="295" customWidth="1"/>
    <col min="11008" max="11009" width="9.42578125" style="295" customWidth="1"/>
    <col min="11010" max="11010" width="11.140625" style="295" customWidth="1"/>
    <col min="11011" max="11013" width="8.5703125" style="295" customWidth="1"/>
    <col min="11014" max="11014" width="32.140625" style="295" customWidth="1"/>
    <col min="11015" max="11015" width="8" style="295" hidden="1" customWidth="1"/>
    <col min="11016" max="11259" width="9.140625" style="295"/>
    <col min="11260" max="11260" width="5.5703125" style="295" customWidth="1"/>
    <col min="11261" max="11261" width="32" style="295" customWidth="1"/>
    <col min="11262" max="11263" width="9.85546875" style="295" customWidth="1"/>
    <col min="11264" max="11265" width="9.42578125" style="295" customWidth="1"/>
    <col min="11266" max="11266" width="11.140625" style="295" customWidth="1"/>
    <col min="11267" max="11269" width="8.5703125" style="295" customWidth="1"/>
    <col min="11270" max="11270" width="32.140625" style="295" customWidth="1"/>
    <col min="11271" max="11271" width="8" style="295" hidden="1" customWidth="1"/>
    <col min="11272" max="11515" width="9.140625" style="295"/>
    <col min="11516" max="11516" width="5.5703125" style="295" customWidth="1"/>
    <col min="11517" max="11517" width="32" style="295" customWidth="1"/>
    <col min="11518" max="11519" width="9.85546875" style="295" customWidth="1"/>
    <col min="11520" max="11521" width="9.42578125" style="295" customWidth="1"/>
    <col min="11522" max="11522" width="11.140625" style="295" customWidth="1"/>
    <col min="11523" max="11525" width="8.5703125" style="295" customWidth="1"/>
    <col min="11526" max="11526" width="32.140625" style="295" customWidth="1"/>
    <col min="11527" max="11527" width="8" style="295" hidden="1" customWidth="1"/>
    <col min="11528" max="11771" width="9.140625" style="295"/>
    <col min="11772" max="11772" width="5.5703125" style="295" customWidth="1"/>
    <col min="11773" max="11773" width="32" style="295" customWidth="1"/>
    <col min="11774" max="11775" width="9.85546875" style="295" customWidth="1"/>
    <col min="11776" max="11777" width="9.42578125" style="295" customWidth="1"/>
    <col min="11778" max="11778" width="11.140625" style="295" customWidth="1"/>
    <col min="11779" max="11781" width="8.5703125" style="295" customWidth="1"/>
    <col min="11782" max="11782" width="32.140625" style="295" customWidth="1"/>
    <col min="11783" max="11783" width="8" style="295" hidden="1" customWidth="1"/>
    <col min="11784" max="12027" width="9.140625" style="295"/>
    <col min="12028" max="12028" width="5.5703125" style="295" customWidth="1"/>
    <col min="12029" max="12029" width="32" style="295" customWidth="1"/>
    <col min="12030" max="12031" width="9.85546875" style="295" customWidth="1"/>
    <col min="12032" max="12033" width="9.42578125" style="295" customWidth="1"/>
    <col min="12034" max="12034" width="11.140625" style="295" customWidth="1"/>
    <col min="12035" max="12037" width="8.5703125" style="295" customWidth="1"/>
    <col min="12038" max="12038" width="32.140625" style="295" customWidth="1"/>
    <col min="12039" max="12039" width="8" style="295" hidden="1" customWidth="1"/>
    <col min="12040" max="12283" width="9.140625" style="295"/>
    <col min="12284" max="12284" width="5.5703125" style="295" customWidth="1"/>
    <col min="12285" max="12285" width="32" style="295" customWidth="1"/>
    <col min="12286" max="12287" width="9.85546875" style="295" customWidth="1"/>
    <col min="12288" max="12289" width="9.42578125" style="295" customWidth="1"/>
    <col min="12290" max="12290" width="11.140625" style="295" customWidth="1"/>
    <col min="12291" max="12293" width="8.5703125" style="295" customWidth="1"/>
    <col min="12294" max="12294" width="32.140625" style="295" customWidth="1"/>
    <col min="12295" max="12295" width="8" style="295" hidden="1" customWidth="1"/>
    <col min="12296" max="12539" width="9.140625" style="295"/>
    <col min="12540" max="12540" width="5.5703125" style="295" customWidth="1"/>
    <col min="12541" max="12541" width="32" style="295" customWidth="1"/>
    <col min="12542" max="12543" width="9.85546875" style="295" customWidth="1"/>
    <col min="12544" max="12545" width="9.42578125" style="295" customWidth="1"/>
    <col min="12546" max="12546" width="11.140625" style="295" customWidth="1"/>
    <col min="12547" max="12549" width="8.5703125" style="295" customWidth="1"/>
    <col min="12550" max="12550" width="32.140625" style="295" customWidth="1"/>
    <col min="12551" max="12551" width="8" style="295" hidden="1" customWidth="1"/>
    <col min="12552" max="12795" width="9.140625" style="295"/>
    <col min="12796" max="12796" width="5.5703125" style="295" customWidth="1"/>
    <col min="12797" max="12797" width="32" style="295" customWidth="1"/>
    <col min="12798" max="12799" width="9.85546875" style="295" customWidth="1"/>
    <col min="12800" max="12801" width="9.42578125" style="295" customWidth="1"/>
    <col min="12802" max="12802" width="11.140625" style="295" customWidth="1"/>
    <col min="12803" max="12805" width="8.5703125" style="295" customWidth="1"/>
    <col min="12806" max="12806" width="32.140625" style="295" customWidth="1"/>
    <col min="12807" max="12807" width="8" style="295" hidden="1" customWidth="1"/>
    <col min="12808" max="13051" width="9.140625" style="295"/>
    <col min="13052" max="13052" width="5.5703125" style="295" customWidth="1"/>
    <col min="13053" max="13053" width="32" style="295" customWidth="1"/>
    <col min="13054" max="13055" width="9.85546875" style="295" customWidth="1"/>
    <col min="13056" max="13057" width="9.42578125" style="295" customWidth="1"/>
    <col min="13058" max="13058" width="11.140625" style="295" customWidth="1"/>
    <col min="13059" max="13061" width="8.5703125" style="295" customWidth="1"/>
    <col min="13062" max="13062" width="32.140625" style="295" customWidth="1"/>
    <col min="13063" max="13063" width="8" style="295" hidden="1" customWidth="1"/>
    <col min="13064" max="13307" width="9.140625" style="295"/>
    <col min="13308" max="13308" width="5.5703125" style="295" customWidth="1"/>
    <col min="13309" max="13309" width="32" style="295" customWidth="1"/>
    <col min="13310" max="13311" width="9.85546875" style="295" customWidth="1"/>
    <col min="13312" max="13313" width="9.42578125" style="295" customWidth="1"/>
    <col min="13314" max="13314" width="11.140625" style="295" customWidth="1"/>
    <col min="13315" max="13317" width="8.5703125" style="295" customWidth="1"/>
    <col min="13318" max="13318" width="32.140625" style="295" customWidth="1"/>
    <col min="13319" max="13319" width="8" style="295" hidden="1" customWidth="1"/>
    <col min="13320" max="13563" width="9.140625" style="295"/>
    <col min="13564" max="13564" width="5.5703125" style="295" customWidth="1"/>
    <col min="13565" max="13565" width="32" style="295" customWidth="1"/>
    <col min="13566" max="13567" width="9.85546875" style="295" customWidth="1"/>
    <col min="13568" max="13569" width="9.42578125" style="295" customWidth="1"/>
    <col min="13570" max="13570" width="11.140625" style="295" customWidth="1"/>
    <col min="13571" max="13573" width="8.5703125" style="295" customWidth="1"/>
    <col min="13574" max="13574" width="32.140625" style="295" customWidth="1"/>
    <col min="13575" max="13575" width="8" style="295" hidden="1" customWidth="1"/>
    <col min="13576" max="13819" width="9.140625" style="295"/>
    <col min="13820" max="13820" width="5.5703125" style="295" customWidth="1"/>
    <col min="13821" max="13821" width="32" style="295" customWidth="1"/>
    <col min="13822" max="13823" width="9.85546875" style="295" customWidth="1"/>
    <col min="13824" max="13825" width="9.42578125" style="295" customWidth="1"/>
    <col min="13826" max="13826" width="11.140625" style="295" customWidth="1"/>
    <col min="13827" max="13829" width="8.5703125" style="295" customWidth="1"/>
    <col min="13830" max="13830" width="32.140625" style="295" customWidth="1"/>
    <col min="13831" max="13831" width="8" style="295" hidden="1" customWidth="1"/>
    <col min="13832" max="14075" width="9.140625" style="295"/>
    <col min="14076" max="14076" width="5.5703125" style="295" customWidth="1"/>
    <col min="14077" max="14077" width="32" style="295" customWidth="1"/>
    <col min="14078" max="14079" width="9.85546875" style="295" customWidth="1"/>
    <col min="14080" max="14081" width="9.42578125" style="295" customWidth="1"/>
    <col min="14082" max="14082" width="11.140625" style="295" customWidth="1"/>
    <col min="14083" max="14085" width="8.5703125" style="295" customWidth="1"/>
    <col min="14086" max="14086" width="32.140625" style="295" customWidth="1"/>
    <col min="14087" max="14087" width="8" style="295" hidden="1" customWidth="1"/>
    <col min="14088" max="14331" width="9.140625" style="295"/>
    <col min="14332" max="14332" width="5.5703125" style="295" customWidth="1"/>
    <col min="14333" max="14333" width="32" style="295" customWidth="1"/>
    <col min="14334" max="14335" width="9.85546875" style="295" customWidth="1"/>
    <col min="14336" max="14337" width="9.42578125" style="295" customWidth="1"/>
    <col min="14338" max="14338" width="11.140625" style="295" customWidth="1"/>
    <col min="14339" max="14341" width="8.5703125" style="295" customWidth="1"/>
    <col min="14342" max="14342" width="32.140625" style="295" customWidth="1"/>
    <col min="14343" max="14343" width="8" style="295" hidden="1" customWidth="1"/>
    <col min="14344" max="14587" width="9.140625" style="295"/>
    <col min="14588" max="14588" width="5.5703125" style="295" customWidth="1"/>
    <col min="14589" max="14589" width="32" style="295" customWidth="1"/>
    <col min="14590" max="14591" width="9.85546875" style="295" customWidth="1"/>
    <col min="14592" max="14593" width="9.42578125" style="295" customWidth="1"/>
    <col min="14594" max="14594" width="11.140625" style="295" customWidth="1"/>
    <col min="14595" max="14597" width="8.5703125" style="295" customWidth="1"/>
    <col min="14598" max="14598" width="32.140625" style="295" customWidth="1"/>
    <col min="14599" max="14599" width="8" style="295" hidden="1" customWidth="1"/>
    <col min="14600" max="14843" width="9.140625" style="295"/>
    <col min="14844" max="14844" width="5.5703125" style="295" customWidth="1"/>
    <col min="14845" max="14845" width="32" style="295" customWidth="1"/>
    <col min="14846" max="14847" width="9.85546875" style="295" customWidth="1"/>
    <col min="14848" max="14849" width="9.42578125" style="295" customWidth="1"/>
    <col min="14850" max="14850" width="11.140625" style="295" customWidth="1"/>
    <col min="14851" max="14853" width="8.5703125" style="295" customWidth="1"/>
    <col min="14854" max="14854" width="32.140625" style="295" customWidth="1"/>
    <col min="14855" max="14855" width="8" style="295" hidden="1" customWidth="1"/>
    <col min="14856" max="15099" width="9.140625" style="295"/>
    <col min="15100" max="15100" width="5.5703125" style="295" customWidth="1"/>
    <col min="15101" max="15101" width="32" style="295" customWidth="1"/>
    <col min="15102" max="15103" width="9.85546875" style="295" customWidth="1"/>
    <col min="15104" max="15105" width="9.42578125" style="295" customWidth="1"/>
    <col min="15106" max="15106" width="11.140625" style="295" customWidth="1"/>
    <col min="15107" max="15109" width="8.5703125" style="295" customWidth="1"/>
    <col min="15110" max="15110" width="32.140625" style="295" customWidth="1"/>
    <col min="15111" max="15111" width="8" style="295" hidden="1" customWidth="1"/>
    <col min="15112" max="15355" width="9.140625" style="295"/>
    <col min="15356" max="15356" width="5.5703125" style="295" customWidth="1"/>
    <col min="15357" max="15357" width="32" style="295" customWidth="1"/>
    <col min="15358" max="15359" width="9.85546875" style="295" customWidth="1"/>
    <col min="15360" max="15361" width="9.42578125" style="295" customWidth="1"/>
    <col min="15362" max="15362" width="11.140625" style="295" customWidth="1"/>
    <col min="15363" max="15365" width="8.5703125" style="295" customWidth="1"/>
    <col min="15366" max="15366" width="32.140625" style="295" customWidth="1"/>
    <col min="15367" max="15367" width="8" style="295" hidden="1" customWidth="1"/>
    <col min="15368" max="15611" width="9.140625" style="295"/>
    <col min="15612" max="15612" width="5.5703125" style="295" customWidth="1"/>
    <col min="15613" max="15613" width="32" style="295" customWidth="1"/>
    <col min="15614" max="15615" width="9.85546875" style="295" customWidth="1"/>
    <col min="15616" max="15617" width="9.42578125" style="295" customWidth="1"/>
    <col min="15618" max="15618" width="11.140625" style="295" customWidth="1"/>
    <col min="15619" max="15621" width="8.5703125" style="295" customWidth="1"/>
    <col min="15622" max="15622" width="32.140625" style="295" customWidth="1"/>
    <col min="15623" max="15623" width="8" style="295" hidden="1" customWidth="1"/>
    <col min="15624" max="15867" width="9.140625" style="295"/>
    <col min="15868" max="15868" width="5.5703125" style="295" customWidth="1"/>
    <col min="15869" max="15869" width="32" style="295" customWidth="1"/>
    <col min="15870" max="15871" width="9.85546875" style="295" customWidth="1"/>
    <col min="15872" max="15873" width="9.42578125" style="295" customWidth="1"/>
    <col min="15874" max="15874" width="11.140625" style="295" customWidth="1"/>
    <col min="15875" max="15877" width="8.5703125" style="295" customWidth="1"/>
    <col min="15878" max="15878" width="32.140625" style="295" customWidth="1"/>
    <col min="15879" max="15879" width="8" style="295" hidden="1" customWidth="1"/>
    <col min="15880" max="16123" width="9.140625" style="295"/>
    <col min="16124" max="16124" width="5.5703125" style="295" customWidth="1"/>
    <col min="16125" max="16125" width="32" style="295" customWidth="1"/>
    <col min="16126" max="16127" width="9.85546875" style="295" customWidth="1"/>
    <col min="16128" max="16129" width="9.42578125" style="295" customWidth="1"/>
    <col min="16130" max="16130" width="11.140625" style="295" customWidth="1"/>
    <col min="16131" max="16133" width="8.5703125" style="295" customWidth="1"/>
    <col min="16134" max="16134" width="32.140625" style="295" customWidth="1"/>
    <col min="16135" max="16135" width="8" style="295" hidden="1" customWidth="1"/>
    <col min="16136" max="16384" width="9.140625" style="295"/>
  </cols>
  <sheetData>
    <row r="1" spans="1:8" x14ac:dyDescent="0.2">
      <c r="A1" s="68" t="s">
        <v>95</v>
      </c>
    </row>
    <row r="2" spans="1:8" ht="38.25" customHeight="1" x14ac:dyDescent="0.2">
      <c r="A2" s="612" t="s">
        <v>589</v>
      </c>
      <c r="B2" s="613"/>
      <c r="C2" s="613"/>
      <c r="D2" s="613"/>
      <c r="E2" s="613"/>
      <c r="F2" s="613"/>
      <c r="G2" s="613"/>
      <c r="H2" s="613"/>
    </row>
    <row r="3" spans="1:8" ht="13.5" thickBot="1" x14ac:dyDescent="0.25">
      <c r="A3" s="296"/>
      <c r="B3" s="296"/>
      <c r="C3" s="297"/>
      <c r="D3" s="298"/>
      <c r="E3" s="298"/>
      <c r="F3" s="298"/>
      <c r="G3" s="298"/>
      <c r="H3" s="297" t="s">
        <v>155</v>
      </c>
    </row>
    <row r="4" spans="1:8" ht="21" customHeight="1" x14ac:dyDescent="0.2">
      <c r="A4" s="614" t="s">
        <v>267</v>
      </c>
      <c r="B4" s="616" t="s">
        <v>268</v>
      </c>
      <c r="C4" s="618" t="s">
        <v>269</v>
      </c>
      <c r="D4" s="620" t="s">
        <v>462</v>
      </c>
      <c r="E4" s="621"/>
      <c r="F4" s="622"/>
      <c r="G4" s="623"/>
      <c r="H4" s="624" t="s">
        <v>306</v>
      </c>
    </row>
    <row r="5" spans="1:8" ht="21" customHeight="1" thickBot="1" x14ac:dyDescent="0.25">
      <c r="A5" s="615"/>
      <c r="B5" s="617"/>
      <c r="C5" s="619"/>
      <c r="D5" s="246" t="s">
        <v>271</v>
      </c>
      <c r="E5" s="246" t="s">
        <v>272</v>
      </c>
      <c r="F5" s="246" t="s">
        <v>273</v>
      </c>
      <c r="G5" s="246" t="s">
        <v>274</v>
      </c>
      <c r="H5" s="625"/>
    </row>
    <row r="6" spans="1:8" s="299" customFormat="1" ht="18" customHeight="1" x14ac:dyDescent="0.2">
      <c r="A6" s="603" t="s">
        <v>307</v>
      </c>
      <c r="B6" s="604"/>
      <c r="C6" s="604"/>
      <c r="D6" s="604"/>
      <c r="E6" s="604"/>
      <c r="F6" s="604"/>
      <c r="G6" s="604"/>
      <c r="H6" s="605"/>
    </row>
    <row r="7" spans="1:8" s="299" customFormat="1" ht="35.25" customHeight="1" thickBot="1" x14ac:dyDescent="0.25">
      <c r="A7" s="300" t="s">
        <v>308</v>
      </c>
      <c r="B7" s="193">
        <v>3396</v>
      </c>
      <c r="C7" s="301">
        <f t="shared" ref="C7" si="0">+D7+E7+G7+F7</f>
        <v>1050</v>
      </c>
      <c r="D7" s="302">
        <v>1050</v>
      </c>
      <c r="E7" s="302">
        <v>0</v>
      </c>
      <c r="F7" s="303">
        <v>0</v>
      </c>
      <c r="G7" s="302">
        <v>0</v>
      </c>
      <c r="H7" s="555" t="s">
        <v>309</v>
      </c>
    </row>
    <row r="8" spans="1:8" s="299" customFormat="1" ht="26.25" customHeight="1" thickBot="1" x14ac:dyDescent="0.25">
      <c r="A8" s="304" t="s">
        <v>310</v>
      </c>
      <c r="B8" s="305"/>
      <c r="C8" s="306">
        <f>SUM(C7:C7)</f>
        <v>1050</v>
      </c>
      <c r="D8" s="306">
        <f>SUM(D7:D7)</f>
        <v>1050</v>
      </c>
      <c r="E8" s="306">
        <f>SUM(E7:E7)</f>
        <v>0</v>
      </c>
      <c r="F8" s="306">
        <f>SUM(F7:F7)</f>
        <v>0</v>
      </c>
      <c r="G8" s="306">
        <f>SUM(G7:G7)</f>
        <v>0</v>
      </c>
      <c r="H8" s="307"/>
    </row>
    <row r="9" spans="1:8" s="299" customFormat="1" ht="18" customHeight="1" x14ac:dyDescent="0.2">
      <c r="A9" s="603" t="s">
        <v>165</v>
      </c>
      <c r="B9" s="604"/>
      <c r="C9" s="604"/>
      <c r="D9" s="604"/>
      <c r="E9" s="604"/>
      <c r="F9" s="604"/>
      <c r="G9" s="604"/>
      <c r="H9" s="605"/>
    </row>
    <row r="10" spans="1:8" s="299" customFormat="1" ht="34.5" customHeight="1" x14ac:dyDescent="0.2">
      <c r="A10" s="300" t="s">
        <v>166</v>
      </c>
      <c r="B10" s="193" t="s">
        <v>167</v>
      </c>
      <c r="C10" s="301">
        <f>D10+E10+F10+G10</f>
        <v>88000</v>
      </c>
      <c r="D10" s="308">
        <v>75000</v>
      </c>
      <c r="E10" s="308">
        <v>13000</v>
      </c>
      <c r="F10" s="309">
        <v>0</v>
      </c>
      <c r="G10" s="352">
        <v>0</v>
      </c>
      <c r="H10" s="555" t="s">
        <v>311</v>
      </c>
    </row>
    <row r="11" spans="1:8" s="299" customFormat="1" ht="45" customHeight="1" thickBot="1" x14ac:dyDescent="0.25">
      <c r="A11" s="322" t="s">
        <v>169</v>
      </c>
      <c r="B11" s="319" t="s">
        <v>170</v>
      </c>
      <c r="C11" s="331">
        <f>D11+E11+F11+G11</f>
        <v>32628</v>
      </c>
      <c r="D11" s="320">
        <v>0</v>
      </c>
      <c r="E11" s="320">
        <v>32628</v>
      </c>
      <c r="F11" s="551">
        <v>0</v>
      </c>
      <c r="G11" s="552">
        <v>0</v>
      </c>
      <c r="H11" s="557" t="s">
        <v>312</v>
      </c>
    </row>
    <row r="12" spans="1:8" s="299" customFormat="1" ht="15.75" customHeight="1" thickBot="1" x14ac:dyDescent="0.25">
      <c r="A12" s="315" t="s">
        <v>171</v>
      </c>
      <c r="B12" s="305"/>
      <c r="C12" s="332">
        <f>SUM(C10:C11)</f>
        <v>120628</v>
      </c>
      <c r="D12" s="332">
        <f t="shared" ref="D12:G12" si="1">SUM(D10:D11)</f>
        <v>75000</v>
      </c>
      <c r="E12" s="332">
        <f t="shared" si="1"/>
        <v>45628</v>
      </c>
      <c r="F12" s="553">
        <f t="shared" si="1"/>
        <v>0</v>
      </c>
      <c r="G12" s="332">
        <f t="shared" si="1"/>
        <v>0</v>
      </c>
      <c r="H12" s="554"/>
    </row>
    <row r="13" spans="1:8" s="299" customFormat="1" ht="18" customHeight="1" x14ac:dyDescent="0.2">
      <c r="A13" s="606" t="s">
        <v>313</v>
      </c>
      <c r="B13" s="607"/>
      <c r="C13" s="607"/>
      <c r="D13" s="607"/>
      <c r="E13" s="607"/>
      <c r="F13" s="607"/>
      <c r="G13" s="607"/>
      <c r="H13" s="608"/>
    </row>
    <row r="14" spans="1:8" s="299" customFormat="1" ht="34.5" customHeight="1" x14ac:dyDescent="0.2">
      <c r="A14" s="300" t="s">
        <v>314</v>
      </c>
      <c r="B14" s="193">
        <v>3317</v>
      </c>
      <c r="C14" s="310">
        <f>D14+E14+F14+G14</f>
        <v>204500</v>
      </c>
      <c r="D14" s="308">
        <v>204500</v>
      </c>
      <c r="E14" s="308">
        <v>0</v>
      </c>
      <c r="F14" s="308">
        <v>0</v>
      </c>
      <c r="G14" s="311">
        <v>0</v>
      </c>
      <c r="H14" s="556" t="s">
        <v>315</v>
      </c>
    </row>
    <row r="15" spans="1:8" s="299" customFormat="1" ht="34.5" customHeight="1" x14ac:dyDescent="0.2">
      <c r="A15" s="300" t="s">
        <v>316</v>
      </c>
      <c r="B15" s="193">
        <v>3364</v>
      </c>
      <c r="C15" s="310">
        <f>D15+E15+F15+G15</f>
        <v>28910</v>
      </c>
      <c r="D15" s="308">
        <v>0</v>
      </c>
      <c r="E15" s="308">
        <v>28910</v>
      </c>
      <c r="F15" s="308">
        <v>0</v>
      </c>
      <c r="G15" s="311">
        <v>0</v>
      </c>
      <c r="H15" s="556" t="s">
        <v>315</v>
      </c>
    </row>
    <row r="16" spans="1:8" s="299" customFormat="1" ht="34.5" customHeight="1" x14ac:dyDescent="0.2">
      <c r="A16" s="300" t="s">
        <v>317</v>
      </c>
      <c r="B16" s="193">
        <v>3365</v>
      </c>
      <c r="C16" s="310">
        <f t="shared" ref="C16:C23" si="2">D16+E16+F16+G16</f>
        <v>125000</v>
      </c>
      <c r="D16" s="308">
        <v>125000</v>
      </c>
      <c r="E16" s="308">
        <v>0</v>
      </c>
      <c r="F16" s="308">
        <v>0</v>
      </c>
      <c r="G16" s="311">
        <v>0</v>
      </c>
      <c r="H16" s="556" t="s">
        <v>315</v>
      </c>
    </row>
    <row r="17" spans="1:8" s="299" customFormat="1" ht="34.5" customHeight="1" x14ac:dyDescent="0.2">
      <c r="A17" s="300" t="s">
        <v>318</v>
      </c>
      <c r="B17" s="193">
        <v>3366</v>
      </c>
      <c r="C17" s="310">
        <f t="shared" si="2"/>
        <v>74500</v>
      </c>
      <c r="D17" s="308">
        <v>74500</v>
      </c>
      <c r="E17" s="308">
        <v>0</v>
      </c>
      <c r="F17" s="308">
        <v>0</v>
      </c>
      <c r="G17" s="311">
        <v>0</v>
      </c>
      <c r="H17" s="556" t="s">
        <v>315</v>
      </c>
    </row>
    <row r="18" spans="1:8" s="299" customFormat="1" ht="34.5" customHeight="1" x14ac:dyDescent="0.2">
      <c r="A18" s="300" t="s">
        <v>319</v>
      </c>
      <c r="B18" s="193">
        <v>3206</v>
      </c>
      <c r="C18" s="310">
        <f t="shared" si="2"/>
        <v>32892</v>
      </c>
      <c r="D18" s="308">
        <v>32892</v>
      </c>
      <c r="E18" s="308">
        <v>0</v>
      </c>
      <c r="F18" s="308">
        <v>0</v>
      </c>
      <c r="G18" s="311">
        <v>0</v>
      </c>
      <c r="H18" s="556" t="s">
        <v>320</v>
      </c>
    </row>
    <row r="19" spans="1:8" s="299" customFormat="1" ht="34.5" customHeight="1" x14ac:dyDescent="0.2">
      <c r="A19" s="300" t="s">
        <v>321</v>
      </c>
      <c r="B19" s="193">
        <v>3324</v>
      </c>
      <c r="C19" s="310">
        <f t="shared" si="2"/>
        <v>56000</v>
      </c>
      <c r="D19" s="308">
        <v>56000</v>
      </c>
      <c r="E19" s="308">
        <v>0</v>
      </c>
      <c r="F19" s="308">
        <v>0</v>
      </c>
      <c r="G19" s="311">
        <v>0</v>
      </c>
      <c r="H19" s="556" t="s">
        <v>315</v>
      </c>
    </row>
    <row r="20" spans="1:8" s="299" customFormat="1" ht="45" customHeight="1" x14ac:dyDescent="0.2">
      <c r="A20" s="300" t="s">
        <v>163</v>
      </c>
      <c r="B20" s="193">
        <v>3321</v>
      </c>
      <c r="C20" s="310">
        <f t="shared" si="2"/>
        <v>47000</v>
      </c>
      <c r="D20" s="308">
        <v>47000</v>
      </c>
      <c r="E20" s="308">
        <v>0</v>
      </c>
      <c r="F20" s="308">
        <v>0</v>
      </c>
      <c r="G20" s="311">
        <v>0</v>
      </c>
      <c r="H20" s="556" t="s">
        <v>322</v>
      </c>
    </row>
    <row r="21" spans="1:8" s="299" customFormat="1" ht="25.5" customHeight="1" x14ac:dyDescent="0.2">
      <c r="A21" s="300" t="s">
        <v>323</v>
      </c>
      <c r="B21" s="193">
        <v>3319</v>
      </c>
      <c r="C21" s="310">
        <f t="shared" si="2"/>
        <v>168292</v>
      </c>
      <c r="D21" s="308">
        <v>168292</v>
      </c>
      <c r="E21" s="308">
        <v>0</v>
      </c>
      <c r="F21" s="308">
        <v>0</v>
      </c>
      <c r="G21" s="311">
        <v>0</v>
      </c>
      <c r="H21" s="556" t="s">
        <v>324</v>
      </c>
    </row>
    <row r="22" spans="1:8" s="299" customFormat="1" ht="25.5" customHeight="1" x14ac:dyDescent="0.2">
      <c r="A22" s="300" t="s">
        <v>325</v>
      </c>
      <c r="B22" s="193">
        <v>3392</v>
      </c>
      <c r="C22" s="310">
        <f t="shared" si="2"/>
        <v>102000</v>
      </c>
      <c r="D22" s="308">
        <v>10000</v>
      </c>
      <c r="E22" s="308">
        <v>46000</v>
      </c>
      <c r="F22" s="308">
        <v>46000</v>
      </c>
      <c r="G22" s="311">
        <v>0</v>
      </c>
      <c r="H22" s="556" t="s">
        <v>326</v>
      </c>
    </row>
    <row r="23" spans="1:8" s="299" customFormat="1" ht="25.5" customHeight="1" thickBot="1" x14ac:dyDescent="0.25">
      <c r="A23" s="300" t="s">
        <v>327</v>
      </c>
      <c r="B23" s="193" t="s">
        <v>328</v>
      </c>
      <c r="C23" s="310">
        <f t="shared" si="2"/>
        <v>1595</v>
      </c>
      <c r="D23" s="308">
        <v>580</v>
      </c>
      <c r="E23" s="308">
        <v>290</v>
      </c>
      <c r="F23" s="308">
        <v>725</v>
      </c>
      <c r="G23" s="311">
        <v>0</v>
      </c>
      <c r="H23" s="556" t="s">
        <v>329</v>
      </c>
    </row>
    <row r="24" spans="1:8" s="299" customFormat="1" ht="26.25" customHeight="1" thickBot="1" x14ac:dyDescent="0.25">
      <c r="A24" s="315" t="s">
        <v>280</v>
      </c>
      <c r="B24" s="305"/>
      <c r="C24" s="306">
        <f>SUM(C14:C23)</f>
        <v>840689</v>
      </c>
      <c r="D24" s="306">
        <f>SUM(D14:D23)</f>
        <v>718764</v>
      </c>
      <c r="E24" s="306">
        <f>SUM(E14:E23)</f>
        <v>75200</v>
      </c>
      <c r="F24" s="306">
        <f>SUM(F14:F23)</f>
        <v>46725</v>
      </c>
      <c r="G24" s="306">
        <f>SUM(G14:G23)</f>
        <v>0</v>
      </c>
      <c r="H24" s="307"/>
    </row>
    <row r="25" spans="1:8" s="299" customFormat="1" ht="18" customHeight="1" x14ac:dyDescent="0.2">
      <c r="A25" s="609" t="s">
        <v>281</v>
      </c>
      <c r="B25" s="610"/>
      <c r="C25" s="610"/>
      <c r="D25" s="610"/>
      <c r="E25" s="610"/>
      <c r="F25" s="610"/>
      <c r="G25" s="610"/>
      <c r="H25" s="611"/>
    </row>
    <row r="26" spans="1:8" s="299" customFormat="1" ht="45.75" customHeight="1" x14ac:dyDescent="0.2">
      <c r="A26" s="300" t="s">
        <v>330</v>
      </c>
      <c r="B26" s="193">
        <v>3599</v>
      </c>
      <c r="C26" s="316">
        <f>D26+E26+F26+G26</f>
        <v>198500</v>
      </c>
      <c r="D26" s="308">
        <v>48500</v>
      </c>
      <c r="E26" s="308">
        <v>150000</v>
      </c>
      <c r="F26" s="308">
        <v>0</v>
      </c>
      <c r="G26" s="317">
        <v>0</v>
      </c>
      <c r="H26" s="555" t="s">
        <v>574</v>
      </c>
    </row>
    <row r="27" spans="1:8" s="299" customFormat="1" ht="30" customHeight="1" x14ac:dyDescent="0.2">
      <c r="A27" s="300" t="s">
        <v>331</v>
      </c>
      <c r="B27" s="193">
        <v>3208</v>
      </c>
      <c r="C27" s="316">
        <f t="shared" ref="C27:C30" si="3">D27+E27+F27+G27</f>
        <v>94850</v>
      </c>
      <c r="D27" s="308">
        <v>1000</v>
      </c>
      <c r="E27" s="308">
        <v>93850</v>
      </c>
      <c r="F27" s="308">
        <v>0</v>
      </c>
      <c r="G27" s="317">
        <v>0</v>
      </c>
      <c r="H27" s="556" t="s">
        <v>332</v>
      </c>
    </row>
    <row r="28" spans="1:8" s="299" customFormat="1" ht="30" customHeight="1" x14ac:dyDescent="0.2">
      <c r="A28" s="300" t="s">
        <v>333</v>
      </c>
      <c r="B28" s="193">
        <v>3315</v>
      </c>
      <c r="C28" s="316">
        <f t="shared" si="3"/>
        <v>400</v>
      </c>
      <c r="D28" s="318">
        <v>400</v>
      </c>
      <c r="E28" s="308">
        <v>0</v>
      </c>
      <c r="F28" s="308">
        <v>0</v>
      </c>
      <c r="G28" s="317">
        <v>0</v>
      </c>
      <c r="H28" s="555" t="s">
        <v>334</v>
      </c>
    </row>
    <row r="29" spans="1:8" s="299" customFormat="1" ht="30" customHeight="1" x14ac:dyDescent="0.2">
      <c r="A29" s="300" t="s">
        <v>335</v>
      </c>
      <c r="B29" s="319">
        <v>3207</v>
      </c>
      <c r="C29" s="316">
        <f t="shared" si="3"/>
        <v>99850</v>
      </c>
      <c r="D29" s="320">
        <v>1000</v>
      </c>
      <c r="E29" s="320">
        <v>98850</v>
      </c>
      <c r="F29" s="320">
        <v>0</v>
      </c>
      <c r="G29" s="321">
        <v>0</v>
      </c>
      <c r="H29" s="556" t="s">
        <v>332</v>
      </c>
    </row>
    <row r="30" spans="1:8" s="299" customFormat="1" ht="30" customHeight="1" thickBot="1" x14ac:dyDescent="0.25">
      <c r="A30" s="322" t="s">
        <v>336</v>
      </c>
      <c r="B30" s="319">
        <v>3313</v>
      </c>
      <c r="C30" s="323">
        <f t="shared" si="3"/>
        <v>2042</v>
      </c>
      <c r="D30" s="324">
        <v>2042</v>
      </c>
      <c r="E30" s="320">
        <v>0</v>
      </c>
      <c r="F30" s="320">
        <v>0</v>
      </c>
      <c r="G30" s="321">
        <v>0</v>
      </c>
      <c r="H30" s="557" t="s">
        <v>334</v>
      </c>
    </row>
    <row r="31" spans="1:8" s="299" customFormat="1" ht="15.75" customHeight="1" thickBot="1" x14ac:dyDescent="0.25">
      <c r="A31" s="315" t="s">
        <v>284</v>
      </c>
      <c r="B31" s="305"/>
      <c r="C31" s="306">
        <f>SUM(C26:C30)</f>
        <v>395642</v>
      </c>
      <c r="D31" s="306">
        <f t="shared" ref="D31:G31" si="4">SUM(D26:D30)</f>
        <v>52942</v>
      </c>
      <c r="E31" s="306">
        <f t="shared" si="4"/>
        <v>342700</v>
      </c>
      <c r="F31" s="306">
        <f t="shared" si="4"/>
        <v>0</v>
      </c>
      <c r="G31" s="306">
        <f t="shared" si="4"/>
        <v>0</v>
      </c>
      <c r="H31" s="307"/>
    </row>
    <row r="32" spans="1:8" s="299" customFormat="1" ht="18" customHeight="1" x14ac:dyDescent="0.2">
      <c r="A32" s="609" t="s">
        <v>172</v>
      </c>
      <c r="B32" s="610"/>
      <c r="C32" s="610"/>
      <c r="D32" s="610"/>
      <c r="E32" s="610"/>
      <c r="F32" s="610"/>
      <c r="G32" s="610"/>
      <c r="H32" s="611"/>
    </row>
    <row r="33" spans="1:8" s="299" customFormat="1" ht="45" customHeight="1" x14ac:dyDescent="0.2">
      <c r="A33" s="300" t="s">
        <v>337</v>
      </c>
      <c r="B33" s="193" t="s">
        <v>338</v>
      </c>
      <c r="C33" s="316">
        <f>D33+E33+F33+G33</f>
        <v>107000</v>
      </c>
      <c r="D33" s="308">
        <v>35000</v>
      </c>
      <c r="E33" s="308">
        <v>72000</v>
      </c>
      <c r="F33" s="308">
        <v>0</v>
      </c>
      <c r="G33" s="317">
        <v>0</v>
      </c>
      <c r="H33" s="555" t="s">
        <v>575</v>
      </c>
    </row>
    <row r="34" spans="1:8" s="299" customFormat="1" ht="32.25" customHeight="1" x14ac:dyDescent="0.2">
      <c r="A34" s="300" t="s">
        <v>176</v>
      </c>
      <c r="B34" s="193" t="s">
        <v>177</v>
      </c>
      <c r="C34" s="316">
        <f t="shared" ref="C34:C41" si="5">D34+E34+F34+G34</f>
        <v>80947</v>
      </c>
      <c r="D34" s="308">
        <v>50000</v>
      </c>
      <c r="E34" s="308">
        <v>30947</v>
      </c>
      <c r="F34" s="308">
        <v>0</v>
      </c>
      <c r="G34" s="317">
        <v>0</v>
      </c>
      <c r="H34" s="555" t="s">
        <v>339</v>
      </c>
    </row>
    <row r="35" spans="1:8" s="299" customFormat="1" ht="24" customHeight="1" x14ac:dyDescent="0.2">
      <c r="A35" s="300" t="s">
        <v>181</v>
      </c>
      <c r="B35" s="193" t="s">
        <v>182</v>
      </c>
      <c r="C35" s="316">
        <f t="shared" si="5"/>
        <v>17216</v>
      </c>
      <c r="D35" s="308">
        <v>17216</v>
      </c>
      <c r="E35" s="308">
        <v>0</v>
      </c>
      <c r="F35" s="308">
        <v>0</v>
      </c>
      <c r="G35" s="317">
        <v>0</v>
      </c>
      <c r="H35" s="555" t="s">
        <v>340</v>
      </c>
    </row>
    <row r="36" spans="1:8" s="299" customFormat="1" ht="34.5" customHeight="1" x14ac:dyDescent="0.2">
      <c r="A36" s="300" t="s">
        <v>183</v>
      </c>
      <c r="B36" s="193">
        <v>3250</v>
      </c>
      <c r="C36" s="316">
        <f t="shared" si="5"/>
        <v>4801</v>
      </c>
      <c r="D36" s="308">
        <v>4801</v>
      </c>
      <c r="E36" s="308">
        <v>0</v>
      </c>
      <c r="F36" s="308">
        <v>0</v>
      </c>
      <c r="G36" s="317">
        <v>0</v>
      </c>
      <c r="H36" s="555" t="s">
        <v>341</v>
      </c>
    </row>
    <row r="37" spans="1:8" s="299" customFormat="1" ht="27.75" customHeight="1" x14ac:dyDescent="0.2">
      <c r="A37" s="300" t="s">
        <v>185</v>
      </c>
      <c r="B37" s="193" t="s">
        <v>186</v>
      </c>
      <c r="C37" s="316">
        <f t="shared" si="5"/>
        <v>49695</v>
      </c>
      <c r="D37" s="308">
        <v>49695</v>
      </c>
      <c r="E37" s="308">
        <v>0</v>
      </c>
      <c r="F37" s="308">
        <v>0</v>
      </c>
      <c r="G37" s="317">
        <v>0</v>
      </c>
      <c r="H37" s="555" t="s">
        <v>342</v>
      </c>
    </row>
    <row r="38" spans="1:8" s="299" customFormat="1" ht="45" customHeight="1" x14ac:dyDescent="0.2">
      <c r="A38" s="300" t="s">
        <v>343</v>
      </c>
      <c r="B38" s="193" t="s">
        <v>344</v>
      </c>
      <c r="C38" s="316">
        <f t="shared" si="5"/>
        <v>40500</v>
      </c>
      <c r="D38" s="308">
        <v>28500</v>
      </c>
      <c r="E38" s="308">
        <v>12000</v>
      </c>
      <c r="F38" s="308">
        <v>0</v>
      </c>
      <c r="G38" s="317">
        <v>0</v>
      </c>
      <c r="H38" s="555" t="s">
        <v>575</v>
      </c>
    </row>
    <row r="39" spans="1:8" s="299" customFormat="1" ht="24" customHeight="1" x14ac:dyDescent="0.2">
      <c r="A39" s="300" t="s">
        <v>190</v>
      </c>
      <c r="B39" s="193" t="s">
        <v>191</v>
      </c>
      <c r="C39" s="316">
        <f t="shared" si="5"/>
        <v>5000</v>
      </c>
      <c r="D39" s="308">
        <v>5000</v>
      </c>
      <c r="E39" s="308">
        <v>0</v>
      </c>
      <c r="F39" s="308">
        <v>0</v>
      </c>
      <c r="G39" s="317">
        <v>0</v>
      </c>
      <c r="H39" s="555" t="s">
        <v>345</v>
      </c>
    </row>
    <row r="40" spans="1:8" s="299" customFormat="1" ht="45" customHeight="1" x14ac:dyDescent="0.2">
      <c r="A40" s="300" t="s">
        <v>346</v>
      </c>
      <c r="B40" s="193" t="s">
        <v>347</v>
      </c>
      <c r="C40" s="316">
        <f t="shared" si="5"/>
        <v>38000</v>
      </c>
      <c r="D40" s="308">
        <v>18000</v>
      </c>
      <c r="E40" s="308">
        <v>20000</v>
      </c>
      <c r="F40" s="308">
        <v>0</v>
      </c>
      <c r="G40" s="317">
        <v>0</v>
      </c>
      <c r="H40" s="555" t="s">
        <v>576</v>
      </c>
    </row>
    <row r="41" spans="1:8" s="299" customFormat="1" ht="24.75" customHeight="1" thickBot="1" x14ac:dyDescent="0.25">
      <c r="A41" s="322" t="s">
        <v>348</v>
      </c>
      <c r="B41" s="319" t="s">
        <v>349</v>
      </c>
      <c r="C41" s="323">
        <f t="shared" si="5"/>
        <v>943</v>
      </c>
      <c r="D41" s="320">
        <v>943</v>
      </c>
      <c r="E41" s="320">
        <v>0</v>
      </c>
      <c r="F41" s="320">
        <v>0</v>
      </c>
      <c r="G41" s="321">
        <v>0</v>
      </c>
      <c r="H41" s="557" t="s">
        <v>350</v>
      </c>
    </row>
    <row r="42" spans="1:8" s="299" customFormat="1" ht="15.75" customHeight="1" thickBot="1" x14ac:dyDescent="0.25">
      <c r="A42" s="315" t="s">
        <v>193</v>
      </c>
      <c r="B42" s="305"/>
      <c r="C42" s="306">
        <f>SUM(C33:C41)</f>
        <v>344102</v>
      </c>
      <c r="D42" s="306">
        <f t="shared" ref="D42:G42" si="6">SUM(D33:D41)</f>
        <v>209155</v>
      </c>
      <c r="E42" s="306">
        <f t="shared" si="6"/>
        <v>134947</v>
      </c>
      <c r="F42" s="306">
        <f t="shared" si="6"/>
        <v>0</v>
      </c>
      <c r="G42" s="306">
        <f t="shared" si="6"/>
        <v>0</v>
      </c>
      <c r="H42" s="325"/>
    </row>
    <row r="43" spans="1:8" s="299" customFormat="1" ht="18" customHeight="1" x14ac:dyDescent="0.2">
      <c r="A43" s="603" t="s">
        <v>200</v>
      </c>
      <c r="B43" s="604"/>
      <c r="C43" s="604"/>
      <c r="D43" s="604"/>
      <c r="E43" s="604"/>
      <c r="F43" s="604"/>
      <c r="G43" s="604"/>
      <c r="H43" s="605"/>
    </row>
    <row r="44" spans="1:8" s="299" customFormat="1" ht="34.5" customHeight="1" x14ac:dyDescent="0.2">
      <c r="A44" s="326" t="s">
        <v>351</v>
      </c>
      <c r="B44" s="327">
        <v>3331</v>
      </c>
      <c r="C44" s="301">
        <f>D44+E44+F44+G44</f>
        <v>20825</v>
      </c>
      <c r="D44" s="308">
        <v>6050</v>
      </c>
      <c r="E44" s="308">
        <v>6000</v>
      </c>
      <c r="F44" s="308">
        <v>4500</v>
      </c>
      <c r="G44" s="308">
        <v>4275</v>
      </c>
      <c r="H44" s="555" t="s">
        <v>577</v>
      </c>
    </row>
    <row r="45" spans="1:8" s="299" customFormat="1" ht="34.5" customHeight="1" x14ac:dyDescent="0.2">
      <c r="A45" s="326" t="s">
        <v>352</v>
      </c>
      <c r="B45" s="328">
        <v>3280</v>
      </c>
      <c r="C45" s="301">
        <f t="shared" ref="C45:C48" si="7">D45+E45+F45+G45</f>
        <v>1750</v>
      </c>
      <c r="D45" s="308">
        <v>900</v>
      </c>
      <c r="E45" s="308">
        <v>850</v>
      </c>
      <c r="F45" s="308">
        <v>0</v>
      </c>
      <c r="G45" s="308">
        <v>0</v>
      </c>
      <c r="H45" s="555" t="s">
        <v>353</v>
      </c>
    </row>
    <row r="46" spans="1:8" s="299" customFormat="1" ht="33" customHeight="1" x14ac:dyDescent="0.2">
      <c r="A46" s="326" t="s">
        <v>201</v>
      </c>
      <c r="B46" s="327">
        <v>3256</v>
      </c>
      <c r="C46" s="301">
        <f t="shared" si="7"/>
        <v>9317</v>
      </c>
      <c r="D46" s="308">
        <v>9317</v>
      </c>
      <c r="E46" s="308">
        <v>0</v>
      </c>
      <c r="F46" s="308">
        <v>0</v>
      </c>
      <c r="G46" s="308">
        <v>0</v>
      </c>
      <c r="H46" s="555" t="s">
        <v>354</v>
      </c>
    </row>
    <row r="47" spans="1:8" s="299" customFormat="1" ht="37.5" customHeight="1" x14ac:dyDescent="0.2">
      <c r="A47" s="326" t="s">
        <v>355</v>
      </c>
      <c r="B47" s="328">
        <v>3400</v>
      </c>
      <c r="C47" s="301">
        <f t="shared" si="7"/>
        <v>2324</v>
      </c>
      <c r="D47" s="308">
        <v>2324</v>
      </c>
      <c r="E47" s="308">
        <v>0</v>
      </c>
      <c r="F47" s="308">
        <v>0</v>
      </c>
      <c r="G47" s="308">
        <v>0</v>
      </c>
      <c r="H47" s="555" t="s">
        <v>356</v>
      </c>
    </row>
    <row r="48" spans="1:8" s="299" customFormat="1" ht="35.25" customHeight="1" thickBot="1" x14ac:dyDescent="0.25">
      <c r="A48" s="329" t="s">
        <v>357</v>
      </c>
      <c r="B48" s="330">
        <v>3300</v>
      </c>
      <c r="C48" s="331">
        <f t="shared" si="7"/>
        <v>1305</v>
      </c>
      <c r="D48" s="320">
        <v>615</v>
      </c>
      <c r="E48" s="320">
        <v>690</v>
      </c>
      <c r="F48" s="320">
        <v>0</v>
      </c>
      <c r="G48" s="320">
        <v>0</v>
      </c>
      <c r="H48" s="555" t="s">
        <v>356</v>
      </c>
    </row>
    <row r="49" spans="1:8" s="299" customFormat="1" ht="15.75" customHeight="1" thickBot="1" x14ac:dyDescent="0.25">
      <c r="A49" s="315" t="s">
        <v>202</v>
      </c>
      <c r="B49" s="305"/>
      <c r="C49" s="332">
        <f>SUM(C44:C48)</f>
        <v>35521</v>
      </c>
      <c r="D49" s="332">
        <f>SUM(D44:D48)</f>
        <v>19206</v>
      </c>
      <c r="E49" s="332">
        <f>SUM(E44:E48)</f>
        <v>7540</v>
      </c>
      <c r="F49" s="332">
        <f>SUM(F44:F48)</f>
        <v>4500</v>
      </c>
      <c r="G49" s="332">
        <f>SUM(G44:G48)</f>
        <v>4275</v>
      </c>
      <c r="H49" s="307"/>
    </row>
    <row r="50" spans="1:8" s="299" customFormat="1" ht="18" customHeight="1" x14ac:dyDescent="0.2">
      <c r="A50" s="333" t="s">
        <v>194</v>
      </c>
      <c r="B50" s="334"/>
      <c r="C50" s="334"/>
      <c r="D50" s="334"/>
      <c r="E50" s="334"/>
      <c r="F50" s="334"/>
      <c r="G50" s="334"/>
      <c r="H50" s="335"/>
    </row>
    <row r="51" spans="1:8" s="299" customFormat="1" ht="33" customHeight="1" x14ac:dyDescent="0.2">
      <c r="A51" s="326" t="s">
        <v>196</v>
      </c>
      <c r="B51" s="193" t="s">
        <v>197</v>
      </c>
      <c r="C51" s="301">
        <f>D51+E51+F51+G51</f>
        <v>19100</v>
      </c>
      <c r="D51" s="308">
        <v>5200</v>
      </c>
      <c r="E51" s="308">
        <v>7400</v>
      </c>
      <c r="F51" s="308">
        <v>6500</v>
      </c>
      <c r="G51" s="308">
        <v>0</v>
      </c>
      <c r="H51" s="555" t="s">
        <v>353</v>
      </c>
    </row>
    <row r="52" spans="1:8" s="299" customFormat="1" ht="34.5" customHeight="1" x14ac:dyDescent="0.2">
      <c r="A52" s="326" t="s">
        <v>358</v>
      </c>
      <c r="B52" s="328" t="s">
        <v>359</v>
      </c>
      <c r="C52" s="301">
        <f t="shared" ref="C52:C53" si="8">D52+E52+F52+G52</f>
        <v>10000</v>
      </c>
      <c r="D52" s="308">
        <v>1500</v>
      </c>
      <c r="E52" s="308">
        <v>4200</v>
      </c>
      <c r="F52" s="308">
        <v>3000</v>
      </c>
      <c r="G52" s="308">
        <v>1300</v>
      </c>
      <c r="H52" s="555" t="s">
        <v>578</v>
      </c>
    </row>
    <row r="53" spans="1:8" s="299" customFormat="1" ht="33.75" customHeight="1" thickBot="1" x14ac:dyDescent="0.25">
      <c r="A53" s="326" t="s">
        <v>360</v>
      </c>
      <c r="B53" s="193" t="s">
        <v>361</v>
      </c>
      <c r="C53" s="301">
        <f t="shared" si="8"/>
        <v>4600</v>
      </c>
      <c r="D53" s="308">
        <v>2300</v>
      </c>
      <c r="E53" s="308">
        <v>2300</v>
      </c>
      <c r="F53" s="308">
        <v>0</v>
      </c>
      <c r="G53" s="308">
        <v>0</v>
      </c>
      <c r="H53" s="555" t="s">
        <v>353</v>
      </c>
    </row>
    <row r="54" spans="1:8" s="299" customFormat="1" ht="15.75" customHeight="1" thickBot="1" x14ac:dyDescent="0.25">
      <c r="A54" s="304" t="s">
        <v>199</v>
      </c>
      <c r="B54" s="306"/>
      <c r="C54" s="306">
        <f>SUM(C51:C53)</f>
        <v>33700</v>
      </c>
      <c r="D54" s="306">
        <f>SUM(D51:D53)</f>
        <v>9000</v>
      </c>
      <c r="E54" s="306">
        <f>SUM(E51:E53)</f>
        <v>13900</v>
      </c>
      <c r="F54" s="306">
        <f>SUM(F51:F53)</f>
        <v>9500</v>
      </c>
      <c r="G54" s="306">
        <f>SUM(G51:G53)</f>
        <v>1300</v>
      </c>
      <c r="H54" s="307"/>
    </row>
    <row r="55" spans="1:8" s="299" customFormat="1" ht="18" customHeight="1" x14ac:dyDescent="0.2">
      <c r="A55" s="336" t="s">
        <v>203</v>
      </c>
      <c r="B55" s="337"/>
      <c r="C55" s="337"/>
      <c r="D55" s="337"/>
      <c r="E55" s="337"/>
      <c r="F55" s="337"/>
      <c r="G55" s="337"/>
      <c r="H55" s="338"/>
    </row>
    <row r="56" spans="1:8" s="299" customFormat="1" ht="30" customHeight="1" x14ac:dyDescent="0.2">
      <c r="A56" s="326" t="s">
        <v>204</v>
      </c>
      <c r="B56" s="193">
        <v>3372</v>
      </c>
      <c r="C56" s="316">
        <f>D56+E56+F56+G56</f>
        <v>18000</v>
      </c>
      <c r="D56" s="308">
        <v>9000</v>
      </c>
      <c r="E56" s="308">
        <v>9000</v>
      </c>
      <c r="F56" s="308">
        <v>0</v>
      </c>
      <c r="G56" s="308">
        <v>0</v>
      </c>
      <c r="H56" s="555" t="s">
        <v>362</v>
      </c>
    </row>
    <row r="57" spans="1:8" s="299" customFormat="1" ht="30" customHeight="1" x14ac:dyDescent="0.2">
      <c r="A57" s="326" t="s">
        <v>205</v>
      </c>
      <c r="B57" s="193">
        <v>3210</v>
      </c>
      <c r="C57" s="316">
        <f t="shared" ref="C57:C70" si="9">D57+E57+F57+G57</f>
        <v>24632</v>
      </c>
      <c r="D57" s="308">
        <v>24632</v>
      </c>
      <c r="E57" s="308">
        <v>0</v>
      </c>
      <c r="F57" s="308">
        <v>0</v>
      </c>
      <c r="G57" s="308">
        <v>0</v>
      </c>
      <c r="H57" s="555" t="s">
        <v>362</v>
      </c>
    </row>
    <row r="58" spans="1:8" s="299" customFormat="1" ht="30" customHeight="1" x14ac:dyDescent="0.2">
      <c r="A58" s="326" t="s">
        <v>206</v>
      </c>
      <c r="B58" s="193">
        <v>3211</v>
      </c>
      <c r="C58" s="316">
        <f t="shared" si="9"/>
        <v>13611</v>
      </c>
      <c r="D58" s="308">
        <v>13611</v>
      </c>
      <c r="E58" s="308">
        <v>0</v>
      </c>
      <c r="F58" s="308">
        <v>0</v>
      </c>
      <c r="G58" s="308">
        <v>0</v>
      </c>
      <c r="H58" s="555" t="s">
        <v>362</v>
      </c>
    </row>
    <row r="59" spans="1:8" s="299" customFormat="1" ht="30" customHeight="1" x14ac:dyDescent="0.2">
      <c r="A59" s="326" t="s">
        <v>211</v>
      </c>
      <c r="B59" s="193">
        <v>3209</v>
      </c>
      <c r="C59" s="316">
        <f t="shared" si="9"/>
        <v>19762</v>
      </c>
      <c r="D59" s="308">
        <v>19762</v>
      </c>
      <c r="E59" s="308">
        <v>0</v>
      </c>
      <c r="F59" s="308">
        <v>0</v>
      </c>
      <c r="G59" s="308">
        <v>0</v>
      </c>
      <c r="H59" s="555" t="s">
        <v>362</v>
      </c>
    </row>
    <row r="60" spans="1:8" s="299" customFormat="1" ht="30" customHeight="1" x14ac:dyDescent="0.2">
      <c r="A60" s="326" t="s">
        <v>212</v>
      </c>
      <c r="B60" s="193">
        <v>3371</v>
      </c>
      <c r="C60" s="316">
        <f t="shared" si="9"/>
        <v>16750</v>
      </c>
      <c r="D60" s="308">
        <v>5000</v>
      </c>
      <c r="E60" s="308">
        <v>11750</v>
      </c>
      <c r="F60" s="308">
        <v>0</v>
      </c>
      <c r="G60" s="308">
        <v>0</v>
      </c>
      <c r="H60" s="555" t="s">
        <v>362</v>
      </c>
    </row>
    <row r="61" spans="1:8" s="299" customFormat="1" ht="30" customHeight="1" x14ac:dyDescent="0.2">
      <c r="A61" s="326" t="s">
        <v>363</v>
      </c>
      <c r="B61" s="328">
        <v>3336</v>
      </c>
      <c r="C61" s="316">
        <f t="shared" si="9"/>
        <v>640</v>
      </c>
      <c r="D61" s="308">
        <v>640</v>
      </c>
      <c r="E61" s="308">
        <v>0</v>
      </c>
      <c r="F61" s="308">
        <v>0</v>
      </c>
      <c r="G61" s="308">
        <v>0</v>
      </c>
      <c r="H61" s="555" t="s">
        <v>364</v>
      </c>
    </row>
    <row r="62" spans="1:8" s="299" customFormat="1" ht="30" customHeight="1" x14ac:dyDescent="0.2">
      <c r="A62" s="326" t="s">
        <v>207</v>
      </c>
      <c r="B62" s="328">
        <v>3389</v>
      </c>
      <c r="C62" s="316">
        <f t="shared" si="9"/>
        <v>13000</v>
      </c>
      <c r="D62" s="308">
        <v>0</v>
      </c>
      <c r="E62" s="308">
        <v>13000</v>
      </c>
      <c r="F62" s="308">
        <v>0</v>
      </c>
      <c r="G62" s="308">
        <v>0</v>
      </c>
      <c r="H62" s="555" t="s">
        <v>467</v>
      </c>
    </row>
    <row r="63" spans="1:8" s="299" customFormat="1" ht="30" customHeight="1" x14ac:dyDescent="0.2">
      <c r="A63" s="326" t="s">
        <v>365</v>
      </c>
      <c r="B63" s="328">
        <v>3337</v>
      </c>
      <c r="C63" s="316">
        <f t="shared" si="9"/>
        <v>16700</v>
      </c>
      <c r="D63" s="308">
        <v>10500</v>
      </c>
      <c r="E63" s="308">
        <v>6200</v>
      </c>
      <c r="F63" s="308">
        <v>0</v>
      </c>
      <c r="G63" s="308">
        <v>0</v>
      </c>
      <c r="H63" s="555" t="s">
        <v>366</v>
      </c>
    </row>
    <row r="64" spans="1:8" s="299" customFormat="1" ht="33.75" customHeight="1" x14ac:dyDescent="0.2">
      <c r="A64" s="326" t="s">
        <v>367</v>
      </c>
      <c r="B64" s="193">
        <v>3259</v>
      </c>
      <c r="C64" s="316">
        <f t="shared" si="9"/>
        <v>3339</v>
      </c>
      <c r="D64" s="308">
        <v>1545</v>
      </c>
      <c r="E64" s="308">
        <v>1794</v>
      </c>
      <c r="F64" s="308">
        <v>0</v>
      </c>
      <c r="G64" s="308">
        <v>0</v>
      </c>
      <c r="H64" s="555" t="s">
        <v>368</v>
      </c>
    </row>
    <row r="65" spans="1:8" s="299" customFormat="1" ht="32.25" customHeight="1" x14ac:dyDescent="0.2">
      <c r="A65" s="326" t="s">
        <v>369</v>
      </c>
      <c r="B65" s="193">
        <v>3212</v>
      </c>
      <c r="C65" s="316">
        <f t="shared" si="9"/>
        <v>13</v>
      </c>
      <c r="D65" s="308">
        <v>13</v>
      </c>
      <c r="E65" s="308">
        <v>0</v>
      </c>
      <c r="F65" s="308">
        <v>0</v>
      </c>
      <c r="G65" s="308">
        <v>0</v>
      </c>
      <c r="H65" s="555" t="s">
        <v>368</v>
      </c>
    </row>
    <row r="66" spans="1:8" s="299" customFormat="1" ht="35.25" customHeight="1" x14ac:dyDescent="0.2">
      <c r="A66" s="326" t="s">
        <v>370</v>
      </c>
      <c r="B66" s="328">
        <v>3281</v>
      </c>
      <c r="C66" s="316">
        <f t="shared" si="9"/>
        <v>134885</v>
      </c>
      <c r="D66" s="308">
        <v>132530</v>
      </c>
      <c r="E66" s="308">
        <v>2355</v>
      </c>
      <c r="F66" s="308">
        <v>0</v>
      </c>
      <c r="G66" s="308">
        <v>0</v>
      </c>
      <c r="H66" s="555" t="s">
        <v>371</v>
      </c>
    </row>
    <row r="67" spans="1:8" s="299" customFormat="1" ht="33.75" customHeight="1" x14ac:dyDescent="0.2">
      <c r="A67" s="326" t="s">
        <v>372</v>
      </c>
      <c r="B67" s="328">
        <v>3398</v>
      </c>
      <c r="C67" s="316">
        <f t="shared" si="9"/>
        <v>80300</v>
      </c>
      <c r="D67" s="308">
        <v>30200</v>
      </c>
      <c r="E67" s="308">
        <v>50100</v>
      </c>
      <c r="F67" s="308">
        <v>0</v>
      </c>
      <c r="G67" s="308">
        <v>0</v>
      </c>
      <c r="H67" s="555" t="s">
        <v>373</v>
      </c>
    </row>
    <row r="68" spans="1:8" s="299" customFormat="1" ht="35.25" customHeight="1" x14ac:dyDescent="0.2">
      <c r="A68" s="326" t="s">
        <v>374</v>
      </c>
      <c r="B68" s="328">
        <v>3215</v>
      </c>
      <c r="C68" s="316">
        <f t="shared" si="9"/>
        <v>1546</v>
      </c>
      <c r="D68" s="308">
        <v>1546</v>
      </c>
      <c r="E68" s="308">
        <v>0</v>
      </c>
      <c r="F68" s="308">
        <v>0</v>
      </c>
      <c r="G68" s="308">
        <v>0</v>
      </c>
      <c r="H68" s="555" t="s">
        <v>368</v>
      </c>
    </row>
    <row r="69" spans="1:8" s="299" customFormat="1" ht="35.25" customHeight="1" x14ac:dyDescent="0.2">
      <c r="A69" s="329" t="s">
        <v>468</v>
      </c>
      <c r="B69" s="330"/>
      <c r="C69" s="316">
        <f t="shared" si="9"/>
        <v>21700</v>
      </c>
      <c r="D69" s="320">
        <v>8100</v>
      </c>
      <c r="E69" s="320">
        <v>8100</v>
      </c>
      <c r="F69" s="320">
        <v>5500</v>
      </c>
      <c r="G69" s="320">
        <v>0</v>
      </c>
      <c r="H69" s="557" t="s">
        <v>469</v>
      </c>
    </row>
    <row r="70" spans="1:8" s="299" customFormat="1" ht="31.5" customHeight="1" thickBot="1" x14ac:dyDescent="0.25">
      <c r="A70" s="329" t="s">
        <v>375</v>
      </c>
      <c r="B70" s="330">
        <v>3258</v>
      </c>
      <c r="C70" s="323">
        <f t="shared" si="9"/>
        <v>2301</v>
      </c>
      <c r="D70" s="320">
        <v>2301</v>
      </c>
      <c r="E70" s="320">
        <v>0</v>
      </c>
      <c r="F70" s="320">
        <v>0</v>
      </c>
      <c r="G70" s="320">
        <v>0</v>
      </c>
      <c r="H70" s="557" t="s">
        <v>376</v>
      </c>
    </row>
    <row r="71" spans="1:8" s="299" customFormat="1" ht="15.75" customHeight="1" thickBot="1" x14ac:dyDescent="0.25">
      <c r="A71" s="315" t="s">
        <v>216</v>
      </c>
      <c r="B71" s="306"/>
      <c r="C71" s="306">
        <f>SUM(C56:C70)</f>
        <v>367179</v>
      </c>
      <c r="D71" s="306">
        <f>SUM(D56:D70)</f>
        <v>259380</v>
      </c>
      <c r="E71" s="306">
        <f>SUM(E56:E70)</f>
        <v>102299</v>
      </c>
      <c r="F71" s="306">
        <f>SUM(F56:F70)</f>
        <v>5500</v>
      </c>
      <c r="G71" s="306">
        <f>SUM(G56:G70)</f>
        <v>0</v>
      </c>
      <c r="H71" s="307"/>
    </row>
    <row r="72" spans="1:8" s="299" customFormat="1" ht="18" customHeight="1" x14ac:dyDescent="0.2">
      <c r="A72" s="336" t="s">
        <v>217</v>
      </c>
      <c r="B72" s="337"/>
      <c r="C72" s="337"/>
      <c r="D72" s="337"/>
      <c r="E72" s="337"/>
      <c r="F72" s="337"/>
      <c r="G72" s="337"/>
      <c r="H72" s="338"/>
    </row>
    <row r="73" spans="1:8" s="299" customFormat="1" ht="33" customHeight="1" x14ac:dyDescent="0.2">
      <c r="A73" s="326" t="s">
        <v>377</v>
      </c>
      <c r="B73" s="328">
        <v>3219</v>
      </c>
      <c r="C73" s="316">
        <f>SUM(D73:G73)</f>
        <v>70380</v>
      </c>
      <c r="D73" s="308">
        <v>10000</v>
      </c>
      <c r="E73" s="308">
        <v>60380</v>
      </c>
      <c r="F73" s="308">
        <v>0</v>
      </c>
      <c r="G73" s="308">
        <v>0</v>
      </c>
      <c r="H73" s="555" t="s">
        <v>378</v>
      </c>
    </row>
    <row r="74" spans="1:8" s="299" customFormat="1" ht="30.75" customHeight="1" x14ac:dyDescent="0.2">
      <c r="A74" s="326" t="s">
        <v>379</v>
      </c>
      <c r="B74" s="328">
        <v>3349</v>
      </c>
      <c r="C74" s="316">
        <f t="shared" ref="C74:C80" si="10">SUM(D74:G74)</f>
        <v>5092</v>
      </c>
      <c r="D74" s="308">
        <v>5092</v>
      </c>
      <c r="E74" s="308">
        <v>0</v>
      </c>
      <c r="F74" s="308">
        <v>0</v>
      </c>
      <c r="G74" s="308">
        <v>0</v>
      </c>
      <c r="H74" s="555" t="s">
        <v>380</v>
      </c>
    </row>
    <row r="75" spans="1:8" s="299" customFormat="1" ht="31.5" customHeight="1" x14ac:dyDescent="0.2">
      <c r="A75" s="326" t="s">
        <v>381</v>
      </c>
      <c r="B75" s="328">
        <v>3352</v>
      </c>
      <c r="C75" s="316">
        <f t="shared" si="10"/>
        <v>25186</v>
      </c>
      <c r="D75" s="308">
        <v>25186</v>
      </c>
      <c r="E75" s="308">
        <v>0</v>
      </c>
      <c r="F75" s="308">
        <v>0</v>
      </c>
      <c r="G75" s="308">
        <v>0</v>
      </c>
      <c r="H75" s="555" t="s">
        <v>380</v>
      </c>
    </row>
    <row r="76" spans="1:8" s="299" customFormat="1" ht="30.75" customHeight="1" x14ac:dyDescent="0.2">
      <c r="A76" s="326" t="s">
        <v>382</v>
      </c>
      <c r="B76" s="328">
        <v>3355</v>
      </c>
      <c r="C76" s="316">
        <f t="shared" si="10"/>
        <v>5972</v>
      </c>
      <c r="D76" s="308">
        <v>5972</v>
      </c>
      <c r="E76" s="308">
        <v>0</v>
      </c>
      <c r="F76" s="308">
        <v>0</v>
      </c>
      <c r="G76" s="308">
        <v>0</v>
      </c>
      <c r="H76" s="555" t="s">
        <v>380</v>
      </c>
    </row>
    <row r="77" spans="1:8" s="299" customFormat="1" ht="30.75" customHeight="1" x14ac:dyDescent="0.2">
      <c r="A77" s="326" t="s">
        <v>383</v>
      </c>
      <c r="B77" s="328">
        <v>3358</v>
      </c>
      <c r="C77" s="316">
        <f t="shared" si="10"/>
        <v>27953</v>
      </c>
      <c r="D77" s="308">
        <v>27953</v>
      </c>
      <c r="E77" s="308">
        <v>0</v>
      </c>
      <c r="F77" s="308">
        <v>0</v>
      </c>
      <c r="G77" s="308">
        <v>0</v>
      </c>
      <c r="H77" s="555" t="s">
        <v>380</v>
      </c>
    </row>
    <row r="78" spans="1:8" s="299" customFormat="1" ht="33" customHeight="1" x14ac:dyDescent="0.2">
      <c r="A78" s="326" t="s">
        <v>384</v>
      </c>
      <c r="B78" s="328">
        <v>3394</v>
      </c>
      <c r="C78" s="316">
        <f t="shared" si="10"/>
        <v>18443</v>
      </c>
      <c r="D78" s="308">
        <v>18443</v>
      </c>
      <c r="E78" s="308">
        <v>0</v>
      </c>
      <c r="F78" s="308">
        <v>0</v>
      </c>
      <c r="G78" s="308">
        <v>0</v>
      </c>
      <c r="H78" s="555" t="s">
        <v>380</v>
      </c>
    </row>
    <row r="79" spans="1:8" s="299" customFormat="1" ht="34.5" customHeight="1" x14ac:dyDescent="0.2">
      <c r="A79" s="326" t="s">
        <v>385</v>
      </c>
      <c r="B79" s="328">
        <v>3218</v>
      </c>
      <c r="C79" s="316">
        <f t="shared" si="10"/>
        <v>104154</v>
      </c>
      <c r="D79" s="308">
        <v>15800</v>
      </c>
      <c r="E79" s="308">
        <v>88354</v>
      </c>
      <c r="F79" s="308">
        <v>0</v>
      </c>
      <c r="G79" s="308">
        <v>0</v>
      </c>
      <c r="H79" s="555" t="s">
        <v>378</v>
      </c>
    </row>
    <row r="80" spans="1:8" s="299" customFormat="1" ht="31.5" customHeight="1" x14ac:dyDescent="0.2">
      <c r="A80" s="326" t="s">
        <v>386</v>
      </c>
      <c r="B80" s="328">
        <v>3217</v>
      </c>
      <c r="C80" s="316">
        <f t="shared" si="10"/>
        <v>201804</v>
      </c>
      <c r="D80" s="308">
        <v>10000</v>
      </c>
      <c r="E80" s="308">
        <v>100000</v>
      </c>
      <c r="F80" s="308">
        <v>91804</v>
      </c>
      <c r="G80" s="308">
        <v>0</v>
      </c>
      <c r="H80" s="555" t="s">
        <v>378</v>
      </c>
    </row>
    <row r="81" spans="1:9" s="299" customFormat="1" ht="43.5" customHeight="1" x14ac:dyDescent="0.2">
      <c r="A81" s="326" t="s">
        <v>387</v>
      </c>
      <c r="B81" s="327">
        <v>3229</v>
      </c>
      <c r="C81" s="316">
        <f t="shared" ref="C81:C85" si="11">D81+E81+F81+G81</f>
        <v>387</v>
      </c>
      <c r="D81" s="308">
        <v>387</v>
      </c>
      <c r="E81" s="308">
        <v>0</v>
      </c>
      <c r="F81" s="308">
        <v>0</v>
      </c>
      <c r="G81" s="308">
        <v>0</v>
      </c>
      <c r="H81" s="555" t="s">
        <v>388</v>
      </c>
    </row>
    <row r="82" spans="1:9" s="299" customFormat="1" ht="30" customHeight="1" x14ac:dyDescent="0.2">
      <c r="A82" s="326" t="s">
        <v>389</v>
      </c>
      <c r="B82" s="327">
        <v>3230</v>
      </c>
      <c r="C82" s="316">
        <f t="shared" si="11"/>
        <v>15093</v>
      </c>
      <c r="D82" s="308">
        <v>4087</v>
      </c>
      <c r="E82" s="308">
        <v>4058</v>
      </c>
      <c r="F82" s="308">
        <v>6948</v>
      </c>
      <c r="G82" s="308">
        <v>0</v>
      </c>
      <c r="H82" s="555" t="s">
        <v>390</v>
      </c>
    </row>
    <row r="83" spans="1:9" s="299" customFormat="1" ht="30" customHeight="1" x14ac:dyDescent="0.2">
      <c r="A83" s="300" t="s">
        <v>391</v>
      </c>
      <c r="B83" s="327">
        <v>3385</v>
      </c>
      <c r="C83" s="316">
        <f t="shared" si="11"/>
        <v>140540</v>
      </c>
      <c r="D83" s="308">
        <v>97500</v>
      </c>
      <c r="E83" s="308">
        <v>43040</v>
      </c>
      <c r="F83" s="308">
        <v>0</v>
      </c>
      <c r="G83" s="308">
        <v>0</v>
      </c>
      <c r="H83" s="555" t="s">
        <v>392</v>
      </c>
    </row>
    <row r="84" spans="1:9" s="299" customFormat="1" ht="43.5" customHeight="1" x14ac:dyDescent="0.2">
      <c r="A84" s="300" t="s">
        <v>393</v>
      </c>
      <c r="B84" s="327" t="s">
        <v>394</v>
      </c>
      <c r="C84" s="316">
        <f t="shared" si="11"/>
        <v>4386</v>
      </c>
      <c r="D84" s="308">
        <v>4386</v>
      </c>
      <c r="E84" s="308">
        <v>0</v>
      </c>
      <c r="F84" s="308">
        <v>0</v>
      </c>
      <c r="G84" s="308">
        <v>0</v>
      </c>
      <c r="H84" s="555" t="s">
        <v>395</v>
      </c>
    </row>
    <row r="85" spans="1:9" s="299" customFormat="1" ht="30" customHeight="1" thickBot="1" x14ac:dyDescent="0.25">
      <c r="A85" s="322" t="s">
        <v>229</v>
      </c>
      <c r="B85" s="319">
        <v>3232</v>
      </c>
      <c r="C85" s="323">
        <f t="shared" si="11"/>
        <v>2350</v>
      </c>
      <c r="D85" s="320">
        <v>1150</v>
      </c>
      <c r="E85" s="320">
        <v>1200</v>
      </c>
      <c r="F85" s="320">
        <v>0</v>
      </c>
      <c r="G85" s="320">
        <v>0</v>
      </c>
      <c r="H85" s="557" t="s">
        <v>353</v>
      </c>
    </row>
    <row r="86" spans="1:9" s="299" customFormat="1" ht="15.75" customHeight="1" thickBot="1" x14ac:dyDescent="0.25">
      <c r="A86" s="315" t="s">
        <v>231</v>
      </c>
      <c r="B86" s="306"/>
      <c r="C86" s="306">
        <f>SUM(C73:C85)</f>
        <v>621740</v>
      </c>
      <c r="D86" s="306">
        <f>SUM(D73:D85)</f>
        <v>225956</v>
      </c>
      <c r="E86" s="306">
        <f>SUM(E73:E85)</f>
        <v>297032</v>
      </c>
      <c r="F86" s="306">
        <f>SUM(F73:F85)</f>
        <v>98752</v>
      </c>
      <c r="G86" s="306">
        <f>SUM(G73:G85)</f>
        <v>0</v>
      </c>
      <c r="H86" s="307"/>
    </row>
    <row r="87" spans="1:9" s="299" customFormat="1" ht="18" customHeight="1" x14ac:dyDescent="0.2">
      <c r="A87" s="526" t="s">
        <v>232</v>
      </c>
      <c r="B87" s="527"/>
      <c r="C87" s="527"/>
      <c r="D87" s="527"/>
      <c r="E87" s="527"/>
      <c r="F87" s="527"/>
      <c r="G87" s="527"/>
      <c r="H87" s="528"/>
    </row>
    <row r="88" spans="1:9" s="299" customFormat="1" ht="30" customHeight="1" x14ac:dyDescent="0.2">
      <c r="A88" s="300" t="s">
        <v>396</v>
      </c>
      <c r="B88" s="193">
        <v>3249</v>
      </c>
      <c r="C88" s="316">
        <f t="shared" ref="C88:C92" si="12">D88+E88+F88+G88</f>
        <v>30103</v>
      </c>
      <c r="D88" s="308">
        <v>30103</v>
      </c>
      <c r="E88" s="308">
        <v>0</v>
      </c>
      <c r="F88" s="308">
        <v>0</v>
      </c>
      <c r="G88" s="308">
        <v>0</v>
      </c>
      <c r="H88" s="559" t="s">
        <v>397</v>
      </c>
    </row>
    <row r="89" spans="1:9" s="299" customFormat="1" ht="30" customHeight="1" x14ac:dyDescent="0.2">
      <c r="A89" s="322" t="s">
        <v>579</v>
      </c>
      <c r="B89" s="319"/>
      <c r="C89" s="316">
        <f t="shared" si="12"/>
        <v>8897</v>
      </c>
      <c r="D89" s="543">
        <v>8897</v>
      </c>
      <c r="E89" s="544">
        <v>0</v>
      </c>
      <c r="F89" s="544">
        <v>0</v>
      </c>
      <c r="G89" s="544">
        <v>0</v>
      </c>
      <c r="H89" s="560" t="s">
        <v>580</v>
      </c>
    </row>
    <row r="90" spans="1:9" s="299" customFormat="1" ht="30" customHeight="1" x14ac:dyDescent="0.2">
      <c r="A90" s="322" t="s">
        <v>581</v>
      </c>
      <c r="B90" s="319"/>
      <c r="C90" s="316">
        <f t="shared" si="12"/>
        <v>13013</v>
      </c>
      <c r="D90" s="543">
        <v>13013</v>
      </c>
      <c r="E90" s="544">
        <v>0</v>
      </c>
      <c r="F90" s="544">
        <v>0</v>
      </c>
      <c r="G90" s="544">
        <v>0</v>
      </c>
      <c r="H90" s="560" t="s">
        <v>580</v>
      </c>
    </row>
    <row r="91" spans="1:9" s="299" customFormat="1" ht="30" customHeight="1" x14ac:dyDescent="0.2">
      <c r="A91" s="322" t="s">
        <v>582</v>
      </c>
      <c r="B91" s="319"/>
      <c r="C91" s="316">
        <f t="shared" si="12"/>
        <v>72400</v>
      </c>
      <c r="D91" s="543">
        <v>38400</v>
      </c>
      <c r="E91" s="543">
        <v>34000</v>
      </c>
      <c r="F91" s="544">
        <v>0</v>
      </c>
      <c r="G91" s="544">
        <v>0</v>
      </c>
      <c r="H91" s="560" t="s">
        <v>583</v>
      </c>
    </row>
    <row r="92" spans="1:9" s="299" customFormat="1" ht="39.75" customHeight="1" thickBot="1" x14ac:dyDescent="0.25">
      <c r="A92" s="529" t="s">
        <v>233</v>
      </c>
      <c r="B92" s="530">
        <v>3240</v>
      </c>
      <c r="C92" s="531">
        <f t="shared" si="12"/>
        <v>92144</v>
      </c>
      <c r="D92" s="532">
        <v>92144</v>
      </c>
      <c r="E92" s="532">
        <v>0</v>
      </c>
      <c r="F92" s="532">
        <v>0</v>
      </c>
      <c r="G92" s="532">
        <v>0</v>
      </c>
      <c r="H92" s="561" t="s">
        <v>398</v>
      </c>
    </row>
    <row r="93" spans="1:9" s="299" customFormat="1" ht="15.75" customHeight="1" thickBot="1" x14ac:dyDescent="0.25">
      <c r="A93" s="304" t="s">
        <v>237</v>
      </c>
      <c r="B93" s="305"/>
      <c r="C93" s="306">
        <f>SUM(C88:C92)</f>
        <v>216557</v>
      </c>
      <c r="D93" s="306">
        <f>SUM(D88:D92)</f>
        <v>182557</v>
      </c>
      <c r="E93" s="306">
        <f>SUM(E88:E92)</f>
        <v>34000</v>
      </c>
      <c r="F93" s="306">
        <f>SUM(F88:F92)</f>
        <v>0</v>
      </c>
      <c r="G93" s="306">
        <f>SUM(G88:G92)</f>
        <v>0</v>
      </c>
      <c r="H93" s="307"/>
      <c r="I93" s="339"/>
    </row>
    <row r="94" spans="1:9" s="299" customFormat="1" ht="18" customHeight="1" x14ac:dyDescent="0.2">
      <c r="A94" s="600" t="s">
        <v>399</v>
      </c>
      <c r="B94" s="601"/>
      <c r="C94" s="601"/>
      <c r="D94" s="601"/>
      <c r="E94" s="601"/>
      <c r="F94" s="601"/>
      <c r="G94" s="601"/>
      <c r="H94" s="602"/>
      <c r="I94" s="339"/>
    </row>
    <row r="95" spans="1:9" s="299" customFormat="1" ht="32.25" customHeight="1" x14ac:dyDescent="0.2">
      <c r="A95" s="300" t="s">
        <v>238</v>
      </c>
      <c r="B95" s="193" t="s">
        <v>239</v>
      </c>
      <c r="C95" s="316">
        <f>D95+E95+F95+G95</f>
        <v>964</v>
      </c>
      <c r="D95" s="308">
        <v>794</v>
      </c>
      <c r="E95" s="308">
        <v>170</v>
      </c>
      <c r="F95" s="308">
        <v>0</v>
      </c>
      <c r="G95" s="308">
        <v>0</v>
      </c>
      <c r="H95" s="555" t="s">
        <v>400</v>
      </c>
      <c r="I95" s="339"/>
    </row>
    <row r="96" spans="1:9" s="299" customFormat="1" ht="33.75" customHeight="1" x14ac:dyDescent="0.2">
      <c r="A96" s="300" t="s">
        <v>240</v>
      </c>
      <c r="B96" s="193" t="s">
        <v>241</v>
      </c>
      <c r="C96" s="316">
        <f t="shared" ref="C96:C102" si="13">D96+E96+F96+G96</f>
        <v>692</v>
      </c>
      <c r="D96" s="308">
        <v>522</v>
      </c>
      <c r="E96" s="308">
        <v>170</v>
      </c>
      <c r="F96" s="308">
        <v>0</v>
      </c>
      <c r="G96" s="308">
        <v>0</v>
      </c>
      <c r="H96" s="555" t="s">
        <v>400</v>
      </c>
      <c r="I96" s="339"/>
    </row>
    <row r="97" spans="1:9" s="299" customFormat="1" ht="30.75" customHeight="1" x14ac:dyDescent="0.2">
      <c r="A97" s="300" t="s">
        <v>242</v>
      </c>
      <c r="B97" s="193" t="s">
        <v>243</v>
      </c>
      <c r="C97" s="316">
        <f t="shared" si="13"/>
        <v>881</v>
      </c>
      <c r="D97" s="308">
        <v>711</v>
      </c>
      <c r="E97" s="308">
        <v>170</v>
      </c>
      <c r="F97" s="308">
        <v>0</v>
      </c>
      <c r="G97" s="308">
        <v>0</v>
      </c>
      <c r="H97" s="555" t="s">
        <v>400</v>
      </c>
      <c r="I97" s="339"/>
    </row>
    <row r="98" spans="1:9" s="299" customFormat="1" ht="33.75" customHeight="1" x14ac:dyDescent="0.2">
      <c r="A98" s="300" t="s">
        <v>244</v>
      </c>
      <c r="B98" s="193" t="s">
        <v>245</v>
      </c>
      <c r="C98" s="316">
        <f t="shared" si="13"/>
        <v>6120</v>
      </c>
      <c r="D98" s="308">
        <v>5410</v>
      </c>
      <c r="E98" s="308">
        <v>710</v>
      </c>
      <c r="F98" s="308">
        <v>0</v>
      </c>
      <c r="G98" s="308">
        <v>0</v>
      </c>
      <c r="H98" s="555" t="s">
        <v>400</v>
      </c>
      <c r="I98" s="339"/>
    </row>
    <row r="99" spans="1:9" s="299" customFormat="1" ht="33.75" customHeight="1" x14ac:dyDescent="0.2">
      <c r="A99" s="300" t="s">
        <v>250</v>
      </c>
      <c r="B99" s="193">
        <v>3380</v>
      </c>
      <c r="C99" s="316">
        <f t="shared" si="13"/>
        <v>2185</v>
      </c>
      <c r="D99" s="308">
        <v>1144</v>
      </c>
      <c r="E99" s="308">
        <v>801</v>
      </c>
      <c r="F99" s="308">
        <v>240</v>
      </c>
      <c r="G99" s="308">
        <v>0</v>
      </c>
      <c r="H99" s="555" t="s">
        <v>400</v>
      </c>
      <c r="I99" s="339"/>
    </row>
    <row r="100" spans="1:9" s="299" customFormat="1" ht="46.5" customHeight="1" x14ac:dyDescent="0.2">
      <c r="A100" s="300" t="s">
        <v>246</v>
      </c>
      <c r="B100" s="193" t="s">
        <v>247</v>
      </c>
      <c r="C100" s="316">
        <f t="shared" si="13"/>
        <v>1050</v>
      </c>
      <c r="D100" s="308">
        <v>600</v>
      </c>
      <c r="E100" s="308">
        <v>450</v>
      </c>
      <c r="F100" s="308">
        <v>0</v>
      </c>
      <c r="G100" s="308">
        <v>0</v>
      </c>
      <c r="H100" s="555" t="s">
        <v>401</v>
      </c>
      <c r="I100" s="339"/>
    </row>
    <row r="101" spans="1:9" s="299" customFormat="1" ht="81" customHeight="1" x14ac:dyDescent="0.2">
      <c r="A101" s="300" t="s">
        <v>402</v>
      </c>
      <c r="B101" s="193" t="s">
        <v>403</v>
      </c>
      <c r="C101" s="316">
        <f t="shared" si="13"/>
        <v>5700</v>
      </c>
      <c r="D101" s="308">
        <v>2500</v>
      </c>
      <c r="E101" s="308">
        <v>3200</v>
      </c>
      <c r="F101" s="308">
        <v>0</v>
      </c>
      <c r="G101" s="308">
        <v>0</v>
      </c>
      <c r="H101" s="555" t="s">
        <v>404</v>
      </c>
      <c r="I101" s="339"/>
    </row>
    <row r="102" spans="1:9" s="299" customFormat="1" ht="58.5" customHeight="1" thickBot="1" x14ac:dyDescent="0.25">
      <c r="A102" s="322" t="s">
        <v>405</v>
      </c>
      <c r="B102" s="319">
        <v>3382</v>
      </c>
      <c r="C102" s="323">
        <f t="shared" si="13"/>
        <v>400913</v>
      </c>
      <c r="D102" s="320">
        <v>396218</v>
      </c>
      <c r="E102" s="320">
        <v>4695</v>
      </c>
      <c r="F102" s="320">
        <v>0</v>
      </c>
      <c r="G102" s="320">
        <v>0</v>
      </c>
      <c r="H102" s="557" t="s">
        <v>406</v>
      </c>
      <c r="I102" s="339"/>
    </row>
    <row r="103" spans="1:9" s="299" customFormat="1" ht="15.75" customHeight="1" thickBot="1" x14ac:dyDescent="0.25">
      <c r="A103" s="315" t="s">
        <v>251</v>
      </c>
      <c r="B103" s="305"/>
      <c r="C103" s="306">
        <f>SUM(C95:C102)</f>
        <v>418505</v>
      </c>
      <c r="D103" s="306">
        <f>SUM(D95:D102)</f>
        <v>407899</v>
      </c>
      <c r="E103" s="306">
        <f>SUM(E95:E102)</f>
        <v>10366</v>
      </c>
      <c r="F103" s="306">
        <f>SUM(F95:F102)</f>
        <v>240</v>
      </c>
      <c r="G103" s="306">
        <f>SUM(G95:G102)</f>
        <v>0</v>
      </c>
      <c r="H103" s="307"/>
    </row>
    <row r="104" spans="1:9" s="299" customFormat="1" ht="9" customHeight="1" thickBot="1" x14ac:dyDescent="0.25">
      <c r="A104" s="550"/>
      <c r="B104" s="340"/>
      <c r="C104" s="341"/>
      <c r="D104" s="342"/>
      <c r="E104" s="342"/>
      <c r="F104" s="342"/>
      <c r="G104" s="342"/>
      <c r="H104" s="343"/>
    </row>
    <row r="105" spans="1:9" s="299" customFormat="1" ht="18" customHeight="1" thickBot="1" x14ac:dyDescent="0.25">
      <c r="A105" s="344" t="s">
        <v>255</v>
      </c>
      <c r="B105" s="305"/>
      <c r="C105" s="306">
        <f>C8+C103+C93+C86+C71+C54+C49+C42+C31+C24+C12</f>
        <v>3395313</v>
      </c>
      <c r="D105" s="306">
        <f>D8+D103+D93+D86+D71+D54+D49+D42+D31+D24+D12</f>
        <v>2160909</v>
      </c>
      <c r="E105" s="306">
        <f>E8+E103+E93+E86+E71+E54+E49+E42+E31+E24+E12</f>
        <v>1063612</v>
      </c>
      <c r="F105" s="306">
        <f>F8+F103+F93+F86+F71+F54+F49+F42+F31+F24+F12</f>
        <v>165217</v>
      </c>
      <c r="G105" s="306">
        <f>G8+G103+G93+G86+G71+G54+G49+G42+G31+G24+G12</f>
        <v>5575</v>
      </c>
      <c r="H105" s="345"/>
    </row>
    <row r="107" spans="1:9" s="346" customFormat="1" x14ac:dyDescent="0.2"/>
    <row r="108" spans="1:9" x14ac:dyDescent="0.2">
      <c r="A108" s="346"/>
      <c r="B108" s="346"/>
      <c r="C108" s="346"/>
    </row>
    <row r="110" spans="1:9" ht="14.25" x14ac:dyDescent="0.2">
      <c r="A110" s="347"/>
      <c r="B110" s="347"/>
    </row>
  </sheetData>
  <mergeCells count="13">
    <mergeCell ref="A2:H2"/>
    <mergeCell ref="A4:A5"/>
    <mergeCell ref="B4:B5"/>
    <mergeCell ref="C4:C5"/>
    <mergeCell ref="D4:G4"/>
    <mergeCell ref="H4:H5"/>
    <mergeCell ref="A94:H94"/>
    <mergeCell ref="A6:H6"/>
    <mergeCell ref="A9:H9"/>
    <mergeCell ref="A13:H13"/>
    <mergeCell ref="A25:H25"/>
    <mergeCell ref="A32:H32"/>
    <mergeCell ref="A43:H43"/>
  </mergeCells>
  <pageMargins left="0.59055118110236227" right="0.59055118110236227" top="0.78740157480314965" bottom="0.78740157480314965" header="0.31496062992125984" footer="0.31496062992125984"/>
  <pageSetup paperSize="9" firstPageNumber="7" fitToHeight="0" orientation="landscape" useFirstPageNumber="1" r:id="rId1"/>
  <headerFooter>
    <oddHeader xml:space="preserve">&amp;L&amp;"Tahoma,Kurzíva"Střednědobý výhled rozpočtu kraje na léta 2019 - 2021
Příloha č. 13&amp;R&amp;"Tahoma,Kurzíva"Přehled závazků kraje u akcí spolufinancovaných z evropských finančních zdrojů </oddHeader>
    <oddFooter>&amp;C&amp;"Tahoma,Obyčejné"&amp;P</oddFooter>
  </headerFooter>
  <rowBreaks count="2" manualBreakCount="2">
    <brk id="18" max="7" man="1"/>
    <brk id="10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zoomScaleSheetLayoutView="100" workbookViewId="0">
      <selection activeCell="F7" sqref="F7"/>
    </sheetView>
  </sheetViews>
  <sheetFormatPr defaultRowHeight="11.25" x14ac:dyDescent="0.2"/>
  <cols>
    <col min="1" max="1" width="37.7109375" style="243" customWidth="1"/>
    <col min="2" max="2" width="6.7109375" style="244" hidden="1" customWidth="1"/>
    <col min="3" max="7" width="10.7109375" style="243" customWidth="1"/>
    <col min="8" max="8" width="44.7109375" style="294" customWidth="1"/>
    <col min="9" max="16384" width="9.140625" style="243"/>
  </cols>
  <sheetData>
    <row r="1" spans="1:10" ht="12.75" x14ac:dyDescent="0.2">
      <c r="A1" s="68" t="s">
        <v>96</v>
      </c>
    </row>
    <row r="2" spans="1:10" ht="38.25" customHeight="1" x14ac:dyDescent="0.2">
      <c r="A2" s="626" t="s">
        <v>610</v>
      </c>
      <c r="B2" s="626"/>
      <c r="C2" s="626"/>
      <c r="D2" s="626"/>
      <c r="E2" s="626"/>
      <c r="F2" s="626"/>
      <c r="G2" s="626"/>
      <c r="H2" s="626"/>
      <c r="I2" s="242"/>
      <c r="J2" s="242"/>
    </row>
    <row r="3" spans="1:10" ht="12" thickBot="1" x14ac:dyDescent="0.25">
      <c r="H3" s="245" t="s">
        <v>155</v>
      </c>
    </row>
    <row r="4" spans="1:10" ht="21" customHeight="1" x14ac:dyDescent="0.2">
      <c r="A4" s="614" t="s">
        <v>267</v>
      </c>
      <c r="B4" s="616" t="s">
        <v>268</v>
      </c>
      <c r="C4" s="618" t="s">
        <v>269</v>
      </c>
      <c r="D4" s="620" t="s">
        <v>462</v>
      </c>
      <c r="E4" s="621"/>
      <c r="F4" s="622"/>
      <c r="G4" s="628"/>
      <c r="H4" s="624" t="s">
        <v>270</v>
      </c>
    </row>
    <row r="5" spans="1:10" ht="21" customHeight="1" thickBot="1" x14ac:dyDescent="0.25">
      <c r="A5" s="615"/>
      <c r="B5" s="627"/>
      <c r="C5" s="619"/>
      <c r="D5" s="246" t="s">
        <v>271</v>
      </c>
      <c r="E5" s="246" t="s">
        <v>272</v>
      </c>
      <c r="F5" s="246" t="s">
        <v>273</v>
      </c>
      <c r="G5" s="246" t="s">
        <v>274</v>
      </c>
      <c r="H5" s="629"/>
    </row>
    <row r="6" spans="1:10" s="247" customFormat="1" ht="18" customHeight="1" x14ac:dyDescent="0.2">
      <c r="A6" s="634" t="s">
        <v>165</v>
      </c>
      <c r="B6" s="635"/>
      <c r="C6" s="635"/>
      <c r="D6" s="635"/>
      <c r="E6" s="635"/>
      <c r="F6" s="635"/>
      <c r="G6" s="635"/>
      <c r="H6" s="636"/>
      <c r="I6" s="243"/>
    </row>
    <row r="7" spans="1:10" ht="57.75" customHeight="1" thickBot="1" x14ac:dyDescent="0.25">
      <c r="A7" s="248" t="s">
        <v>275</v>
      </c>
      <c r="B7" s="249">
        <v>5057</v>
      </c>
      <c r="C7" s="250">
        <f>D7+E7+F7+G7</f>
        <v>78915</v>
      </c>
      <c r="D7" s="251">
        <v>19507</v>
      </c>
      <c r="E7" s="252">
        <v>19507</v>
      </c>
      <c r="F7" s="253">
        <v>19507</v>
      </c>
      <c r="G7" s="254">
        <f>19507+887</f>
        <v>20394</v>
      </c>
      <c r="H7" s="255" t="s">
        <v>470</v>
      </c>
    </row>
    <row r="8" spans="1:10" s="247" customFormat="1" ht="15.75" customHeight="1" thickBot="1" x14ac:dyDescent="0.25">
      <c r="A8" s="256" t="s">
        <v>171</v>
      </c>
      <c r="B8" s="257"/>
      <c r="C8" s="258">
        <f>SUM(C7)</f>
        <v>78915</v>
      </c>
      <c r="D8" s="259">
        <f t="shared" ref="D8:G8" si="0">SUM(D7:D7)</f>
        <v>19507</v>
      </c>
      <c r="E8" s="259">
        <f t="shared" si="0"/>
        <v>19507</v>
      </c>
      <c r="F8" s="259">
        <f t="shared" si="0"/>
        <v>19507</v>
      </c>
      <c r="G8" s="259">
        <f t="shared" si="0"/>
        <v>20394</v>
      </c>
      <c r="H8" s="260"/>
      <c r="I8" s="243"/>
    </row>
    <row r="9" spans="1:10" s="247" customFormat="1" ht="18" customHeight="1" x14ac:dyDescent="0.2">
      <c r="A9" s="634" t="s">
        <v>276</v>
      </c>
      <c r="B9" s="635"/>
      <c r="C9" s="635"/>
      <c r="D9" s="635"/>
      <c r="E9" s="635"/>
      <c r="F9" s="635"/>
      <c r="G9" s="635"/>
      <c r="H9" s="636"/>
      <c r="I9" s="243"/>
    </row>
    <row r="10" spans="1:10" ht="54.75" customHeight="1" x14ac:dyDescent="0.2">
      <c r="A10" s="261" t="s">
        <v>277</v>
      </c>
      <c r="B10" s="262">
        <v>4788</v>
      </c>
      <c r="C10" s="263">
        <f>D10+E10+F10+G10</f>
        <v>30000</v>
      </c>
      <c r="D10" s="264">
        <v>10000</v>
      </c>
      <c r="E10" s="264">
        <v>10000</v>
      </c>
      <c r="F10" s="264">
        <v>10000</v>
      </c>
      <c r="G10" s="265">
        <v>0</v>
      </c>
      <c r="H10" s="266" t="s">
        <v>471</v>
      </c>
    </row>
    <row r="11" spans="1:10" ht="27.75" customHeight="1" x14ac:dyDescent="0.2">
      <c r="A11" s="261" t="s">
        <v>278</v>
      </c>
      <c r="B11" s="267"/>
      <c r="C11" s="263">
        <f>D11+E11+F11+G11</f>
        <v>217000</v>
      </c>
      <c r="D11" s="264">
        <v>80000</v>
      </c>
      <c r="E11" s="264">
        <v>0</v>
      </c>
      <c r="F11" s="264">
        <v>137000</v>
      </c>
      <c r="G11" s="254">
        <v>0</v>
      </c>
      <c r="H11" s="637" t="s">
        <v>609</v>
      </c>
    </row>
    <row r="12" spans="1:10" ht="27.75" customHeight="1" thickBot="1" x14ac:dyDescent="0.25">
      <c r="A12" s="261" t="s">
        <v>279</v>
      </c>
      <c r="B12" s="267"/>
      <c r="C12" s="263">
        <f>D12+E12+F12+G12</f>
        <v>58000</v>
      </c>
      <c r="D12" s="264">
        <v>20000</v>
      </c>
      <c r="E12" s="264">
        <v>0</v>
      </c>
      <c r="F12" s="264">
        <v>38000</v>
      </c>
      <c r="G12" s="254">
        <v>0</v>
      </c>
      <c r="H12" s="638"/>
    </row>
    <row r="13" spans="1:10" s="268" customFormat="1" ht="26.25" customHeight="1" thickBot="1" x14ac:dyDescent="0.25">
      <c r="A13" s="568" t="s">
        <v>280</v>
      </c>
      <c r="B13" s="257"/>
      <c r="C13" s="258">
        <f>SUM(C10:C12)</f>
        <v>305000</v>
      </c>
      <c r="D13" s="259">
        <f>SUM(D10:D12)</f>
        <v>110000</v>
      </c>
      <c r="E13" s="259">
        <f>SUM(E10:E12)</f>
        <v>10000</v>
      </c>
      <c r="F13" s="259">
        <f>SUM(F10:F12)</f>
        <v>185000</v>
      </c>
      <c r="G13" s="259">
        <f>SUM(G10:G12)</f>
        <v>0</v>
      </c>
      <c r="H13" s="260"/>
      <c r="I13" s="243"/>
    </row>
    <row r="14" spans="1:10" s="247" customFormat="1" ht="18" customHeight="1" x14ac:dyDescent="0.2">
      <c r="A14" s="630" t="s">
        <v>281</v>
      </c>
      <c r="B14" s="631"/>
      <c r="C14" s="631"/>
      <c r="D14" s="631"/>
      <c r="E14" s="631"/>
      <c r="F14" s="631"/>
      <c r="G14" s="631"/>
      <c r="H14" s="632"/>
      <c r="I14" s="243"/>
    </row>
    <row r="15" spans="1:10" ht="55.5" customHeight="1" thickBot="1" x14ac:dyDescent="0.25">
      <c r="A15" s="248" t="s">
        <v>282</v>
      </c>
      <c r="B15" s="269">
        <v>5619</v>
      </c>
      <c r="C15" s="250">
        <f>D15+E15+F15+G15</f>
        <v>50000</v>
      </c>
      <c r="D15" s="270">
        <v>50000</v>
      </c>
      <c r="E15" s="270">
        <v>0</v>
      </c>
      <c r="F15" s="271">
        <v>0</v>
      </c>
      <c r="G15" s="254">
        <v>0</v>
      </c>
      <c r="H15" s="255" t="s">
        <v>283</v>
      </c>
    </row>
    <row r="16" spans="1:10" s="247" customFormat="1" ht="15.75" customHeight="1" thickBot="1" x14ac:dyDescent="0.25">
      <c r="A16" s="256" t="s">
        <v>284</v>
      </c>
      <c r="B16" s="257"/>
      <c r="C16" s="258">
        <f>SUM(C15)</f>
        <v>50000</v>
      </c>
      <c r="D16" s="259">
        <f>SUM(D15:D15)</f>
        <v>50000</v>
      </c>
      <c r="E16" s="259">
        <f>SUM(E15:E15)</f>
        <v>0</v>
      </c>
      <c r="F16" s="259">
        <f>SUM(F15:F15)</f>
        <v>0</v>
      </c>
      <c r="G16" s="259">
        <f>SUM(G15:G15)</f>
        <v>0</v>
      </c>
      <c r="H16" s="272"/>
      <c r="I16" s="243"/>
    </row>
    <row r="17" spans="1:9" s="247" customFormat="1" ht="18" customHeight="1" x14ac:dyDescent="0.2">
      <c r="A17" s="630" t="s">
        <v>172</v>
      </c>
      <c r="B17" s="631"/>
      <c r="C17" s="631"/>
      <c r="D17" s="631"/>
      <c r="E17" s="631"/>
      <c r="F17" s="631"/>
      <c r="G17" s="631"/>
      <c r="H17" s="632"/>
      <c r="I17" s="243"/>
    </row>
    <row r="18" spans="1:9" ht="34.5" customHeight="1" x14ac:dyDescent="0.2">
      <c r="A18" s="261" t="s">
        <v>285</v>
      </c>
      <c r="B18" s="262">
        <v>5745</v>
      </c>
      <c r="C18" s="263">
        <f>D18+E18+F18+G18</f>
        <v>3500</v>
      </c>
      <c r="D18" s="273">
        <v>3500</v>
      </c>
      <c r="E18" s="273">
        <v>0</v>
      </c>
      <c r="F18" s="274">
        <v>0</v>
      </c>
      <c r="G18" s="275">
        <v>0</v>
      </c>
      <c r="H18" s="276" t="s">
        <v>472</v>
      </c>
    </row>
    <row r="19" spans="1:9" ht="34.5" customHeight="1" x14ac:dyDescent="0.2">
      <c r="A19" s="277" t="s">
        <v>286</v>
      </c>
      <c r="B19" s="278">
        <v>5748</v>
      </c>
      <c r="C19" s="279">
        <f>D19+E19+F19+G19</f>
        <v>9000</v>
      </c>
      <c r="D19" s="270">
        <v>9000</v>
      </c>
      <c r="E19" s="270">
        <v>0</v>
      </c>
      <c r="F19" s="271">
        <v>0</v>
      </c>
      <c r="G19" s="254">
        <v>0</v>
      </c>
      <c r="H19" s="276" t="s">
        <v>472</v>
      </c>
    </row>
    <row r="20" spans="1:9" ht="44.25" customHeight="1" x14ac:dyDescent="0.2">
      <c r="A20" s="280" t="s">
        <v>598</v>
      </c>
      <c r="B20" s="281">
        <v>5635</v>
      </c>
      <c r="C20" s="279">
        <f t="shared" ref="C20:C21" si="1">D20+E20+F20+G20</f>
        <v>140000</v>
      </c>
      <c r="D20" s="273">
        <v>11000</v>
      </c>
      <c r="E20" s="273">
        <v>50000</v>
      </c>
      <c r="F20" s="274">
        <v>79000</v>
      </c>
      <c r="G20" s="275">
        <v>0</v>
      </c>
      <c r="H20" s="276" t="s">
        <v>595</v>
      </c>
    </row>
    <row r="21" spans="1:9" ht="67.5" customHeight="1" thickBot="1" x14ac:dyDescent="0.25">
      <c r="A21" s="280" t="s">
        <v>599</v>
      </c>
      <c r="B21" s="281"/>
      <c r="C21" s="279">
        <f t="shared" si="1"/>
        <v>146135</v>
      </c>
      <c r="D21" s="273">
        <v>6460</v>
      </c>
      <c r="E21" s="273">
        <v>50000</v>
      </c>
      <c r="F21" s="274">
        <v>50000</v>
      </c>
      <c r="G21" s="275">
        <v>39675</v>
      </c>
      <c r="H21" s="276" t="s">
        <v>594</v>
      </c>
    </row>
    <row r="22" spans="1:9" s="247" customFormat="1" ht="15.75" customHeight="1" thickBot="1" x14ac:dyDescent="0.25">
      <c r="A22" s="256" t="s">
        <v>193</v>
      </c>
      <c r="B22" s="257"/>
      <c r="C22" s="258">
        <f>SUM(C18:C21)</f>
        <v>298635</v>
      </c>
      <c r="D22" s="258">
        <f t="shared" ref="D22:G22" si="2">SUM(D18:D21)</f>
        <v>29960</v>
      </c>
      <c r="E22" s="258">
        <f t="shared" si="2"/>
        <v>100000</v>
      </c>
      <c r="F22" s="258">
        <f t="shared" si="2"/>
        <v>129000</v>
      </c>
      <c r="G22" s="258">
        <f t="shared" si="2"/>
        <v>39675</v>
      </c>
      <c r="H22" s="272"/>
      <c r="I22" s="243"/>
    </row>
    <row r="23" spans="1:9" s="247" customFormat="1" ht="18" customHeight="1" x14ac:dyDescent="0.2">
      <c r="A23" s="630" t="s">
        <v>203</v>
      </c>
      <c r="B23" s="631"/>
      <c r="C23" s="631"/>
      <c r="D23" s="631"/>
      <c r="E23" s="631"/>
      <c r="F23" s="631"/>
      <c r="G23" s="631"/>
      <c r="H23" s="632"/>
      <c r="I23" s="243"/>
    </row>
    <row r="24" spans="1:9" s="247" customFormat="1" ht="45" customHeight="1" x14ac:dyDescent="0.2">
      <c r="A24" s="277" t="s">
        <v>287</v>
      </c>
      <c r="B24" s="282">
        <v>5418</v>
      </c>
      <c r="C24" s="263">
        <f>D24+E24+F24+G24</f>
        <v>19818</v>
      </c>
      <c r="D24" s="273">
        <v>19818</v>
      </c>
      <c r="E24" s="273">
        <v>0</v>
      </c>
      <c r="F24" s="274">
        <v>0</v>
      </c>
      <c r="G24" s="275">
        <v>0</v>
      </c>
      <c r="H24" s="276" t="s">
        <v>288</v>
      </c>
      <c r="I24" s="243"/>
    </row>
    <row r="25" spans="1:9" s="247" customFormat="1" ht="34.5" customHeight="1" x14ac:dyDescent="0.2">
      <c r="A25" s="277" t="s">
        <v>289</v>
      </c>
      <c r="B25" s="278">
        <v>5756</v>
      </c>
      <c r="C25" s="263">
        <f t="shared" ref="C25:C28" si="3">D25+E25+F25+G25</f>
        <v>13500</v>
      </c>
      <c r="D25" s="273">
        <v>0</v>
      </c>
      <c r="E25" s="273">
        <v>13500</v>
      </c>
      <c r="F25" s="274">
        <v>0</v>
      </c>
      <c r="G25" s="275">
        <v>0</v>
      </c>
      <c r="H25" s="276" t="s">
        <v>472</v>
      </c>
      <c r="I25" s="243"/>
    </row>
    <row r="26" spans="1:9" s="247" customFormat="1" ht="34.5" customHeight="1" x14ac:dyDescent="0.2">
      <c r="A26" s="277" t="s">
        <v>290</v>
      </c>
      <c r="B26" s="278">
        <v>5758</v>
      </c>
      <c r="C26" s="263">
        <f t="shared" si="3"/>
        <v>78000</v>
      </c>
      <c r="D26" s="273">
        <v>20000</v>
      </c>
      <c r="E26" s="273">
        <v>30000</v>
      </c>
      <c r="F26" s="274">
        <v>28000</v>
      </c>
      <c r="G26" s="275">
        <v>0</v>
      </c>
      <c r="H26" s="276" t="s">
        <v>472</v>
      </c>
      <c r="I26" s="243"/>
    </row>
    <row r="27" spans="1:9" s="247" customFormat="1" ht="34.5" customHeight="1" x14ac:dyDescent="0.2">
      <c r="A27" s="277" t="s">
        <v>291</v>
      </c>
      <c r="B27" s="278">
        <v>5737</v>
      </c>
      <c r="C27" s="279">
        <f t="shared" si="3"/>
        <v>114000</v>
      </c>
      <c r="D27" s="270">
        <v>60000</v>
      </c>
      <c r="E27" s="270">
        <v>54000</v>
      </c>
      <c r="F27" s="271">
        <v>0</v>
      </c>
      <c r="G27" s="254">
        <v>0</v>
      </c>
      <c r="H27" s="276" t="s">
        <v>472</v>
      </c>
      <c r="I27" s="243"/>
    </row>
    <row r="28" spans="1:9" s="247" customFormat="1" ht="24.75" customHeight="1" thickBot="1" x14ac:dyDescent="0.25">
      <c r="A28" s="283" t="s">
        <v>292</v>
      </c>
      <c r="B28" s="282">
        <v>5419</v>
      </c>
      <c r="C28" s="279">
        <f t="shared" si="3"/>
        <v>95780</v>
      </c>
      <c r="D28" s="270">
        <v>40000</v>
      </c>
      <c r="E28" s="270">
        <v>55780</v>
      </c>
      <c r="F28" s="271">
        <v>0</v>
      </c>
      <c r="G28" s="254">
        <v>0</v>
      </c>
      <c r="H28" s="255" t="s">
        <v>293</v>
      </c>
      <c r="I28" s="243"/>
    </row>
    <row r="29" spans="1:9" s="247" customFormat="1" ht="15.75" customHeight="1" thickBot="1" x14ac:dyDescent="0.25">
      <c r="A29" s="256" t="s">
        <v>216</v>
      </c>
      <c r="B29" s="257"/>
      <c r="C29" s="258">
        <f>SUM(C24:C28)</f>
        <v>321098</v>
      </c>
      <c r="D29" s="259">
        <f>SUM(D24:D28)</f>
        <v>139818</v>
      </c>
      <c r="E29" s="259">
        <f>SUM(E24:E28)</f>
        <v>153280</v>
      </c>
      <c r="F29" s="259">
        <f>SUM(F24:F28)</f>
        <v>28000</v>
      </c>
      <c r="G29" s="259">
        <f>SUM(G24:G28)</f>
        <v>0</v>
      </c>
      <c r="H29" s="272"/>
      <c r="I29" s="243"/>
    </row>
    <row r="30" spans="1:9" s="247" customFormat="1" ht="18" customHeight="1" x14ac:dyDescent="0.2">
      <c r="A30" s="630" t="s">
        <v>217</v>
      </c>
      <c r="B30" s="631"/>
      <c r="C30" s="631"/>
      <c r="D30" s="631"/>
      <c r="E30" s="631"/>
      <c r="F30" s="631"/>
      <c r="G30" s="631"/>
      <c r="H30" s="632"/>
      <c r="I30" s="243"/>
    </row>
    <row r="31" spans="1:9" s="247" customFormat="1" ht="57" customHeight="1" x14ac:dyDescent="0.2">
      <c r="A31" s="261" t="s">
        <v>294</v>
      </c>
      <c r="B31" s="262">
        <v>5712</v>
      </c>
      <c r="C31" s="263">
        <f>D31+E31+F31+G31</f>
        <v>20000</v>
      </c>
      <c r="D31" s="287">
        <v>20000</v>
      </c>
      <c r="E31" s="287">
        <v>0</v>
      </c>
      <c r="F31" s="287">
        <v>0</v>
      </c>
      <c r="G31" s="558">
        <v>0</v>
      </c>
      <c r="H31" s="276" t="s">
        <v>473</v>
      </c>
      <c r="I31" s="243"/>
    </row>
    <row r="32" spans="1:9" ht="57.75" customHeight="1" thickBot="1" x14ac:dyDescent="0.25">
      <c r="A32" s="283" t="s">
        <v>295</v>
      </c>
      <c r="B32" s="282">
        <v>5730</v>
      </c>
      <c r="C32" s="279">
        <f>D32+E32+F32+G32</f>
        <v>95000</v>
      </c>
      <c r="D32" s="284">
        <v>30000</v>
      </c>
      <c r="E32" s="284">
        <v>65000</v>
      </c>
      <c r="F32" s="284">
        <v>0</v>
      </c>
      <c r="G32" s="285">
        <v>0</v>
      </c>
      <c r="H32" s="255" t="s">
        <v>474</v>
      </c>
    </row>
    <row r="33" spans="1:9" s="247" customFormat="1" ht="15.75" customHeight="1" thickBot="1" x14ac:dyDescent="0.25">
      <c r="A33" s="256" t="s">
        <v>231</v>
      </c>
      <c r="B33" s="257"/>
      <c r="C33" s="259">
        <f>SUM(C31:C32)</f>
        <v>115000</v>
      </c>
      <c r="D33" s="259">
        <f>SUM(D31:D32)</f>
        <v>50000</v>
      </c>
      <c r="E33" s="259">
        <f t="shared" ref="E33:G33" si="4">SUM(E31:E32)</f>
        <v>65000</v>
      </c>
      <c r="F33" s="259">
        <f t="shared" si="4"/>
        <v>0</v>
      </c>
      <c r="G33" s="259">
        <f t="shared" si="4"/>
        <v>0</v>
      </c>
      <c r="H33" s="272"/>
      <c r="I33" s="243"/>
    </row>
    <row r="34" spans="1:9" s="247" customFormat="1" ht="18" customHeight="1" x14ac:dyDescent="0.2">
      <c r="A34" s="630" t="s">
        <v>232</v>
      </c>
      <c r="B34" s="631"/>
      <c r="C34" s="631"/>
      <c r="D34" s="631"/>
      <c r="E34" s="631"/>
      <c r="F34" s="631"/>
      <c r="G34" s="631"/>
      <c r="H34" s="632"/>
      <c r="I34" s="243"/>
    </row>
    <row r="35" spans="1:9" s="247" customFormat="1" ht="34.5" customHeight="1" x14ac:dyDescent="0.2">
      <c r="A35" s="261" t="s">
        <v>296</v>
      </c>
      <c r="B35" s="262">
        <v>5100</v>
      </c>
      <c r="C35" s="263">
        <f>D35+E35+F35+G35</f>
        <v>237890</v>
      </c>
      <c r="D35" s="286">
        <v>16555</v>
      </c>
      <c r="E35" s="286">
        <v>16621</v>
      </c>
      <c r="F35" s="286">
        <v>16688</v>
      </c>
      <c r="G35" s="286">
        <v>188026</v>
      </c>
      <c r="H35" s="361" t="s">
        <v>475</v>
      </c>
      <c r="I35" s="243"/>
    </row>
    <row r="36" spans="1:9" s="247" customFormat="1" ht="24" customHeight="1" x14ac:dyDescent="0.2">
      <c r="A36" s="261" t="s">
        <v>297</v>
      </c>
      <c r="B36" s="262">
        <v>5482</v>
      </c>
      <c r="C36" s="263">
        <f t="shared" ref="C36:C42" si="5">D36+E36+F36+G36</f>
        <v>20649</v>
      </c>
      <c r="D36" s="287">
        <v>20649</v>
      </c>
      <c r="E36" s="287">
        <v>0</v>
      </c>
      <c r="F36" s="287">
        <v>0</v>
      </c>
      <c r="G36" s="287">
        <v>0</v>
      </c>
      <c r="H36" s="255" t="s">
        <v>298</v>
      </c>
      <c r="I36" s="243"/>
    </row>
    <row r="37" spans="1:9" s="247" customFormat="1" ht="34.5" customHeight="1" x14ac:dyDescent="0.2">
      <c r="A37" s="261" t="s">
        <v>299</v>
      </c>
      <c r="B37" s="262">
        <v>5685</v>
      </c>
      <c r="C37" s="263">
        <f t="shared" si="5"/>
        <v>92000</v>
      </c>
      <c r="D37" s="287">
        <v>32000</v>
      </c>
      <c r="E37" s="287">
        <v>60000</v>
      </c>
      <c r="F37" s="287">
        <v>0</v>
      </c>
      <c r="G37" s="287">
        <v>0</v>
      </c>
      <c r="H37" s="255" t="s">
        <v>600</v>
      </c>
      <c r="I37" s="243"/>
    </row>
    <row r="38" spans="1:9" s="247" customFormat="1" ht="34.5" customHeight="1" x14ac:dyDescent="0.2">
      <c r="A38" s="261" t="s">
        <v>300</v>
      </c>
      <c r="B38" s="262">
        <v>5761</v>
      </c>
      <c r="C38" s="263">
        <f t="shared" si="5"/>
        <v>45000</v>
      </c>
      <c r="D38" s="287">
        <v>25000</v>
      </c>
      <c r="E38" s="287">
        <v>20000</v>
      </c>
      <c r="F38" s="287">
        <v>0</v>
      </c>
      <c r="G38" s="287">
        <v>0</v>
      </c>
      <c r="H38" s="276" t="s">
        <v>472</v>
      </c>
      <c r="I38" s="243"/>
    </row>
    <row r="39" spans="1:9" s="247" customFormat="1" ht="34.5" customHeight="1" x14ac:dyDescent="0.2">
      <c r="A39" s="261" t="s">
        <v>301</v>
      </c>
      <c r="B39" s="262">
        <v>5762</v>
      </c>
      <c r="C39" s="263">
        <f t="shared" si="5"/>
        <v>15375</v>
      </c>
      <c r="D39" s="287">
        <v>5125</v>
      </c>
      <c r="E39" s="287">
        <v>10250</v>
      </c>
      <c r="F39" s="287">
        <v>0</v>
      </c>
      <c r="G39" s="287">
        <v>0</v>
      </c>
      <c r="H39" s="276" t="s">
        <v>472</v>
      </c>
      <c r="I39" s="243"/>
    </row>
    <row r="40" spans="1:9" s="247" customFormat="1" ht="34.5" customHeight="1" x14ac:dyDescent="0.2">
      <c r="A40" s="261" t="s">
        <v>302</v>
      </c>
      <c r="B40" s="262">
        <v>5764</v>
      </c>
      <c r="C40" s="263">
        <f t="shared" si="5"/>
        <v>35000</v>
      </c>
      <c r="D40" s="287">
        <v>35000</v>
      </c>
      <c r="E40" s="287">
        <v>0</v>
      </c>
      <c r="F40" s="287">
        <v>0</v>
      </c>
      <c r="G40" s="287">
        <v>0</v>
      </c>
      <c r="H40" s="276" t="s">
        <v>472</v>
      </c>
      <c r="I40" s="243"/>
    </row>
    <row r="41" spans="1:9" s="247" customFormat="1" ht="24" customHeight="1" x14ac:dyDescent="0.2">
      <c r="A41" s="261" t="s">
        <v>303</v>
      </c>
      <c r="B41" s="278"/>
      <c r="C41" s="263">
        <f t="shared" si="5"/>
        <v>150000</v>
      </c>
      <c r="D41" s="284">
        <v>60000</v>
      </c>
      <c r="E41" s="284">
        <v>90000</v>
      </c>
      <c r="F41" s="284">
        <v>0</v>
      </c>
      <c r="G41" s="284">
        <v>0</v>
      </c>
      <c r="H41" s="255" t="s">
        <v>293</v>
      </c>
      <c r="I41" s="243"/>
    </row>
    <row r="42" spans="1:9" s="247" customFormat="1" ht="45.75" customHeight="1" thickBot="1" x14ac:dyDescent="0.25">
      <c r="A42" s="277" t="s">
        <v>304</v>
      </c>
      <c r="B42" s="278">
        <v>5162</v>
      </c>
      <c r="C42" s="279">
        <f t="shared" si="5"/>
        <v>2000</v>
      </c>
      <c r="D42" s="284">
        <v>2000</v>
      </c>
      <c r="E42" s="284">
        <v>0</v>
      </c>
      <c r="F42" s="284">
        <v>0</v>
      </c>
      <c r="G42" s="284">
        <v>0</v>
      </c>
      <c r="H42" s="288" t="s">
        <v>305</v>
      </c>
      <c r="I42" s="243"/>
    </row>
    <row r="43" spans="1:9" s="247" customFormat="1" ht="15.75" customHeight="1" thickBot="1" x14ac:dyDescent="0.25">
      <c r="A43" s="256" t="s">
        <v>237</v>
      </c>
      <c r="B43" s="257"/>
      <c r="C43" s="258">
        <f>SUM(C35:C42)</f>
        <v>597914</v>
      </c>
      <c r="D43" s="259">
        <f>SUM(D35:D42)</f>
        <v>196329</v>
      </c>
      <c r="E43" s="259">
        <f>SUM(E35:E42)</f>
        <v>196871</v>
      </c>
      <c r="F43" s="259">
        <f>SUM(F35:F42)</f>
        <v>16688</v>
      </c>
      <c r="G43" s="259">
        <f>SUM(G35:G42)</f>
        <v>188026</v>
      </c>
      <c r="H43" s="260"/>
    </row>
    <row r="44" spans="1:9" s="247" customFormat="1" ht="9" customHeight="1" thickBot="1" x14ac:dyDescent="0.25">
      <c r="A44" s="289"/>
      <c r="B44" s="290"/>
      <c r="C44" s="289"/>
      <c r="D44" s="289"/>
      <c r="E44" s="289"/>
      <c r="F44" s="289"/>
      <c r="G44" s="289"/>
      <c r="H44" s="291"/>
    </row>
    <row r="45" spans="1:9" s="247" customFormat="1" ht="16.5" customHeight="1" thickBot="1" x14ac:dyDescent="0.25">
      <c r="A45" s="292" t="s">
        <v>255</v>
      </c>
      <c r="B45" s="257"/>
      <c r="C45" s="258">
        <f>SUM(C43,C33,C29,C22,C16,C13,C8)</f>
        <v>1766562</v>
      </c>
      <c r="D45" s="258">
        <f>SUM(D43,D33,D29,D22,D16,D13,D8)</f>
        <v>595614</v>
      </c>
      <c r="E45" s="258">
        <f>SUM(E43,E33,E29,E22,E16,E13,E8)</f>
        <v>544658</v>
      </c>
      <c r="F45" s="258">
        <f>SUM(F43,F33,F29,F22,F16,F13,F8)</f>
        <v>378195</v>
      </c>
      <c r="G45" s="258">
        <f>SUM(G43,G33,G29,G22,G16,G13,G8)</f>
        <v>248095</v>
      </c>
      <c r="H45" s="272"/>
    </row>
    <row r="46" spans="1:9" x14ac:dyDescent="0.15">
      <c r="A46" s="633"/>
      <c r="B46" s="633"/>
      <c r="C46" s="633"/>
      <c r="D46" s="633"/>
      <c r="E46" s="633"/>
      <c r="F46" s="633"/>
      <c r="G46" s="633"/>
      <c r="H46" s="633"/>
    </row>
    <row r="47" spans="1:9" x14ac:dyDescent="0.15">
      <c r="A47" s="358"/>
      <c r="B47" s="293"/>
      <c r="C47" s="358"/>
      <c r="D47" s="358"/>
      <c r="E47" s="358"/>
      <c r="F47" s="358"/>
      <c r="G47" s="358"/>
      <c r="H47" s="358"/>
    </row>
    <row r="48" spans="1:9" x14ac:dyDescent="0.15">
      <c r="A48" s="358"/>
      <c r="B48" s="293"/>
      <c r="C48" s="358"/>
      <c r="D48" s="358"/>
      <c r="E48" s="358"/>
      <c r="F48" s="358"/>
      <c r="G48" s="358"/>
      <c r="H48" s="358"/>
    </row>
  </sheetData>
  <mergeCells count="15">
    <mergeCell ref="A30:H30"/>
    <mergeCell ref="A34:H34"/>
    <mergeCell ref="A46:H46"/>
    <mergeCell ref="A6:H6"/>
    <mergeCell ref="A9:H9"/>
    <mergeCell ref="H11:H12"/>
    <mergeCell ref="A14:H14"/>
    <mergeCell ref="A17:H17"/>
    <mergeCell ref="A23:H23"/>
    <mergeCell ref="A2:H2"/>
    <mergeCell ref="A4:A5"/>
    <mergeCell ref="B4:B5"/>
    <mergeCell ref="C4:C5"/>
    <mergeCell ref="D4:G4"/>
    <mergeCell ref="H4:H5"/>
  </mergeCells>
  <pageMargins left="0.59055118110236227" right="0.59055118110236227" top="0.78740157480314965" bottom="0.78740157480314965" header="0.31496062992125984" footer="0.31496062992125984"/>
  <pageSetup paperSize="9" firstPageNumber="15" fitToHeight="0" orientation="landscape" useFirstPageNumber="1" r:id="rId1"/>
  <headerFooter>
    <oddHeader xml:space="preserve">&amp;L&amp;"Tahoma,Kurzíva"Střednědobý výhled rozpočtu kraje na léta 2019 - 2021
Příloha č. 13&amp;R&amp;"Tahoma,Kurzíva"Přehled závazků kraje u akcí reprodukce majetku kraje </oddHeader>
    <oddFooter>&amp;C&amp;"Tahoma,Obyčejné"&amp;P</oddFooter>
  </headerFooter>
  <rowBreaks count="1" manualBreakCount="1">
    <brk id="18" max="7" man="1"/>
  </rowBreaks>
  <ignoredErrors>
    <ignoredError sqref="D5:G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O87"/>
  <sheetViews>
    <sheetView zoomScaleNormal="100" zoomScaleSheetLayoutView="100" workbookViewId="0">
      <selection activeCell="E8" sqref="E8"/>
    </sheetView>
  </sheetViews>
  <sheetFormatPr defaultRowHeight="12.75" x14ac:dyDescent="0.2"/>
  <cols>
    <col min="1" max="1" width="37.7109375" style="295" customWidth="1"/>
    <col min="2" max="2" width="7.140625" style="295" hidden="1" customWidth="1"/>
    <col min="3" max="7" width="10.7109375" style="295" customWidth="1"/>
    <col min="8" max="8" width="44.7109375" style="295" customWidth="1"/>
    <col min="9" max="9" width="8" style="295" customWidth="1"/>
    <col min="10" max="251" width="9.140625" style="295"/>
    <col min="252" max="252" width="5.5703125" style="295" customWidth="1"/>
    <col min="253" max="253" width="32" style="295" customWidth="1"/>
    <col min="254" max="255" width="9.85546875" style="295" customWidth="1"/>
    <col min="256" max="257" width="9.42578125" style="295" customWidth="1"/>
    <col min="258" max="258" width="11.140625" style="295" customWidth="1"/>
    <col min="259" max="261" width="8.5703125" style="295" customWidth="1"/>
    <col min="262" max="262" width="32.140625" style="295" customWidth="1"/>
    <col min="263" max="263" width="8" style="295" hidden="1" customWidth="1"/>
    <col min="264" max="507" width="9.140625" style="295"/>
    <col min="508" max="508" width="5.5703125" style="295" customWidth="1"/>
    <col min="509" max="509" width="32" style="295" customWidth="1"/>
    <col min="510" max="511" width="9.85546875" style="295" customWidth="1"/>
    <col min="512" max="513" width="9.42578125" style="295" customWidth="1"/>
    <col min="514" max="514" width="11.140625" style="295" customWidth="1"/>
    <col min="515" max="517" width="8.5703125" style="295" customWidth="1"/>
    <col min="518" max="518" width="32.140625" style="295" customWidth="1"/>
    <col min="519" max="519" width="8" style="295" hidden="1" customWidth="1"/>
    <col min="520" max="763" width="9.140625" style="295"/>
    <col min="764" max="764" width="5.5703125" style="295" customWidth="1"/>
    <col min="765" max="765" width="32" style="295" customWidth="1"/>
    <col min="766" max="767" width="9.85546875" style="295" customWidth="1"/>
    <col min="768" max="769" width="9.42578125" style="295" customWidth="1"/>
    <col min="770" max="770" width="11.140625" style="295" customWidth="1"/>
    <col min="771" max="773" width="8.5703125" style="295" customWidth="1"/>
    <col min="774" max="774" width="32.140625" style="295" customWidth="1"/>
    <col min="775" max="775" width="8" style="295" hidden="1" customWidth="1"/>
    <col min="776" max="1019" width="9.140625" style="295"/>
    <col min="1020" max="1020" width="5.5703125" style="295" customWidth="1"/>
    <col min="1021" max="1021" width="32" style="295" customWidth="1"/>
    <col min="1022" max="1023" width="9.85546875" style="295" customWidth="1"/>
    <col min="1024" max="1025" width="9.42578125" style="295" customWidth="1"/>
    <col min="1026" max="1026" width="11.140625" style="295" customWidth="1"/>
    <col min="1027" max="1029" width="8.5703125" style="295" customWidth="1"/>
    <col min="1030" max="1030" width="32.140625" style="295" customWidth="1"/>
    <col min="1031" max="1031" width="8" style="295" hidden="1" customWidth="1"/>
    <col min="1032" max="1275" width="9.140625" style="295"/>
    <col min="1276" max="1276" width="5.5703125" style="295" customWidth="1"/>
    <col min="1277" max="1277" width="32" style="295" customWidth="1"/>
    <col min="1278" max="1279" width="9.85546875" style="295" customWidth="1"/>
    <col min="1280" max="1281" width="9.42578125" style="295" customWidth="1"/>
    <col min="1282" max="1282" width="11.140625" style="295" customWidth="1"/>
    <col min="1283" max="1285" width="8.5703125" style="295" customWidth="1"/>
    <col min="1286" max="1286" width="32.140625" style="295" customWidth="1"/>
    <col min="1287" max="1287" width="8" style="295" hidden="1" customWidth="1"/>
    <col min="1288" max="1531" width="9.140625" style="295"/>
    <col min="1532" max="1532" width="5.5703125" style="295" customWidth="1"/>
    <col min="1533" max="1533" width="32" style="295" customWidth="1"/>
    <col min="1534" max="1535" width="9.85546875" style="295" customWidth="1"/>
    <col min="1536" max="1537" width="9.42578125" style="295" customWidth="1"/>
    <col min="1538" max="1538" width="11.140625" style="295" customWidth="1"/>
    <col min="1539" max="1541" width="8.5703125" style="295" customWidth="1"/>
    <col min="1542" max="1542" width="32.140625" style="295" customWidth="1"/>
    <col min="1543" max="1543" width="8" style="295" hidden="1" customWidth="1"/>
    <col min="1544" max="1787" width="9.140625" style="295"/>
    <col min="1788" max="1788" width="5.5703125" style="295" customWidth="1"/>
    <col min="1789" max="1789" width="32" style="295" customWidth="1"/>
    <col min="1790" max="1791" width="9.85546875" style="295" customWidth="1"/>
    <col min="1792" max="1793" width="9.42578125" style="295" customWidth="1"/>
    <col min="1794" max="1794" width="11.140625" style="295" customWidth="1"/>
    <col min="1795" max="1797" width="8.5703125" style="295" customWidth="1"/>
    <col min="1798" max="1798" width="32.140625" style="295" customWidth="1"/>
    <col min="1799" max="1799" width="8" style="295" hidden="1" customWidth="1"/>
    <col min="1800" max="2043" width="9.140625" style="295"/>
    <col min="2044" max="2044" width="5.5703125" style="295" customWidth="1"/>
    <col min="2045" max="2045" width="32" style="295" customWidth="1"/>
    <col min="2046" max="2047" width="9.85546875" style="295" customWidth="1"/>
    <col min="2048" max="2049" width="9.42578125" style="295" customWidth="1"/>
    <col min="2050" max="2050" width="11.140625" style="295" customWidth="1"/>
    <col min="2051" max="2053" width="8.5703125" style="295" customWidth="1"/>
    <col min="2054" max="2054" width="32.140625" style="295" customWidth="1"/>
    <col min="2055" max="2055" width="8" style="295" hidden="1" customWidth="1"/>
    <col min="2056" max="2299" width="9.140625" style="295"/>
    <col min="2300" max="2300" width="5.5703125" style="295" customWidth="1"/>
    <col min="2301" max="2301" width="32" style="295" customWidth="1"/>
    <col min="2302" max="2303" width="9.85546875" style="295" customWidth="1"/>
    <col min="2304" max="2305" width="9.42578125" style="295" customWidth="1"/>
    <col min="2306" max="2306" width="11.140625" style="295" customWidth="1"/>
    <col min="2307" max="2309" width="8.5703125" style="295" customWidth="1"/>
    <col min="2310" max="2310" width="32.140625" style="295" customWidth="1"/>
    <col min="2311" max="2311" width="8" style="295" hidden="1" customWidth="1"/>
    <col min="2312" max="2555" width="9.140625" style="295"/>
    <col min="2556" max="2556" width="5.5703125" style="295" customWidth="1"/>
    <col min="2557" max="2557" width="32" style="295" customWidth="1"/>
    <col min="2558" max="2559" width="9.85546875" style="295" customWidth="1"/>
    <col min="2560" max="2561" width="9.42578125" style="295" customWidth="1"/>
    <col min="2562" max="2562" width="11.140625" style="295" customWidth="1"/>
    <col min="2563" max="2565" width="8.5703125" style="295" customWidth="1"/>
    <col min="2566" max="2566" width="32.140625" style="295" customWidth="1"/>
    <col min="2567" max="2567" width="8" style="295" hidden="1" customWidth="1"/>
    <col min="2568" max="2811" width="9.140625" style="295"/>
    <col min="2812" max="2812" width="5.5703125" style="295" customWidth="1"/>
    <col min="2813" max="2813" width="32" style="295" customWidth="1"/>
    <col min="2814" max="2815" width="9.85546875" style="295" customWidth="1"/>
    <col min="2816" max="2817" width="9.42578125" style="295" customWidth="1"/>
    <col min="2818" max="2818" width="11.140625" style="295" customWidth="1"/>
    <col min="2819" max="2821" width="8.5703125" style="295" customWidth="1"/>
    <col min="2822" max="2822" width="32.140625" style="295" customWidth="1"/>
    <col min="2823" max="2823" width="8" style="295" hidden="1" customWidth="1"/>
    <col min="2824" max="3067" width="9.140625" style="295"/>
    <col min="3068" max="3068" width="5.5703125" style="295" customWidth="1"/>
    <col min="3069" max="3069" width="32" style="295" customWidth="1"/>
    <col min="3070" max="3071" width="9.85546875" style="295" customWidth="1"/>
    <col min="3072" max="3073" width="9.42578125" style="295" customWidth="1"/>
    <col min="3074" max="3074" width="11.140625" style="295" customWidth="1"/>
    <col min="3075" max="3077" width="8.5703125" style="295" customWidth="1"/>
    <col min="3078" max="3078" width="32.140625" style="295" customWidth="1"/>
    <col min="3079" max="3079" width="8" style="295" hidden="1" customWidth="1"/>
    <col min="3080" max="3323" width="9.140625" style="295"/>
    <col min="3324" max="3324" width="5.5703125" style="295" customWidth="1"/>
    <col min="3325" max="3325" width="32" style="295" customWidth="1"/>
    <col min="3326" max="3327" width="9.85546875" style="295" customWidth="1"/>
    <col min="3328" max="3329" width="9.42578125" style="295" customWidth="1"/>
    <col min="3330" max="3330" width="11.140625" style="295" customWidth="1"/>
    <col min="3331" max="3333" width="8.5703125" style="295" customWidth="1"/>
    <col min="3334" max="3334" width="32.140625" style="295" customWidth="1"/>
    <col min="3335" max="3335" width="8" style="295" hidden="1" customWidth="1"/>
    <col min="3336" max="3579" width="9.140625" style="295"/>
    <col min="3580" max="3580" width="5.5703125" style="295" customWidth="1"/>
    <col min="3581" max="3581" width="32" style="295" customWidth="1"/>
    <col min="3582" max="3583" width="9.85546875" style="295" customWidth="1"/>
    <col min="3584" max="3585" width="9.42578125" style="295" customWidth="1"/>
    <col min="3586" max="3586" width="11.140625" style="295" customWidth="1"/>
    <col min="3587" max="3589" width="8.5703125" style="295" customWidth="1"/>
    <col min="3590" max="3590" width="32.140625" style="295" customWidth="1"/>
    <col min="3591" max="3591" width="8" style="295" hidden="1" customWidth="1"/>
    <col min="3592" max="3835" width="9.140625" style="295"/>
    <col min="3836" max="3836" width="5.5703125" style="295" customWidth="1"/>
    <col min="3837" max="3837" width="32" style="295" customWidth="1"/>
    <col min="3838" max="3839" width="9.85546875" style="295" customWidth="1"/>
    <col min="3840" max="3841" width="9.42578125" style="295" customWidth="1"/>
    <col min="3842" max="3842" width="11.140625" style="295" customWidth="1"/>
    <col min="3843" max="3845" width="8.5703125" style="295" customWidth="1"/>
    <col min="3846" max="3846" width="32.140625" style="295" customWidth="1"/>
    <col min="3847" max="3847" width="8" style="295" hidden="1" customWidth="1"/>
    <col min="3848" max="4091" width="9.140625" style="295"/>
    <col min="4092" max="4092" width="5.5703125" style="295" customWidth="1"/>
    <col min="4093" max="4093" width="32" style="295" customWidth="1"/>
    <col min="4094" max="4095" width="9.85546875" style="295" customWidth="1"/>
    <col min="4096" max="4097" width="9.42578125" style="295" customWidth="1"/>
    <col min="4098" max="4098" width="11.140625" style="295" customWidth="1"/>
    <col min="4099" max="4101" width="8.5703125" style="295" customWidth="1"/>
    <col min="4102" max="4102" width="32.140625" style="295" customWidth="1"/>
    <col min="4103" max="4103" width="8" style="295" hidden="1" customWidth="1"/>
    <col min="4104" max="4347" width="9.140625" style="295"/>
    <col min="4348" max="4348" width="5.5703125" style="295" customWidth="1"/>
    <col min="4349" max="4349" width="32" style="295" customWidth="1"/>
    <col min="4350" max="4351" width="9.85546875" style="295" customWidth="1"/>
    <col min="4352" max="4353" width="9.42578125" style="295" customWidth="1"/>
    <col min="4354" max="4354" width="11.140625" style="295" customWidth="1"/>
    <col min="4355" max="4357" width="8.5703125" style="295" customWidth="1"/>
    <col min="4358" max="4358" width="32.140625" style="295" customWidth="1"/>
    <col min="4359" max="4359" width="8" style="295" hidden="1" customWidth="1"/>
    <col min="4360" max="4603" width="9.140625" style="295"/>
    <col min="4604" max="4604" width="5.5703125" style="295" customWidth="1"/>
    <col min="4605" max="4605" width="32" style="295" customWidth="1"/>
    <col min="4606" max="4607" width="9.85546875" style="295" customWidth="1"/>
    <col min="4608" max="4609" width="9.42578125" style="295" customWidth="1"/>
    <col min="4610" max="4610" width="11.140625" style="295" customWidth="1"/>
    <col min="4611" max="4613" width="8.5703125" style="295" customWidth="1"/>
    <col min="4614" max="4614" width="32.140625" style="295" customWidth="1"/>
    <col min="4615" max="4615" width="8" style="295" hidden="1" customWidth="1"/>
    <col min="4616" max="4859" width="9.140625" style="295"/>
    <col min="4860" max="4860" width="5.5703125" style="295" customWidth="1"/>
    <col min="4861" max="4861" width="32" style="295" customWidth="1"/>
    <col min="4862" max="4863" width="9.85546875" style="295" customWidth="1"/>
    <col min="4864" max="4865" width="9.42578125" style="295" customWidth="1"/>
    <col min="4866" max="4866" width="11.140625" style="295" customWidth="1"/>
    <col min="4867" max="4869" width="8.5703125" style="295" customWidth="1"/>
    <col min="4870" max="4870" width="32.140625" style="295" customWidth="1"/>
    <col min="4871" max="4871" width="8" style="295" hidden="1" customWidth="1"/>
    <col min="4872" max="5115" width="9.140625" style="295"/>
    <col min="5116" max="5116" width="5.5703125" style="295" customWidth="1"/>
    <col min="5117" max="5117" width="32" style="295" customWidth="1"/>
    <col min="5118" max="5119" width="9.85546875" style="295" customWidth="1"/>
    <col min="5120" max="5121" width="9.42578125" style="295" customWidth="1"/>
    <col min="5122" max="5122" width="11.140625" style="295" customWidth="1"/>
    <col min="5123" max="5125" width="8.5703125" style="295" customWidth="1"/>
    <col min="5126" max="5126" width="32.140625" style="295" customWidth="1"/>
    <col min="5127" max="5127" width="8" style="295" hidden="1" customWidth="1"/>
    <col min="5128" max="5371" width="9.140625" style="295"/>
    <col min="5372" max="5372" width="5.5703125" style="295" customWidth="1"/>
    <col min="5373" max="5373" width="32" style="295" customWidth="1"/>
    <col min="5374" max="5375" width="9.85546875" style="295" customWidth="1"/>
    <col min="5376" max="5377" width="9.42578125" style="295" customWidth="1"/>
    <col min="5378" max="5378" width="11.140625" style="295" customWidth="1"/>
    <col min="5379" max="5381" width="8.5703125" style="295" customWidth="1"/>
    <col min="5382" max="5382" width="32.140625" style="295" customWidth="1"/>
    <col min="5383" max="5383" width="8" style="295" hidden="1" customWidth="1"/>
    <col min="5384" max="5627" width="9.140625" style="295"/>
    <col min="5628" max="5628" width="5.5703125" style="295" customWidth="1"/>
    <col min="5629" max="5629" width="32" style="295" customWidth="1"/>
    <col min="5630" max="5631" width="9.85546875" style="295" customWidth="1"/>
    <col min="5632" max="5633" width="9.42578125" style="295" customWidth="1"/>
    <col min="5634" max="5634" width="11.140625" style="295" customWidth="1"/>
    <col min="5635" max="5637" width="8.5703125" style="295" customWidth="1"/>
    <col min="5638" max="5638" width="32.140625" style="295" customWidth="1"/>
    <col min="5639" max="5639" width="8" style="295" hidden="1" customWidth="1"/>
    <col min="5640" max="5883" width="9.140625" style="295"/>
    <col min="5884" max="5884" width="5.5703125" style="295" customWidth="1"/>
    <col min="5885" max="5885" width="32" style="295" customWidth="1"/>
    <col min="5886" max="5887" width="9.85546875" style="295" customWidth="1"/>
    <col min="5888" max="5889" width="9.42578125" style="295" customWidth="1"/>
    <col min="5890" max="5890" width="11.140625" style="295" customWidth="1"/>
    <col min="5891" max="5893" width="8.5703125" style="295" customWidth="1"/>
    <col min="5894" max="5894" width="32.140625" style="295" customWidth="1"/>
    <col min="5895" max="5895" width="8" style="295" hidden="1" customWidth="1"/>
    <col min="5896" max="6139" width="9.140625" style="295"/>
    <col min="6140" max="6140" width="5.5703125" style="295" customWidth="1"/>
    <col min="6141" max="6141" width="32" style="295" customWidth="1"/>
    <col min="6142" max="6143" width="9.85546875" style="295" customWidth="1"/>
    <col min="6144" max="6145" width="9.42578125" style="295" customWidth="1"/>
    <col min="6146" max="6146" width="11.140625" style="295" customWidth="1"/>
    <col min="6147" max="6149" width="8.5703125" style="295" customWidth="1"/>
    <col min="6150" max="6150" width="32.140625" style="295" customWidth="1"/>
    <col min="6151" max="6151" width="8" style="295" hidden="1" customWidth="1"/>
    <col min="6152" max="6395" width="9.140625" style="295"/>
    <col min="6396" max="6396" width="5.5703125" style="295" customWidth="1"/>
    <col min="6397" max="6397" width="32" style="295" customWidth="1"/>
    <col min="6398" max="6399" width="9.85546875" style="295" customWidth="1"/>
    <col min="6400" max="6401" width="9.42578125" style="295" customWidth="1"/>
    <col min="6402" max="6402" width="11.140625" style="295" customWidth="1"/>
    <col min="6403" max="6405" width="8.5703125" style="295" customWidth="1"/>
    <col min="6406" max="6406" width="32.140625" style="295" customWidth="1"/>
    <col min="6407" max="6407" width="8" style="295" hidden="1" customWidth="1"/>
    <col min="6408" max="6651" width="9.140625" style="295"/>
    <col min="6652" max="6652" width="5.5703125" style="295" customWidth="1"/>
    <col min="6653" max="6653" width="32" style="295" customWidth="1"/>
    <col min="6654" max="6655" width="9.85546875" style="295" customWidth="1"/>
    <col min="6656" max="6657" width="9.42578125" style="295" customWidth="1"/>
    <col min="6658" max="6658" width="11.140625" style="295" customWidth="1"/>
    <col min="6659" max="6661" width="8.5703125" style="295" customWidth="1"/>
    <col min="6662" max="6662" width="32.140625" style="295" customWidth="1"/>
    <col min="6663" max="6663" width="8" style="295" hidden="1" customWidth="1"/>
    <col min="6664" max="6907" width="9.140625" style="295"/>
    <col min="6908" max="6908" width="5.5703125" style="295" customWidth="1"/>
    <col min="6909" max="6909" width="32" style="295" customWidth="1"/>
    <col min="6910" max="6911" width="9.85546875" style="295" customWidth="1"/>
    <col min="6912" max="6913" width="9.42578125" style="295" customWidth="1"/>
    <col min="6914" max="6914" width="11.140625" style="295" customWidth="1"/>
    <col min="6915" max="6917" width="8.5703125" style="295" customWidth="1"/>
    <col min="6918" max="6918" width="32.140625" style="295" customWidth="1"/>
    <col min="6919" max="6919" width="8" style="295" hidden="1" customWidth="1"/>
    <col min="6920" max="7163" width="9.140625" style="295"/>
    <col min="7164" max="7164" width="5.5703125" style="295" customWidth="1"/>
    <col min="7165" max="7165" width="32" style="295" customWidth="1"/>
    <col min="7166" max="7167" width="9.85546875" style="295" customWidth="1"/>
    <col min="7168" max="7169" width="9.42578125" style="295" customWidth="1"/>
    <col min="7170" max="7170" width="11.140625" style="295" customWidth="1"/>
    <col min="7171" max="7173" width="8.5703125" style="295" customWidth="1"/>
    <col min="7174" max="7174" width="32.140625" style="295" customWidth="1"/>
    <col min="7175" max="7175" width="8" style="295" hidden="1" customWidth="1"/>
    <col min="7176" max="7419" width="9.140625" style="295"/>
    <col min="7420" max="7420" width="5.5703125" style="295" customWidth="1"/>
    <col min="7421" max="7421" width="32" style="295" customWidth="1"/>
    <col min="7422" max="7423" width="9.85546875" style="295" customWidth="1"/>
    <col min="7424" max="7425" width="9.42578125" style="295" customWidth="1"/>
    <col min="7426" max="7426" width="11.140625" style="295" customWidth="1"/>
    <col min="7427" max="7429" width="8.5703125" style="295" customWidth="1"/>
    <col min="7430" max="7430" width="32.140625" style="295" customWidth="1"/>
    <col min="7431" max="7431" width="8" style="295" hidden="1" customWidth="1"/>
    <col min="7432" max="7675" width="9.140625" style="295"/>
    <col min="7676" max="7676" width="5.5703125" style="295" customWidth="1"/>
    <col min="7677" max="7677" width="32" style="295" customWidth="1"/>
    <col min="7678" max="7679" width="9.85546875" style="295" customWidth="1"/>
    <col min="7680" max="7681" width="9.42578125" style="295" customWidth="1"/>
    <col min="7682" max="7682" width="11.140625" style="295" customWidth="1"/>
    <col min="7683" max="7685" width="8.5703125" style="295" customWidth="1"/>
    <col min="7686" max="7686" width="32.140625" style="295" customWidth="1"/>
    <col min="7687" max="7687" width="8" style="295" hidden="1" customWidth="1"/>
    <col min="7688" max="7931" width="9.140625" style="295"/>
    <col min="7932" max="7932" width="5.5703125" style="295" customWidth="1"/>
    <col min="7933" max="7933" width="32" style="295" customWidth="1"/>
    <col min="7934" max="7935" width="9.85546875" style="295" customWidth="1"/>
    <col min="7936" max="7937" width="9.42578125" style="295" customWidth="1"/>
    <col min="7938" max="7938" width="11.140625" style="295" customWidth="1"/>
    <col min="7939" max="7941" width="8.5703125" style="295" customWidth="1"/>
    <col min="7942" max="7942" width="32.140625" style="295" customWidth="1"/>
    <col min="7943" max="7943" width="8" style="295" hidden="1" customWidth="1"/>
    <col min="7944" max="8187" width="9.140625" style="295"/>
    <col min="8188" max="8188" width="5.5703125" style="295" customWidth="1"/>
    <col min="8189" max="8189" width="32" style="295" customWidth="1"/>
    <col min="8190" max="8191" width="9.85546875" style="295" customWidth="1"/>
    <col min="8192" max="8193" width="9.42578125" style="295" customWidth="1"/>
    <col min="8194" max="8194" width="11.140625" style="295" customWidth="1"/>
    <col min="8195" max="8197" width="8.5703125" style="295" customWidth="1"/>
    <col min="8198" max="8198" width="32.140625" style="295" customWidth="1"/>
    <col min="8199" max="8199" width="8" style="295" hidden="1" customWidth="1"/>
    <col min="8200" max="8443" width="9.140625" style="295"/>
    <col min="8444" max="8444" width="5.5703125" style="295" customWidth="1"/>
    <col min="8445" max="8445" width="32" style="295" customWidth="1"/>
    <col min="8446" max="8447" width="9.85546875" style="295" customWidth="1"/>
    <col min="8448" max="8449" width="9.42578125" style="295" customWidth="1"/>
    <col min="8450" max="8450" width="11.140625" style="295" customWidth="1"/>
    <col min="8451" max="8453" width="8.5703125" style="295" customWidth="1"/>
    <col min="8454" max="8454" width="32.140625" style="295" customWidth="1"/>
    <col min="8455" max="8455" width="8" style="295" hidden="1" customWidth="1"/>
    <col min="8456" max="8699" width="9.140625" style="295"/>
    <col min="8700" max="8700" width="5.5703125" style="295" customWidth="1"/>
    <col min="8701" max="8701" width="32" style="295" customWidth="1"/>
    <col min="8702" max="8703" width="9.85546875" style="295" customWidth="1"/>
    <col min="8704" max="8705" width="9.42578125" style="295" customWidth="1"/>
    <col min="8706" max="8706" width="11.140625" style="295" customWidth="1"/>
    <col min="8707" max="8709" width="8.5703125" style="295" customWidth="1"/>
    <col min="8710" max="8710" width="32.140625" style="295" customWidth="1"/>
    <col min="8711" max="8711" width="8" style="295" hidden="1" customWidth="1"/>
    <col min="8712" max="8955" width="9.140625" style="295"/>
    <col min="8956" max="8956" width="5.5703125" style="295" customWidth="1"/>
    <col min="8957" max="8957" width="32" style="295" customWidth="1"/>
    <col min="8958" max="8959" width="9.85546875" style="295" customWidth="1"/>
    <col min="8960" max="8961" width="9.42578125" style="295" customWidth="1"/>
    <col min="8962" max="8962" width="11.140625" style="295" customWidth="1"/>
    <col min="8963" max="8965" width="8.5703125" style="295" customWidth="1"/>
    <col min="8966" max="8966" width="32.140625" style="295" customWidth="1"/>
    <col min="8967" max="8967" width="8" style="295" hidden="1" customWidth="1"/>
    <col min="8968" max="9211" width="9.140625" style="295"/>
    <col min="9212" max="9212" width="5.5703125" style="295" customWidth="1"/>
    <col min="9213" max="9213" width="32" style="295" customWidth="1"/>
    <col min="9214" max="9215" width="9.85546875" style="295" customWidth="1"/>
    <col min="9216" max="9217" width="9.42578125" style="295" customWidth="1"/>
    <col min="9218" max="9218" width="11.140625" style="295" customWidth="1"/>
    <col min="9219" max="9221" width="8.5703125" style="295" customWidth="1"/>
    <col min="9222" max="9222" width="32.140625" style="295" customWidth="1"/>
    <col min="9223" max="9223" width="8" style="295" hidden="1" customWidth="1"/>
    <col min="9224" max="9467" width="9.140625" style="295"/>
    <col min="9468" max="9468" width="5.5703125" style="295" customWidth="1"/>
    <col min="9469" max="9469" width="32" style="295" customWidth="1"/>
    <col min="9470" max="9471" width="9.85546875" style="295" customWidth="1"/>
    <col min="9472" max="9473" width="9.42578125" style="295" customWidth="1"/>
    <col min="9474" max="9474" width="11.140625" style="295" customWidth="1"/>
    <col min="9475" max="9477" width="8.5703125" style="295" customWidth="1"/>
    <col min="9478" max="9478" width="32.140625" style="295" customWidth="1"/>
    <col min="9479" max="9479" width="8" style="295" hidden="1" customWidth="1"/>
    <col min="9480" max="9723" width="9.140625" style="295"/>
    <col min="9724" max="9724" width="5.5703125" style="295" customWidth="1"/>
    <col min="9725" max="9725" width="32" style="295" customWidth="1"/>
    <col min="9726" max="9727" width="9.85546875" style="295" customWidth="1"/>
    <col min="9728" max="9729" width="9.42578125" style="295" customWidth="1"/>
    <col min="9730" max="9730" width="11.140625" style="295" customWidth="1"/>
    <col min="9731" max="9733" width="8.5703125" style="295" customWidth="1"/>
    <col min="9734" max="9734" width="32.140625" style="295" customWidth="1"/>
    <col min="9735" max="9735" width="8" style="295" hidden="1" customWidth="1"/>
    <col min="9736" max="9979" width="9.140625" style="295"/>
    <col min="9980" max="9980" width="5.5703125" style="295" customWidth="1"/>
    <col min="9981" max="9981" width="32" style="295" customWidth="1"/>
    <col min="9982" max="9983" width="9.85546875" style="295" customWidth="1"/>
    <col min="9984" max="9985" width="9.42578125" style="295" customWidth="1"/>
    <col min="9986" max="9986" width="11.140625" style="295" customWidth="1"/>
    <col min="9987" max="9989" width="8.5703125" style="295" customWidth="1"/>
    <col min="9990" max="9990" width="32.140625" style="295" customWidth="1"/>
    <col min="9991" max="9991" width="8" style="295" hidden="1" customWidth="1"/>
    <col min="9992" max="10235" width="9.140625" style="295"/>
    <col min="10236" max="10236" width="5.5703125" style="295" customWidth="1"/>
    <col min="10237" max="10237" width="32" style="295" customWidth="1"/>
    <col min="10238" max="10239" width="9.85546875" style="295" customWidth="1"/>
    <col min="10240" max="10241" width="9.42578125" style="295" customWidth="1"/>
    <col min="10242" max="10242" width="11.140625" style="295" customWidth="1"/>
    <col min="10243" max="10245" width="8.5703125" style="295" customWidth="1"/>
    <col min="10246" max="10246" width="32.140625" style="295" customWidth="1"/>
    <col min="10247" max="10247" width="8" style="295" hidden="1" customWidth="1"/>
    <col min="10248" max="10491" width="9.140625" style="295"/>
    <col min="10492" max="10492" width="5.5703125" style="295" customWidth="1"/>
    <col min="10493" max="10493" width="32" style="295" customWidth="1"/>
    <col min="10494" max="10495" width="9.85546875" style="295" customWidth="1"/>
    <col min="10496" max="10497" width="9.42578125" style="295" customWidth="1"/>
    <col min="10498" max="10498" width="11.140625" style="295" customWidth="1"/>
    <col min="10499" max="10501" width="8.5703125" style="295" customWidth="1"/>
    <col min="10502" max="10502" width="32.140625" style="295" customWidth="1"/>
    <col min="10503" max="10503" width="8" style="295" hidden="1" customWidth="1"/>
    <col min="10504" max="10747" width="9.140625" style="295"/>
    <col min="10748" max="10748" width="5.5703125" style="295" customWidth="1"/>
    <col min="10749" max="10749" width="32" style="295" customWidth="1"/>
    <col min="10750" max="10751" width="9.85546875" style="295" customWidth="1"/>
    <col min="10752" max="10753" width="9.42578125" style="295" customWidth="1"/>
    <col min="10754" max="10754" width="11.140625" style="295" customWidth="1"/>
    <col min="10755" max="10757" width="8.5703125" style="295" customWidth="1"/>
    <col min="10758" max="10758" width="32.140625" style="295" customWidth="1"/>
    <col min="10759" max="10759" width="8" style="295" hidden="1" customWidth="1"/>
    <col min="10760" max="11003" width="9.140625" style="295"/>
    <col min="11004" max="11004" width="5.5703125" style="295" customWidth="1"/>
    <col min="11005" max="11005" width="32" style="295" customWidth="1"/>
    <col min="11006" max="11007" width="9.85546875" style="295" customWidth="1"/>
    <col min="11008" max="11009" width="9.42578125" style="295" customWidth="1"/>
    <col min="11010" max="11010" width="11.140625" style="295" customWidth="1"/>
    <col min="11011" max="11013" width="8.5703125" style="295" customWidth="1"/>
    <col min="11014" max="11014" width="32.140625" style="295" customWidth="1"/>
    <col min="11015" max="11015" width="8" style="295" hidden="1" customWidth="1"/>
    <col min="11016" max="11259" width="9.140625" style="295"/>
    <col min="11260" max="11260" width="5.5703125" style="295" customWidth="1"/>
    <col min="11261" max="11261" width="32" style="295" customWidth="1"/>
    <col min="11262" max="11263" width="9.85546875" style="295" customWidth="1"/>
    <col min="11264" max="11265" width="9.42578125" style="295" customWidth="1"/>
    <col min="11266" max="11266" width="11.140625" style="295" customWidth="1"/>
    <col min="11267" max="11269" width="8.5703125" style="295" customWidth="1"/>
    <col min="11270" max="11270" width="32.140625" style="295" customWidth="1"/>
    <col min="11271" max="11271" width="8" style="295" hidden="1" customWidth="1"/>
    <col min="11272" max="11515" width="9.140625" style="295"/>
    <col min="11516" max="11516" width="5.5703125" style="295" customWidth="1"/>
    <col min="11517" max="11517" width="32" style="295" customWidth="1"/>
    <col min="11518" max="11519" width="9.85546875" style="295" customWidth="1"/>
    <col min="11520" max="11521" width="9.42578125" style="295" customWidth="1"/>
    <col min="11522" max="11522" width="11.140625" style="295" customWidth="1"/>
    <col min="11523" max="11525" width="8.5703125" style="295" customWidth="1"/>
    <col min="11526" max="11526" width="32.140625" style="295" customWidth="1"/>
    <col min="11527" max="11527" width="8" style="295" hidden="1" customWidth="1"/>
    <col min="11528" max="11771" width="9.140625" style="295"/>
    <col min="11772" max="11772" width="5.5703125" style="295" customWidth="1"/>
    <col min="11773" max="11773" width="32" style="295" customWidth="1"/>
    <col min="11774" max="11775" width="9.85546875" style="295" customWidth="1"/>
    <col min="11776" max="11777" width="9.42578125" style="295" customWidth="1"/>
    <col min="11778" max="11778" width="11.140625" style="295" customWidth="1"/>
    <col min="11779" max="11781" width="8.5703125" style="295" customWidth="1"/>
    <col min="11782" max="11782" width="32.140625" style="295" customWidth="1"/>
    <col min="11783" max="11783" width="8" style="295" hidden="1" customWidth="1"/>
    <col min="11784" max="12027" width="9.140625" style="295"/>
    <col min="12028" max="12028" width="5.5703125" style="295" customWidth="1"/>
    <col min="12029" max="12029" width="32" style="295" customWidth="1"/>
    <col min="12030" max="12031" width="9.85546875" style="295" customWidth="1"/>
    <col min="12032" max="12033" width="9.42578125" style="295" customWidth="1"/>
    <col min="12034" max="12034" width="11.140625" style="295" customWidth="1"/>
    <col min="12035" max="12037" width="8.5703125" style="295" customWidth="1"/>
    <col min="12038" max="12038" width="32.140625" style="295" customWidth="1"/>
    <col min="12039" max="12039" width="8" style="295" hidden="1" customWidth="1"/>
    <col min="12040" max="12283" width="9.140625" style="295"/>
    <col min="12284" max="12284" width="5.5703125" style="295" customWidth="1"/>
    <col min="12285" max="12285" width="32" style="295" customWidth="1"/>
    <col min="12286" max="12287" width="9.85546875" style="295" customWidth="1"/>
    <col min="12288" max="12289" width="9.42578125" style="295" customWidth="1"/>
    <col min="12290" max="12290" width="11.140625" style="295" customWidth="1"/>
    <col min="12291" max="12293" width="8.5703125" style="295" customWidth="1"/>
    <col min="12294" max="12294" width="32.140625" style="295" customWidth="1"/>
    <col min="12295" max="12295" width="8" style="295" hidden="1" customWidth="1"/>
    <col min="12296" max="12539" width="9.140625" style="295"/>
    <col min="12540" max="12540" width="5.5703125" style="295" customWidth="1"/>
    <col min="12541" max="12541" width="32" style="295" customWidth="1"/>
    <col min="12542" max="12543" width="9.85546875" style="295" customWidth="1"/>
    <col min="12544" max="12545" width="9.42578125" style="295" customWidth="1"/>
    <col min="12546" max="12546" width="11.140625" style="295" customWidth="1"/>
    <col min="12547" max="12549" width="8.5703125" style="295" customWidth="1"/>
    <col min="12550" max="12550" width="32.140625" style="295" customWidth="1"/>
    <col min="12551" max="12551" width="8" style="295" hidden="1" customWidth="1"/>
    <col min="12552" max="12795" width="9.140625" style="295"/>
    <col min="12796" max="12796" width="5.5703125" style="295" customWidth="1"/>
    <col min="12797" max="12797" width="32" style="295" customWidth="1"/>
    <col min="12798" max="12799" width="9.85546875" style="295" customWidth="1"/>
    <col min="12800" max="12801" width="9.42578125" style="295" customWidth="1"/>
    <col min="12802" max="12802" width="11.140625" style="295" customWidth="1"/>
    <col min="12803" max="12805" width="8.5703125" style="295" customWidth="1"/>
    <col min="12806" max="12806" width="32.140625" style="295" customWidth="1"/>
    <col min="12807" max="12807" width="8" style="295" hidden="1" customWidth="1"/>
    <col min="12808" max="13051" width="9.140625" style="295"/>
    <col min="13052" max="13052" width="5.5703125" style="295" customWidth="1"/>
    <col min="13053" max="13053" width="32" style="295" customWidth="1"/>
    <col min="13054" max="13055" width="9.85546875" style="295" customWidth="1"/>
    <col min="13056" max="13057" width="9.42578125" style="295" customWidth="1"/>
    <col min="13058" max="13058" width="11.140625" style="295" customWidth="1"/>
    <col min="13059" max="13061" width="8.5703125" style="295" customWidth="1"/>
    <col min="13062" max="13062" width="32.140625" style="295" customWidth="1"/>
    <col min="13063" max="13063" width="8" style="295" hidden="1" customWidth="1"/>
    <col min="13064" max="13307" width="9.140625" style="295"/>
    <col min="13308" max="13308" width="5.5703125" style="295" customWidth="1"/>
    <col min="13309" max="13309" width="32" style="295" customWidth="1"/>
    <col min="13310" max="13311" width="9.85546875" style="295" customWidth="1"/>
    <col min="13312" max="13313" width="9.42578125" style="295" customWidth="1"/>
    <col min="13314" max="13314" width="11.140625" style="295" customWidth="1"/>
    <col min="13315" max="13317" width="8.5703125" style="295" customWidth="1"/>
    <col min="13318" max="13318" width="32.140625" style="295" customWidth="1"/>
    <col min="13319" max="13319" width="8" style="295" hidden="1" customWidth="1"/>
    <col min="13320" max="13563" width="9.140625" style="295"/>
    <col min="13564" max="13564" width="5.5703125" style="295" customWidth="1"/>
    <col min="13565" max="13565" width="32" style="295" customWidth="1"/>
    <col min="13566" max="13567" width="9.85546875" style="295" customWidth="1"/>
    <col min="13568" max="13569" width="9.42578125" style="295" customWidth="1"/>
    <col min="13570" max="13570" width="11.140625" style="295" customWidth="1"/>
    <col min="13571" max="13573" width="8.5703125" style="295" customWidth="1"/>
    <col min="13574" max="13574" width="32.140625" style="295" customWidth="1"/>
    <col min="13575" max="13575" width="8" style="295" hidden="1" customWidth="1"/>
    <col min="13576" max="13819" width="9.140625" style="295"/>
    <col min="13820" max="13820" width="5.5703125" style="295" customWidth="1"/>
    <col min="13821" max="13821" width="32" style="295" customWidth="1"/>
    <col min="13822" max="13823" width="9.85546875" style="295" customWidth="1"/>
    <col min="13824" max="13825" width="9.42578125" style="295" customWidth="1"/>
    <col min="13826" max="13826" width="11.140625" style="295" customWidth="1"/>
    <col min="13827" max="13829" width="8.5703125" style="295" customWidth="1"/>
    <col min="13830" max="13830" width="32.140625" style="295" customWidth="1"/>
    <col min="13831" max="13831" width="8" style="295" hidden="1" customWidth="1"/>
    <col min="13832" max="14075" width="9.140625" style="295"/>
    <col min="14076" max="14076" width="5.5703125" style="295" customWidth="1"/>
    <col min="14077" max="14077" width="32" style="295" customWidth="1"/>
    <col min="14078" max="14079" width="9.85546875" style="295" customWidth="1"/>
    <col min="14080" max="14081" width="9.42578125" style="295" customWidth="1"/>
    <col min="14082" max="14082" width="11.140625" style="295" customWidth="1"/>
    <col min="14083" max="14085" width="8.5703125" style="295" customWidth="1"/>
    <col min="14086" max="14086" width="32.140625" style="295" customWidth="1"/>
    <col min="14087" max="14087" width="8" style="295" hidden="1" customWidth="1"/>
    <col min="14088" max="14331" width="9.140625" style="295"/>
    <col min="14332" max="14332" width="5.5703125" style="295" customWidth="1"/>
    <col min="14333" max="14333" width="32" style="295" customWidth="1"/>
    <col min="14334" max="14335" width="9.85546875" style="295" customWidth="1"/>
    <col min="14336" max="14337" width="9.42578125" style="295" customWidth="1"/>
    <col min="14338" max="14338" width="11.140625" style="295" customWidth="1"/>
    <col min="14339" max="14341" width="8.5703125" style="295" customWidth="1"/>
    <col min="14342" max="14342" width="32.140625" style="295" customWidth="1"/>
    <col min="14343" max="14343" width="8" style="295" hidden="1" customWidth="1"/>
    <col min="14344" max="14587" width="9.140625" style="295"/>
    <col min="14588" max="14588" width="5.5703125" style="295" customWidth="1"/>
    <col min="14589" max="14589" width="32" style="295" customWidth="1"/>
    <col min="14590" max="14591" width="9.85546875" style="295" customWidth="1"/>
    <col min="14592" max="14593" width="9.42578125" style="295" customWidth="1"/>
    <col min="14594" max="14594" width="11.140625" style="295" customWidth="1"/>
    <col min="14595" max="14597" width="8.5703125" style="295" customWidth="1"/>
    <col min="14598" max="14598" width="32.140625" style="295" customWidth="1"/>
    <col min="14599" max="14599" width="8" style="295" hidden="1" customWidth="1"/>
    <col min="14600" max="14843" width="9.140625" style="295"/>
    <col min="14844" max="14844" width="5.5703125" style="295" customWidth="1"/>
    <col min="14845" max="14845" width="32" style="295" customWidth="1"/>
    <col min="14846" max="14847" width="9.85546875" style="295" customWidth="1"/>
    <col min="14848" max="14849" width="9.42578125" style="295" customWidth="1"/>
    <col min="14850" max="14850" width="11.140625" style="295" customWidth="1"/>
    <col min="14851" max="14853" width="8.5703125" style="295" customWidth="1"/>
    <col min="14854" max="14854" width="32.140625" style="295" customWidth="1"/>
    <col min="14855" max="14855" width="8" style="295" hidden="1" customWidth="1"/>
    <col min="14856" max="15099" width="9.140625" style="295"/>
    <col min="15100" max="15100" width="5.5703125" style="295" customWidth="1"/>
    <col min="15101" max="15101" width="32" style="295" customWidth="1"/>
    <col min="15102" max="15103" width="9.85546875" style="295" customWidth="1"/>
    <col min="15104" max="15105" width="9.42578125" style="295" customWidth="1"/>
    <col min="15106" max="15106" width="11.140625" style="295" customWidth="1"/>
    <col min="15107" max="15109" width="8.5703125" style="295" customWidth="1"/>
    <col min="15110" max="15110" width="32.140625" style="295" customWidth="1"/>
    <col min="15111" max="15111" width="8" style="295" hidden="1" customWidth="1"/>
    <col min="15112" max="15355" width="9.140625" style="295"/>
    <col min="15356" max="15356" width="5.5703125" style="295" customWidth="1"/>
    <col min="15357" max="15357" width="32" style="295" customWidth="1"/>
    <col min="15358" max="15359" width="9.85546875" style="295" customWidth="1"/>
    <col min="15360" max="15361" width="9.42578125" style="295" customWidth="1"/>
    <col min="15362" max="15362" width="11.140625" style="295" customWidth="1"/>
    <col min="15363" max="15365" width="8.5703125" style="295" customWidth="1"/>
    <col min="15366" max="15366" width="32.140625" style="295" customWidth="1"/>
    <col min="15367" max="15367" width="8" style="295" hidden="1" customWidth="1"/>
    <col min="15368" max="15611" width="9.140625" style="295"/>
    <col min="15612" max="15612" width="5.5703125" style="295" customWidth="1"/>
    <col min="15613" max="15613" width="32" style="295" customWidth="1"/>
    <col min="15614" max="15615" width="9.85546875" style="295" customWidth="1"/>
    <col min="15616" max="15617" width="9.42578125" style="295" customWidth="1"/>
    <col min="15618" max="15618" width="11.140625" style="295" customWidth="1"/>
    <col min="15619" max="15621" width="8.5703125" style="295" customWidth="1"/>
    <col min="15622" max="15622" width="32.140625" style="295" customWidth="1"/>
    <col min="15623" max="15623" width="8" style="295" hidden="1" customWidth="1"/>
    <col min="15624" max="15867" width="9.140625" style="295"/>
    <col min="15868" max="15868" width="5.5703125" style="295" customWidth="1"/>
    <col min="15869" max="15869" width="32" style="295" customWidth="1"/>
    <col min="15870" max="15871" width="9.85546875" style="295" customWidth="1"/>
    <col min="15872" max="15873" width="9.42578125" style="295" customWidth="1"/>
    <col min="15874" max="15874" width="11.140625" style="295" customWidth="1"/>
    <col min="15875" max="15877" width="8.5703125" style="295" customWidth="1"/>
    <col min="15878" max="15878" width="32.140625" style="295" customWidth="1"/>
    <col min="15879" max="15879" width="8" style="295" hidden="1" customWidth="1"/>
    <col min="15880" max="16123" width="9.140625" style="295"/>
    <col min="16124" max="16124" width="5.5703125" style="295" customWidth="1"/>
    <col min="16125" max="16125" width="32" style="295" customWidth="1"/>
    <col min="16126" max="16127" width="9.85546875" style="295" customWidth="1"/>
    <col min="16128" max="16129" width="9.42578125" style="295" customWidth="1"/>
    <col min="16130" max="16130" width="11.140625" style="295" customWidth="1"/>
    <col min="16131" max="16133" width="8.5703125" style="295" customWidth="1"/>
    <col min="16134" max="16134" width="32.140625" style="295" customWidth="1"/>
    <col min="16135" max="16135" width="8" style="295" hidden="1" customWidth="1"/>
    <col min="16136" max="16384" width="9.140625" style="295"/>
  </cols>
  <sheetData>
    <row r="1" spans="1:8" x14ac:dyDescent="0.2">
      <c r="A1" s="68" t="s">
        <v>97</v>
      </c>
    </row>
    <row r="2" spans="1:8" ht="38.25" customHeight="1" x14ac:dyDescent="0.2">
      <c r="A2" s="612" t="s">
        <v>461</v>
      </c>
      <c r="B2" s="640"/>
      <c r="C2" s="640"/>
      <c r="D2" s="640"/>
      <c r="E2" s="640"/>
      <c r="F2" s="640"/>
      <c r="G2" s="640"/>
      <c r="H2" s="640"/>
    </row>
    <row r="3" spans="1:8" ht="13.5" thickBot="1" x14ac:dyDescent="0.25">
      <c r="A3" s="296"/>
      <c r="B3" s="296"/>
      <c r="C3" s="297"/>
      <c r="D3" s="298"/>
      <c r="E3" s="298"/>
      <c r="F3" s="298"/>
      <c r="G3" s="298"/>
      <c r="H3" s="297" t="s">
        <v>155</v>
      </c>
    </row>
    <row r="4" spans="1:8" ht="21" customHeight="1" x14ac:dyDescent="0.2">
      <c r="A4" s="614" t="s">
        <v>267</v>
      </c>
      <c r="B4" s="616" t="s">
        <v>268</v>
      </c>
      <c r="C4" s="618" t="s">
        <v>269</v>
      </c>
      <c r="D4" s="620" t="s">
        <v>462</v>
      </c>
      <c r="E4" s="621"/>
      <c r="F4" s="622"/>
      <c r="G4" s="623"/>
      <c r="H4" s="624" t="s">
        <v>407</v>
      </c>
    </row>
    <row r="5" spans="1:8" ht="21" customHeight="1" thickBot="1" x14ac:dyDescent="0.25">
      <c r="A5" s="615"/>
      <c r="B5" s="639"/>
      <c r="C5" s="619"/>
      <c r="D5" s="246" t="s">
        <v>271</v>
      </c>
      <c r="E5" s="246" t="s">
        <v>272</v>
      </c>
      <c r="F5" s="246" t="s">
        <v>273</v>
      </c>
      <c r="G5" s="246" t="s">
        <v>274</v>
      </c>
      <c r="H5" s="625"/>
    </row>
    <row r="6" spans="1:8" s="299" customFormat="1" ht="18" customHeight="1" x14ac:dyDescent="0.2">
      <c r="A6" s="603" t="s">
        <v>307</v>
      </c>
      <c r="B6" s="604"/>
      <c r="C6" s="604"/>
      <c r="D6" s="604"/>
      <c r="E6" s="604"/>
      <c r="F6" s="604"/>
      <c r="G6" s="604"/>
      <c r="H6" s="605"/>
    </row>
    <row r="7" spans="1:8" s="512" customFormat="1" ht="45" customHeight="1" x14ac:dyDescent="0.2">
      <c r="A7" s="300" t="s">
        <v>408</v>
      </c>
      <c r="B7" s="193"/>
      <c r="C7" s="301">
        <f>D7+E7+F7+G7</f>
        <v>3360</v>
      </c>
      <c r="D7" s="302">
        <v>1680</v>
      </c>
      <c r="E7" s="302">
        <v>1680</v>
      </c>
      <c r="F7" s="302">
        <v>0</v>
      </c>
      <c r="G7" s="302">
        <v>0</v>
      </c>
      <c r="H7" s="555" t="s">
        <v>552</v>
      </c>
    </row>
    <row r="8" spans="1:8" s="512" customFormat="1" ht="57.75" customHeight="1" thickBot="1" x14ac:dyDescent="0.25">
      <c r="A8" s="300" t="s">
        <v>476</v>
      </c>
      <c r="B8" s="193"/>
      <c r="C8" s="301">
        <f>D8+E8+F8</f>
        <v>2400</v>
      </c>
      <c r="D8" s="302">
        <v>800</v>
      </c>
      <c r="E8" s="302">
        <v>800</v>
      </c>
      <c r="F8" s="302">
        <v>800</v>
      </c>
      <c r="G8" s="302" t="s">
        <v>7</v>
      </c>
      <c r="H8" s="555" t="s">
        <v>590</v>
      </c>
    </row>
    <row r="9" spans="1:8" s="299" customFormat="1" ht="26.25" customHeight="1" thickBot="1" x14ac:dyDescent="0.25">
      <c r="A9" s="304" t="s">
        <v>310</v>
      </c>
      <c r="B9" s="305"/>
      <c r="C9" s="306">
        <f>SUM(C7:C8)</f>
        <v>5760</v>
      </c>
      <c r="D9" s="306">
        <f>SUM(D7:D8)</f>
        <v>2480</v>
      </c>
      <c r="E9" s="306">
        <f>SUM(E7:E8)</f>
        <v>2480</v>
      </c>
      <c r="F9" s="306">
        <f>SUM(F7:F8)</f>
        <v>800</v>
      </c>
      <c r="G9" s="306">
        <f>SUM(G7:G8)</f>
        <v>0</v>
      </c>
      <c r="H9" s="307"/>
    </row>
    <row r="10" spans="1:8" s="299" customFormat="1" ht="18" customHeight="1" x14ac:dyDescent="0.2">
      <c r="A10" s="603" t="s">
        <v>165</v>
      </c>
      <c r="B10" s="604"/>
      <c r="C10" s="604"/>
      <c r="D10" s="604"/>
      <c r="E10" s="604"/>
      <c r="F10" s="604"/>
      <c r="G10" s="604"/>
      <c r="H10" s="605"/>
    </row>
    <row r="11" spans="1:8" s="512" customFormat="1" ht="34.5" customHeight="1" x14ac:dyDescent="0.2">
      <c r="A11" s="513" t="s">
        <v>410</v>
      </c>
      <c r="B11" s="193"/>
      <c r="C11" s="348">
        <f>D11+E11+F11+G11</f>
        <v>93750</v>
      </c>
      <c r="D11" s="308">
        <v>37500</v>
      </c>
      <c r="E11" s="308">
        <v>37500</v>
      </c>
      <c r="F11" s="308">
        <v>18750</v>
      </c>
      <c r="G11" s="308">
        <v>0</v>
      </c>
      <c r="H11" s="555" t="s">
        <v>411</v>
      </c>
    </row>
    <row r="12" spans="1:8" s="512" customFormat="1" ht="66" customHeight="1" x14ac:dyDescent="0.2">
      <c r="A12" s="300" t="s">
        <v>409</v>
      </c>
      <c r="B12" s="193"/>
      <c r="C12" s="301">
        <f t="shared" ref="C12" si="0">D12+E12+F12+G12</f>
        <v>4900</v>
      </c>
      <c r="D12" s="302">
        <v>700</v>
      </c>
      <c r="E12" s="302">
        <v>700</v>
      </c>
      <c r="F12" s="302">
        <v>700</v>
      </c>
      <c r="G12" s="302">
        <f>700+700+700+700</f>
        <v>2800</v>
      </c>
      <c r="H12" s="555" t="s">
        <v>601</v>
      </c>
    </row>
    <row r="13" spans="1:8" s="512" customFormat="1" ht="34.5" customHeight="1" x14ac:dyDescent="0.2">
      <c r="A13" s="514" t="s">
        <v>412</v>
      </c>
      <c r="B13" s="193"/>
      <c r="C13" s="348">
        <f>D13+E13+F13</f>
        <v>1500</v>
      </c>
      <c r="D13" s="515">
        <v>500</v>
      </c>
      <c r="E13" s="515">
        <v>500</v>
      </c>
      <c r="F13" s="515">
        <v>500</v>
      </c>
      <c r="G13" s="308" t="s">
        <v>7</v>
      </c>
      <c r="H13" s="562" t="s">
        <v>553</v>
      </c>
    </row>
    <row r="14" spans="1:8" s="512" customFormat="1" ht="45" customHeight="1" x14ac:dyDescent="0.2">
      <c r="A14" s="514" t="s">
        <v>413</v>
      </c>
      <c r="B14" s="193"/>
      <c r="C14" s="348">
        <f t="shared" ref="C14:C16" si="1">D14+E14+F14+G14</f>
        <v>1715000</v>
      </c>
      <c r="D14" s="515">
        <v>245000</v>
      </c>
      <c r="E14" s="515">
        <v>245000</v>
      </c>
      <c r="F14" s="515">
        <v>245000</v>
      </c>
      <c r="G14" s="308">
        <v>980000</v>
      </c>
      <c r="H14" s="562" t="s">
        <v>554</v>
      </c>
    </row>
    <row r="15" spans="1:8" s="512" customFormat="1" ht="45" customHeight="1" x14ac:dyDescent="0.2">
      <c r="A15" s="514" t="s">
        <v>414</v>
      </c>
      <c r="B15" s="193"/>
      <c r="C15" s="348">
        <f t="shared" si="1"/>
        <v>91000</v>
      </c>
      <c r="D15" s="515">
        <v>20000</v>
      </c>
      <c r="E15" s="515">
        <v>19000</v>
      </c>
      <c r="F15" s="515">
        <v>16000</v>
      </c>
      <c r="G15" s="308">
        <v>36000</v>
      </c>
      <c r="H15" s="562" t="s">
        <v>554</v>
      </c>
    </row>
    <row r="16" spans="1:8" s="512" customFormat="1" ht="45" customHeight="1" x14ac:dyDescent="0.2">
      <c r="A16" s="514" t="s">
        <v>415</v>
      </c>
      <c r="B16" s="193"/>
      <c r="C16" s="348">
        <f t="shared" si="1"/>
        <v>2152650.8509999998</v>
      </c>
      <c r="D16" s="515">
        <v>690706</v>
      </c>
      <c r="E16" s="515">
        <v>1461944.851</v>
      </c>
      <c r="F16" s="515">
        <v>0</v>
      </c>
      <c r="G16" s="308">
        <v>0</v>
      </c>
      <c r="H16" s="562" t="s">
        <v>416</v>
      </c>
    </row>
    <row r="17" spans="1:8" s="512" customFormat="1" ht="45" customHeight="1" x14ac:dyDescent="0.2">
      <c r="A17" s="514" t="s">
        <v>417</v>
      </c>
      <c r="B17" s="193"/>
      <c r="C17" s="348">
        <f>D17+E17+F17+G17</f>
        <v>36000</v>
      </c>
      <c r="D17" s="515">
        <v>20000</v>
      </c>
      <c r="E17" s="515">
        <v>16000</v>
      </c>
      <c r="F17" s="515">
        <v>0</v>
      </c>
      <c r="G17" s="308">
        <v>0</v>
      </c>
      <c r="H17" s="562" t="s">
        <v>416</v>
      </c>
    </row>
    <row r="18" spans="1:8" s="512" customFormat="1" ht="34.5" customHeight="1" thickBot="1" x14ac:dyDescent="0.25">
      <c r="A18" s="326" t="s">
        <v>418</v>
      </c>
      <c r="B18" s="313"/>
      <c r="C18" s="348">
        <f>D18+E18+F18+G18</f>
        <v>150</v>
      </c>
      <c r="D18" s="308">
        <v>150</v>
      </c>
      <c r="E18" s="308">
        <v>0</v>
      </c>
      <c r="F18" s="308">
        <v>0</v>
      </c>
      <c r="G18" s="308">
        <v>0</v>
      </c>
      <c r="H18" s="555" t="s">
        <v>419</v>
      </c>
    </row>
    <row r="19" spans="1:8" s="299" customFormat="1" ht="15.75" customHeight="1" thickBot="1" x14ac:dyDescent="0.25">
      <c r="A19" s="315" t="s">
        <v>171</v>
      </c>
      <c r="B19" s="305"/>
      <c r="C19" s="332">
        <f>SUM(C11:C18)</f>
        <v>4094950.8509999998</v>
      </c>
      <c r="D19" s="332">
        <f>SUM(D11:D18)</f>
        <v>1014556</v>
      </c>
      <c r="E19" s="332">
        <f>SUM(E11:E18)</f>
        <v>1780644.851</v>
      </c>
      <c r="F19" s="332">
        <f>SUM(F11:F18)</f>
        <v>280950</v>
      </c>
      <c r="G19" s="332">
        <f>SUM(G11:G18)</f>
        <v>1018800</v>
      </c>
      <c r="H19" s="325"/>
    </row>
    <row r="20" spans="1:8" s="299" customFormat="1" ht="18" customHeight="1" x14ac:dyDescent="0.2">
      <c r="A20" s="606" t="s">
        <v>313</v>
      </c>
      <c r="B20" s="607"/>
      <c r="C20" s="607"/>
      <c r="D20" s="607"/>
      <c r="E20" s="607"/>
      <c r="F20" s="607"/>
      <c r="G20" s="607"/>
      <c r="H20" s="608"/>
    </row>
    <row r="21" spans="1:8" s="512" customFormat="1" ht="34.5" customHeight="1" x14ac:dyDescent="0.2">
      <c r="A21" s="300" t="s">
        <v>420</v>
      </c>
      <c r="B21" s="193"/>
      <c r="C21" s="349">
        <f>D21+E21+F21+G21</f>
        <v>790593</v>
      </c>
      <c r="D21" s="308">
        <v>790593</v>
      </c>
      <c r="E21" s="308">
        <v>0</v>
      </c>
      <c r="F21" s="308">
        <v>0</v>
      </c>
      <c r="G21" s="317">
        <v>0</v>
      </c>
      <c r="H21" s="563" t="s">
        <v>421</v>
      </c>
    </row>
    <row r="22" spans="1:8" s="512" customFormat="1" ht="57.75" customHeight="1" x14ac:dyDescent="0.2">
      <c r="A22" s="514" t="s">
        <v>422</v>
      </c>
      <c r="B22" s="193"/>
      <c r="C22" s="349">
        <f t="shared" ref="C22:C42" si="2">D22+E22+F22+G22</f>
        <v>1038009</v>
      </c>
      <c r="D22" s="515">
        <v>0</v>
      </c>
      <c r="E22" s="515">
        <v>17300</v>
      </c>
      <c r="F22" s="516">
        <v>207602</v>
      </c>
      <c r="G22" s="516">
        <v>813107</v>
      </c>
      <c r="H22" s="562" t="s">
        <v>423</v>
      </c>
    </row>
    <row r="23" spans="1:8" s="512" customFormat="1" ht="45" customHeight="1" x14ac:dyDescent="0.2">
      <c r="A23" s="514" t="s">
        <v>424</v>
      </c>
      <c r="B23" s="193"/>
      <c r="C23" s="349">
        <f t="shared" si="2"/>
        <v>224029</v>
      </c>
      <c r="D23" s="515">
        <v>0</v>
      </c>
      <c r="E23" s="515">
        <v>267</v>
      </c>
      <c r="F23" s="517">
        <v>32004</v>
      </c>
      <c r="G23" s="516">
        <v>191758</v>
      </c>
      <c r="H23" s="562" t="s">
        <v>425</v>
      </c>
    </row>
    <row r="24" spans="1:8" s="512" customFormat="1" ht="67.5" customHeight="1" x14ac:dyDescent="0.2">
      <c r="A24" s="514" t="s">
        <v>426</v>
      </c>
      <c r="B24" s="193"/>
      <c r="C24" s="349">
        <f t="shared" si="2"/>
        <v>449127</v>
      </c>
      <c r="D24" s="518">
        <v>9357</v>
      </c>
      <c r="E24" s="518">
        <v>112282</v>
      </c>
      <c r="F24" s="519">
        <v>112282</v>
      </c>
      <c r="G24" s="516">
        <f>112282+102923+1</f>
        <v>215206</v>
      </c>
      <c r="H24" s="562" t="s">
        <v>555</v>
      </c>
    </row>
    <row r="25" spans="1:8" s="512" customFormat="1" ht="24" customHeight="1" x14ac:dyDescent="0.2">
      <c r="A25" s="514" t="s">
        <v>427</v>
      </c>
      <c r="B25" s="193"/>
      <c r="C25" s="349">
        <f t="shared" si="2"/>
        <v>8200</v>
      </c>
      <c r="D25" s="515">
        <v>8200</v>
      </c>
      <c r="E25" s="515">
        <v>0</v>
      </c>
      <c r="F25" s="517">
        <v>0</v>
      </c>
      <c r="G25" s="515">
        <v>0</v>
      </c>
      <c r="H25" s="564" t="s">
        <v>428</v>
      </c>
    </row>
    <row r="26" spans="1:8" s="512" customFormat="1" ht="34.5" customHeight="1" x14ac:dyDescent="0.2">
      <c r="A26" s="300" t="s">
        <v>429</v>
      </c>
      <c r="B26" s="193"/>
      <c r="C26" s="349">
        <f t="shared" si="2"/>
        <v>34512</v>
      </c>
      <c r="D26" s="515">
        <v>17258</v>
      </c>
      <c r="E26" s="515">
        <v>17254</v>
      </c>
      <c r="F26" s="517">
        <v>0</v>
      </c>
      <c r="G26" s="515">
        <v>0</v>
      </c>
      <c r="H26" s="563" t="s">
        <v>430</v>
      </c>
    </row>
    <row r="27" spans="1:8" s="299" customFormat="1" ht="45" customHeight="1" x14ac:dyDescent="0.2">
      <c r="A27" s="300" t="s">
        <v>556</v>
      </c>
      <c r="B27" s="193"/>
      <c r="C27" s="349">
        <f t="shared" si="2"/>
        <v>354000</v>
      </c>
      <c r="D27" s="520">
        <v>118000</v>
      </c>
      <c r="E27" s="520">
        <v>118000</v>
      </c>
      <c r="F27" s="516">
        <v>118000</v>
      </c>
      <c r="G27" s="515">
        <v>0</v>
      </c>
      <c r="H27" s="563" t="s">
        <v>557</v>
      </c>
    </row>
    <row r="28" spans="1:8" s="512" customFormat="1" ht="67.5" customHeight="1" x14ac:dyDescent="0.2">
      <c r="A28" s="300" t="s">
        <v>433</v>
      </c>
      <c r="B28" s="193"/>
      <c r="C28" s="349">
        <f>D28+E28+F28+G28</f>
        <v>50400</v>
      </c>
      <c r="D28" s="515">
        <v>5600</v>
      </c>
      <c r="E28" s="515">
        <v>5600</v>
      </c>
      <c r="F28" s="515">
        <v>5600</v>
      </c>
      <c r="G28" s="515">
        <v>33600</v>
      </c>
      <c r="H28" s="563" t="s">
        <v>558</v>
      </c>
    </row>
    <row r="29" spans="1:8" s="512" customFormat="1" ht="34.5" customHeight="1" x14ac:dyDescent="0.2">
      <c r="A29" s="514" t="s">
        <v>431</v>
      </c>
      <c r="B29" s="193"/>
      <c r="C29" s="349">
        <f t="shared" si="2"/>
        <v>384990</v>
      </c>
      <c r="D29" s="520">
        <v>54999</v>
      </c>
      <c r="E29" s="520">
        <v>54999</v>
      </c>
      <c r="F29" s="520">
        <v>54999</v>
      </c>
      <c r="G29" s="515">
        <v>219993</v>
      </c>
      <c r="H29" s="564" t="s">
        <v>559</v>
      </c>
    </row>
    <row r="30" spans="1:8" s="512" customFormat="1" ht="34.5" customHeight="1" x14ac:dyDescent="0.2">
      <c r="A30" s="514" t="s">
        <v>432</v>
      </c>
      <c r="B30" s="193"/>
      <c r="C30" s="349">
        <f t="shared" si="2"/>
        <v>637678</v>
      </c>
      <c r="D30" s="515">
        <v>79710</v>
      </c>
      <c r="E30" s="515">
        <v>79710</v>
      </c>
      <c r="F30" s="515">
        <v>79710</v>
      </c>
      <c r="G30" s="515">
        <v>398548</v>
      </c>
      <c r="H30" s="564" t="s">
        <v>560</v>
      </c>
    </row>
    <row r="31" spans="1:8" s="512" customFormat="1" ht="34.5" customHeight="1" x14ac:dyDescent="0.2">
      <c r="A31" s="514" t="s">
        <v>434</v>
      </c>
      <c r="B31" s="193"/>
      <c r="C31" s="349">
        <f t="shared" si="2"/>
        <v>552099</v>
      </c>
      <c r="D31" s="515">
        <v>58116</v>
      </c>
      <c r="E31" s="515">
        <v>58116</v>
      </c>
      <c r="F31" s="515">
        <v>58116</v>
      </c>
      <c r="G31" s="516">
        <v>377751</v>
      </c>
      <c r="H31" s="562" t="s">
        <v>561</v>
      </c>
    </row>
    <row r="32" spans="1:8" s="512" customFormat="1" ht="34.5" customHeight="1" x14ac:dyDescent="0.2">
      <c r="A32" s="514" t="s">
        <v>435</v>
      </c>
      <c r="B32" s="193"/>
      <c r="C32" s="349">
        <f t="shared" si="2"/>
        <v>755063</v>
      </c>
      <c r="D32" s="515">
        <v>79480</v>
      </c>
      <c r="E32" s="515">
        <v>79480</v>
      </c>
      <c r="F32" s="515">
        <v>79480</v>
      </c>
      <c r="G32" s="516">
        <v>516623</v>
      </c>
      <c r="H32" s="562" t="s">
        <v>562</v>
      </c>
    </row>
    <row r="33" spans="1:8" s="512" customFormat="1" ht="110.25" customHeight="1" x14ac:dyDescent="0.2">
      <c r="A33" s="514" t="s">
        <v>436</v>
      </c>
      <c r="B33" s="193"/>
      <c r="C33" s="349">
        <f t="shared" si="2"/>
        <v>412490</v>
      </c>
      <c r="D33" s="515">
        <v>41249</v>
      </c>
      <c r="E33" s="515">
        <v>41249</v>
      </c>
      <c r="F33" s="515">
        <v>41249</v>
      </c>
      <c r="G33" s="515">
        <f>412490-D33-E33-F33</f>
        <v>288743</v>
      </c>
      <c r="H33" s="562" t="s">
        <v>563</v>
      </c>
    </row>
    <row r="34" spans="1:8" s="512" customFormat="1" ht="110.25" customHeight="1" x14ac:dyDescent="0.2">
      <c r="A34" s="514" t="s">
        <v>437</v>
      </c>
      <c r="B34" s="193"/>
      <c r="C34" s="349">
        <f t="shared" si="2"/>
        <v>1945866</v>
      </c>
      <c r="D34" s="515">
        <v>194587</v>
      </c>
      <c r="E34" s="515">
        <v>194587</v>
      </c>
      <c r="F34" s="515">
        <v>194587</v>
      </c>
      <c r="G34" s="515">
        <f>1945866-F34-E34-D34</f>
        <v>1362105</v>
      </c>
      <c r="H34" s="562" t="s">
        <v>563</v>
      </c>
    </row>
    <row r="35" spans="1:8" s="512" customFormat="1" ht="110.25" customHeight="1" x14ac:dyDescent="0.2">
      <c r="A35" s="514" t="s">
        <v>438</v>
      </c>
      <c r="B35" s="193"/>
      <c r="C35" s="349">
        <f t="shared" si="2"/>
        <v>1543256</v>
      </c>
      <c r="D35" s="515">
        <v>154326</v>
      </c>
      <c r="E35" s="515">
        <v>154326</v>
      </c>
      <c r="F35" s="515">
        <v>154326</v>
      </c>
      <c r="G35" s="515">
        <f>1543256-D35-E35-F35</f>
        <v>1080278</v>
      </c>
      <c r="H35" s="562" t="s">
        <v>563</v>
      </c>
    </row>
    <row r="36" spans="1:8" s="512" customFormat="1" ht="110.25" customHeight="1" x14ac:dyDescent="0.2">
      <c r="A36" s="514" t="s">
        <v>439</v>
      </c>
      <c r="B36" s="193"/>
      <c r="C36" s="349">
        <f>D36+E36+F36+G36</f>
        <v>1215734</v>
      </c>
      <c r="D36" s="515">
        <v>121573</v>
      </c>
      <c r="E36" s="515">
        <v>121573</v>
      </c>
      <c r="F36" s="515">
        <v>121573</v>
      </c>
      <c r="G36" s="515">
        <f>1215734-D36-E36-F36</f>
        <v>851015</v>
      </c>
      <c r="H36" s="565" t="s">
        <v>564</v>
      </c>
    </row>
    <row r="37" spans="1:8" s="512" customFormat="1" ht="110.25" customHeight="1" x14ac:dyDescent="0.2">
      <c r="A37" s="514" t="s">
        <v>440</v>
      </c>
      <c r="B37" s="193"/>
      <c r="C37" s="349">
        <f t="shared" si="2"/>
        <v>1185600</v>
      </c>
      <c r="D37" s="515">
        <v>118560</v>
      </c>
      <c r="E37" s="515">
        <v>118560</v>
      </c>
      <c r="F37" s="515">
        <v>118560</v>
      </c>
      <c r="G37" s="515">
        <f>1185600-D37-E37-F37</f>
        <v>829920</v>
      </c>
      <c r="H37" s="565" t="s">
        <v>564</v>
      </c>
    </row>
    <row r="38" spans="1:8" s="512" customFormat="1" ht="110.25" customHeight="1" x14ac:dyDescent="0.2">
      <c r="A38" s="514" t="s">
        <v>441</v>
      </c>
      <c r="B38" s="193"/>
      <c r="C38" s="349">
        <f t="shared" si="2"/>
        <v>568100</v>
      </c>
      <c r="D38" s="515">
        <v>56810</v>
      </c>
      <c r="E38" s="515">
        <v>56810</v>
      </c>
      <c r="F38" s="515">
        <v>56810</v>
      </c>
      <c r="G38" s="515">
        <f>568100-D38-E38-F38</f>
        <v>397670</v>
      </c>
      <c r="H38" s="565" t="s">
        <v>565</v>
      </c>
    </row>
    <row r="39" spans="1:8" s="512" customFormat="1" ht="110.25" customHeight="1" x14ac:dyDescent="0.2">
      <c r="A39" s="514" t="s">
        <v>442</v>
      </c>
      <c r="B39" s="193"/>
      <c r="C39" s="349">
        <f t="shared" si="2"/>
        <v>1729000</v>
      </c>
      <c r="D39" s="515">
        <v>172900</v>
      </c>
      <c r="E39" s="515">
        <v>172900</v>
      </c>
      <c r="F39" s="515">
        <v>172900</v>
      </c>
      <c r="G39" s="515">
        <f>1729000-D39-E39-F39</f>
        <v>1210300</v>
      </c>
      <c r="H39" s="565" t="s">
        <v>564</v>
      </c>
    </row>
    <row r="40" spans="1:8" s="512" customFormat="1" ht="110.25" customHeight="1" x14ac:dyDescent="0.2">
      <c r="A40" s="514" t="s">
        <v>443</v>
      </c>
      <c r="B40" s="193"/>
      <c r="C40" s="349">
        <f t="shared" si="2"/>
        <v>716300</v>
      </c>
      <c r="D40" s="515">
        <v>71630</v>
      </c>
      <c r="E40" s="515">
        <v>71630</v>
      </c>
      <c r="F40" s="515">
        <v>71730</v>
      </c>
      <c r="G40" s="515">
        <f>716300-D40-E40-F40</f>
        <v>501310</v>
      </c>
      <c r="H40" s="565" t="s">
        <v>565</v>
      </c>
    </row>
    <row r="41" spans="1:8" s="512" customFormat="1" ht="110.25" customHeight="1" x14ac:dyDescent="0.2">
      <c r="A41" s="514" t="s">
        <v>444</v>
      </c>
      <c r="B41" s="193"/>
      <c r="C41" s="349">
        <f t="shared" si="2"/>
        <v>731120</v>
      </c>
      <c r="D41" s="515">
        <v>73112</v>
      </c>
      <c r="E41" s="515">
        <v>73112</v>
      </c>
      <c r="F41" s="515">
        <v>73112</v>
      </c>
      <c r="G41" s="515">
        <f>731120-D41-E41-F41</f>
        <v>511784</v>
      </c>
      <c r="H41" s="565" t="s">
        <v>564</v>
      </c>
    </row>
    <row r="42" spans="1:8" s="512" customFormat="1" ht="110.25" customHeight="1" thickBot="1" x14ac:dyDescent="0.25">
      <c r="A42" s="514" t="s">
        <v>445</v>
      </c>
      <c r="B42" s="193"/>
      <c r="C42" s="349">
        <f t="shared" si="2"/>
        <v>1012700</v>
      </c>
      <c r="D42" s="515">
        <v>101270</v>
      </c>
      <c r="E42" s="515">
        <v>101270</v>
      </c>
      <c r="F42" s="515">
        <v>101270</v>
      </c>
      <c r="G42" s="515">
        <f>1012700-D42-E42-F42</f>
        <v>708890</v>
      </c>
      <c r="H42" s="565" t="s">
        <v>565</v>
      </c>
    </row>
    <row r="43" spans="1:8" s="299" customFormat="1" ht="24" customHeight="1" thickBot="1" x14ac:dyDescent="0.25">
      <c r="A43" s="315" t="s">
        <v>280</v>
      </c>
      <c r="B43" s="305"/>
      <c r="C43" s="306">
        <f>SUM(C21:C42)</f>
        <v>16338866</v>
      </c>
      <c r="D43" s="306">
        <f>SUM(D21:D42)</f>
        <v>2327330</v>
      </c>
      <c r="E43" s="306">
        <f>SUM(E21:E42)</f>
        <v>1649025</v>
      </c>
      <c r="F43" s="306">
        <f>SUM(F21:F42)</f>
        <v>1853910</v>
      </c>
      <c r="G43" s="306">
        <f>SUM(G21:G42)</f>
        <v>10508601</v>
      </c>
      <c r="H43" s="307"/>
    </row>
    <row r="44" spans="1:8" s="299" customFormat="1" ht="18" customHeight="1" x14ac:dyDescent="0.2">
      <c r="A44" s="603" t="s">
        <v>477</v>
      </c>
      <c r="B44" s="604"/>
      <c r="C44" s="604"/>
      <c r="D44" s="604"/>
      <c r="E44" s="604"/>
      <c r="F44" s="604"/>
      <c r="G44" s="604"/>
      <c r="H44" s="605"/>
    </row>
    <row r="45" spans="1:8" s="512" customFormat="1" ht="76.5" customHeight="1" thickBot="1" x14ac:dyDescent="0.25">
      <c r="A45" s="513" t="s">
        <v>478</v>
      </c>
      <c r="B45" s="569">
        <v>1116</v>
      </c>
      <c r="C45" s="570">
        <f>D45+E45+F45</f>
        <v>2700</v>
      </c>
      <c r="D45" s="570">
        <v>900</v>
      </c>
      <c r="E45" s="570">
        <v>900</v>
      </c>
      <c r="F45" s="570">
        <v>900</v>
      </c>
      <c r="G45" s="571" t="s">
        <v>7</v>
      </c>
      <c r="H45" s="557" t="s">
        <v>479</v>
      </c>
    </row>
    <row r="46" spans="1:8" s="299" customFormat="1" ht="24" customHeight="1" thickBot="1" x14ac:dyDescent="0.25">
      <c r="A46" s="315" t="s">
        <v>480</v>
      </c>
      <c r="B46" s="305"/>
      <c r="C46" s="332">
        <f>SUM(C45)</f>
        <v>2700</v>
      </c>
      <c r="D46" s="332">
        <f>SUM(D45)</f>
        <v>900</v>
      </c>
      <c r="E46" s="332">
        <f>SUM(E45)</f>
        <v>900</v>
      </c>
      <c r="F46" s="332">
        <f>SUM(F45)</f>
        <v>900</v>
      </c>
      <c r="G46" s="332">
        <f>SUM(G45)</f>
        <v>0</v>
      </c>
      <c r="H46" s="307"/>
    </row>
    <row r="47" spans="1:8" s="299" customFormat="1" ht="18" customHeight="1" x14ac:dyDescent="0.2">
      <c r="A47" s="603" t="s">
        <v>200</v>
      </c>
      <c r="B47" s="604"/>
      <c r="C47" s="604"/>
      <c r="D47" s="604"/>
      <c r="E47" s="604"/>
      <c r="F47" s="604"/>
      <c r="G47" s="604"/>
      <c r="H47" s="605"/>
    </row>
    <row r="48" spans="1:8" s="512" customFormat="1" ht="52.5" x14ac:dyDescent="0.2">
      <c r="A48" s="514" t="s">
        <v>481</v>
      </c>
      <c r="B48" s="353">
        <v>1116</v>
      </c>
      <c r="C48" s="348">
        <f>D48+E48+F48</f>
        <v>15000</v>
      </c>
      <c r="D48" s="348">
        <v>5000</v>
      </c>
      <c r="E48" s="348">
        <v>5000</v>
      </c>
      <c r="F48" s="348">
        <v>5000</v>
      </c>
      <c r="G48" s="302" t="s">
        <v>7</v>
      </c>
      <c r="H48" s="555" t="s">
        <v>482</v>
      </c>
    </row>
    <row r="49" spans="1:8" s="512" customFormat="1" ht="53.25" thickBot="1" x14ac:dyDescent="0.25">
      <c r="A49" s="513" t="s">
        <v>483</v>
      </c>
      <c r="B49" s="569"/>
      <c r="C49" s="570">
        <f>D49+E49+F49</f>
        <v>297</v>
      </c>
      <c r="D49" s="570">
        <v>99</v>
      </c>
      <c r="E49" s="570">
        <v>99</v>
      </c>
      <c r="F49" s="570">
        <v>99</v>
      </c>
      <c r="G49" s="571" t="s">
        <v>7</v>
      </c>
      <c r="H49" s="557" t="s">
        <v>566</v>
      </c>
    </row>
    <row r="50" spans="1:8" s="299" customFormat="1" ht="15.75" customHeight="1" thickBot="1" x14ac:dyDescent="0.25">
      <c r="A50" s="315" t="s">
        <v>202</v>
      </c>
      <c r="B50" s="305"/>
      <c r="C50" s="332">
        <f>SUM(C48:C49)</f>
        <v>15297</v>
      </c>
      <c r="D50" s="332">
        <f t="shared" ref="D50:G50" si="3">SUM(D48:D49)</f>
        <v>5099</v>
      </c>
      <c r="E50" s="332">
        <f t="shared" si="3"/>
        <v>5099</v>
      </c>
      <c r="F50" s="332">
        <f t="shared" si="3"/>
        <v>5099</v>
      </c>
      <c r="G50" s="332">
        <f t="shared" si="3"/>
        <v>0</v>
      </c>
      <c r="H50" s="307"/>
    </row>
    <row r="51" spans="1:8" s="299" customFormat="1" ht="18" customHeight="1" x14ac:dyDescent="0.2">
      <c r="A51" s="333" t="s">
        <v>194</v>
      </c>
      <c r="B51" s="334"/>
      <c r="C51" s="334"/>
      <c r="D51" s="334"/>
      <c r="E51" s="334"/>
      <c r="F51" s="334"/>
      <c r="G51" s="334"/>
      <c r="H51" s="335"/>
    </row>
    <row r="52" spans="1:8" s="512" customFormat="1" ht="42" x14ac:dyDescent="0.2">
      <c r="A52" s="326" t="s">
        <v>484</v>
      </c>
      <c r="B52" s="328">
        <v>1124</v>
      </c>
      <c r="C52" s="301">
        <f>D52+E52+F52</f>
        <v>6000</v>
      </c>
      <c r="D52" s="308">
        <v>2000</v>
      </c>
      <c r="E52" s="308">
        <v>2000</v>
      </c>
      <c r="F52" s="308">
        <v>2000</v>
      </c>
      <c r="G52" s="308">
        <v>0</v>
      </c>
      <c r="H52" s="555" t="s">
        <v>567</v>
      </c>
    </row>
    <row r="53" spans="1:8" s="512" customFormat="1" ht="66.75" customHeight="1" x14ac:dyDescent="0.2">
      <c r="A53" s="326" t="s">
        <v>485</v>
      </c>
      <c r="B53" s="328">
        <v>1128</v>
      </c>
      <c r="C53" s="301">
        <f>D53+E53+F53</f>
        <v>420</v>
      </c>
      <c r="D53" s="308">
        <v>140</v>
      </c>
      <c r="E53" s="308">
        <v>140</v>
      </c>
      <c r="F53" s="308">
        <v>140</v>
      </c>
      <c r="G53" s="308" t="s">
        <v>7</v>
      </c>
      <c r="H53" s="555" t="s">
        <v>568</v>
      </c>
    </row>
    <row r="54" spans="1:8" s="512" customFormat="1" ht="42" x14ac:dyDescent="0.2">
      <c r="A54" s="326" t="s">
        <v>486</v>
      </c>
      <c r="B54" s="328"/>
      <c r="C54" s="301">
        <f>D54+E54+F54</f>
        <v>24</v>
      </c>
      <c r="D54" s="308">
        <v>8</v>
      </c>
      <c r="E54" s="308">
        <v>8</v>
      </c>
      <c r="F54" s="308">
        <v>8</v>
      </c>
      <c r="G54" s="308">
        <v>8</v>
      </c>
      <c r="H54" s="555" t="s">
        <v>487</v>
      </c>
    </row>
    <row r="55" spans="1:8" s="512" customFormat="1" ht="24.75" customHeight="1" thickBot="1" x14ac:dyDescent="0.25">
      <c r="A55" s="326" t="s">
        <v>446</v>
      </c>
      <c r="B55" s="328"/>
      <c r="C55" s="301">
        <f t="shared" ref="C55" si="4">D55+E55+F55+G55</f>
        <v>800</v>
      </c>
      <c r="D55" s="308">
        <v>200</v>
      </c>
      <c r="E55" s="308">
        <v>200</v>
      </c>
      <c r="F55" s="308">
        <v>400</v>
      </c>
      <c r="G55" s="308">
        <v>0</v>
      </c>
      <c r="H55" s="555" t="s">
        <v>447</v>
      </c>
    </row>
    <row r="56" spans="1:8" s="299" customFormat="1" ht="15.75" customHeight="1" thickBot="1" x14ac:dyDescent="0.25">
      <c r="A56" s="304" t="s">
        <v>199</v>
      </c>
      <c r="B56" s="306"/>
      <c r="C56" s="306">
        <f>SUM(C52:C55)</f>
        <v>7244</v>
      </c>
      <c r="D56" s="306">
        <f t="shared" ref="D56:G56" si="5">SUM(D52:D55)</f>
        <v>2348</v>
      </c>
      <c r="E56" s="306">
        <f t="shared" si="5"/>
        <v>2348</v>
      </c>
      <c r="F56" s="306">
        <f t="shared" si="5"/>
        <v>2548</v>
      </c>
      <c r="G56" s="306">
        <f t="shared" si="5"/>
        <v>8</v>
      </c>
      <c r="H56" s="307"/>
    </row>
    <row r="57" spans="1:8" s="299" customFormat="1" ht="18" customHeight="1" x14ac:dyDescent="0.2">
      <c r="A57" s="336" t="s">
        <v>203</v>
      </c>
      <c r="B57" s="337"/>
      <c r="C57" s="337"/>
      <c r="D57" s="337"/>
      <c r="E57" s="337"/>
      <c r="F57" s="337"/>
      <c r="G57" s="337"/>
      <c r="H57" s="338"/>
    </row>
    <row r="58" spans="1:8" s="512" customFormat="1" ht="24.75" customHeight="1" thickBot="1" x14ac:dyDescent="0.25">
      <c r="A58" s="326" t="s">
        <v>448</v>
      </c>
      <c r="B58" s="193"/>
      <c r="C58" s="316">
        <f>D58+E58+F58+G58</f>
        <v>1440</v>
      </c>
      <c r="D58" s="308">
        <v>720</v>
      </c>
      <c r="E58" s="308">
        <v>720</v>
      </c>
      <c r="F58" s="308">
        <v>0</v>
      </c>
      <c r="G58" s="308">
        <v>0</v>
      </c>
      <c r="H58" s="555" t="s">
        <v>449</v>
      </c>
    </row>
    <row r="59" spans="1:8" s="299" customFormat="1" ht="15.75" customHeight="1" thickBot="1" x14ac:dyDescent="0.25">
      <c r="A59" s="315" t="s">
        <v>216</v>
      </c>
      <c r="B59" s="306"/>
      <c r="C59" s="306">
        <f>SUM(C58:C58)</f>
        <v>1440</v>
      </c>
      <c r="D59" s="306">
        <f>SUM(D58:D58)</f>
        <v>720</v>
      </c>
      <c r="E59" s="306">
        <f>SUM(E58:E58)</f>
        <v>720</v>
      </c>
      <c r="F59" s="306">
        <f>SUM(F58:F58)</f>
        <v>0</v>
      </c>
      <c r="G59" s="306">
        <f>SUM(G58:G58)</f>
        <v>0</v>
      </c>
      <c r="H59" s="307"/>
    </row>
    <row r="60" spans="1:8" s="299" customFormat="1" ht="18" customHeight="1" x14ac:dyDescent="0.2">
      <c r="A60" s="336" t="s">
        <v>217</v>
      </c>
      <c r="B60" s="337"/>
      <c r="C60" s="337"/>
      <c r="D60" s="337"/>
      <c r="E60" s="337"/>
      <c r="F60" s="337"/>
      <c r="G60" s="337"/>
      <c r="H60" s="338"/>
    </row>
    <row r="61" spans="1:8" s="512" customFormat="1" ht="45.75" customHeight="1" thickBot="1" x14ac:dyDescent="0.25">
      <c r="A61" s="514" t="s">
        <v>450</v>
      </c>
      <c r="B61" s="327"/>
      <c r="C61" s="316">
        <f t="shared" ref="C61" si="6">D61+E61+F61+G61</f>
        <v>70000</v>
      </c>
      <c r="D61" s="515">
        <v>35000</v>
      </c>
      <c r="E61" s="515">
        <v>35000</v>
      </c>
      <c r="F61" s="308">
        <v>0</v>
      </c>
      <c r="G61" s="308">
        <v>0</v>
      </c>
      <c r="H61" s="566" t="s">
        <v>451</v>
      </c>
    </row>
    <row r="62" spans="1:8" s="299" customFormat="1" ht="15.75" customHeight="1" thickBot="1" x14ac:dyDescent="0.25">
      <c r="A62" s="315" t="s">
        <v>231</v>
      </c>
      <c r="B62" s="306"/>
      <c r="C62" s="306">
        <f>SUM(C61:C61)</f>
        <v>70000</v>
      </c>
      <c r="D62" s="306">
        <f>SUM(D61:D61)</f>
        <v>35000</v>
      </c>
      <c r="E62" s="306">
        <f>SUM(E61:E61)</f>
        <v>35000</v>
      </c>
      <c r="F62" s="306">
        <f>SUM(F61:F61)</f>
        <v>0</v>
      </c>
      <c r="G62" s="306">
        <f>SUM(G61:G61)</f>
        <v>0</v>
      </c>
      <c r="H62" s="307"/>
    </row>
    <row r="63" spans="1:8" s="299" customFormat="1" ht="18" customHeight="1" x14ac:dyDescent="0.2">
      <c r="A63" s="336" t="s">
        <v>232</v>
      </c>
      <c r="B63" s="337"/>
      <c r="C63" s="337"/>
      <c r="D63" s="337"/>
      <c r="E63" s="337"/>
      <c r="F63" s="337"/>
      <c r="G63" s="337"/>
      <c r="H63" s="350"/>
    </row>
    <row r="64" spans="1:8" s="512" customFormat="1" ht="45" customHeight="1" x14ac:dyDescent="0.2">
      <c r="A64" s="300" t="s">
        <v>452</v>
      </c>
      <c r="B64" s="193"/>
      <c r="C64" s="316">
        <f t="shared" ref="C64:C66" si="7">D64+E64+F64+G64</f>
        <v>31000</v>
      </c>
      <c r="D64" s="308">
        <v>0</v>
      </c>
      <c r="E64" s="308">
        <v>0</v>
      </c>
      <c r="F64" s="308">
        <v>0</v>
      </c>
      <c r="G64" s="351">
        <v>31000</v>
      </c>
      <c r="H64" s="559" t="s">
        <v>488</v>
      </c>
    </row>
    <row r="65" spans="1:9" s="512" customFormat="1" ht="45" customHeight="1" x14ac:dyDescent="0.2">
      <c r="A65" s="322" t="s">
        <v>453</v>
      </c>
      <c r="B65" s="319"/>
      <c r="C65" s="323">
        <f t="shared" si="7"/>
        <v>9800</v>
      </c>
      <c r="D65" s="308">
        <v>0</v>
      </c>
      <c r="E65" s="308">
        <v>0</v>
      </c>
      <c r="F65" s="308">
        <v>0</v>
      </c>
      <c r="G65" s="308">
        <v>9800</v>
      </c>
      <c r="H65" s="559" t="s">
        <v>591</v>
      </c>
    </row>
    <row r="66" spans="1:9" s="512" customFormat="1" ht="34.5" customHeight="1" thickBot="1" x14ac:dyDescent="0.25">
      <c r="A66" s="513" t="s">
        <v>454</v>
      </c>
      <c r="B66" s="319"/>
      <c r="C66" s="572">
        <f t="shared" si="7"/>
        <v>9000</v>
      </c>
      <c r="D66" s="320">
        <v>9000</v>
      </c>
      <c r="E66" s="320">
        <v>0</v>
      </c>
      <c r="F66" s="320">
        <v>0</v>
      </c>
      <c r="G66" s="320">
        <v>0</v>
      </c>
      <c r="H66" s="573" t="s">
        <v>455</v>
      </c>
    </row>
    <row r="67" spans="1:9" s="299" customFormat="1" ht="15.75" customHeight="1" thickBot="1" x14ac:dyDescent="0.25">
      <c r="A67" s="304" t="s">
        <v>237</v>
      </c>
      <c r="B67" s="305"/>
      <c r="C67" s="306">
        <f>SUM(C64:C66)</f>
        <v>49800</v>
      </c>
      <c r="D67" s="306">
        <f t="shared" ref="D67:G67" si="8">SUM(D64:D66)</f>
        <v>9000</v>
      </c>
      <c r="E67" s="306">
        <f t="shared" si="8"/>
        <v>0</v>
      </c>
      <c r="F67" s="306">
        <f t="shared" si="8"/>
        <v>0</v>
      </c>
      <c r="G67" s="306">
        <f t="shared" si="8"/>
        <v>40800</v>
      </c>
      <c r="H67" s="307"/>
      <c r="I67" s="339"/>
    </row>
    <row r="68" spans="1:9" s="299" customFormat="1" ht="18" customHeight="1" x14ac:dyDescent="0.2">
      <c r="A68" s="600" t="s">
        <v>399</v>
      </c>
      <c r="B68" s="601"/>
      <c r="C68" s="601"/>
      <c r="D68" s="601"/>
      <c r="E68" s="601"/>
      <c r="F68" s="601"/>
      <c r="G68" s="601"/>
      <c r="H68" s="602"/>
      <c r="I68" s="339"/>
    </row>
    <row r="69" spans="1:9" s="512" customFormat="1" ht="24" customHeight="1" x14ac:dyDescent="0.2">
      <c r="A69" s="300" t="s">
        <v>456</v>
      </c>
      <c r="B69" s="193"/>
      <c r="C69" s="316">
        <f t="shared" ref="C69" si="9">D69+E69+F69+G69</f>
        <v>28000</v>
      </c>
      <c r="D69" s="308">
        <v>14000</v>
      </c>
      <c r="E69" s="308">
        <v>14000</v>
      </c>
      <c r="F69" s="308">
        <v>0</v>
      </c>
      <c r="G69" s="308">
        <v>0</v>
      </c>
      <c r="H69" s="555" t="s">
        <v>457</v>
      </c>
      <c r="I69" s="521"/>
    </row>
    <row r="70" spans="1:9" s="512" customFormat="1" ht="67.5" customHeight="1" thickBot="1" x14ac:dyDescent="0.25">
      <c r="A70" s="312" t="s">
        <v>458</v>
      </c>
      <c r="B70" s="313"/>
      <c r="C70" s="316">
        <f>D70+E70+F70</f>
        <v>12000</v>
      </c>
      <c r="D70" s="314">
        <v>4000</v>
      </c>
      <c r="E70" s="314">
        <v>4000</v>
      </c>
      <c r="F70" s="314">
        <v>4000</v>
      </c>
      <c r="G70" s="314" t="s">
        <v>7</v>
      </c>
      <c r="H70" s="567" t="s">
        <v>569</v>
      </c>
      <c r="I70" s="521"/>
    </row>
    <row r="71" spans="1:9" s="299" customFormat="1" ht="15.75" customHeight="1" thickBot="1" x14ac:dyDescent="0.25">
      <c r="A71" s="315" t="s">
        <v>251</v>
      </c>
      <c r="B71" s="305"/>
      <c r="C71" s="306">
        <f>SUM(C69:C70)</f>
        <v>40000</v>
      </c>
      <c r="D71" s="306">
        <f>SUM(D69:D70)</f>
        <v>18000</v>
      </c>
      <c r="E71" s="306">
        <f>SUM(E69:E70)</f>
        <v>18000</v>
      </c>
      <c r="F71" s="306">
        <f>SUM(F69:F70)</f>
        <v>4000</v>
      </c>
      <c r="G71" s="306">
        <f>SUM(G69:G70)</f>
        <v>0</v>
      </c>
      <c r="H71" s="307"/>
    </row>
    <row r="72" spans="1:9" ht="21" customHeight="1" thickBot="1" x14ac:dyDescent="0.25">
      <c r="A72" s="576"/>
      <c r="B72" s="577"/>
      <c r="C72" s="577"/>
      <c r="D72" s="577"/>
      <c r="E72" s="577"/>
      <c r="F72" s="577"/>
      <c r="G72" s="577"/>
      <c r="H72" s="578"/>
    </row>
    <row r="73" spans="1:9" ht="16.5" customHeight="1" x14ac:dyDescent="0.2">
      <c r="A73" s="614" t="s">
        <v>267</v>
      </c>
      <c r="B73" s="616" t="s">
        <v>268</v>
      </c>
      <c r="C73" s="618" t="s">
        <v>269</v>
      </c>
      <c r="D73" s="620" t="s">
        <v>462</v>
      </c>
      <c r="E73" s="621"/>
      <c r="F73" s="622"/>
      <c r="G73" s="623"/>
      <c r="H73" s="624" t="s">
        <v>407</v>
      </c>
    </row>
    <row r="74" spans="1:9" ht="16.5" customHeight="1" thickBot="1" x14ac:dyDescent="0.25">
      <c r="A74" s="615"/>
      <c r="B74" s="639"/>
      <c r="C74" s="619"/>
      <c r="D74" s="246" t="s">
        <v>271</v>
      </c>
      <c r="E74" s="246" t="s">
        <v>272</v>
      </c>
      <c r="F74" s="246" t="s">
        <v>273</v>
      </c>
      <c r="G74" s="246" t="s">
        <v>274</v>
      </c>
      <c r="H74" s="625"/>
    </row>
    <row r="75" spans="1:9" s="299" customFormat="1" ht="15.75" customHeight="1" x14ac:dyDescent="0.2">
      <c r="A75" s="603" t="s">
        <v>570</v>
      </c>
      <c r="B75" s="604"/>
      <c r="C75" s="604"/>
      <c r="D75" s="604"/>
      <c r="E75" s="604"/>
      <c r="F75" s="604"/>
      <c r="G75" s="604"/>
      <c r="H75" s="605"/>
    </row>
    <row r="76" spans="1:9" s="299" customFormat="1" ht="64.5" customHeight="1" x14ac:dyDescent="0.2">
      <c r="A76" s="300" t="s">
        <v>571</v>
      </c>
      <c r="B76" s="193"/>
      <c r="C76" s="301">
        <v>4140.08565</v>
      </c>
      <c r="D76" s="302" t="s">
        <v>7</v>
      </c>
      <c r="E76" s="302" t="s">
        <v>7</v>
      </c>
      <c r="F76" s="302" t="s">
        <v>7</v>
      </c>
      <c r="G76" s="302" t="s">
        <v>7</v>
      </c>
      <c r="H76" s="559" t="s">
        <v>572</v>
      </c>
    </row>
    <row r="77" spans="1:9" s="299" customFormat="1" ht="150" thickBot="1" x14ac:dyDescent="0.25">
      <c r="A77" s="300" t="s">
        <v>592</v>
      </c>
      <c r="B77" s="193"/>
      <c r="C77" s="301">
        <v>74259.986659999995</v>
      </c>
      <c r="D77" s="302" t="s">
        <v>7</v>
      </c>
      <c r="E77" s="302" t="s">
        <v>7</v>
      </c>
      <c r="F77" s="302" t="s">
        <v>7</v>
      </c>
      <c r="G77" s="302" t="s">
        <v>7</v>
      </c>
      <c r="H77" s="559" t="s">
        <v>593</v>
      </c>
    </row>
    <row r="78" spans="1:9" s="299" customFormat="1" ht="14.25" customHeight="1" thickBot="1" x14ac:dyDescent="0.25">
      <c r="A78" s="315" t="s">
        <v>573</v>
      </c>
      <c r="B78" s="305"/>
      <c r="C78" s="306">
        <f>SUM(C76:C77)</f>
        <v>78400.072309999989</v>
      </c>
      <c r="D78" s="306">
        <f>SUM(D76:D77)</f>
        <v>0</v>
      </c>
      <c r="E78" s="306">
        <f>SUM(E76:E77)</f>
        <v>0</v>
      </c>
      <c r="F78" s="306">
        <f>SUM(F76:F77)</f>
        <v>0</v>
      </c>
      <c r="G78" s="306">
        <f>SUM(G76:G77)</f>
        <v>0</v>
      </c>
      <c r="H78" s="307"/>
    </row>
    <row r="79" spans="1:9" s="299" customFormat="1" ht="9" customHeight="1" thickBot="1" x14ac:dyDescent="0.25">
      <c r="A79" s="574"/>
      <c r="B79" s="522"/>
      <c r="C79" s="523"/>
      <c r="D79" s="524"/>
      <c r="E79" s="524"/>
      <c r="F79" s="524"/>
      <c r="G79" s="524"/>
      <c r="H79" s="525"/>
    </row>
    <row r="80" spans="1:9" s="299" customFormat="1" ht="18" customHeight="1" thickBot="1" x14ac:dyDescent="0.25">
      <c r="A80" s="344" t="s">
        <v>255</v>
      </c>
      <c r="B80" s="305"/>
      <c r="C80" s="306">
        <f>SUM(C9,C19,C43,C50,C56,C59,C62,C67,C71,C46,C78)</f>
        <v>20704457.92331</v>
      </c>
      <c r="D80" s="306">
        <f>SUM(D9,D19,D43,D50,D56,D59,D62,D67,D71,D46,D78)</f>
        <v>3415433</v>
      </c>
      <c r="E80" s="306">
        <f>SUM(E9,E19,E43,E50,E56,E59,E62,E67,E71,E46,E78)</f>
        <v>3494216.8509999998</v>
      </c>
      <c r="F80" s="306">
        <f>SUM(F9,F19,F43,F50,F56,F59,F62,F67,F71,F46,F78)</f>
        <v>2148207</v>
      </c>
      <c r="G80" s="306">
        <f>SUM(G9,G19,G43,G50,G56,G59,G62,G67,G71,G46,G78)</f>
        <v>11568209</v>
      </c>
      <c r="H80" s="345"/>
    </row>
    <row r="82" spans="1:8" s="346" customFormat="1" x14ac:dyDescent="0.2"/>
    <row r="83" spans="1:8" x14ac:dyDescent="0.2">
      <c r="A83" s="346"/>
      <c r="B83" s="346"/>
      <c r="C83" s="346"/>
    </row>
    <row r="85" spans="1:8" ht="14.25" x14ac:dyDescent="0.2">
      <c r="A85" s="347"/>
      <c r="B85" s="347"/>
    </row>
    <row r="87" spans="1:8" x14ac:dyDescent="0.2">
      <c r="A87" s="296"/>
      <c r="B87" s="296"/>
      <c r="C87" s="297"/>
      <c r="D87" s="298"/>
      <c r="E87" s="298"/>
      <c r="F87" s="298"/>
      <c r="G87" s="298"/>
      <c r="H87" s="297"/>
    </row>
  </sheetData>
  <mergeCells count="18">
    <mergeCell ref="A2:H2"/>
    <mergeCell ref="A4:A5"/>
    <mergeCell ref="B4:B5"/>
    <mergeCell ref="C4:C5"/>
    <mergeCell ref="D4:G4"/>
    <mergeCell ref="H4:H5"/>
    <mergeCell ref="A75:H75"/>
    <mergeCell ref="A6:H6"/>
    <mergeCell ref="A10:H10"/>
    <mergeCell ref="A20:H20"/>
    <mergeCell ref="A44:H44"/>
    <mergeCell ref="A47:H47"/>
    <mergeCell ref="A68:H68"/>
    <mergeCell ref="A73:A74"/>
    <mergeCell ref="B73:B74"/>
    <mergeCell ref="C73:C74"/>
    <mergeCell ref="D73:G73"/>
    <mergeCell ref="H73:H74"/>
  </mergeCells>
  <pageMargins left="0.59055118110236227" right="0.59055118110236227" top="0.78740157480314965" bottom="0.78740157480314965" header="0.31496062992125984" footer="0.31496062992125984"/>
  <pageSetup paperSize="9" firstPageNumber="18" fitToHeight="0" orientation="landscape" useFirstPageNumber="1" r:id="rId1"/>
  <headerFooter>
    <oddHeader>&amp;L&amp;"Tahoma,Kurzíva"Střednědobý výhled rozpočtu kraje na léta 2019 - 2021
Příloha č. 13&amp;R&amp;"Tahoma,Kurzíva"Přehled ostatních dlouhodobých závazků kraje</oddHeader>
    <oddFooter>&amp;C&amp;"Tahoma,Obyčejné"&amp;P</oddFooter>
  </headerFooter>
  <rowBreaks count="4" manualBreakCount="4">
    <brk id="33" max="7" man="1"/>
    <brk id="41" max="7" man="1"/>
    <brk id="52" max="7" man="1"/>
    <brk id="67" max="16383" man="1"/>
  </rowBreaks>
  <ignoredErrors>
    <ignoredError sqref="C13:F17" formula="1"/>
    <ignoredError sqref="D74:G74 D5:G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zoomScaleNormal="100" zoomScaleSheetLayoutView="100" workbookViewId="0">
      <selection activeCell="K12" sqref="K12"/>
    </sheetView>
  </sheetViews>
  <sheetFormatPr defaultColWidth="9.140625" defaultRowHeight="12.75" x14ac:dyDescent="0.2"/>
  <cols>
    <col min="1" max="1" width="39.140625" style="216" customWidth="1"/>
    <col min="2" max="2" width="9.42578125" style="216" hidden="1" customWidth="1"/>
    <col min="3" max="3" width="12.7109375" style="216" customWidth="1"/>
    <col min="4" max="4" width="11.85546875" style="217" customWidth="1"/>
    <col min="5" max="5" width="14.7109375" style="217" customWidth="1"/>
    <col min="6" max="9" width="15.7109375" style="216" customWidth="1"/>
    <col min="10" max="16384" width="9.140625" style="185"/>
  </cols>
  <sheetData>
    <row r="1" spans="1:9" s="69" customFormat="1" ht="15" customHeight="1" x14ac:dyDescent="0.2">
      <c r="A1" s="68" t="s">
        <v>98</v>
      </c>
      <c r="B1" s="68"/>
      <c r="F1" s="71"/>
      <c r="G1" s="71"/>
      <c r="H1" s="71"/>
      <c r="I1" s="71"/>
    </row>
    <row r="2" spans="1:9" s="76" customFormat="1" ht="6" customHeight="1" x14ac:dyDescent="0.25">
      <c r="A2" s="72"/>
      <c r="B2" s="72"/>
      <c r="C2" s="73"/>
      <c r="D2" s="73"/>
      <c r="E2" s="73"/>
      <c r="F2" s="75"/>
      <c r="G2" s="75"/>
      <c r="H2" s="75"/>
      <c r="I2" s="75"/>
    </row>
    <row r="3" spans="1:9" ht="18" customHeight="1" x14ac:dyDescent="0.2">
      <c r="A3" s="533" t="s">
        <v>154</v>
      </c>
      <c r="B3" s="533"/>
      <c r="C3" s="533"/>
      <c r="D3" s="533"/>
      <c r="E3" s="533"/>
      <c r="F3" s="533"/>
      <c r="G3" s="533"/>
      <c r="H3" s="533"/>
      <c r="I3" s="185"/>
    </row>
    <row r="4" spans="1:9" s="76" customFormat="1" ht="6" customHeight="1" x14ac:dyDescent="0.25">
      <c r="A4" s="72"/>
      <c r="B4" s="72"/>
      <c r="C4" s="73"/>
      <c r="D4" s="73"/>
      <c r="E4" s="73"/>
      <c r="F4" s="75"/>
      <c r="G4" s="75"/>
      <c r="H4" s="75"/>
      <c r="I4" s="75"/>
    </row>
    <row r="5" spans="1:9" ht="13.5" thickBot="1" x14ac:dyDescent="0.25">
      <c r="A5" s="186"/>
      <c r="B5" s="186"/>
      <c r="C5" s="186"/>
      <c r="D5" s="186"/>
      <c r="E5" s="186"/>
      <c r="F5" s="186"/>
      <c r="G5" s="186"/>
      <c r="H5" s="187"/>
      <c r="I5" s="187" t="s">
        <v>155</v>
      </c>
    </row>
    <row r="6" spans="1:9" ht="28.5" customHeight="1" x14ac:dyDescent="0.2">
      <c r="A6" s="651" t="s">
        <v>156</v>
      </c>
      <c r="B6" s="188"/>
      <c r="C6" s="653" t="s">
        <v>157</v>
      </c>
      <c r="D6" s="655" t="s">
        <v>596</v>
      </c>
      <c r="E6" s="653" t="s">
        <v>158</v>
      </c>
      <c r="F6" s="657" t="s">
        <v>159</v>
      </c>
      <c r="G6" s="657"/>
      <c r="H6" s="657"/>
      <c r="I6" s="658"/>
    </row>
    <row r="7" spans="1:9" ht="21" customHeight="1" x14ac:dyDescent="0.2">
      <c r="A7" s="652"/>
      <c r="B7" s="189"/>
      <c r="C7" s="654"/>
      <c r="D7" s="656"/>
      <c r="E7" s="654"/>
      <c r="F7" s="190" t="s">
        <v>160</v>
      </c>
      <c r="G7" s="191" t="s">
        <v>161</v>
      </c>
      <c r="H7" s="190" t="s">
        <v>162</v>
      </c>
      <c r="I7" s="534" t="s">
        <v>584</v>
      </c>
    </row>
    <row r="8" spans="1:9" ht="18" customHeight="1" x14ac:dyDescent="0.2">
      <c r="A8" s="644" t="s">
        <v>307</v>
      </c>
      <c r="B8" s="645"/>
      <c r="C8" s="645"/>
      <c r="D8" s="645"/>
      <c r="E8" s="645"/>
      <c r="F8" s="645"/>
      <c r="G8" s="645"/>
      <c r="H8" s="645"/>
      <c r="I8" s="646"/>
    </row>
    <row r="9" spans="1:9" ht="24" customHeight="1" x14ac:dyDescent="0.2">
      <c r="A9" s="300" t="s">
        <v>252</v>
      </c>
      <c r="B9" s="193" t="s">
        <v>253</v>
      </c>
      <c r="C9" s="194">
        <v>14000</v>
      </c>
      <c r="D9" s="195">
        <v>10</v>
      </c>
      <c r="E9" s="195" t="s">
        <v>180</v>
      </c>
      <c r="F9" s="355">
        <v>1300</v>
      </c>
      <c r="G9" s="355">
        <v>1438</v>
      </c>
      <c r="H9" s="354">
        <v>1438</v>
      </c>
      <c r="I9" s="535">
        <f t="shared" ref="I9:I10" si="0">H9*2</f>
        <v>2876</v>
      </c>
    </row>
    <row r="10" spans="1:9" ht="18" customHeight="1" x14ac:dyDescent="0.2">
      <c r="A10" s="300" t="s">
        <v>254</v>
      </c>
      <c r="B10" s="193">
        <v>3255</v>
      </c>
      <c r="C10" s="194">
        <v>52000</v>
      </c>
      <c r="D10" s="195">
        <v>10</v>
      </c>
      <c r="E10" s="195" t="s">
        <v>180</v>
      </c>
      <c r="F10" s="355">
        <v>3200</v>
      </c>
      <c r="G10" s="355">
        <v>3200</v>
      </c>
      <c r="H10" s="354">
        <v>3200</v>
      </c>
      <c r="I10" s="535">
        <f t="shared" si="0"/>
        <v>6400</v>
      </c>
    </row>
    <row r="11" spans="1:9" ht="24" customHeight="1" x14ac:dyDescent="0.2">
      <c r="A11" s="202" t="s">
        <v>603</v>
      </c>
      <c r="B11" s="203"/>
      <c r="C11" s="199" t="s">
        <v>7</v>
      </c>
      <c r="D11" s="199" t="s">
        <v>7</v>
      </c>
      <c r="E11" s="199" t="s">
        <v>7</v>
      </c>
      <c r="F11" s="200">
        <f>SUM(F9:F10)</f>
        <v>4500</v>
      </c>
      <c r="G11" s="200">
        <f t="shared" ref="G11:I11" si="1">SUM(G9:G10)</f>
        <v>4638</v>
      </c>
      <c r="H11" s="200">
        <f t="shared" si="1"/>
        <v>4638</v>
      </c>
      <c r="I11" s="536">
        <f t="shared" si="1"/>
        <v>9276</v>
      </c>
    </row>
    <row r="12" spans="1:9" ht="18" customHeight="1" x14ac:dyDescent="0.2">
      <c r="A12" s="659" t="s">
        <v>165</v>
      </c>
      <c r="B12" s="660"/>
      <c r="C12" s="660"/>
      <c r="D12" s="660"/>
      <c r="E12" s="660"/>
      <c r="F12" s="660"/>
      <c r="G12" s="660"/>
      <c r="H12" s="660"/>
      <c r="I12" s="661"/>
    </row>
    <row r="13" spans="1:9" ht="24" customHeight="1" x14ac:dyDescent="0.2">
      <c r="A13" s="300" t="s">
        <v>166</v>
      </c>
      <c r="B13" s="193" t="s">
        <v>167</v>
      </c>
      <c r="C13" s="194">
        <v>89000</v>
      </c>
      <c r="D13" s="195">
        <v>10</v>
      </c>
      <c r="E13" s="195" t="s">
        <v>168</v>
      </c>
      <c r="F13" s="355">
        <v>0</v>
      </c>
      <c r="G13" s="355">
        <v>0</v>
      </c>
      <c r="H13" s="354">
        <v>2400</v>
      </c>
      <c r="I13" s="535">
        <f>H13*4</f>
        <v>9600</v>
      </c>
    </row>
    <row r="14" spans="1:9" ht="24" customHeight="1" x14ac:dyDescent="0.2">
      <c r="A14" s="300" t="s">
        <v>169</v>
      </c>
      <c r="B14" s="193" t="s">
        <v>170</v>
      </c>
      <c r="C14" s="194">
        <v>84080</v>
      </c>
      <c r="D14" s="195">
        <v>10</v>
      </c>
      <c r="E14" s="195" t="s">
        <v>168</v>
      </c>
      <c r="F14" s="537">
        <v>0</v>
      </c>
      <c r="G14" s="355">
        <v>0</v>
      </c>
      <c r="H14" s="354">
        <v>5100</v>
      </c>
      <c r="I14" s="535">
        <f>H14*4</f>
        <v>20400</v>
      </c>
    </row>
    <row r="15" spans="1:9" ht="21" customHeight="1" x14ac:dyDescent="0.2">
      <c r="A15" s="201" t="s">
        <v>171</v>
      </c>
      <c r="B15" s="198"/>
      <c r="C15" s="199" t="s">
        <v>7</v>
      </c>
      <c r="D15" s="199" t="s">
        <v>7</v>
      </c>
      <c r="E15" s="199" t="s">
        <v>7</v>
      </c>
      <c r="F15" s="200">
        <f>SUM(F13:F14)</f>
        <v>0</v>
      </c>
      <c r="G15" s="200">
        <f>SUM(G13:G14)</f>
        <v>0</v>
      </c>
      <c r="H15" s="200">
        <f>SUM(H13:H14)</f>
        <v>7500</v>
      </c>
      <c r="I15" s="536">
        <f>SUM(I13:I14)</f>
        <v>30000</v>
      </c>
    </row>
    <row r="16" spans="1:9" ht="18" customHeight="1" x14ac:dyDescent="0.2">
      <c r="A16" s="662" t="s">
        <v>313</v>
      </c>
      <c r="B16" s="663"/>
      <c r="C16" s="663"/>
      <c r="D16" s="663"/>
      <c r="E16" s="663"/>
      <c r="F16" s="663"/>
      <c r="G16" s="663"/>
      <c r="H16" s="663"/>
      <c r="I16" s="664"/>
    </row>
    <row r="17" spans="1:9" ht="18" customHeight="1" x14ac:dyDescent="0.2">
      <c r="A17" s="192" t="s">
        <v>163</v>
      </c>
      <c r="B17" s="193">
        <v>3321</v>
      </c>
      <c r="C17" s="194">
        <v>134000</v>
      </c>
      <c r="D17" s="195">
        <v>10</v>
      </c>
      <c r="E17" s="196" t="s">
        <v>164</v>
      </c>
      <c r="F17" s="354">
        <v>150</v>
      </c>
      <c r="G17" s="354">
        <v>150</v>
      </c>
      <c r="H17" s="354">
        <v>150</v>
      </c>
      <c r="I17" s="535">
        <f>H17*2</f>
        <v>300</v>
      </c>
    </row>
    <row r="18" spans="1:9" ht="24" customHeight="1" x14ac:dyDescent="0.2">
      <c r="A18" s="192" t="s">
        <v>325</v>
      </c>
      <c r="B18" s="193">
        <v>3392</v>
      </c>
      <c r="C18" s="194">
        <v>103000</v>
      </c>
      <c r="D18" s="195">
        <v>10</v>
      </c>
      <c r="E18" s="195" t="s">
        <v>198</v>
      </c>
      <c r="F18" s="194">
        <v>0</v>
      </c>
      <c r="G18" s="194">
        <v>0</v>
      </c>
      <c r="H18" s="194">
        <v>0</v>
      </c>
      <c r="I18" s="538">
        <f>14600*5</f>
        <v>73000</v>
      </c>
    </row>
    <row r="19" spans="1:9" ht="24" customHeight="1" x14ac:dyDescent="0.2">
      <c r="A19" s="197" t="s">
        <v>280</v>
      </c>
      <c r="B19" s="198"/>
      <c r="C19" s="199" t="s">
        <v>7</v>
      </c>
      <c r="D19" s="199" t="s">
        <v>7</v>
      </c>
      <c r="E19" s="199" t="s">
        <v>7</v>
      </c>
      <c r="F19" s="200">
        <f>SUM(F17:F18)</f>
        <v>150</v>
      </c>
      <c r="G19" s="200">
        <f t="shared" ref="G19:I19" si="2">SUM(G17:G18)</f>
        <v>150</v>
      </c>
      <c r="H19" s="200">
        <f t="shared" si="2"/>
        <v>150</v>
      </c>
      <c r="I19" s="200">
        <f t="shared" si="2"/>
        <v>73300</v>
      </c>
    </row>
    <row r="20" spans="1:9" ht="18" customHeight="1" x14ac:dyDescent="0.2">
      <c r="A20" s="659" t="s">
        <v>602</v>
      </c>
      <c r="B20" s="660"/>
      <c r="C20" s="660"/>
      <c r="D20" s="660"/>
      <c r="E20" s="660"/>
      <c r="F20" s="660"/>
      <c r="G20" s="660"/>
      <c r="H20" s="660"/>
      <c r="I20" s="661"/>
    </row>
    <row r="21" spans="1:9" ht="18" customHeight="1" x14ac:dyDescent="0.2">
      <c r="A21" s="540" t="s">
        <v>330</v>
      </c>
      <c r="B21" s="541">
        <v>3399</v>
      </c>
      <c r="C21" s="354">
        <v>200000</v>
      </c>
      <c r="D21" s="542">
        <v>10</v>
      </c>
      <c r="E21" s="542" t="s">
        <v>585</v>
      </c>
      <c r="F21" s="355">
        <v>0</v>
      </c>
      <c r="G21" s="355">
        <v>0</v>
      </c>
      <c r="H21" s="354">
        <v>406</v>
      </c>
      <c r="I21" s="535">
        <f>H21*4</f>
        <v>1624</v>
      </c>
    </row>
    <row r="22" spans="1:9" ht="24" customHeight="1" x14ac:dyDescent="0.2">
      <c r="A22" s="201" t="s">
        <v>284</v>
      </c>
      <c r="B22" s="198"/>
      <c r="C22" s="199" t="s">
        <v>7</v>
      </c>
      <c r="D22" s="199" t="s">
        <v>7</v>
      </c>
      <c r="E22" s="199" t="s">
        <v>7</v>
      </c>
      <c r="F22" s="200">
        <f>SUM(F21:F21)</f>
        <v>0</v>
      </c>
      <c r="G22" s="200">
        <f>SUM(G21:G21)</f>
        <v>0</v>
      </c>
      <c r="H22" s="200">
        <f>SUM(H21:H21)</f>
        <v>406</v>
      </c>
      <c r="I22" s="536">
        <f>SUM(I21:I21)</f>
        <v>1624</v>
      </c>
    </row>
    <row r="23" spans="1:9" ht="18" customHeight="1" x14ac:dyDescent="0.2">
      <c r="A23" s="641" t="s">
        <v>172</v>
      </c>
      <c r="B23" s="642"/>
      <c r="C23" s="642"/>
      <c r="D23" s="642"/>
      <c r="E23" s="642"/>
      <c r="F23" s="642"/>
      <c r="G23" s="642"/>
      <c r="H23" s="642"/>
      <c r="I23" s="643"/>
    </row>
    <row r="24" spans="1:9" ht="18" customHeight="1" x14ac:dyDescent="0.2">
      <c r="A24" s="300" t="s">
        <v>173</v>
      </c>
      <c r="B24" s="193" t="s">
        <v>174</v>
      </c>
      <c r="C24" s="194">
        <v>27000</v>
      </c>
      <c r="D24" s="195">
        <v>10</v>
      </c>
      <c r="E24" s="195" t="s">
        <v>164</v>
      </c>
      <c r="F24" s="537">
        <v>0</v>
      </c>
      <c r="G24" s="355">
        <v>900</v>
      </c>
      <c r="H24" s="354">
        <v>900</v>
      </c>
      <c r="I24" s="535">
        <f>H24*3</f>
        <v>2700</v>
      </c>
    </row>
    <row r="25" spans="1:9" ht="18" customHeight="1" x14ac:dyDescent="0.2">
      <c r="A25" s="300" t="s">
        <v>337</v>
      </c>
      <c r="B25" s="193">
        <v>3235</v>
      </c>
      <c r="C25" s="194">
        <v>110500</v>
      </c>
      <c r="D25" s="195">
        <v>10</v>
      </c>
      <c r="E25" s="195" t="s">
        <v>168</v>
      </c>
      <c r="F25" s="537">
        <v>0</v>
      </c>
      <c r="G25" s="355">
        <v>0</v>
      </c>
      <c r="H25" s="354">
        <v>1500</v>
      </c>
      <c r="I25" s="535">
        <f>H25*4</f>
        <v>6000</v>
      </c>
    </row>
    <row r="26" spans="1:9" ht="18" customHeight="1" x14ac:dyDescent="0.2">
      <c r="A26" s="300" t="s">
        <v>176</v>
      </c>
      <c r="B26" s="193" t="s">
        <v>177</v>
      </c>
      <c r="C26" s="194">
        <v>122999</v>
      </c>
      <c r="D26" s="195">
        <v>10</v>
      </c>
      <c r="E26" s="195" t="s">
        <v>178</v>
      </c>
      <c r="F26" s="355">
        <v>0</v>
      </c>
      <c r="G26" s="355">
        <v>7434</v>
      </c>
      <c r="H26" s="354">
        <v>7434</v>
      </c>
      <c r="I26" s="535">
        <f t="shared" ref="I26:I28" si="3">H26*3</f>
        <v>22302</v>
      </c>
    </row>
    <row r="27" spans="1:9" ht="18" customHeight="1" x14ac:dyDescent="0.2">
      <c r="A27" s="300" t="s">
        <v>179</v>
      </c>
      <c r="B27" s="193">
        <v>3253</v>
      </c>
      <c r="C27" s="194">
        <v>31523</v>
      </c>
      <c r="D27" s="195">
        <v>10</v>
      </c>
      <c r="E27" s="195" t="s">
        <v>180</v>
      </c>
      <c r="F27" s="355">
        <v>400</v>
      </c>
      <c r="G27" s="355">
        <v>400</v>
      </c>
      <c r="H27" s="354">
        <v>400</v>
      </c>
      <c r="I27" s="535">
        <f>H27*2</f>
        <v>800</v>
      </c>
    </row>
    <row r="28" spans="1:9" ht="18" customHeight="1" x14ac:dyDescent="0.2">
      <c r="A28" s="300" t="s">
        <v>181</v>
      </c>
      <c r="B28" s="193" t="s">
        <v>182</v>
      </c>
      <c r="C28" s="194">
        <v>23716</v>
      </c>
      <c r="D28" s="195">
        <v>10</v>
      </c>
      <c r="E28" s="195" t="s">
        <v>164</v>
      </c>
      <c r="F28" s="355">
        <v>0</v>
      </c>
      <c r="G28" s="355">
        <v>400</v>
      </c>
      <c r="H28" s="354">
        <v>400</v>
      </c>
      <c r="I28" s="535">
        <f t="shared" si="3"/>
        <v>1200</v>
      </c>
    </row>
    <row r="29" spans="1:9" ht="18" customHeight="1" x14ac:dyDescent="0.2">
      <c r="A29" s="300" t="s">
        <v>183</v>
      </c>
      <c r="B29" s="193">
        <v>3250</v>
      </c>
      <c r="C29" s="194">
        <v>31500</v>
      </c>
      <c r="D29" s="195">
        <v>10</v>
      </c>
      <c r="E29" s="195" t="s">
        <v>184</v>
      </c>
      <c r="F29" s="355">
        <v>620</v>
      </c>
      <c r="G29" s="355">
        <v>620</v>
      </c>
      <c r="H29" s="354">
        <v>620</v>
      </c>
      <c r="I29" s="535">
        <f>H29*2</f>
        <v>1240</v>
      </c>
    </row>
    <row r="30" spans="1:9" ht="24" customHeight="1" x14ac:dyDescent="0.2">
      <c r="A30" s="300" t="s">
        <v>185</v>
      </c>
      <c r="B30" s="193" t="s">
        <v>186</v>
      </c>
      <c r="C30" s="194">
        <v>119686</v>
      </c>
      <c r="D30" s="195">
        <v>10</v>
      </c>
      <c r="E30" s="195" t="s">
        <v>187</v>
      </c>
      <c r="F30" s="355">
        <v>0</v>
      </c>
      <c r="G30" s="355">
        <v>3800</v>
      </c>
      <c r="H30" s="354">
        <v>3800</v>
      </c>
      <c r="I30" s="535">
        <f>H30*3</f>
        <v>11400</v>
      </c>
    </row>
    <row r="31" spans="1:9" ht="18" customHeight="1" x14ac:dyDescent="0.2">
      <c r="A31" s="300" t="s">
        <v>188</v>
      </c>
      <c r="B31" s="193" t="s">
        <v>189</v>
      </c>
      <c r="C31" s="194">
        <v>57081</v>
      </c>
      <c r="D31" s="195">
        <v>10</v>
      </c>
      <c r="E31" s="195" t="s">
        <v>180</v>
      </c>
      <c r="F31" s="355">
        <v>360</v>
      </c>
      <c r="G31" s="355">
        <v>360</v>
      </c>
      <c r="H31" s="354">
        <v>360</v>
      </c>
      <c r="I31" s="535">
        <f>H31*2</f>
        <v>720</v>
      </c>
    </row>
    <row r="32" spans="1:9" ht="24" customHeight="1" x14ac:dyDescent="0.2">
      <c r="A32" s="300" t="s">
        <v>343</v>
      </c>
      <c r="B32" s="193">
        <v>3234</v>
      </c>
      <c r="C32" s="194">
        <v>51000</v>
      </c>
      <c r="D32" s="195">
        <v>10</v>
      </c>
      <c r="E32" s="194" t="s">
        <v>168</v>
      </c>
      <c r="F32" s="355">
        <v>0</v>
      </c>
      <c r="G32" s="355">
        <v>0</v>
      </c>
      <c r="H32" s="354">
        <v>1940</v>
      </c>
      <c r="I32" s="535">
        <f>H32*4</f>
        <v>7760</v>
      </c>
    </row>
    <row r="33" spans="1:9" ht="18" customHeight="1" x14ac:dyDescent="0.2">
      <c r="A33" s="300" t="s">
        <v>190</v>
      </c>
      <c r="B33" s="193" t="s">
        <v>191</v>
      </c>
      <c r="C33" s="194">
        <v>24835</v>
      </c>
      <c r="D33" s="195">
        <v>10</v>
      </c>
      <c r="E33" s="195" t="s">
        <v>192</v>
      </c>
      <c r="F33" s="355">
        <v>0</v>
      </c>
      <c r="G33" s="355">
        <v>1650</v>
      </c>
      <c r="H33" s="354">
        <v>1650</v>
      </c>
      <c r="I33" s="535">
        <f>H33*3</f>
        <v>4950</v>
      </c>
    </row>
    <row r="34" spans="1:9" ht="18" customHeight="1" x14ac:dyDescent="0.2">
      <c r="A34" s="300" t="s">
        <v>346</v>
      </c>
      <c r="B34" s="193">
        <v>3236</v>
      </c>
      <c r="C34" s="194">
        <v>40000</v>
      </c>
      <c r="D34" s="195">
        <v>10</v>
      </c>
      <c r="E34" s="195" t="s">
        <v>586</v>
      </c>
      <c r="F34" s="355">
        <v>0</v>
      </c>
      <c r="G34" s="355">
        <v>0</v>
      </c>
      <c r="H34" s="354">
        <v>2500</v>
      </c>
      <c r="I34" s="535">
        <f>H34*4</f>
        <v>10000</v>
      </c>
    </row>
    <row r="35" spans="1:9" ht="15" customHeight="1" x14ac:dyDescent="0.2">
      <c r="A35" s="197" t="s">
        <v>193</v>
      </c>
      <c r="B35" s="198"/>
      <c r="C35" s="199" t="s">
        <v>7</v>
      </c>
      <c r="D35" s="199" t="s">
        <v>7</v>
      </c>
      <c r="E35" s="199" t="s">
        <v>7</v>
      </c>
      <c r="F35" s="200">
        <f>SUM(F24:F34)</f>
        <v>1380</v>
      </c>
      <c r="G35" s="200">
        <f t="shared" ref="G35:I35" si="4">SUM(G24:G34)</f>
        <v>15564</v>
      </c>
      <c r="H35" s="200">
        <f t="shared" si="4"/>
        <v>21504</v>
      </c>
      <c r="I35" s="536">
        <f t="shared" si="4"/>
        <v>69072</v>
      </c>
    </row>
    <row r="36" spans="1:9" ht="18" customHeight="1" x14ac:dyDescent="0.2">
      <c r="A36" s="641" t="s">
        <v>200</v>
      </c>
      <c r="B36" s="642"/>
      <c r="C36" s="642"/>
      <c r="D36" s="642"/>
      <c r="E36" s="642"/>
      <c r="F36" s="642"/>
      <c r="G36" s="642"/>
      <c r="H36" s="642"/>
      <c r="I36" s="643"/>
    </row>
    <row r="37" spans="1:9" ht="18" customHeight="1" x14ac:dyDescent="0.2">
      <c r="A37" s="300" t="s">
        <v>201</v>
      </c>
      <c r="B37" s="193">
        <v>3256</v>
      </c>
      <c r="C37" s="194">
        <v>56482</v>
      </c>
      <c r="D37" s="195">
        <v>15</v>
      </c>
      <c r="E37" s="195" t="s">
        <v>184</v>
      </c>
      <c r="F37" s="355">
        <v>250</v>
      </c>
      <c r="G37" s="355">
        <v>250</v>
      </c>
      <c r="H37" s="354">
        <v>250</v>
      </c>
      <c r="I37" s="535">
        <f>H37*2</f>
        <v>500</v>
      </c>
    </row>
    <row r="38" spans="1:9" ht="15" customHeight="1" x14ac:dyDescent="0.2">
      <c r="A38" s="202" t="s">
        <v>202</v>
      </c>
      <c r="B38" s="203"/>
      <c r="C38" s="199" t="s">
        <v>7</v>
      </c>
      <c r="D38" s="199"/>
      <c r="E38" s="199"/>
      <c r="F38" s="200">
        <f>SUM(F37)</f>
        <v>250</v>
      </c>
      <c r="G38" s="200">
        <f t="shared" ref="G38:I38" si="5">SUM(G37)</f>
        <v>250</v>
      </c>
      <c r="H38" s="200">
        <f t="shared" si="5"/>
        <v>250</v>
      </c>
      <c r="I38" s="536">
        <f t="shared" si="5"/>
        <v>500</v>
      </c>
    </row>
    <row r="39" spans="1:9" ht="18" customHeight="1" x14ac:dyDescent="0.2">
      <c r="A39" s="644" t="s">
        <v>194</v>
      </c>
      <c r="B39" s="645"/>
      <c r="C39" s="645"/>
      <c r="D39" s="645"/>
      <c r="E39" s="645"/>
      <c r="F39" s="645"/>
      <c r="G39" s="645"/>
      <c r="H39" s="645"/>
      <c r="I39" s="646"/>
    </row>
    <row r="40" spans="1:9" ht="18" customHeight="1" x14ac:dyDescent="0.2">
      <c r="A40" s="300" t="s">
        <v>360</v>
      </c>
      <c r="B40" s="193">
        <v>3277</v>
      </c>
      <c r="C40" s="194">
        <v>6450</v>
      </c>
      <c r="D40" s="195">
        <v>10</v>
      </c>
      <c r="E40" s="195" t="s">
        <v>195</v>
      </c>
      <c r="F40" s="356">
        <v>0</v>
      </c>
      <c r="G40" s="355">
        <v>60</v>
      </c>
      <c r="H40" s="354">
        <v>60</v>
      </c>
      <c r="I40" s="535">
        <f>H40*3</f>
        <v>180</v>
      </c>
    </row>
    <row r="41" spans="1:9" ht="18" customHeight="1" x14ac:dyDescent="0.2">
      <c r="A41" s="300" t="s">
        <v>196</v>
      </c>
      <c r="B41" s="193" t="s">
        <v>197</v>
      </c>
      <c r="C41" s="194">
        <v>20100</v>
      </c>
      <c r="D41" s="195">
        <v>10</v>
      </c>
      <c r="E41" s="195" t="s">
        <v>198</v>
      </c>
      <c r="F41" s="356">
        <v>0</v>
      </c>
      <c r="G41" s="355">
        <v>0</v>
      </c>
      <c r="H41" s="354">
        <v>60</v>
      </c>
      <c r="I41" s="535">
        <f>H41*4</f>
        <v>240</v>
      </c>
    </row>
    <row r="42" spans="1:9" ht="18" customHeight="1" x14ac:dyDescent="0.2">
      <c r="A42" s="300" t="s">
        <v>358</v>
      </c>
      <c r="B42" s="193">
        <v>3274</v>
      </c>
      <c r="C42" s="194">
        <v>10500</v>
      </c>
      <c r="D42" s="195">
        <v>10</v>
      </c>
      <c r="E42" s="195" t="s">
        <v>607</v>
      </c>
      <c r="F42" s="579">
        <v>0</v>
      </c>
      <c r="G42" s="537">
        <v>0</v>
      </c>
      <c r="H42" s="194">
        <v>0</v>
      </c>
      <c r="I42" s="538">
        <v>300</v>
      </c>
    </row>
    <row r="43" spans="1:9" ht="15" customHeight="1" x14ac:dyDescent="0.2">
      <c r="A43" s="202" t="s">
        <v>199</v>
      </c>
      <c r="B43" s="203"/>
      <c r="C43" s="199" t="s">
        <v>7</v>
      </c>
      <c r="D43" s="199" t="s">
        <v>7</v>
      </c>
      <c r="E43" s="199" t="s">
        <v>7</v>
      </c>
      <c r="F43" s="200">
        <f>SUM(F40:F42)</f>
        <v>0</v>
      </c>
      <c r="G43" s="200">
        <f t="shared" ref="G43:I43" si="6">SUM(G40:G42)</f>
        <v>60</v>
      </c>
      <c r="H43" s="200">
        <f t="shared" si="6"/>
        <v>120</v>
      </c>
      <c r="I43" s="200">
        <f t="shared" si="6"/>
        <v>720</v>
      </c>
    </row>
    <row r="44" spans="1:9" ht="18" customHeight="1" x14ac:dyDescent="0.2">
      <c r="A44" s="641" t="s">
        <v>203</v>
      </c>
      <c r="B44" s="642"/>
      <c r="C44" s="642"/>
      <c r="D44" s="642"/>
      <c r="E44" s="642"/>
      <c r="F44" s="642"/>
      <c r="G44" s="642"/>
      <c r="H44" s="642"/>
      <c r="I44" s="643"/>
    </row>
    <row r="45" spans="1:9" ht="24" customHeight="1" x14ac:dyDescent="0.2">
      <c r="A45" s="300" t="s">
        <v>204</v>
      </c>
      <c r="B45" s="193">
        <v>3372</v>
      </c>
      <c r="C45" s="194">
        <v>20000</v>
      </c>
      <c r="D45" s="195">
        <v>10</v>
      </c>
      <c r="E45" s="195" t="s">
        <v>168</v>
      </c>
      <c r="F45" s="355">
        <v>0</v>
      </c>
      <c r="G45" s="355">
        <v>1416</v>
      </c>
      <c r="H45" s="354">
        <v>1416</v>
      </c>
      <c r="I45" s="538">
        <f t="shared" ref="I45:I52" si="7">H45*3</f>
        <v>4248</v>
      </c>
    </row>
    <row r="46" spans="1:9" ht="24" customHeight="1" x14ac:dyDescent="0.2">
      <c r="A46" s="300" t="s">
        <v>205</v>
      </c>
      <c r="B46" s="193">
        <v>3210</v>
      </c>
      <c r="C46" s="194">
        <v>38000</v>
      </c>
      <c r="D46" s="195">
        <v>10</v>
      </c>
      <c r="E46" s="195" t="s">
        <v>184</v>
      </c>
      <c r="F46" s="355">
        <v>0</v>
      </c>
      <c r="G46" s="355">
        <v>3080</v>
      </c>
      <c r="H46" s="354">
        <v>3080</v>
      </c>
      <c r="I46" s="535">
        <f t="shared" si="7"/>
        <v>9240</v>
      </c>
    </row>
    <row r="47" spans="1:9" ht="24" customHeight="1" x14ac:dyDescent="0.2">
      <c r="A47" s="300" t="s">
        <v>206</v>
      </c>
      <c r="B47" s="193">
        <v>3211</v>
      </c>
      <c r="C47" s="194">
        <v>18807</v>
      </c>
      <c r="D47" s="195">
        <v>10</v>
      </c>
      <c r="E47" s="195" t="s">
        <v>184</v>
      </c>
      <c r="F47" s="355">
        <v>0</v>
      </c>
      <c r="G47" s="355">
        <v>3184</v>
      </c>
      <c r="H47" s="354">
        <v>3184</v>
      </c>
      <c r="I47" s="535">
        <f t="shared" si="7"/>
        <v>9552</v>
      </c>
    </row>
    <row r="48" spans="1:9" ht="24" customHeight="1" x14ac:dyDescent="0.2">
      <c r="A48" s="300" t="s">
        <v>207</v>
      </c>
      <c r="B48" s="193">
        <v>3389</v>
      </c>
      <c r="C48" s="194">
        <v>14000</v>
      </c>
      <c r="D48" s="195">
        <v>10</v>
      </c>
      <c r="E48" s="195" t="s">
        <v>168</v>
      </c>
      <c r="F48" s="355">
        <v>0</v>
      </c>
      <c r="G48" s="355">
        <v>2500</v>
      </c>
      <c r="H48" s="354">
        <v>2500</v>
      </c>
      <c r="I48" s="535">
        <v>5750</v>
      </c>
    </row>
    <row r="49" spans="1:9" ht="18" customHeight="1" x14ac:dyDescent="0.2">
      <c r="A49" s="300" t="s">
        <v>208</v>
      </c>
      <c r="B49" s="193">
        <v>3335</v>
      </c>
      <c r="C49" s="194">
        <v>10000</v>
      </c>
      <c r="D49" s="195">
        <v>10</v>
      </c>
      <c r="E49" s="204" t="s">
        <v>164</v>
      </c>
      <c r="F49" s="355">
        <v>0</v>
      </c>
      <c r="G49" s="355">
        <v>464</v>
      </c>
      <c r="H49" s="354">
        <v>464</v>
      </c>
      <c r="I49" s="535">
        <f t="shared" si="7"/>
        <v>1392</v>
      </c>
    </row>
    <row r="50" spans="1:9" ht="18" customHeight="1" x14ac:dyDescent="0.2">
      <c r="A50" s="300" t="s">
        <v>209</v>
      </c>
      <c r="B50" s="193">
        <v>3333</v>
      </c>
      <c r="C50" s="194">
        <v>12000</v>
      </c>
      <c r="D50" s="195">
        <v>10</v>
      </c>
      <c r="E50" s="195" t="s">
        <v>210</v>
      </c>
      <c r="F50" s="355">
        <v>620</v>
      </c>
      <c r="G50" s="355">
        <v>620</v>
      </c>
      <c r="H50" s="354">
        <v>620</v>
      </c>
      <c r="I50" s="535">
        <f>H50*2</f>
        <v>1240</v>
      </c>
    </row>
    <row r="51" spans="1:9" ht="24" customHeight="1" x14ac:dyDescent="0.2">
      <c r="A51" s="300" t="s">
        <v>211</v>
      </c>
      <c r="B51" s="193">
        <v>3209</v>
      </c>
      <c r="C51" s="194">
        <v>29947</v>
      </c>
      <c r="D51" s="195">
        <v>10</v>
      </c>
      <c r="E51" s="195" t="s">
        <v>184</v>
      </c>
      <c r="F51" s="355">
        <v>0</v>
      </c>
      <c r="G51" s="355">
        <v>732</v>
      </c>
      <c r="H51" s="354">
        <v>732</v>
      </c>
      <c r="I51" s="535">
        <f t="shared" si="7"/>
        <v>2196</v>
      </c>
    </row>
    <row r="52" spans="1:9" ht="24" customHeight="1" x14ac:dyDescent="0.2">
      <c r="A52" s="300" t="s">
        <v>212</v>
      </c>
      <c r="B52" s="193">
        <v>3371</v>
      </c>
      <c r="C52" s="194">
        <v>20000</v>
      </c>
      <c r="D52" s="195">
        <v>10</v>
      </c>
      <c r="E52" s="195" t="s">
        <v>168</v>
      </c>
      <c r="F52" s="355">
        <v>0</v>
      </c>
      <c r="G52" s="355">
        <v>404</v>
      </c>
      <c r="H52" s="354">
        <v>404</v>
      </c>
      <c r="I52" s="535">
        <f t="shared" si="7"/>
        <v>1212</v>
      </c>
    </row>
    <row r="53" spans="1:9" ht="24" customHeight="1" x14ac:dyDescent="0.2">
      <c r="A53" s="300" t="s">
        <v>213</v>
      </c>
      <c r="B53" s="193">
        <v>3213</v>
      </c>
      <c r="C53" s="194">
        <v>14980</v>
      </c>
      <c r="D53" s="195">
        <v>5</v>
      </c>
      <c r="E53" s="195" t="s">
        <v>180</v>
      </c>
      <c r="F53" s="355">
        <v>400</v>
      </c>
      <c r="G53" s="355">
        <v>400</v>
      </c>
      <c r="H53" s="354">
        <v>400</v>
      </c>
      <c r="I53" s="535">
        <v>400</v>
      </c>
    </row>
    <row r="54" spans="1:9" ht="24" customHeight="1" x14ac:dyDescent="0.2">
      <c r="A54" s="300" t="s">
        <v>214</v>
      </c>
      <c r="B54" s="193">
        <v>3383</v>
      </c>
      <c r="C54" s="194">
        <v>4000</v>
      </c>
      <c r="D54" s="195">
        <v>10</v>
      </c>
      <c r="E54" s="195" t="s">
        <v>175</v>
      </c>
      <c r="F54" s="648" t="s">
        <v>215</v>
      </c>
      <c r="G54" s="649"/>
      <c r="H54" s="649"/>
      <c r="I54" s="650"/>
    </row>
    <row r="55" spans="1:9" ht="15" customHeight="1" x14ac:dyDescent="0.2">
      <c r="A55" s="197" t="s">
        <v>216</v>
      </c>
      <c r="B55" s="198"/>
      <c r="C55" s="199" t="s">
        <v>7</v>
      </c>
      <c r="D55" s="199" t="s">
        <v>7</v>
      </c>
      <c r="E55" s="199" t="s">
        <v>7</v>
      </c>
      <c r="F55" s="200">
        <f>SUM(F45:F54)</f>
        <v>1020</v>
      </c>
      <c r="G55" s="200">
        <f t="shared" ref="G55:I55" si="8">SUM(G45:G54)</f>
        <v>12800</v>
      </c>
      <c r="H55" s="200">
        <f t="shared" si="8"/>
        <v>12800</v>
      </c>
      <c r="I55" s="536">
        <f t="shared" si="8"/>
        <v>35230</v>
      </c>
    </row>
    <row r="56" spans="1:9" ht="18" customHeight="1" x14ac:dyDescent="0.2">
      <c r="A56" s="641" t="s">
        <v>217</v>
      </c>
      <c r="B56" s="642"/>
      <c r="C56" s="642"/>
      <c r="D56" s="642"/>
      <c r="E56" s="642"/>
      <c r="F56" s="642"/>
      <c r="G56" s="642"/>
      <c r="H56" s="642"/>
      <c r="I56" s="643"/>
    </row>
    <row r="57" spans="1:9" ht="24" customHeight="1" x14ac:dyDescent="0.2">
      <c r="A57" s="300" t="s">
        <v>218</v>
      </c>
      <c r="B57" s="193">
        <v>3220</v>
      </c>
      <c r="C57" s="194">
        <v>50000</v>
      </c>
      <c r="D57" s="195">
        <v>10</v>
      </c>
      <c r="E57" s="195" t="s">
        <v>180</v>
      </c>
      <c r="F57" s="355">
        <v>755</v>
      </c>
      <c r="G57" s="355">
        <v>755</v>
      </c>
      <c r="H57" s="354">
        <v>755</v>
      </c>
      <c r="I57" s="535">
        <f t="shared" ref="I57:I68" si="9">H57*2</f>
        <v>1510</v>
      </c>
    </row>
    <row r="58" spans="1:9" ht="18" customHeight="1" x14ac:dyDescent="0.2">
      <c r="A58" s="300" t="s">
        <v>219</v>
      </c>
      <c r="B58" s="193">
        <v>3224</v>
      </c>
      <c r="C58" s="194">
        <v>26807</v>
      </c>
      <c r="D58" s="195">
        <v>10</v>
      </c>
      <c r="E58" s="195" t="s">
        <v>180</v>
      </c>
      <c r="F58" s="355">
        <v>1388</v>
      </c>
      <c r="G58" s="355">
        <v>1388</v>
      </c>
      <c r="H58" s="354">
        <v>1388</v>
      </c>
      <c r="I58" s="535">
        <f t="shared" si="9"/>
        <v>2776</v>
      </c>
    </row>
    <row r="59" spans="1:9" ht="18" customHeight="1" x14ac:dyDescent="0.2">
      <c r="A59" s="300" t="s">
        <v>220</v>
      </c>
      <c r="B59" s="193">
        <v>3223</v>
      </c>
      <c r="C59" s="194">
        <v>10000</v>
      </c>
      <c r="D59" s="195">
        <v>10</v>
      </c>
      <c r="E59" s="195" t="s">
        <v>180</v>
      </c>
      <c r="F59" s="355">
        <v>280</v>
      </c>
      <c r="G59" s="355">
        <v>280</v>
      </c>
      <c r="H59" s="354">
        <v>280</v>
      </c>
      <c r="I59" s="535">
        <f t="shared" si="9"/>
        <v>560</v>
      </c>
    </row>
    <row r="60" spans="1:9" ht="18" customHeight="1" x14ac:dyDescent="0.2">
      <c r="A60" s="300" t="s">
        <v>221</v>
      </c>
      <c r="B60" s="193">
        <v>3287</v>
      </c>
      <c r="C60" s="194">
        <v>32000</v>
      </c>
      <c r="D60" s="195">
        <v>10</v>
      </c>
      <c r="E60" s="195" t="s">
        <v>180</v>
      </c>
      <c r="F60" s="355">
        <v>762</v>
      </c>
      <c r="G60" s="355">
        <v>762</v>
      </c>
      <c r="H60" s="354">
        <v>762</v>
      </c>
      <c r="I60" s="535">
        <f t="shared" si="9"/>
        <v>1524</v>
      </c>
    </row>
    <row r="61" spans="1:9" ht="18" customHeight="1" x14ac:dyDescent="0.2">
      <c r="A61" s="300" t="s">
        <v>222</v>
      </c>
      <c r="B61" s="193">
        <v>3225</v>
      </c>
      <c r="C61" s="194">
        <v>8000</v>
      </c>
      <c r="D61" s="195">
        <v>10</v>
      </c>
      <c r="E61" s="195" t="s">
        <v>180</v>
      </c>
      <c r="F61" s="355">
        <v>174</v>
      </c>
      <c r="G61" s="355">
        <v>174</v>
      </c>
      <c r="H61" s="354">
        <v>174</v>
      </c>
      <c r="I61" s="535">
        <f t="shared" si="9"/>
        <v>348</v>
      </c>
    </row>
    <row r="62" spans="1:9" ht="18" customHeight="1" x14ac:dyDescent="0.2">
      <c r="A62" s="300" t="s">
        <v>223</v>
      </c>
      <c r="B62" s="193">
        <v>3316</v>
      </c>
      <c r="C62" s="194">
        <v>11200</v>
      </c>
      <c r="D62" s="195">
        <v>10</v>
      </c>
      <c r="E62" s="195" t="s">
        <v>180</v>
      </c>
      <c r="F62" s="355">
        <v>174</v>
      </c>
      <c r="G62" s="355">
        <v>174</v>
      </c>
      <c r="H62" s="354">
        <v>174</v>
      </c>
      <c r="I62" s="535">
        <f t="shared" si="9"/>
        <v>348</v>
      </c>
    </row>
    <row r="63" spans="1:9" ht="18" customHeight="1" x14ac:dyDescent="0.2">
      <c r="A63" s="300" t="s">
        <v>224</v>
      </c>
      <c r="B63" s="193">
        <v>3222</v>
      </c>
      <c r="C63" s="194">
        <v>23397</v>
      </c>
      <c r="D63" s="195">
        <v>10</v>
      </c>
      <c r="E63" s="195" t="s">
        <v>180</v>
      </c>
      <c r="F63" s="355">
        <v>1898</v>
      </c>
      <c r="G63" s="355">
        <v>1898</v>
      </c>
      <c r="H63" s="354">
        <v>1898</v>
      </c>
      <c r="I63" s="535">
        <f t="shared" si="9"/>
        <v>3796</v>
      </c>
    </row>
    <row r="64" spans="1:9" ht="18" customHeight="1" x14ac:dyDescent="0.2">
      <c r="A64" s="300" t="s">
        <v>225</v>
      </c>
      <c r="B64" s="193">
        <v>3289</v>
      </c>
      <c r="C64" s="194">
        <v>25000</v>
      </c>
      <c r="D64" s="195">
        <v>10</v>
      </c>
      <c r="E64" s="195" t="s">
        <v>180</v>
      </c>
      <c r="F64" s="355">
        <v>140</v>
      </c>
      <c r="G64" s="355">
        <v>140</v>
      </c>
      <c r="H64" s="354">
        <v>140</v>
      </c>
      <c r="I64" s="535">
        <f t="shared" si="9"/>
        <v>280</v>
      </c>
    </row>
    <row r="65" spans="1:9" ht="18" customHeight="1" x14ac:dyDescent="0.2">
      <c r="A65" s="300" t="s">
        <v>226</v>
      </c>
      <c r="B65" s="193">
        <v>3386</v>
      </c>
      <c r="C65" s="194">
        <v>25000</v>
      </c>
      <c r="D65" s="195">
        <v>10</v>
      </c>
      <c r="E65" s="195" t="s">
        <v>227</v>
      </c>
      <c r="F65" s="355">
        <v>260</v>
      </c>
      <c r="G65" s="355">
        <v>260</v>
      </c>
      <c r="H65" s="354">
        <v>260</v>
      </c>
      <c r="I65" s="535">
        <f t="shared" si="9"/>
        <v>520</v>
      </c>
    </row>
    <row r="66" spans="1:9" ht="18" customHeight="1" x14ac:dyDescent="0.2">
      <c r="A66" s="300" t="s">
        <v>228</v>
      </c>
      <c r="B66" s="193">
        <v>3221</v>
      </c>
      <c r="C66" s="194">
        <v>24197</v>
      </c>
      <c r="D66" s="195">
        <v>10</v>
      </c>
      <c r="E66" s="195" t="s">
        <v>180</v>
      </c>
      <c r="F66" s="355">
        <v>1616</v>
      </c>
      <c r="G66" s="355">
        <v>1616</v>
      </c>
      <c r="H66" s="354">
        <v>1616</v>
      </c>
      <c r="I66" s="535">
        <f t="shared" si="9"/>
        <v>3232</v>
      </c>
    </row>
    <row r="67" spans="1:9" ht="24" customHeight="1" x14ac:dyDescent="0.2">
      <c r="A67" s="300" t="s">
        <v>229</v>
      </c>
      <c r="B67" s="193">
        <v>3232</v>
      </c>
      <c r="C67" s="194">
        <v>2850</v>
      </c>
      <c r="D67" s="195">
        <v>10</v>
      </c>
      <c r="E67" s="195" t="s">
        <v>178</v>
      </c>
      <c r="F67" s="355">
        <v>0</v>
      </c>
      <c r="G67" s="355">
        <v>180</v>
      </c>
      <c r="H67" s="354">
        <v>180</v>
      </c>
      <c r="I67" s="535">
        <f>H67*3</f>
        <v>540</v>
      </c>
    </row>
    <row r="68" spans="1:9" ht="18" customHeight="1" x14ac:dyDescent="0.2">
      <c r="A68" s="300" t="s">
        <v>230</v>
      </c>
      <c r="B68" s="193">
        <v>3387</v>
      </c>
      <c r="C68" s="194">
        <v>27500</v>
      </c>
      <c r="D68" s="195">
        <v>10</v>
      </c>
      <c r="E68" s="195" t="s">
        <v>227</v>
      </c>
      <c r="F68" s="355">
        <v>1686</v>
      </c>
      <c r="G68" s="355">
        <v>1686</v>
      </c>
      <c r="H68" s="354">
        <v>1686</v>
      </c>
      <c r="I68" s="535">
        <f t="shared" si="9"/>
        <v>3372</v>
      </c>
    </row>
    <row r="69" spans="1:9" ht="15" customHeight="1" x14ac:dyDescent="0.2">
      <c r="A69" s="197" t="s">
        <v>231</v>
      </c>
      <c r="B69" s="198"/>
      <c r="C69" s="199" t="s">
        <v>7</v>
      </c>
      <c r="D69" s="199" t="s">
        <v>7</v>
      </c>
      <c r="E69" s="199" t="s">
        <v>7</v>
      </c>
      <c r="F69" s="200">
        <f>SUM(F57:F68)</f>
        <v>9133</v>
      </c>
      <c r="G69" s="200">
        <f t="shared" ref="G69:I69" si="10">SUM(G57:G68)</f>
        <v>9313</v>
      </c>
      <c r="H69" s="200">
        <f t="shared" si="10"/>
        <v>9313</v>
      </c>
      <c r="I69" s="536">
        <f t="shared" si="10"/>
        <v>18806</v>
      </c>
    </row>
    <row r="70" spans="1:9" ht="18" customHeight="1" x14ac:dyDescent="0.2">
      <c r="A70" s="641" t="s">
        <v>232</v>
      </c>
      <c r="B70" s="642"/>
      <c r="C70" s="642"/>
      <c r="D70" s="642"/>
      <c r="E70" s="642"/>
      <c r="F70" s="642"/>
      <c r="G70" s="642"/>
      <c r="H70" s="642"/>
      <c r="I70" s="643"/>
    </row>
    <row r="71" spans="1:9" ht="37.5" customHeight="1" x14ac:dyDescent="0.2">
      <c r="A71" s="300" t="s">
        <v>233</v>
      </c>
      <c r="B71" s="193">
        <v>3240</v>
      </c>
      <c r="C71" s="194">
        <v>92863</v>
      </c>
      <c r="D71" s="195">
        <v>10</v>
      </c>
      <c r="E71" s="195" t="s">
        <v>184</v>
      </c>
      <c r="F71" s="355">
        <v>0</v>
      </c>
      <c r="G71" s="355">
        <v>3600</v>
      </c>
      <c r="H71" s="354">
        <v>3600</v>
      </c>
      <c r="I71" s="535">
        <f>H71*3</f>
        <v>10800</v>
      </c>
    </row>
    <row r="72" spans="1:9" ht="18" customHeight="1" x14ac:dyDescent="0.2">
      <c r="A72" s="300" t="s">
        <v>234</v>
      </c>
      <c r="B72" s="193">
        <v>3391</v>
      </c>
      <c r="C72" s="194">
        <v>5500</v>
      </c>
      <c r="D72" s="195">
        <v>10</v>
      </c>
      <c r="E72" s="195" t="s">
        <v>175</v>
      </c>
      <c r="F72" s="355">
        <v>600</v>
      </c>
      <c r="G72" s="355">
        <v>600</v>
      </c>
      <c r="H72" s="354">
        <v>600</v>
      </c>
      <c r="I72" s="535">
        <f t="shared" ref="I72:I73" si="11">H72*2</f>
        <v>1200</v>
      </c>
    </row>
    <row r="73" spans="1:9" ht="24" customHeight="1" x14ac:dyDescent="0.2">
      <c r="A73" s="300" t="s">
        <v>235</v>
      </c>
      <c r="B73" s="193" t="s">
        <v>236</v>
      </c>
      <c r="C73" s="194">
        <v>19600</v>
      </c>
      <c r="D73" s="195">
        <v>10</v>
      </c>
      <c r="E73" s="195" t="s">
        <v>180</v>
      </c>
      <c r="F73" s="355">
        <v>2000</v>
      </c>
      <c r="G73" s="355">
        <v>2000</v>
      </c>
      <c r="H73" s="354">
        <v>2000</v>
      </c>
      <c r="I73" s="535">
        <f t="shared" si="11"/>
        <v>4000</v>
      </c>
    </row>
    <row r="74" spans="1:9" ht="15" customHeight="1" x14ac:dyDescent="0.2">
      <c r="A74" s="202" t="s">
        <v>237</v>
      </c>
      <c r="B74" s="203"/>
      <c r="C74" s="199" t="s">
        <v>7</v>
      </c>
      <c r="D74" s="199" t="s">
        <v>7</v>
      </c>
      <c r="E74" s="199" t="s">
        <v>7</v>
      </c>
      <c r="F74" s="200">
        <f>SUM(F71:F73)</f>
        <v>2600</v>
      </c>
      <c r="G74" s="200">
        <f t="shared" ref="G74:I74" si="12">SUM(G71:G73)</f>
        <v>6200</v>
      </c>
      <c r="H74" s="200">
        <f t="shared" si="12"/>
        <v>6200</v>
      </c>
      <c r="I74" s="536">
        <f t="shared" si="12"/>
        <v>16000</v>
      </c>
    </row>
    <row r="75" spans="1:9" ht="18" customHeight="1" x14ac:dyDescent="0.2">
      <c r="A75" s="644" t="s">
        <v>399</v>
      </c>
      <c r="B75" s="645"/>
      <c r="C75" s="645"/>
      <c r="D75" s="645"/>
      <c r="E75" s="645"/>
      <c r="F75" s="645"/>
      <c r="G75" s="645"/>
      <c r="H75" s="645"/>
      <c r="I75" s="646"/>
    </row>
    <row r="76" spans="1:9" ht="18" customHeight="1" x14ac:dyDescent="0.2">
      <c r="A76" s="300" t="s">
        <v>238</v>
      </c>
      <c r="B76" s="193" t="s">
        <v>239</v>
      </c>
      <c r="C76" s="194">
        <v>2300</v>
      </c>
      <c r="D76" s="195">
        <v>0</v>
      </c>
      <c r="E76" s="195" t="s">
        <v>178</v>
      </c>
      <c r="F76" s="355">
        <v>0</v>
      </c>
      <c r="G76" s="355">
        <v>0</v>
      </c>
      <c r="H76" s="354">
        <v>100</v>
      </c>
      <c r="I76" s="535">
        <f>H76*9</f>
        <v>900</v>
      </c>
    </row>
    <row r="77" spans="1:9" ht="18" customHeight="1" x14ac:dyDescent="0.2">
      <c r="A77" s="300" t="s">
        <v>240</v>
      </c>
      <c r="B77" s="193" t="s">
        <v>241</v>
      </c>
      <c r="C77" s="194">
        <v>1700</v>
      </c>
      <c r="D77" s="195">
        <v>0</v>
      </c>
      <c r="E77" s="195" t="s">
        <v>178</v>
      </c>
      <c r="F77" s="355">
        <v>0</v>
      </c>
      <c r="G77" s="355">
        <v>0</v>
      </c>
      <c r="H77" s="354">
        <v>84</v>
      </c>
      <c r="I77" s="535">
        <f>H77*9</f>
        <v>756</v>
      </c>
    </row>
    <row r="78" spans="1:9" ht="18" customHeight="1" x14ac:dyDescent="0.2">
      <c r="A78" s="300" t="s">
        <v>242</v>
      </c>
      <c r="B78" s="193" t="s">
        <v>243</v>
      </c>
      <c r="C78" s="194">
        <v>1650</v>
      </c>
      <c r="D78" s="195">
        <v>0</v>
      </c>
      <c r="E78" s="195" t="s">
        <v>178</v>
      </c>
      <c r="F78" s="355">
        <v>0</v>
      </c>
      <c r="G78" s="355">
        <v>0</v>
      </c>
      <c r="H78" s="354">
        <v>84</v>
      </c>
      <c r="I78" s="535">
        <f>H78*9</f>
        <v>756</v>
      </c>
    </row>
    <row r="79" spans="1:9" ht="18" customHeight="1" x14ac:dyDescent="0.2">
      <c r="A79" s="300" t="s">
        <v>244</v>
      </c>
      <c r="B79" s="193" t="s">
        <v>245</v>
      </c>
      <c r="C79" s="194">
        <v>12700</v>
      </c>
      <c r="D79" s="195">
        <v>0</v>
      </c>
      <c r="E79" s="195" t="s">
        <v>178</v>
      </c>
      <c r="F79" s="355">
        <v>0</v>
      </c>
      <c r="G79" s="355">
        <v>0</v>
      </c>
      <c r="H79" s="354">
        <v>292</v>
      </c>
      <c r="I79" s="535">
        <f>H79*9</f>
        <v>2628</v>
      </c>
    </row>
    <row r="80" spans="1:9" ht="18" customHeight="1" x14ac:dyDescent="0.2">
      <c r="A80" s="300" t="s">
        <v>246</v>
      </c>
      <c r="B80" s="193" t="s">
        <v>247</v>
      </c>
      <c r="C80" s="194">
        <v>1550</v>
      </c>
      <c r="D80" s="195">
        <v>10</v>
      </c>
      <c r="E80" s="195" t="s">
        <v>178</v>
      </c>
      <c r="F80" s="355">
        <v>0</v>
      </c>
      <c r="G80" s="355">
        <v>0</v>
      </c>
      <c r="H80" s="354">
        <v>20</v>
      </c>
      <c r="I80" s="535">
        <f t="shared" ref="I80" si="13">H80*4</f>
        <v>80</v>
      </c>
    </row>
    <row r="81" spans="1:9" ht="24" customHeight="1" x14ac:dyDescent="0.2">
      <c r="A81" s="300" t="s">
        <v>248</v>
      </c>
      <c r="B81" s="193" t="s">
        <v>249</v>
      </c>
      <c r="C81" s="194">
        <v>1600</v>
      </c>
      <c r="D81" s="195">
        <v>15</v>
      </c>
      <c r="E81" s="195" t="s">
        <v>180</v>
      </c>
      <c r="F81" s="355">
        <v>50</v>
      </c>
      <c r="G81" s="355">
        <v>50</v>
      </c>
      <c r="H81" s="354">
        <v>50</v>
      </c>
      <c r="I81" s="535">
        <f>H81*2</f>
        <v>100</v>
      </c>
    </row>
    <row r="82" spans="1:9" ht="24" customHeight="1" x14ac:dyDescent="0.2">
      <c r="A82" s="300" t="s">
        <v>250</v>
      </c>
      <c r="B82" s="193">
        <v>3380</v>
      </c>
      <c r="C82" s="194">
        <v>2300</v>
      </c>
      <c r="D82" s="195">
        <v>0</v>
      </c>
      <c r="E82" s="195" t="s">
        <v>168</v>
      </c>
      <c r="F82" s="355">
        <v>0</v>
      </c>
      <c r="G82" s="355">
        <v>0</v>
      </c>
      <c r="H82" s="354">
        <v>100</v>
      </c>
      <c r="I82" s="535">
        <f>H82*4</f>
        <v>400</v>
      </c>
    </row>
    <row r="83" spans="1:9" ht="15" customHeight="1" thickBot="1" x14ac:dyDescent="0.25">
      <c r="A83" s="197" t="s">
        <v>251</v>
      </c>
      <c r="B83" s="198"/>
      <c r="C83" s="199" t="s">
        <v>7</v>
      </c>
      <c r="D83" s="199" t="s">
        <v>7</v>
      </c>
      <c r="E83" s="199" t="s">
        <v>7</v>
      </c>
      <c r="F83" s="200">
        <f>SUM(F76:F82)</f>
        <v>50</v>
      </c>
      <c r="G83" s="200">
        <f t="shared" ref="G83:I83" si="14">SUM(G76:G82)</f>
        <v>50</v>
      </c>
      <c r="H83" s="200">
        <f t="shared" si="14"/>
        <v>730</v>
      </c>
      <c r="I83" s="536">
        <f t="shared" si="14"/>
        <v>5620</v>
      </c>
    </row>
    <row r="84" spans="1:9" ht="13.5" thickBot="1" x14ac:dyDescent="0.25">
      <c r="A84" s="205"/>
      <c r="B84" s="206"/>
      <c r="C84" s="207"/>
      <c r="D84" s="208"/>
      <c r="E84" s="208"/>
      <c r="F84" s="207"/>
      <c r="G84" s="207"/>
      <c r="H84" s="209"/>
      <c r="I84" s="539"/>
    </row>
    <row r="85" spans="1:9" ht="15" customHeight="1" thickBot="1" x14ac:dyDescent="0.25">
      <c r="A85" s="210" t="s">
        <v>255</v>
      </c>
      <c r="B85" s="211"/>
      <c r="C85" s="212" t="s">
        <v>7</v>
      </c>
      <c r="D85" s="213" t="s">
        <v>7</v>
      </c>
      <c r="E85" s="213" t="s">
        <v>7</v>
      </c>
      <c r="F85" s="214">
        <f>F19+F22+F15+F35+F43+F38+F55+F74+F69+F83+F11</f>
        <v>19083</v>
      </c>
      <c r="G85" s="214">
        <f>G19+G22+G15+G35+G43+G38+G55+G74+G69+G83+G11</f>
        <v>49025</v>
      </c>
      <c r="H85" s="214">
        <f>H19+H22+H15+H35+H43+H38+H55+H74+H69+H83+H11</f>
        <v>63611</v>
      </c>
      <c r="I85" s="575">
        <f>I19+I22+I15+I35+I43+I38+I55+I74+I69+I83+I11</f>
        <v>260148</v>
      </c>
    </row>
    <row r="86" spans="1:9" ht="26.25" customHeight="1" x14ac:dyDescent="0.2">
      <c r="A86" s="647" t="s">
        <v>604</v>
      </c>
      <c r="B86" s="647"/>
      <c r="C86" s="647"/>
      <c r="D86" s="647"/>
      <c r="E86" s="647"/>
      <c r="F86" s="647"/>
      <c r="G86" s="647"/>
      <c r="H86" s="647"/>
      <c r="I86" s="647"/>
    </row>
    <row r="87" spans="1:9" x14ac:dyDescent="0.2">
      <c r="A87" s="215"/>
      <c r="B87" s="215"/>
    </row>
    <row r="88" spans="1:9" x14ac:dyDescent="0.2">
      <c r="A88" s="215"/>
      <c r="B88" s="215"/>
    </row>
    <row r="89" spans="1:9" x14ac:dyDescent="0.2">
      <c r="A89" s="218"/>
      <c r="B89" s="218"/>
      <c r="C89" s="218"/>
      <c r="D89" s="219"/>
      <c r="E89" s="219"/>
      <c r="F89" s="218"/>
      <c r="G89" s="218"/>
      <c r="H89" s="218"/>
      <c r="I89" s="218"/>
    </row>
    <row r="90" spans="1:9" x14ac:dyDescent="0.2">
      <c r="A90" s="218"/>
      <c r="B90" s="218"/>
      <c r="C90" s="218"/>
      <c r="D90" s="219"/>
      <c r="E90" s="219"/>
      <c r="F90" s="218"/>
      <c r="G90" s="218"/>
      <c r="H90" s="218"/>
      <c r="I90" s="218"/>
    </row>
    <row r="91" spans="1:9" x14ac:dyDescent="0.2">
      <c r="A91" s="218"/>
      <c r="B91" s="218"/>
      <c r="C91" s="218"/>
      <c r="D91" s="219"/>
      <c r="E91" s="219"/>
      <c r="F91" s="218"/>
      <c r="G91" s="218"/>
      <c r="H91" s="218"/>
      <c r="I91" s="218"/>
    </row>
    <row r="92" spans="1:9" x14ac:dyDescent="0.2">
      <c r="A92" s="220"/>
      <c r="B92" s="220"/>
      <c r="C92" s="220"/>
      <c r="D92" s="221"/>
      <c r="E92" s="221"/>
      <c r="F92" s="220"/>
      <c r="G92" s="220"/>
      <c r="H92" s="220"/>
      <c r="I92" s="220"/>
    </row>
    <row r="95" spans="1:9" x14ac:dyDescent="0.2">
      <c r="F95" s="222"/>
      <c r="G95" s="222"/>
      <c r="H95" s="222"/>
      <c r="I95" s="222"/>
    </row>
  </sheetData>
  <mergeCells count="18">
    <mergeCell ref="A36:I36"/>
    <mergeCell ref="A39:I39"/>
    <mergeCell ref="A8:I8"/>
    <mergeCell ref="A12:I12"/>
    <mergeCell ref="A16:I16"/>
    <mergeCell ref="A20:I20"/>
    <mergeCell ref="A23:I23"/>
    <mergeCell ref="A6:A7"/>
    <mergeCell ref="C6:C7"/>
    <mergeCell ref="D6:D7"/>
    <mergeCell ref="E6:E7"/>
    <mergeCell ref="F6:I6"/>
    <mergeCell ref="A44:I44"/>
    <mergeCell ref="A56:I56"/>
    <mergeCell ref="A70:I70"/>
    <mergeCell ref="A75:I75"/>
    <mergeCell ref="A86:I86"/>
    <mergeCell ref="F54:I54"/>
  </mergeCells>
  <pageMargins left="0.39370078740157483" right="0.39370078740157483" top="0.78740157480314965" bottom="0.59055118110236227" header="0.31496062992125984" footer="0.31496062992125984"/>
  <pageSetup paperSize="9" firstPageNumber="26" fitToHeight="0" orientation="landscape" useFirstPageNumber="1" r:id="rId1"/>
  <headerFooter>
    <oddHeader>&amp;L&amp;"Tahoma,Kurzíva"Střednědobý výhled rozpočtu kraje na léta 2019 - 2021
Příloha č. 13&amp;R&amp;"Tahoma,Kurzíva"Přehled výdajů na zajištění udržitelnosti akcí spolufinancovaných z evropských finančních zdrojů</oddHeader>
    <oddFooter>&amp;C&amp;"Tahoma,Obyčejné"&amp;P</oddFooter>
  </headerFooter>
  <rowBreaks count="2" manualBreakCount="2">
    <brk id="49" max="8" man="1"/>
    <brk id="95" max="6" man="1"/>
  </rowBreaks>
  <ignoredErrors>
    <ignoredError sqref="A12:I66 A68:I85 A67:H67 A11:I11 I9:I10" unlockedFormula="1"/>
    <ignoredError sqref="I67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showGridLines="0" zoomScaleNormal="100" workbookViewId="0">
      <selection activeCell="P7" sqref="P7"/>
    </sheetView>
  </sheetViews>
  <sheetFormatPr defaultRowHeight="12.75" x14ac:dyDescent="0.2"/>
  <cols>
    <col min="1" max="1" width="7.7109375" style="223" customWidth="1"/>
    <col min="2" max="13" width="10" style="223" customWidth="1"/>
    <col min="14" max="16384" width="9.140625" style="223"/>
  </cols>
  <sheetData>
    <row r="1" spans="1:13" x14ac:dyDescent="0.2">
      <c r="A1" s="68" t="s">
        <v>99</v>
      </c>
    </row>
    <row r="3" spans="1:13" ht="15" x14ac:dyDescent="0.2">
      <c r="A3" s="665" t="s">
        <v>256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</row>
    <row r="4" spans="1:13" ht="15" x14ac:dyDescent="0.2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</row>
    <row r="5" spans="1:13" ht="13.5" thickBot="1" x14ac:dyDescent="0.25">
      <c r="D5" s="224"/>
      <c r="M5" s="225" t="s">
        <v>155</v>
      </c>
    </row>
    <row r="6" spans="1:13" ht="54" customHeight="1" x14ac:dyDescent="0.2">
      <c r="A6" s="226" t="s">
        <v>257</v>
      </c>
      <c r="B6" s="667" t="s">
        <v>258</v>
      </c>
      <c r="C6" s="668"/>
      <c r="D6" s="669"/>
      <c r="E6" s="667" t="s">
        <v>259</v>
      </c>
      <c r="F6" s="668"/>
      <c r="G6" s="669"/>
      <c r="H6" s="670" t="s">
        <v>260</v>
      </c>
      <c r="I6" s="671"/>
      <c r="J6" s="672"/>
      <c r="K6" s="673" t="s">
        <v>261</v>
      </c>
      <c r="L6" s="674"/>
      <c r="M6" s="675"/>
    </row>
    <row r="7" spans="1:13" ht="51" x14ac:dyDescent="0.2">
      <c r="A7" s="227" t="s">
        <v>262</v>
      </c>
      <c r="B7" s="546" t="s">
        <v>263</v>
      </c>
      <c r="C7" s="546" t="s">
        <v>264</v>
      </c>
      <c r="D7" s="547" t="s">
        <v>265</v>
      </c>
      <c r="E7" s="548" t="s">
        <v>263</v>
      </c>
      <c r="F7" s="546" t="s">
        <v>264</v>
      </c>
      <c r="G7" s="547" t="s">
        <v>265</v>
      </c>
      <c r="H7" s="548" t="s">
        <v>263</v>
      </c>
      <c r="I7" s="546" t="s">
        <v>264</v>
      </c>
      <c r="J7" s="549" t="s">
        <v>265</v>
      </c>
      <c r="K7" s="548" t="s">
        <v>266</v>
      </c>
      <c r="L7" s="546" t="s">
        <v>264</v>
      </c>
      <c r="M7" s="549" t="s">
        <v>265</v>
      </c>
    </row>
    <row r="8" spans="1:13" ht="16.5" customHeight="1" x14ac:dyDescent="0.2">
      <c r="A8" s="228">
        <v>2018</v>
      </c>
      <c r="B8" s="229">
        <v>0</v>
      </c>
      <c r="C8" s="229">
        <v>110000</v>
      </c>
      <c r="D8" s="230">
        <v>2000</v>
      </c>
      <c r="E8" s="231">
        <v>1715000</v>
      </c>
      <c r="F8" s="229">
        <v>95000</v>
      </c>
      <c r="G8" s="230">
        <v>20000</v>
      </c>
      <c r="H8" s="231">
        <v>749728</v>
      </c>
      <c r="I8" s="229">
        <v>756912</v>
      </c>
      <c r="J8" s="232">
        <v>10000</v>
      </c>
      <c r="K8" s="231">
        <f t="shared" ref="K8:M15" si="0">B8+E8+H8</f>
        <v>2464728</v>
      </c>
      <c r="L8" s="233">
        <f t="shared" si="0"/>
        <v>961912</v>
      </c>
      <c r="M8" s="234">
        <f t="shared" si="0"/>
        <v>32000</v>
      </c>
    </row>
    <row r="9" spans="1:13" ht="16.5" customHeight="1" x14ac:dyDescent="0.2">
      <c r="A9" s="235">
        <v>2019</v>
      </c>
      <c r="B9" s="233">
        <v>0</v>
      </c>
      <c r="C9" s="233">
        <v>0</v>
      </c>
      <c r="D9" s="236">
        <v>0</v>
      </c>
      <c r="E9" s="231">
        <f t="shared" ref="E9:E15" si="1">E8-F9</f>
        <v>1470000</v>
      </c>
      <c r="F9" s="233">
        <v>245000</v>
      </c>
      <c r="G9" s="236">
        <v>20000</v>
      </c>
      <c r="H9" s="231">
        <v>1057643</v>
      </c>
      <c r="I9" s="229">
        <v>690706</v>
      </c>
      <c r="J9" s="232">
        <v>20000</v>
      </c>
      <c r="K9" s="231">
        <f t="shared" si="0"/>
        <v>2527643</v>
      </c>
      <c r="L9" s="233">
        <f t="shared" si="0"/>
        <v>935706</v>
      </c>
      <c r="M9" s="234">
        <f t="shared" si="0"/>
        <v>40000</v>
      </c>
    </row>
    <row r="10" spans="1:13" ht="16.5" customHeight="1" x14ac:dyDescent="0.2">
      <c r="A10" s="228">
        <v>2020</v>
      </c>
      <c r="B10" s="229">
        <v>0</v>
      </c>
      <c r="C10" s="229">
        <v>0</v>
      </c>
      <c r="D10" s="230">
        <v>0</v>
      </c>
      <c r="E10" s="231">
        <f t="shared" si="1"/>
        <v>1225000</v>
      </c>
      <c r="F10" s="229">
        <v>245000</v>
      </c>
      <c r="G10" s="230">
        <v>19000</v>
      </c>
      <c r="H10" s="231">
        <v>0</v>
      </c>
      <c r="I10" s="229">
        <v>1461944.851</v>
      </c>
      <c r="J10" s="232">
        <v>16000</v>
      </c>
      <c r="K10" s="231">
        <f t="shared" si="0"/>
        <v>1225000</v>
      </c>
      <c r="L10" s="233">
        <f t="shared" si="0"/>
        <v>1706944.851</v>
      </c>
      <c r="M10" s="234">
        <f t="shared" si="0"/>
        <v>35000</v>
      </c>
    </row>
    <row r="11" spans="1:13" ht="16.5" customHeight="1" x14ac:dyDescent="0.2">
      <c r="A11" s="228">
        <v>2021</v>
      </c>
      <c r="B11" s="229">
        <v>0</v>
      </c>
      <c r="C11" s="229">
        <v>0</v>
      </c>
      <c r="D11" s="230">
        <v>0</v>
      </c>
      <c r="E11" s="231">
        <f t="shared" si="1"/>
        <v>980000</v>
      </c>
      <c r="F11" s="229">
        <v>245000</v>
      </c>
      <c r="G11" s="230">
        <v>16000</v>
      </c>
      <c r="H11" s="231">
        <v>0</v>
      </c>
      <c r="I11" s="229">
        <v>0</v>
      </c>
      <c r="J11" s="232">
        <v>0</v>
      </c>
      <c r="K11" s="231">
        <f t="shared" si="0"/>
        <v>980000</v>
      </c>
      <c r="L11" s="233">
        <f t="shared" si="0"/>
        <v>245000</v>
      </c>
      <c r="M11" s="234">
        <f t="shared" si="0"/>
        <v>16000</v>
      </c>
    </row>
    <row r="12" spans="1:13" ht="16.5" customHeight="1" x14ac:dyDescent="0.2">
      <c r="A12" s="228">
        <v>2022</v>
      </c>
      <c r="B12" s="229">
        <v>0</v>
      </c>
      <c r="C12" s="229">
        <v>0</v>
      </c>
      <c r="D12" s="230">
        <v>0</v>
      </c>
      <c r="E12" s="231">
        <f t="shared" si="1"/>
        <v>735000</v>
      </c>
      <c r="F12" s="229">
        <v>245000</v>
      </c>
      <c r="G12" s="230">
        <v>14000</v>
      </c>
      <c r="H12" s="231">
        <v>0</v>
      </c>
      <c r="I12" s="229">
        <v>0</v>
      </c>
      <c r="J12" s="232">
        <v>0</v>
      </c>
      <c r="K12" s="231">
        <f t="shared" si="0"/>
        <v>735000</v>
      </c>
      <c r="L12" s="233">
        <f t="shared" si="0"/>
        <v>245000</v>
      </c>
      <c r="M12" s="234">
        <f t="shared" si="0"/>
        <v>14000</v>
      </c>
    </row>
    <row r="13" spans="1:13" ht="16.5" customHeight="1" x14ac:dyDescent="0.2">
      <c r="A13" s="228">
        <v>2023</v>
      </c>
      <c r="B13" s="229">
        <v>0</v>
      </c>
      <c r="C13" s="229">
        <v>0</v>
      </c>
      <c r="D13" s="230">
        <v>0</v>
      </c>
      <c r="E13" s="231">
        <f t="shared" si="1"/>
        <v>490000</v>
      </c>
      <c r="F13" s="229">
        <v>245000</v>
      </c>
      <c r="G13" s="230">
        <v>10000</v>
      </c>
      <c r="H13" s="231">
        <v>0</v>
      </c>
      <c r="I13" s="229">
        <v>0</v>
      </c>
      <c r="J13" s="232">
        <v>0</v>
      </c>
      <c r="K13" s="231">
        <f t="shared" si="0"/>
        <v>490000</v>
      </c>
      <c r="L13" s="233">
        <f t="shared" si="0"/>
        <v>245000</v>
      </c>
      <c r="M13" s="234">
        <f t="shared" si="0"/>
        <v>10000</v>
      </c>
    </row>
    <row r="14" spans="1:13" ht="16.5" customHeight="1" x14ac:dyDescent="0.2">
      <c r="A14" s="228">
        <v>2024</v>
      </c>
      <c r="B14" s="229">
        <v>0</v>
      </c>
      <c r="C14" s="229">
        <v>0</v>
      </c>
      <c r="D14" s="230">
        <v>0</v>
      </c>
      <c r="E14" s="231">
        <f t="shared" si="1"/>
        <v>245000</v>
      </c>
      <c r="F14" s="229">
        <v>245000</v>
      </c>
      <c r="G14" s="230">
        <v>8000</v>
      </c>
      <c r="H14" s="231">
        <v>0</v>
      </c>
      <c r="I14" s="229">
        <v>0</v>
      </c>
      <c r="J14" s="232">
        <v>0</v>
      </c>
      <c r="K14" s="231">
        <f t="shared" si="0"/>
        <v>245000</v>
      </c>
      <c r="L14" s="233">
        <f t="shared" si="0"/>
        <v>245000</v>
      </c>
      <c r="M14" s="234">
        <f t="shared" si="0"/>
        <v>8000</v>
      </c>
    </row>
    <row r="15" spans="1:13" ht="16.5" customHeight="1" thickBot="1" x14ac:dyDescent="0.25">
      <c r="A15" s="237">
        <v>2025</v>
      </c>
      <c r="B15" s="238">
        <v>0</v>
      </c>
      <c r="C15" s="238">
        <v>0</v>
      </c>
      <c r="D15" s="239">
        <v>0</v>
      </c>
      <c r="E15" s="240">
        <f t="shared" si="1"/>
        <v>0</v>
      </c>
      <c r="F15" s="238">
        <v>245000</v>
      </c>
      <c r="G15" s="239">
        <v>4000</v>
      </c>
      <c r="H15" s="240">
        <v>0</v>
      </c>
      <c r="I15" s="238">
        <v>0</v>
      </c>
      <c r="J15" s="241">
        <v>0</v>
      </c>
      <c r="K15" s="240">
        <f t="shared" si="0"/>
        <v>0</v>
      </c>
      <c r="L15" s="238">
        <f t="shared" si="0"/>
        <v>245000</v>
      </c>
      <c r="M15" s="241">
        <f t="shared" si="0"/>
        <v>4000</v>
      </c>
    </row>
  </sheetData>
  <mergeCells count="5">
    <mergeCell ref="A3:M3"/>
    <mergeCell ref="B6:D6"/>
    <mergeCell ref="E6:G6"/>
    <mergeCell ref="H6:J6"/>
    <mergeCell ref="K6:M6"/>
  </mergeCells>
  <pageMargins left="0.78740157480314965" right="0.78740157480314965" top="0.98425196850393704" bottom="0.98425196850393704" header="0.51181102362204722" footer="0.51181102362204722"/>
  <pageSetup paperSize="9" scale="68" firstPageNumber="30" fitToHeight="0" orientation="portrait" useFirstPageNumber="1" r:id="rId1"/>
  <headerFooter>
    <oddHeader>&amp;L&amp;"Tahoma,Kurzíva"Střednědobý výhled rozpočtu kraje na léta 2019 - 2021
Příloha č. 13&amp;R&amp;"Tahoma,Kurzíva"Přehled splácení jistiny a úroků z úvěrů čerpaných Moravskoslezským krajem</oddHeader>
    <oddFooter>&amp;C&amp;"Tahoma,Obyčejné"&amp;P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11</vt:i4>
      </vt:variant>
    </vt:vector>
  </HeadingPairs>
  <TitlesOfParts>
    <vt:vector size="21" baseType="lpstr">
      <vt:lpstr>seznam</vt:lpstr>
      <vt:lpstr>Tab. 1</vt:lpstr>
      <vt:lpstr>Tab. 1 VÝDAJE</vt:lpstr>
      <vt:lpstr>Tab. 2</vt:lpstr>
      <vt:lpstr>Tab. 3 </vt:lpstr>
      <vt:lpstr>Tab. 4</vt:lpstr>
      <vt:lpstr>Tab. 5</vt:lpstr>
      <vt:lpstr>Tab. 6</vt:lpstr>
      <vt:lpstr>Tab. 7</vt:lpstr>
      <vt:lpstr>Tab. 8</vt:lpstr>
      <vt:lpstr>'Tab. 1'!Názvy_tisku</vt:lpstr>
      <vt:lpstr>'Tab. 1 VÝDAJE'!Názvy_tisku</vt:lpstr>
      <vt:lpstr>'Tab. 2'!Názvy_tisku</vt:lpstr>
      <vt:lpstr>'Tab. 3 '!Názvy_tisku</vt:lpstr>
      <vt:lpstr>'Tab. 4'!Názvy_tisku</vt:lpstr>
      <vt:lpstr>'Tab. 5'!Názvy_tisku</vt:lpstr>
      <vt:lpstr>'Tab. 6'!Názvy_tisku</vt:lpstr>
      <vt:lpstr>'Tab. 1'!Oblast_tisku</vt:lpstr>
      <vt:lpstr>'Tab. 4'!Oblast_tisku</vt:lpstr>
      <vt:lpstr>'Tab. 6'!Oblast_tisku</vt:lpstr>
      <vt:lpstr>'Tab. 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2017-11-28T15:10:09Z</cp:lastPrinted>
  <dcterms:created xsi:type="dcterms:W3CDTF">2015-11-13T16:09:39Z</dcterms:created>
  <dcterms:modified xsi:type="dcterms:W3CDTF">2017-11-28T15:13:16Z</dcterms:modified>
</cp:coreProperties>
</file>