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1-Mat. do ZK\MAT do ZK-prac\"/>
    </mc:Choice>
  </mc:AlternateContent>
  <bookViews>
    <workbookView xWindow="480" yWindow="240" windowWidth="27795" windowHeight="12465" tabRatio="837"/>
  </bookViews>
  <sheets>
    <sheet name="seznam" sheetId="3" r:id="rId1"/>
    <sheet name="Tab. 1" sheetId="19" r:id="rId2"/>
    <sheet name="Tab. 1 VÝDAJE" sheetId="20" r:id="rId3"/>
    <sheet name="Tab. 2" sheetId="21" r:id="rId4"/>
    <sheet name="Tab. 3" sheetId="22" r:id="rId5"/>
    <sheet name="Tab. 4" sheetId="23" r:id="rId6"/>
    <sheet name="Tab. 5" sheetId="24" r:id="rId7"/>
    <sheet name="Tab. 6" sheetId="25" r:id="rId8"/>
    <sheet name="Tab. 7" sheetId="26" r:id="rId9"/>
    <sheet name="Tab. 8" sheetId="27" r:id="rId10"/>
  </sheets>
  <definedNames>
    <definedName name="_xlnm._FilterDatabase" localSheetId="3" hidden="1">'Tab. 2'!$A$29:$E$60</definedName>
    <definedName name="_xlnm._FilterDatabase" localSheetId="4" hidden="1">'Tab. 3'!$A$4:$G$104</definedName>
    <definedName name="_xlnm.Print_Titles" localSheetId="1">'Tab. 1'!$5:$5</definedName>
    <definedName name="_xlnm.Print_Titles" localSheetId="2">'Tab. 1 VÝDAJE'!$1:$2</definedName>
    <definedName name="_xlnm.Print_Titles" localSheetId="3">'Tab. 2'!$3:$4</definedName>
    <definedName name="_xlnm.Print_Titles" localSheetId="4">'Tab. 3'!$3:$5</definedName>
    <definedName name="_xlnm.Print_Titles" localSheetId="5">'Tab. 4'!$3:$5</definedName>
    <definedName name="_xlnm.Print_Titles" localSheetId="6">'Tab. 5'!$3:$5</definedName>
    <definedName name="_xlnm.Print_Titles" localSheetId="7">'Tab. 6'!$5:$7</definedName>
    <definedName name="_xlnm.Print_Area" localSheetId="1">'Tab. 1'!$A$1:$H$63</definedName>
    <definedName name="_xlnm.Print_Area" localSheetId="3">'Tab. 2'!$A$1:$F$64</definedName>
    <definedName name="_xlnm.Print_Area" localSheetId="5">'Tab. 4'!$A$1:$H$49</definedName>
    <definedName name="_xlnm.Print_Area" localSheetId="6">'Tab. 5'!$A$1:$G$104</definedName>
    <definedName name="_xlnm.Print_Area" localSheetId="7">'Tab. 6'!$A$1:$I$66</definedName>
    <definedName name="_xlnm.Print_Area" localSheetId="9">'Tab. 8'!$A$1:$H$50</definedName>
    <definedName name="Z_011A6C4B_2327_4720_A085_B414162D3D4F_.wvu.PrintTitles" localSheetId="3" hidden="1">'Tab. 2'!$3:$3</definedName>
    <definedName name="Z_101071BA_2FA5_4A0F_9E83_07DE84746187_.wvu.PrintArea" localSheetId="1" hidden="1">'Tab. 1'!$A$1:$H$61</definedName>
    <definedName name="Z_101071BA_2FA5_4A0F_9E83_07DE84746187_.wvu.PrintTitles" localSheetId="1" hidden="1">'Tab. 1'!$5:$5</definedName>
    <definedName name="Z_101071BA_2FA5_4A0F_9E83_07DE84746187_.wvu.PrintTitles" localSheetId="2" hidden="1">'Tab. 1 VÝDAJE'!$1:$2</definedName>
    <definedName name="Z_101071BA_2FA5_4A0F_9E83_07DE84746187_.wvu.Rows" localSheetId="1" hidden="1">'Tab. 1'!$24:$24</definedName>
    <definedName name="Z_101071BA_2FA5_4A0F_9E83_07DE84746187_.wvu.Rows" localSheetId="2" hidden="1">'Tab. 1 VÝDAJE'!$72:$75</definedName>
    <definedName name="Z_45C5CFB9_158D_4F03_A633_881DCDF96A2D_.wvu.PrintArea" localSheetId="7" hidden="1">'Tab. 6'!$A$1:$H$65</definedName>
    <definedName name="Z_45C5CFB9_158D_4F03_A633_881DCDF96A2D_.wvu.PrintTitles" localSheetId="7" hidden="1">'Tab. 6'!$5:$7</definedName>
    <definedName name="Z_45C5CFB9_158D_4F03_A633_881DCDF96A2D_.wvu.Rows" localSheetId="7" hidden="1">'Tab. 6'!#REF!,'Tab. 6'!#REF!</definedName>
    <definedName name="Z_49829188_FED5_46AD_A01B_AD023612A570_.wvu.Cols" localSheetId="1" hidden="1">'Tab. 1'!#REF!</definedName>
    <definedName name="Z_49829188_FED5_46AD_A01B_AD023612A570_.wvu.Cols" localSheetId="2" hidden="1">'Tab. 1 VÝDAJE'!#REF!</definedName>
    <definedName name="Z_49829188_FED5_46AD_A01B_AD023612A570_.wvu.PrintArea" localSheetId="1" hidden="1">'Tab. 1'!$A$5:$A$33</definedName>
    <definedName name="Z_49829188_FED5_46AD_A01B_AD023612A570_.wvu.PrintArea" localSheetId="2" hidden="1">'Tab. 1 VÝDAJE'!#REF!</definedName>
    <definedName name="Z_49829188_FED5_46AD_A01B_AD023612A570_.wvu.Rows" localSheetId="1" hidden="1">'Tab. 1'!#REF!</definedName>
    <definedName name="Z_49829188_FED5_46AD_A01B_AD023612A570_.wvu.Rows" localSheetId="2" hidden="1">'Tab. 1 VÝDAJE'!#REF!</definedName>
    <definedName name="Z_5B91070D_F9B9_4820_9E86_BB01741C4EA5_.wvu.PrintArea" localSheetId="7" hidden="1">'Tab. 6'!$A$1:$H$67</definedName>
    <definedName name="Z_5B91070D_F9B9_4820_9E86_BB01741C4EA5_.wvu.PrintTitles" localSheetId="7" hidden="1">'Tab. 6'!$5:$7</definedName>
    <definedName name="Z_5DB6203E_29E2_4B15_9753_B7E7D9EC8456_.wvu.PrintArea" localSheetId="7" hidden="1">'Tab. 6'!$A$1:$H$67</definedName>
    <definedName name="Z_5DB6203E_29E2_4B15_9753_B7E7D9EC8456_.wvu.PrintTitles" localSheetId="7" hidden="1">'Tab. 6'!$5:$7</definedName>
    <definedName name="Z_5DB6203E_29E2_4B15_9753_B7E7D9EC8456_.wvu.Rows" localSheetId="7" hidden="1">'Tab. 6'!#REF!,'Tab. 6'!#REF!</definedName>
    <definedName name="Z_6043CA5C_3C88_42F1_8743_AE7C341B6A5D_.wvu.PrintTitles" localSheetId="7" hidden="1">'Tab. 6'!$6:$7</definedName>
    <definedName name="Z_6773646E_4FE1_4144_9FDF_4FF97C20B4A9_.wvu.PrintArea" localSheetId="1" hidden="1">'Tab. 1'!$A$5:$C$33</definedName>
    <definedName name="Z_6773646E_4FE1_4144_9FDF_4FF97C20B4A9_.wvu.PrintArea" localSheetId="2" hidden="1">'Tab. 1 VÝDAJE'!#REF!</definedName>
    <definedName name="Z_6773646E_4FE1_4144_9FDF_4FF97C20B4A9_.wvu.Rows" localSheetId="1" hidden="1">'Tab. 1'!$24:$24</definedName>
    <definedName name="Z_6773646E_4FE1_4144_9FDF_4FF97C20B4A9_.wvu.Rows" localSheetId="2" hidden="1">'Tab. 1 VÝDAJE'!#REF!</definedName>
    <definedName name="Z_BCCA6061_3DB5_4487_907E_7813A1F1537A_.wvu.PrintArea" localSheetId="1" hidden="1">'Tab. 1'!$A$5:$C$33</definedName>
    <definedName name="Z_BCCA6061_3DB5_4487_907E_7813A1F1537A_.wvu.PrintArea" localSheetId="2" hidden="1">'Tab. 1 VÝDAJE'!#REF!</definedName>
    <definedName name="Z_BCCA6061_3DB5_4487_907E_7813A1F1537A_.wvu.Rows" localSheetId="1" hidden="1">'Tab. 1'!$24:$24</definedName>
    <definedName name="Z_BCCA6061_3DB5_4487_907E_7813A1F1537A_.wvu.Rows" localSheetId="2" hidden="1">'Tab. 1 VÝDAJE'!#REF!</definedName>
    <definedName name="Z_C2C9F2E1_638E_40AC_851E_1591296A9463_.wvu.PrintTitles" localSheetId="7" hidden="1">'Tab. 6'!$6:$7</definedName>
    <definedName name="Z_E5D11231_1473_4685_9500_D27714D32333_.wvu.Cols" localSheetId="1" hidden="1">'Tab. 1'!#REF!</definedName>
    <definedName name="Z_E5D11231_1473_4685_9500_D27714D32333_.wvu.Cols" localSheetId="2" hidden="1">'Tab. 1 VÝDAJE'!#REF!</definedName>
    <definedName name="Z_E5D11231_1473_4685_9500_D27714D32333_.wvu.Rows" localSheetId="1" hidden="1">'Tab. 1'!#REF!</definedName>
    <definedName name="Z_E5D11231_1473_4685_9500_D27714D32333_.wvu.Rows" localSheetId="2" hidden="1">'Tab. 1 VÝDAJE'!#REF!</definedName>
  </definedNames>
  <calcPr calcId="152511"/>
  <customWorkbookViews>
    <customWorkbookView name="Metelka Tomáš – osobní zobrazení" guid="{101071BA-2FA5-4A0F-9E83-07DE84746187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C48" i="27" l="1"/>
  <c r="H47" i="27"/>
  <c r="H48" i="27" s="1"/>
  <c r="G47" i="27"/>
  <c r="G48" i="27" s="1"/>
  <c r="F47" i="27"/>
  <c r="F48" i="27" s="1"/>
  <c r="E47" i="27"/>
  <c r="E48" i="27" s="1"/>
  <c r="D47" i="27"/>
  <c r="D48" i="27" s="1"/>
  <c r="H34" i="27"/>
  <c r="G34" i="27"/>
  <c r="F34" i="27"/>
  <c r="E34" i="27"/>
  <c r="D34" i="27"/>
  <c r="C34" i="27"/>
  <c r="H31" i="27"/>
  <c r="G31" i="27"/>
  <c r="F31" i="27"/>
  <c r="E31" i="27"/>
  <c r="D31" i="27"/>
  <c r="C31" i="27"/>
  <c r="H27" i="27"/>
  <c r="G27" i="27"/>
  <c r="F27" i="27"/>
  <c r="E27" i="27"/>
  <c r="D27" i="27"/>
  <c r="C27" i="27"/>
  <c r="H21" i="27"/>
  <c r="G21" i="27"/>
  <c r="F21" i="27"/>
  <c r="E21" i="27"/>
  <c r="D21" i="27"/>
  <c r="C21" i="27"/>
  <c r="H20" i="27"/>
  <c r="G20" i="27"/>
  <c r="F20" i="27"/>
  <c r="E20" i="27"/>
  <c r="D20" i="27"/>
  <c r="C20" i="27"/>
  <c r="H19" i="27"/>
  <c r="G19" i="27"/>
  <c r="F19" i="27"/>
  <c r="E19" i="27"/>
  <c r="D19" i="27"/>
  <c r="C19" i="27"/>
  <c r="H10" i="27"/>
  <c r="H12" i="27" s="1"/>
  <c r="G10" i="27"/>
  <c r="G12" i="27" s="1"/>
  <c r="F10" i="27"/>
  <c r="F12" i="27" s="1"/>
  <c r="E10" i="27"/>
  <c r="E12" i="27" s="1"/>
  <c r="D10" i="27"/>
  <c r="D12" i="27" s="1"/>
  <c r="C10" i="27"/>
  <c r="C12" i="27" s="1"/>
  <c r="G22" i="27" l="1"/>
  <c r="G36" i="27" s="1"/>
  <c r="G40" i="27" s="1"/>
  <c r="C22" i="27"/>
  <c r="C36" i="27" s="1"/>
  <c r="C40" i="27" s="1"/>
  <c r="E22" i="27"/>
  <c r="E36" i="27" s="1"/>
  <c r="E40" i="27" s="1"/>
  <c r="C39" i="27"/>
  <c r="F22" i="27"/>
  <c r="F36" i="27" s="1"/>
  <c r="F40" i="27" s="1"/>
  <c r="C38" i="27"/>
  <c r="G38" i="27"/>
  <c r="G39" i="27"/>
  <c r="D22" i="27"/>
  <c r="D36" i="27" s="1"/>
  <c r="D40" i="27" s="1"/>
  <c r="H22" i="27"/>
  <c r="H36" i="27" s="1"/>
  <c r="H40" i="27" s="1"/>
  <c r="E39" i="27"/>
  <c r="E38" i="27"/>
  <c r="H38" i="27" l="1"/>
  <c r="H39" i="27"/>
  <c r="F38" i="27"/>
  <c r="D39" i="27"/>
  <c r="D38" i="27"/>
  <c r="F39" i="27"/>
  <c r="M14" i="26" l="1"/>
  <c r="L14" i="26"/>
  <c r="M13" i="26"/>
  <c r="L13" i="26"/>
  <c r="M12" i="26"/>
  <c r="L12" i="26"/>
  <c r="M11" i="26"/>
  <c r="L11" i="26"/>
  <c r="M10" i="26"/>
  <c r="I10" i="26"/>
  <c r="L10" i="26" s="1"/>
  <c r="M9" i="26"/>
  <c r="L9" i="26"/>
  <c r="B9" i="26"/>
  <c r="B10" i="26" s="1"/>
  <c r="M8" i="26"/>
  <c r="L8" i="26"/>
  <c r="K8" i="26"/>
  <c r="K10" i="26" l="1"/>
  <c r="B11" i="26"/>
  <c r="K9" i="26"/>
  <c r="K11" i="26" l="1"/>
  <c r="B12" i="26"/>
  <c r="K12" i="26" l="1"/>
  <c r="B13" i="26"/>
  <c r="K13" i="26" l="1"/>
  <c r="B14" i="26"/>
  <c r="K14" i="26" s="1"/>
  <c r="I34" i="25" l="1"/>
  <c r="F65" i="25"/>
  <c r="I63" i="25"/>
  <c r="H63" i="25"/>
  <c r="G63" i="25"/>
  <c r="F63" i="25"/>
  <c r="H53" i="25"/>
  <c r="G53" i="25"/>
  <c r="F53" i="25"/>
  <c r="I52" i="25"/>
  <c r="I53" i="25" s="1"/>
  <c r="H50" i="25"/>
  <c r="G50" i="25"/>
  <c r="F50" i="25"/>
  <c r="I49" i="25"/>
  <c r="I46" i="25"/>
  <c r="I45" i="25"/>
  <c r="H43" i="25"/>
  <c r="G43" i="25"/>
  <c r="F43" i="25"/>
  <c r="I42" i="25"/>
  <c r="I41" i="25"/>
  <c r="I39" i="25"/>
  <c r="I38" i="25"/>
  <c r="H35" i="25"/>
  <c r="G35" i="25"/>
  <c r="F35" i="25"/>
  <c r="I35" i="25"/>
  <c r="I32" i="25"/>
  <c r="H32" i="25"/>
  <c r="G32" i="25"/>
  <c r="F32" i="25"/>
  <c r="H29" i="25"/>
  <c r="G29" i="25"/>
  <c r="F29" i="25"/>
  <c r="I28" i="25"/>
  <c r="I26" i="25"/>
  <c r="I23" i="25"/>
  <c r="I29" i="25" s="1"/>
  <c r="I19" i="25"/>
  <c r="H19" i="25"/>
  <c r="G19" i="25"/>
  <c r="F19" i="25"/>
  <c r="H15" i="25"/>
  <c r="G15" i="25"/>
  <c r="F15" i="25"/>
  <c r="I13" i="25"/>
  <c r="I15" i="25" s="1"/>
  <c r="I11" i="25"/>
  <c r="H11" i="25"/>
  <c r="G11" i="25"/>
  <c r="F11" i="25"/>
  <c r="G65" i="25" l="1"/>
  <c r="I43" i="25"/>
  <c r="I50" i="25"/>
  <c r="I65" i="25" s="1"/>
  <c r="H65" i="25"/>
  <c r="C104" i="24" l="1"/>
  <c r="F102" i="24"/>
  <c r="E102" i="24"/>
  <c r="D102" i="24"/>
  <c r="C102" i="24"/>
  <c r="B102" i="24"/>
  <c r="F95" i="24"/>
  <c r="E95" i="24"/>
  <c r="D95" i="24"/>
  <c r="C95" i="24"/>
  <c r="B94" i="24"/>
  <c r="B93" i="24"/>
  <c r="B95" i="24" s="1"/>
  <c r="F91" i="24"/>
  <c r="E91" i="24"/>
  <c r="D91" i="24"/>
  <c r="C91" i="24"/>
  <c r="B90" i="24"/>
  <c r="B89" i="24"/>
  <c r="B88" i="24"/>
  <c r="B87" i="24"/>
  <c r="F85" i="24"/>
  <c r="E85" i="24"/>
  <c r="D85" i="24"/>
  <c r="C85" i="24"/>
  <c r="B84" i="24"/>
  <c r="B85" i="24" s="1"/>
  <c r="F63" i="24"/>
  <c r="E63" i="24"/>
  <c r="D63" i="24"/>
  <c r="C63" i="24"/>
  <c r="B62" i="24"/>
  <c r="B63" i="24" s="1"/>
  <c r="F82" i="24"/>
  <c r="E82" i="24"/>
  <c r="D82" i="24"/>
  <c r="C82" i="24"/>
  <c r="B81" i="24"/>
  <c r="B82" i="24" s="1"/>
  <c r="F79" i="24"/>
  <c r="E79" i="24"/>
  <c r="D79" i="24"/>
  <c r="C79" i="24"/>
  <c r="B78" i="24"/>
  <c r="B77" i="24"/>
  <c r="B76" i="24"/>
  <c r="B75" i="24"/>
  <c r="B74" i="24"/>
  <c r="B73" i="24"/>
  <c r="F71" i="24"/>
  <c r="E71" i="24"/>
  <c r="D71" i="24"/>
  <c r="C71" i="24"/>
  <c r="B70" i="24"/>
  <c r="B69" i="24"/>
  <c r="B68" i="24"/>
  <c r="B67" i="24"/>
  <c r="B71" i="24" s="1"/>
  <c r="B66" i="24"/>
  <c r="B65" i="24"/>
  <c r="F60" i="24"/>
  <c r="E60" i="24"/>
  <c r="D60" i="24"/>
  <c r="C60" i="24"/>
  <c r="B59" i="24"/>
  <c r="B58" i="24"/>
  <c r="B60" i="24" s="1"/>
  <c r="F56" i="24"/>
  <c r="E56" i="24"/>
  <c r="D56" i="24"/>
  <c r="C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F24" i="24"/>
  <c r="E24" i="24"/>
  <c r="D24" i="24"/>
  <c r="C24" i="24"/>
  <c r="B23" i="24"/>
  <c r="B22" i="24"/>
  <c r="B21" i="24"/>
  <c r="B20" i="24"/>
  <c r="B19" i="24"/>
  <c r="B18" i="24"/>
  <c r="B17" i="24"/>
  <c r="B16" i="24"/>
  <c r="B15" i="24"/>
  <c r="B14" i="24"/>
  <c r="B13" i="24"/>
  <c r="F11" i="24"/>
  <c r="E11" i="24"/>
  <c r="D11" i="24"/>
  <c r="D104" i="24" s="1"/>
  <c r="C11" i="24"/>
  <c r="B10" i="24"/>
  <c r="B9" i="24"/>
  <c r="B8" i="24"/>
  <c r="B7" i="24"/>
  <c r="B91" i="24" l="1"/>
  <c r="F104" i="24"/>
  <c r="B79" i="24"/>
  <c r="E104" i="24"/>
  <c r="B56" i="24"/>
  <c r="B11" i="24"/>
  <c r="B104" i="24" s="1"/>
  <c r="B24" i="24"/>
  <c r="G49" i="23" l="1"/>
  <c r="G47" i="23"/>
  <c r="F47" i="23"/>
  <c r="E47" i="23"/>
  <c r="E49" i="23" s="1"/>
  <c r="D47" i="23"/>
  <c r="D49" i="23" s="1"/>
  <c r="C46" i="23"/>
  <c r="C45" i="23"/>
  <c r="C44" i="23"/>
  <c r="C43" i="23"/>
  <c r="C42" i="23"/>
  <c r="C41" i="23"/>
  <c r="C40" i="23"/>
  <c r="C39" i="23"/>
  <c r="C47" i="23" s="1"/>
  <c r="G37" i="23"/>
  <c r="F37" i="23"/>
  <c r="F49" i="23" s="1"/>
  <c r="E37" i="23"/>
  <c r="D37" i="23"/>
  <c r="C36" i="23"/>
  <c r="C35" i="23"/>
  <c r="C34" i="23"/>
  <c r="C33" i="23"/>
  <c r="C32" i="23"/>
  <c r="C31" i="23"/>
  <c r="C37" i="23" s="1"/>
  <c r="G29" i="23"/>
  <c r="F29" i="23"/>
  <c r="E29" i="23"/>
  <c r="D29" i="23"/>
  <c r="C28" i="23"/>
  <c r="C27" i="23"/>
  <c r="C26" i="23"/>
  <c r="C29" i="23" s="1"/>
  <c r="G24" i="23"/>
  <c r="F24" i="23"/>
  <c r="E24" i="23"/>
  <c r="D24" i="23"/>
  <c r="C23" i="23"/>
  <c r="C22" i="23"/>
  <c r="C21" i="23"/>
  <c r="C20" i="23"/>
  <c r="C19" i="23"/>
  <c r="C18" i="23"/>
  <c r="C17" i="23"/>
  <c r="C16" i="23"/>
  <c r="C24" i="23" s="1"/>
  <c r="G14" i="23"/>
  <c r="F14" i="23"/>
  <c r="E14" i="23"/>
  <c r="D14" i="23"/>
  <c r="C13" i="23"/>
  <c r="C12" i="23"/>
  <c r="C11" i="23"/>
  <c r="C10" i="23"/>
  <c r="C14" i="23" s="1"/>
  <c r="G8" i="23"/>
  <c r="F8" i="23"/>
  <c r="E8" i="23"/>
  <c r="D8" i="23"/>
  <c r="C7" i="23"/>
  <c r="C8" i="23" s="1"/>
  <c r="C49" i="23" l="1"/>
  <c r="B38" i="22" l="1"/>
  <c r="B32" i="22"/>
  <c r="F104" i="22"/>
  <c r="E104" i="22"/>
  <c r="D104" i="22"/>
  <c r="C104" i="22"/>
  <c r="B103" i="22"/>
  <c r="B102" i="22"/>
  <c r="B101" i="22"/>
  <c r="B100" i="22"/>
  <c r="B99" i="22"/>
  <c r="B98" i="22"/>
  <c r="B97" i="22"/>
  <c r="B96" i="22"/>
  <c r="B95" i="22"/>
  <c r="B94" i="22"/>
  <c r="F92" i="22"/>
  <c r="E92" i="22"/>
  <c r="D92" i="22"/>
  <c r="C92" i="22"/>
  <c r="B91" i="22"/>
  <c r="B90" i="22"/>
  <c r="B89" i="22"/>
  <c r="F87" i="22"/>
  <c r="E87" i="22"/>
  <c r="D87" i="22"/>
  <c r="C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F73" i="22"/>
  <c r="E73" i="22"/>
  <c r="D73" i="22"/>
  <c r="C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F52" i="22"/>
  <c r="E52" i="22"/>
  <c r="D52" i="22"/>
  <c r="C52" i="22"/>
  <c r="B51" i="22"/>
  <c r="B50" i="22"/>
  <c r="B49" i="22"/>
  <c r="F47" i="22"/>
  <c r="E47" i="22"/>
  <c r="D47" i="22"/>
  <c r="C47" i="22"/>
  <c r="B46" i="22"/>
  <c r="B45" i="22"/>
  <c r="B44" i="22"/>
  <c r="F42" i="22"/>
  <c r="E42" i="22"/>
  <c r="D42" i="22"/>
  <c r="C42" i="22"/>
  <c r="B41" i="22"/>
  <c r="B40" i="22"/>
  <c r="B39" i="22"/>
  <c r="B37" i="22"/>
  <c r="B42" i="22" s="1"/>
  <c r="F35" i="22"/>
  <c r="E35" i="22"/>
  <c r="D35" i="22"/>
  <c r="C35" i="22"/>
  <c r="B34" i="22"/>
  <c r="B33" i="22"/>
  <c r="B31" i="22"/>
  <c r="F29" i="22"/>
  <c r="E29" i="22"/>
  <c r="D29" i="22"/>
  <c r="C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F12" i="22"/>
  <c r="E12" i="22"/>
  <c r="D12" i="22"/>
  <c r="C12" i="22"/>
  <c r="B11" i="22"/>
  <c r="B10" i="22"/>
  <c r="F8" i="22"/>
  <c r="E8" i="22"/>
  <c r="D8" i="22"/>
  <c r="C8" i="22"/>
  <c r="B7" i="22"/>
  <c r="B8" i="22" s="1"/>
  <c r="B35" i="22" l="1"/>
  <c r="B73" i="22"/>
  <c r="B104" i="22"/>
  <c r="B52" i="22"/>
  <c r="B87" i="22"/>
  <c r="B92" i="22"/>
  <c r="E106" i="22"/>
  <c r="C106" i="22"/>
  <c r="B29" i="22"/>
  <c r="F106" i="22"/>
  <c r="D106" i="22"/>
  <c r="B12" i="22"/>
  <c r="B47" i="22"/>
  <c r="B106" i="22" l="1"/>
  <c r="F55" i="21" l="1"/>
  <c r="E55" i="21"/>
  <c r="D55" i="21"/>
  <c r="D54" i="21" s="1"/>
  <c r="C55" i="21"/>
  <c r="F54" i="21"/>
  <c r="E54" i="21"/>
  <c r="C54" i="21"/>
  <c r="F45" i="21"/>
  <c r="F32" i="21" s="1"/>
  <c r="F21" i="21" s="1"/>
  <c r="E45" i="21"/>
  <c r="E32" i="21" s="1"/>
  <c r="D45" i="21"/>
  <c r="D32" i="21" s="1"/>
  <c r="C32" i="21"/>
  <c r="F29" i="21"/>
  <c r="E29" i="21"/>
  <c r="E21" i="21" s="1"/>
  <c r="D29" i="21"/>
  <c r="C29" i="21"/>
  <c r="F25" i="21"/>
  <c r="E25" i="21"/>
  <c r="D25" i="21"/>
  <c r="C25" i="21"/>
  <c r="F23" i="21"/>
  <c r="E23" i="21"/>
  <c r="D23" i="21"/>
  <c r="C23" i="21"/>
  <c r="F18" i="21"/>
  <c r="E18" i="21"/>
  <c r="D18" i="21"/>
  <c r="F17" i="21"/>
  <c r="F13" i="21" s="1"/>
  <c r="E17" i="21"/>
  <c r="D17" i="21"/>
  <c r="D13" i="21" s="1"/>
  <c r="C15" i="21"/>
  <c r="C14" i="21"/>
  <c r="E13" i="21"/>
  <c r="F11" i="21"/>
  <c r="E11" i="21"/>
  <c r="D11" i="21"/>
  <c r="F10" i="21"/>
  <c r="E10" i="21"/>
  <c r="E7" i="21" s="1"/>
  <c r="D10" i="21"/>
  <c r="F7" i="21"/>
  <c r="C7" i="21"/>
  <c r="C13" i="21" l="1"/>
  <c r="D21" i="21"/>
  <c r="C21" i="21"/>
  <c r="D7" i="21"/>
  <c r="D5" i="21" s="1"/>
  <c r="D64" i="21" s="1"/>
  <c r="E5" i="21"/>
  <c r="E64" i="21" s="1"/>
  <c r="F5" i="21"/>
  <c r="F64" i="21" s="1"/>
  <c r="C5" i="21"/>
  <c r="C64" i="21" s="1"/>
  <c r="H68" i="20" l="1"/>
  <c r="G68" i="20"/>
  <c r="F68" i="20"/>
  <c r="H65" i="20"/>
  <c r="G65" i="20"/>
  <c r="F65" i="20"/>
  <c r="H64" i="20"/>
  <c r="G64" i="20"/>
  <c r="F64" i="20"/>
  <c r="H63" i="20"/>
  <c r="G63" i="20"/>
  <c r="F63" i="20"/>
  <c r="H62" i="20"/>
  <c r="G62" i="20"/>
  <c r="F62" i="20"/>
  <c r="H61" i="20"/>
  <c r="G61" i="20"/>
  <c r="F61" i="20"/>
  <c r="H60" i="20"/>
  <c r="G60" i="20"/>
  <c r="F60" i="20"/>
  <c r="H59" i="20"/>
  <c r="G59" i="20"/>
  <c r="F59" i="20"/>
  <c r="H58" i="20"/>
  <c r="G58" i="20"/>
  <c r="F58" i="20"/>
  <c r="H57" i="20"/>
  <c r="G57" i="20"/>
  <c r="F57" i="20"/>
  <c r="G56" i="20"/>
  <c r="F56" i="20"/>
  <c r="H55" i="20"/>
  <c r="G55" i="20"/>
  <c r="F55" i="20"/>
  <c r="E54" i="20"/>
  <c r="E22" i="19" s="1"/>
  <c r="D54" i="20"/>
  <c r="D22" i="19" s="1"/>
  <c r="C54" i="20"/>
  <c r="F54" i="20" s="1"/>
  <c r="B54" i="20"/>
  <c r="H52" i="20"/>
  <c r="H51" i="20"/>
  <c r="G51" i="20"/>
  <c r="F51" i="20"/>
  <c r="H50" i="20"/>
  <c r="G50" i="20"/>
  <c r="F50" i="20"/>
  <c r="H49" i="20"/>
  <c r="G49" i="20"/>
  <c r="F49" i="20"/>
  <c r="F48" i="20"/>
  <c r="H47" i="20"/>
  <c r="G47" i="20"/>
  <c r="F47" i="20"/>
  <c r="F46" i="20"/>
  <c r="H45" i="20"/>
  <c r="G45" i="20"/>
  <c r="F45" i="20"/>
  <c r="H44" i="20"/>
  <c r="G44" i="20"/>
  <c r="F44" i="20"/>
  <c r="E43" i="20"/>
  <c r="E42" i="20" s="1"/>
  <c r="D43" i="20"/>
  <c r="D42" i="20" s="1"/>
  <c r="C43" i="20"/>
  <c r="F43" i="20" s="1"/>
  <c r="B43" i="20"/>
  <c r="C42" i="20"/>
  <c r="F42" i="20" s="1"/>
  <c r="B42" i="20"/>
  <c r="H40" i="20"/>
  <c r="G40" i="20"/>
  <c r="F40" i="20"/>
  <c r="F38" i="20"/>
  <c r="H37" i="20"/>
  <c r="G37" i="20"/>
  <c r="F37" i="20"/>
  <c r="F36" i="20"/>
  <c r="E35" i="20"/>
  <c r="H35" i="20" s="1"/>
  <c r="D35" i="20"/>
  <c r="C35" i="20"/>
  <c r="G35" i="20" s="1"/>
  <c r="B35" i="20"/>
  <c r="F35" i="20" s="1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H29" i="20"/>
  <c r="G29" i="20"/>
  <c r="F29" i="20"/>
  <c r="E28" i="20"/>
  <c r="D28" i="20"/>
  <c r="H28" i="20" s="1"/>
  <c r="C28" i="20"/>
  <c r="G28" i="20" s="1"/>
  <c r="B28" i="20"/>
  <c r="E27" i="20"/>
  <c r="H27" i="20" s="1"/>
  <c r="D27" i="20"/>
  <c r="C27" i="20"/>
  <c r="G27" i="20" s="1"/>
  <c r="B27" i="20"/>
  <c r="F27" i="20" s="1"/>
  <c r="E26" i="20"/>
  <c r="H26" i="20" s="1"/>
  <c r="D26" i="20"/>
  <c r="G26" i="20" s="1"/>
  <c r="C26" i="20"/>
  <c r="B26" i="20"/>
  <c r="F26" i="20" s="1"/>
  <c r="H25" i="20"/>
  <c r="G25" i="20"/>
  <c r="F25" i="20"/>
  <c r="E24" i="20"/>
  <c r="D24" i="20"/>
  <c r="H24" i="20" s="1"/>
  <c r="C24" i="20"/>
  <c r="G24" i="20" s="1"/>
  <c r="B24" i="20"/>
  <c r="E23" i="20"/>
  <c r="H23" i="20" s="1"/>
  <c r="D23" i="20"/>
  <c r="C23" i="20"/>
  <c r="G23" i="20" s="1"/>
  <c r="B23" i="20"/>
  <c r="F23" i="20" s="1"/>
  <c r="E22" i="20"/>
  <c r="H22" i="20" s="1"/>
  <c r="D22" i="20"/>
  <c r="G22" i="20" s="1"/>
  <c r="C22" i="20"/>
  <c r="B22" i="20"/>
  <c r="F22" i="20" s="1"/>
  <c r="E21" i="20"/>
  <c r="D21" i="20"/>
  <c r="H21" i="20" s="1"/>
  <c r="C21" i="20"/>
  <c r="F21" i="20" s="1"/>
  <c r="B21" i="20"/>
  <c r="H20" i="20"/>
  <c r="G20" i="20"/>
  <c r="F20" i="20"/>
  <c r="F19" i="20"/>
  <c r="E19" i="20"/>
  <c r="H19" i="20" s="1"/>
  <c r="D19" i="20"/>
  <c r="C19" i="20"/>
  <c r="C14" i="20" s="1"/>
  <c r="B19" i="20"/>
  <c r="B14" i="20" s="1"/>
  <c r="E18" i="20"/>
  <c r="H18" i="20" s="1"/>
  <c r="D18" i="20"/>
  <c r="G18" i="20" s="1"/>
  <c r="C18" i="20"/>
  <c r="B18" i="20"/>
  <c r="F18" i="20" s="1"/>
  <c r="H17" i="20"/>
  <c r="G17" i="20"/>
  <c r="F17" i="20"/>
  <c r="H16" i="20"/>
  <c r="G16" i="20"/>
  <c r="F16" i="20"/>
  <c r="H15" i="20"/>
  <c r="G15" i="20"/>
  <c r="F15" i="20"/>
  <c r="E14" i="20"/>
  <c r="E18" i="19" s="1"/>
  <c r="H13" i="20"/>
  <c r="G13" i="20"/>
  <c r="F13" i="20"/>
  <c r="H12" i="20"/>
  <c r="G12" i="20"/>
  <c r="F12" i="20"/>
  <c r="H11" i="20"/>
  <c r="G11" i="20"/>
  <c r="F11" i="20"/>
  <c r="H10" i="20"/>
  <c r="G10" i="20"/>
  <c r="F10" i="20"/>
  <c r="H9" i="20"/>
  <c r="G9" i="20"/>
  <c r="F9" i="20"/>
  <c r="H8" i="20"/>
  <c r="G8" i="20"/>
  <c r="F8" i="20"/>
  <c r="H7" i="20"/>
  <c r="G7" i="20"/>
  <c r="F7" i="20"/>
  <c r="H6" i="20"/>
  <c r="G6" i="20"/>
  <c r="F6" i="20"/>
  <c r="H5" i="20"/>
  <c r="G5" i="20"/>
  <c r="F5" i="20"/>
  <c r="E4" i="20"/>
  <c r="E70" i="20" s="1"/>
  <c r="D4" i="20"/>
  <c r="C4" i="20"/>
  <c r="C70" i="20" s="1"/>
  <c r="B4" i="20"/>
  <c r="H3" i="20"/>
  <c r="G3" i="20"/>
  <c r="F3" i="20"/>
  <c r="H62" i="19"/>
  <c r="G62" i="19"/>
  <c r="F62" i="19"/>
  <c r="H61" i="19"/>
  <c r="G61" i="19"/>
  <c r="F61" i="19"/>
  <c r="H60" i="19"/>
  <c r="G60" i="19"/>
  <c r="F60" i="19"/>
  <c r="H59" i="19"/>
  <c r="G59" i="19"/>
  <c r="F59" i="19"/>
  <c r="H58" i="19"/>
  <c r="G58" i="19"/>
  <c r="F58" i="19"/>
  <c r="E57" i="19"/>
  <c r="D57" i="19"/>
  <c r="H57" i="19" s="1"/>
  <c r="C57" i="19"/>
  <c r="F57" i="19" s="1"/>
  <c r="B57" i="19"/>
  <c r="H56" i="19"/>
  <c r="G56" i="19"/>
  <c r="F56" i="19"/>
  <c r="H55" i="19"/>
  <c r="G55" i="19"/>
  <c r="F55" i="19"/>
  <c r="E54" i="19"/>
  <c r="E9" i="19" s="1"/>
  <c r="D54" i="19"/>
  <c r="D9" i="19" s="1"/>
  <c r="C54" i="19"/>
  <c r="F54" i="19" s="1"/>
  <c r="B54" i="19"/>
  <c r="H53" i="19"/>
  <c r="G53" i="19"/>
  <c r="F53" i="19"/>
  <c r="H52" i="19"/>
  <c r="G52" i="19"/>
  <c r="F52" i="19"/>
  <c r="H51" i="19"/>
  <c r="G51" i="19"/>
  <c r="F51" i="19"/>
  <c r="H50" i="19"/>
  <c r="G50" i="19"/>
  <c r="F50" i="19"/>
  <c r="H49" i="19"/>
  <c r="G49" i="19"/>
  <c r="F49" i="19"/>
  <c r="H48" i="19"/>
  <c r="G48" i="19"/>
  <c r="F48" i="19"/>
  <c r="H47" i="19"/>
  <c r="G47" i="19"/>
  <c r="F47" i="19"/>
  <c r="H46" i="19"/>
  <c r="G46" i="19"/>
  <c r="F46" i="19"/>
  <c r="G45" i="19"/>
  <c r="F45" i="19"/>
  <c r="H44" i="19"/>
  <c r="G44" i="19"/>
  <c r="F44" i="19"/>
  <c r="H43" i="19"/>
  <c r="G43" i="19"/>
  <c r="F43" i="19"/>
  <c r="G42" i="19"/>
  <c r="F42" i="19"/>
  <c r="G41" i="19"/>
  <c r="F41" i="19"/>
  <c r="F40" i="19"/>
  <c r="H39" i="19"/>
  <c r="G39" i="19"/>
  <c r="F39" i="19"/>
  <c r="H38" i="19"/>
  <c r="G38" i="19"/>
  <c r="F38" i="19"/>
  <c r="H37" i="19"/>
  <c r="G37" i="19"/>
  <c r="F37" i="19"/>
  <c r="E36" i="19"/>
  <c r="E8" i="19" s="1"/>
  <c r="E6" i="19" s="1"/>
  <c r="D36" i="19"/>
  <c r="G36" i="19" s="1"/>
  <c r="C36" i="19"/>
  <c r="B36" i="19"/>
  <c r="F36" i="19" s="1"/>
  <c r="H35" i="19"/>
  <c r="G35" i="19"/>
  <c r="F35" i="19"/>
  <c r="H34" i="19"/>
  <c r="G34" i="19"/>
  <c r="F34" i="19"/>
  <c r="H33" i="19"/>
  <c r="G33" i="19"/>
  <c r="F33" i="19"/>
  <c r="D32" i="19"/>
  <c r="G32" i="19" s="1"/>
  <c r="C32" i="19"/>
  <c r="F32" i="19" s="1"/>
  <c r="B32" i="19"/>
  <c r="E31" i="19"/>
  <c r="C31" i="19"/>
  <c r="C63" i="19" s="1"/>
  <c r="F63" i="19" s="1"/>
  <c r="B31" i="19"/>
  <c r="B63" i="19" s="1"/>
  <c r="E23" i="19"/>
  <c r="D23" i="19"/>
  <c r="C23" i="19"/>
  <c r="B23" i="19"/>
  <c r="C22" i="19"/>
  <c r="B22" i="19"/>
  <c r="C21" i="19"/>
  <c r="B21" i="19"/>
  <c r="D20" i="19"/>
  <c r="C20" i="19"/>
  <c r="E19" i="19"/>
  <c r="D19" i="19"/>
  <c r="C19" i="19"/>
  <c r="B19" i="19"/>
  <c r="E17" i="19"/>
  <c r="D17" i="19"/>
  <c r="C17" i="19"/>
  <c r="B17" i="19"/>
  <c r="E16" i="19"/>
  <c r="D16" i="19"/>
  <c r="C16" i="19"/>
  <c r="B16" i="19"/>
  <c r="E11" i="19"/>
  <c r="D11" i="19"/>
  <c r="C11" i="19"/>
  <c r="B11" i="19"/>
  <c r="E10" i="19"/>
  <c r="D10" i="19"/>
  <c r="C10" i="19"/>
  <c r="B10" i="19"/>
  <c r="C9" i="19"/>
  <c r="B9" i="19"/>
  <c r="D8" i="19"/>
  <c r="C8" i="19"/>
  <c r="B8" i="19"/>
  <c r="E7" i="19"/>
  <c r="C7" i="19"/>
  <c r="B7" i="19"/>
  <c r="C6" i="19"/>
  <c r="B6" i="19"/>
  <c r="B70" i="20" l="1"/>
  <c r="B18" i="19"/>
  <c r="B15" i="19" s="1"/>
  <c r="C15" i="19"/>
  <c r="C24" i="19" s="1"/>
  <c r="F14" i="20"/>
  <c r="C18" i="19"/>
  <c r="D21" i="19"/>
  <c r="G42" i="20"/>
  <c r="F70" i="20"/>
  <c r="B24" i="19"/>
  <c r="E21" i="19"/>
  <c r="H42" i="20"/>
  <c r="H54" i="19"/>
  <c r="G57" i="19"/>
  <c r="E63" i="19"/>
  <c r="G4" i="20"/>
  <c r="B20" i="19"/>
  <c r="F31" i="19"/>
  <c r="H32" i="19"/>
  <c r="H36" i="19"/>
  <c r="G54" i="19"/>
  <c r="F4" i="20"/>
  <c r="D14" i="20"/>
  <c r="H14" i="20"/>
  <c r="G21" i="20"/>
  <c r="F24" i="20"/>
  <c r="F28" i="20"/>
  <c r="G43" i="20"/>
  <c r="G54" i="20"/>
  <c r="H54" i="20"/>
  <c r="H43" i="20"/>
  <c r="D31" i="19"/>
  <c r="H4" i="20"/>
  <c r="G19" i="20"/>
  <c r="E20" i="19"/>
  <c r="E15" i="19" s="1"/>
  <c r="E24" i="19" s="1"/>
  <c r="H31" i="19" l="1"/>
  <c r="D7" i="19"/>
  <c r="D6" i="19" s="1"/>
  <c r="D63" i="19"/>
  <c r="G63" i="19" s="1"/>
  <c r="G31" i="19"/>
  <c r="G14" i="20"/>
  <c r="D18" i="19"/>
  <c r="D15" i="19" s="1"/>
  <c r="D70" i="20"/>
  <c r="G70" i="20" l="1"/>
  <c r="H70" i="20"/>
  <c r="D24" i="19"/>
  <c r="H63" i="19"/>
</calcChain>
</file>

<file path=xl/sharedStrings.xml><?xml version="1.0" encoding="utf-8"?>
<sst xmlns="http://schemas.openxmlformats.org/spreadsheetml/2006/main" count="932" uniqueCount="622">
  <si>
    <t>BILANCE v tis. Kč</t>
  </si>
  <si>
    <t xml:space="preserve">PŘÍJMY CELKEM </t>
  </si>
  <si>
    <t>Daňové příjmy</t>
  </si>
  <si>
    <t>Nedaňové příjmy</t>
  </si>
  <si>
    <t>Kapitálové příjmy</t>
  </si>
  <si>
    <t>FINANCOVÁNÍ CELKEM (další zdroje rozpočtu)</t>
  </si>
  <si>
    <t>x</t>
  </si>
  <si>
    <t>VÝDAJE CELKEM</t>
  </si>
  <si>
    <t>Běžné výdaje na zastupitelstvo kraje a krajský úřad</t>
  </si>
  <si>
    <t>Finance a správa majetku</t>
  </si>
  <si>
    <t>Příspěvek na provoz příspěvkovým organizacím</t>
  </si>
  <si>
    <t>SALDO ROZPOČTU CELKEM</t>
  </si>
  <si>
    <t>PŘÍJMY v tis. Kč</t>
  </si>
  <si>
    <t xml:space="preserve"> - příjmy ze sdílených daní celkem</t>
  </si>
  <si>
    <t xml:space="preserve"> - daň z příjmů právnických osob za kraj</t>
  </si>
  <si>
    <t xml:space="preserve"> - správní poplatky</t>
  </si>
  <si>
    <t xml:space="preserve"> - příjmy z úroků</t>
  </si>
  <si>
    <t xml:space="preserve"> - příspěvek od HMMC na zabezpečení úkolů jednotky požární ochrany </t>
  </si>
  <si>
    <t xml:space="preserve"> - poplatky za odběr podzemní vody</t>
  </si>
  <si>
    <t xml:space="preserve"> - příjmy z pronájmu majetku Letišti Ostrava a.s.</t>
  </si>
  <si>
    <t xml:space="preserve"> - příjmy z pronájmu nemocnice v Novém Jičíně</t>
  </si>
  <si>
    <t xml:space="preserve"> - příjmy z pronájmu prostor na krajském úřadě</t>
  </si>
  <si>
    <t xml:space="preserve"> - příjmy z pronájmu pozemků</t>
  </si>
  <si>
    <t xml:space="preserve"> - příjmy za věcná břemena</t>
  </si>
  <si>
    <t xml:space="preserve"> - ostatní nedaňové příjmy</t>
  </si>
  <si>
    <t xml:space="preserve"> - příjmy z prodeje nemovitostí</t>
  </si>
  <si>
    <t>Přijaté transfery</t>
  </si>
  <si>
    <t>VÝDAJE v tis. Kč</t>
  </si>
  <si>
    <t xml:space="preserve"> - platby daní</t>
  </si>
  <si>
    <t xml:space="preserve"> - hrazené úroky z úvěrů</t>
  </si>
  <si>
    <t xml:space="preserve"> - poplatky z bankovních účtů</t>
  </si>
  <si>
    <t xml:space="preserve"> - dotace Regionální radě regionu soudržnosti</t>
  </si>
  <si>
    <t xml:space="preserve"> - pojištění majetku a odpovědnosti kraje</t>
  </si>
  <si>
    <t xml:space="preserve"> - rezerva na mimořádné akce a akce s nedořešeným financováním</t>
  </si>
  <si>
    <t xml:space="preserve"> - výdaje související se sdílenými službami</t>
  </si>
  <si>
    <t xml:space="preserve"> - ostatní</t>
  </si>
  <si>
    <t xml:space="preserve"> - krizové řízení</t>
  </si>
  <si>
    <t xml:space="preserve"> - kultura</t>
  </si>
  <si>
    <t xml:space="preserve"> - prezentace kraje a ediční plán</t>
  </si>
  <si>
    <t xml:space="preserve"> - regionální rozvoj</t>
  </si>
  <si>
    <t xml:space="preserve"> - cestovní ruch</t>
  </si>
  <si>
    <t xml:space="preserve"> - sociální věci</t>
  </si>
  <si>
    <t xml:space="preserve"> - školství</t>
  </si>
  <si>
    <t xml:space="preserve"> - územní plánování a stavební řád</t>
  </si>
  <si>
    <t xml:space="preserve"> - zdravotnictví</t>
  </si>
  <si>
    <t xml:space="preserve"> - životní prostředí</t>
  </si>
  <si>
    <t xml:space="preserve">Reprodukce majetku kraje vyjma akcí spolufinancovaných z evr. fin. zdrojů </t>
  </si>
  <si>
    <t xml:space="preserve"> - finance a správa majetku</t>
  </si>
  <si>
    <t xml:space="preserve"> VÝDAJE CELKEM</t>
  </si>
  <si>
    <t>Pozn.</t>
  </si>
  <si>
    <t>SOUVISEJÍCÍ S EU</t>
  </si>
  <si>
    <t>CHYBNÉ, NUTNO OPRAVIT</t>
  </si>
  <si>
    <t xml:space="preserve"> - dotace na akce spolufinancované z evropských fin. zdrojů</t>
  </si>
  <si>
    <t>PŘÍJMY CELKEM</t>
  </si>
  <si>
    <t>Očekávaná skutečnost</t>
  </si>
  <si>
    <t>Výhled</t>
  </si>
  <si>
    <t>Zapojení zálohových plateb u projektů spolufinancovaných zálohově z evr. fin. zdrojů</t>
  </si>
  <si>
    <t>Čerpání úvěrů</t>
  </si>
  <si>
    <t>Splátky úvěrů</t>
  </si>
  <si>
    <t>Ostatní (zapojení zůstatku minulého roku, fondů)</t>
  </si>
  <si>
    <t>Tabulka č. 1</t>
  </si>
  <si>
    <t>%
Výhled 21 / Výhled 20</t>
  </si>
  <si>
    <t>Samosprávné a jiné činnosti zajišťované prostřednictvím KÚ</t>
  </si>
  <si>
    <t>Reprodukce majetku kraje vyjma akcí spolufinancovaných z evr.fin.zdrojů</t>
  </si>
  <si>
    <t>Výdaje na akce spolufinancované z evropských finančních zdrojů</t>
  </si>
  <si>
    <t>Návratné finanční výpomoci příspěvkovým organizacím</t>
  </si>
  <si>
    <t>Akce spolufinancované z evropských finančních zdrojů</t>
  </si>
  <si>
    <t>Výhled 2020</t>
  </si>
  <si>
    <t>Výhled 2021</t>
  </si>
  <si>
    <t xml:space="preserve"> - poplatky za znečištění ovzduší</t>
  </si>
  <si>
    <t xml:space="preserve"> - vrácené návratné finanční výpomoci - p. o. v odvětví sociálních věcí</t>
  </si>
  <si>
    <t xml:space="preserve"> - vrácené návratné finanční výpomoci - p. o. v odvětví školství</t>
  </si>
  <si>
    <t xml:space="preserve"> - vrácené návratné finanční výpomoci - p. o. v odvětví kultury</t>
  </si>
  <si>
    <t xml:space="preserve"> - vrácené návratné finanční výpomoci - p. o. v odvětví zdravotnictví</t>
  </si>
  <si>
    <t xml:space="preserve"> - vrácené návratné finanční výpomoci - Program na poskytování návratných finančních výpomocí z Fondu sociálních služeb</t>
  </si>
  <si>
    <t xml:space="preserve"> - vrácené prostředky na základě operačních smluv s Fondy rozvoje měst</t>
  </si>
  <si>
    <t xml:space="preserve"> - doprava a chytrý region - dopravní obslužnost drážní</t>
  </si>
  <si>
    <t xml:space="preserve"> - doprava a chytrý region - dopravní obslužnost linková</t>
  </si>
  <si>
    <t xml:space="preserve"> - doprava a chytrý region - ostatní</t>
  </si>
  <si>
    <t xml:space="preserve"> - doprava a chytrý region</t>
  </si>
  <si>
    <t xml:space="preserve"> - krajský úřad a zastupitelstvo kraje</t>
  </si>
  <si>
    <t>Očekávané účelové dotace ze státního rozpočtu</t>
  </si>
  <si>
    <t>Zapojení očekávaných účelových dotací ze státního rozpočtu</t>
  </si>
  <si>
    <t>Střednědobý výhled rozpočtu Moravskoslezského kraje</t>
  </si>
  <si>
    <t>Tabulka č. 2</t>
  </si>
  <si>
    <t>Tabulka č. 3</t>
  </si>
  <si>
    <t>Tabulka č. 4</t>
  </si>
  <si>
    <t>Tabulka č. 5</t>
  </si>
  <si>
    <t>Tabulka č. 6</t>
  </si>
  <si>
    <t>Tabulka č. 7</t>
  </si>
  <si>
    <t>Tabulka č. 8</t>
  </si>
  <si>
    <t>TABULKOVÁ ČÁST</t>
  </si>
  <si>
    <t>Přehled splácení jistiny a úroků z úvěrů čerpaných Moravskoslezským krajem</t>
  </si>
  <si>
    <t>Ukazatel zadluženosti dle Moody´s Investors Service</t>
  </si>
  <si>
    <t>Ukazatel zadluženosti dle uzavřené smlouvy s Evropskou investiční bankou</t>
  </si>
  <si>
    <t>Fiskální pravidlo dle zákona č. 23/2017 Sb., o pravidlech rozpočtové odpovědnosti</t>
  </si>
  <si>
    <t>Účel dotace</t>
  </si>
  <si>
    <t>ÚZ</t>
  </si>
  <si>
    <t>Očekávaná výše dotace (v tis. Kč)</t>
  </si>
  <si>
    <t>Dotace zahrnuté do schvalovaných rozpočtů MSK celkem</t>
  </si>
  <si>
    <t xml:space="preserve"> - z toho:</t>
  </si>
  <si>
    <t>Očekávané účelové dotace ze státního rozpočtu nezapojované do schvalovaných rozpočtů MSK celkem</t>
  </si>
  <si>
    <t>Podpora koordinátorů romských poradců</t>
  </si>
  <si>
    <t>ÚŘAD VLÁDY</t>
  </si>
  <si>
    <t>Neinvestiční nedávkové transfery podle zákona č. 108/2006 Sb., o sociálních službách (§ 101, § 102 a § 103)</t>
  </si>
  <si>
    <t>Transfery na státní příspěvek zřizovatelům zařízení pro děti vyžadující okamžitou pomoc</t>
  </si>
  <si>
    <t>MINISTERSTVO PRÁCE A SOCIÁLNÍCH VĚCÍ</t>
  </si>
  <si>
    <t>Připravenost poskytovatele ZZS na řešení mimořádných událostí a krizových situací</t>
  </si>
  <si>
    <t>Specializační vzdělávání zdravotnických pracovníků - rezidenční místa - neinvestice a Specializační vzdělávání nelékařů</t>
  </si>
  <si>
    <t>35015, 35019</t>
  </si>
  <si>
    <t>MINISTERSTVO ZDRAVOTNICTVÍ</t>
  </si>
  <si>
    <t>Bezplatná příprava dětí azylantů, účastníků řízení o azyl a dětí osob se státní příslušností jiného členského státu EU k začlenění do základního vzdělávání</t>
  </si>
  <si>
    <t>Dotace pro soukromé školy</t>
  </si>
  <si>
    <t>Excelence středních škol</t>
  </si>
  <si>
    <t>OP VVV – PO3 neinvestice - Individuální projekty škol</t>
  </si>
  <si>
    <t>Podpora odborného vzdělávání</t>
  </si>
  <si>
    <t>Podpora organizace a ukončování středního vzdělávání maturitní zkouškou na vybraných školách v podzimním zkušebním období</t>
  </si>
  <si>
    <t>Podpora výuky plavání v základních školách</t>
  </si>
  <si>
    <t>Program sociální prevence a prevence kriminality</t>
  </si>
  <si>
    <t>Projekty romské komunity</t>
  </si>
  <si>
    <t>Přímé náklady na vzdělávání</t>
  </si>
  <si>
    <t>Přímé náklady na vzdělávání - sportovní gymnázia</t>
  </si>
  <si>
    <t>Rozvojový program MŠMT pro děti-cizince ze 3. zemí</t>
  </si>
  <si>
    <t>Naplňování Koncepce podpory mládeže na krajské úrovni</t>
  </si>
  <si>
    <t>Podpora navýšení kapacit ve školských poradenských zařízeních</t>
  </si>
  <si>
    <t>Soutěže</t>
  </si>
  <si>
    <t>Spolupráce s francouzskými, vlámskými a španělskými školami</t>
  </si>
  <si>
    <t>Vzdělávací programy paměťových institucí do škol</t>
  </si>
  <si>
    <t>MINISTERSTVO ŠKOLSTVÍ, MLÁDEŽE A SPORTU</t>
  </si>
  <si>
    <t>Kulturní aktivity</t>
  </si>
  <si>
    <t>Veřejné informační služby knihoven</t>
  </si>
  <si>
    <t>34053, 34544</t>
  </si>
  <si>
    <t>Program restaurování movitých kulturních památek</t>
  </si>
  <si>
    <t>Program státní podpory profesionálních divadel a stálých profesionálních symfonických orchestrů a pěveckých sborů</t>
  </si>
  <si>
    <t>MINISTERSTVO KULTURY</t>
  </si>
  <si>
    <t xml:space="preserve">CELKEM </t>
  </si>
  <si>
    <t>PŘEHLED VÝDAJŮ NA ZAJIŠTĚNÍ UDRŽITELNOSTI AKCÍ SPOLUFINANCOVANÝCH Z EVROPSKÝCH FINANČNÍCH ZDROJŮ</t>
  </si>
  <si>
    <t>v tis. Kč</t>
  </si>
  <si>
    <t>Název projektu</t>
  </si>
  <si>
    <t>Celkové výdaje na akci (způsobilé a nezpůsobilé)</t>
  </si>
  <si>
    <t>období realizace
v letech</t>
  </si>
  <si>
    <t>Výdaje na udržitelnost</t>
  </si>
  <si>
    <t>rok 2020</t>
  </si>
  <si>
    <t>rok 2021</t>
  </si>
  <si>
    <t>Silnice II/478 prodloužená Mostní I. etapa</t>
  </si>
  <si>
    <t>2017 - 2019</t>
  </si>
  <si>
    <t>ODVĚTVÍ FINANCÍ A SPRÁVY MAJETKU:</t>
  </si>
  <si>
    <t>2017 - 2020</t>
  </si>
  <si>
    <t>Jednotný personální a mzdový systém pro Moravskoslezský kraj</t>
  </si>
  <si>
    <t>ODVĚTVÍ FINANCÍ A SPRÁVY MAJETKU CELKEM</t>
  </si>
  <si>
    <t>ODVĚTVÍ KULTURY:</t>
  </si>
  <si>
    <t>Muzeum automobilů TATRA</t>
  </si>
  <si>
    <t>2016 - 2020</t>
  </si>
  <si>
    <t>NKP Zámek Bruntál - Revitalizace objektu „saly terreny"</t>
  </si>
  <si>
    <t>2016 - 2019</t>
  </si>
  <si>
    <t>Rekonstrukce výstavní budovy a nová expozice Muzea Těšínska</t>
  </si>
  <si>
    <t>2015 - 2019</t>
  </si>
  <si>
    <t>Revitalizace zámku ve Frýdku včetně obnovy expozice</t>
  </si>
  <si>
    <t>Zámek Nová Horka - muzeum pro veřejnost</t>
  </si>
  <si>
    <t>ODVĚTVÍ KULTURY CELKEM</t>
  </si>
  <si>
    <t>ODVĚTVÍ CESTOVNÍHO RUCHU:</t>
  </si>
  <si>
    <t>Bez bariér se nám žije snáz</t>
  </si>
  <si>
    <t>2018 - 2021</t>
  </si>
  <si>
    <t>ODVĚTVÍ CESTOVNÍHO RUCHU CELKEM</t>
  </si>
  <si>
    <t>ODVĚTVÍ REGIONÁLNÍHO ROZVOJE:</t>
  </si>
  <si>
    <t>Smart akcelerátor RIS 3 strategie</t>
  </si>
  <si>
    <t>ODVĚTVÍ REGIONÁLNÍHO ROZVOJE CELKEM</t>
  </si>
  <si>
    <t>ODVĚTVÍ SOCIÁLNÍCH VĚCÍ: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</si>
  <si>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</si>
  <si>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</si>
  <si>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</si>
  <si>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</si>
  <si>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</si>
  <si>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Chráněné bydlení Fontána</t>
  </si>
  <si>
    <t>Je předpokládaná potřeba zvýšených provozních výdajů. Jejich výše bude upřesněna po zpracování žádosti o dotaci.</t>
  </si>
  <si>
    <t>ODVĚTVÍ SOCIÁLNÍCH VĚCÍ CELKEM</t>
  </si>
  <si>
    <t>ODVĚTVÍ ŠKOLSTVÍ:</t>
  </si>
  <si>
    <t>Rozvoj dovedností žáků v přírodovědných a technických oborech</t>
  </si>
  <si>
    <t>ODVĚTVÍ ŠKOLSTVÍ CELKEM</t>
  </si>
  <si>
    <t>ODVĚTVÍ ZDRAVOTNICTVÍ:</t>
  </si>
  <si>
    <t>Elektronizace procesů jako podpora sdílení dat a komunikace ve zdravotnictví a zároveň zvýšení bezpečí a kvality poskytované péče</t>
  </si>
  <si>
    <t>ODVĚTVÍ ZDRAVOTNICTVÍ CELKEM</t>
  </si>
  <si>
    <t>EVL Hukvaldy, tvorba biotopu páchníka hnědého</t>
  </si>
  <si>
    <t>EVL Paskov, tvorba biotopu páchníka hnědého</t>
  </si>
  <si>
    <t>EVL Šilheřovice, tvorba biotopu páchníka hnědého</t>
  </si>
  <si>
    <t>i-AIR REGION</t>
  </si>
  <si>
    <t>EVL Niva Olše-Věřňovice, tvorba biotopu páchníka hnědého</t>
  </si>
  <si>
    <t>ODVĚTVÍ ŽIVOTNÍHO PROSTŘEDÍ CELKEM</t>
  </si>
  <si>
    <t>Realizace bezpečnostních opatření podle zákona o kybernetické bezpečnosti</t>
  </si>
  <si>
    <t>Rozvoj architektury ICT Moravskoslezského kraje</t>
  </si>
  <si>
    <t>CELKEM</t>
  </si>
  <si>
    <t xml:space="preserve">Přehled splácení jistiny a úroků z úvěrů čerpaných Moravskoslezským krajem </t>
  </si>
  <si>
    <t>Instituce</t>
  </si>
  <si>
    <r>
      <t xml:space="preserve">EIB II
</t>
    </r>
    <r>
      <rPr>
        <sz val="10"/>
        <rFont val="Tahoma"/>
        <family val="2"/>
        <charset val="238"/>
      </rPr>
      <t xml:space="preserve">(smlouva z r. 2010 na poskytnutí úvěrového rámce </t>
    </r>
    <r>
      <rPr>
        <b/>
        <sz val="10"/>
        <rFont val="Tahoma"/>
        <family val="2"/>
        <charset val="238"/>
      </rPr>
      <t xml:space="preserve">
ve výši 2 mld. Kč</t>
    </r>
    <r>
      <rPr>
        <sz val="10"/>
        <rFont val="Tahoma"/>
        <family val="2"/>
        <charset val="238"/>
      </rPr>
      <t>)</t>
    </r>
  </si>
  <si>
    <r>
      <t xml:space="preserve">ČSOB 
</t>
    </r>
    <r>
      <rPr>
        <sz val="10"/>
        <rFont val="Tahoma"/>
        <family val="2"/>
        <charset val="238"/>
      </rPr>
      <t>(smlouva
o poskytnutí úvěrového rámce</t>
    </r>
    <r>
      <rPr>
        <b/>
        <sz val="10"/>
        <rFont val="Tahoma"/>
        <family val="2"/>
        <charset val="238"/>
      </rPr>
      <t xml:space="preserve">
ve výši 1,2 mld. Kč</t>
    </r>
    <r>
      <rPr>
        <sz val="10"/>
        <rFont val="Tahoma"/>
        <family val="2"/>
        <charset val="238"/>
      </rPr>
      <t>)</t>
    </r>
  </si>
  <si>
    <t>Celkem</t>
  </si>
  <si>
    <t>rok</t>
  </si>
  <si>
    <t>dlužná částka
na konci roku</t>
  </si>
  <si>
    <t>splátka jistiny</t>
  </si>
  <si>
    <t>úrok</t>
  </si>
  <si>
    <t>dlužná částka na konci roku</t>
  </si>
  <si>
    <t>Název akce</t>
  </si>
  <si>
    <t>Číslo akce</t>
  </si>
  <si>
    <t>Závazky celkem</t>
  </si>
  <si>
    <t xml:space="preserve">Poznámka                                                    </t>
  </si>
  <si>
    <t>2020</t>
  </si>
  <si>
    <t>2021</t>
  </si>
  <si>
    <t>Realizace energetických úspor metodou EPC ve vybraných objektech Moravskoslezského kraje</t>
  </si>
  <si>
    <t>ODVĚTVÍ DOPRAVY  A CHYTRÉHO REGIONU:</t>
  </si>
  <si>
    <t>Vypořádání pozemků pod stavbami silnic II. a III. třídy</t>
  </si>
  <si>
    <t>Silnice II/478 Nová Krmelínská Ostrava</t>
  </si>
  <si>
    <t>Silnice II/478, Mostní II. etapa</t>
  </si>
  <si>
    <t>ODVĚTVÍ DOPRAVY A CHYTRÉHO REGIONU CELKEM</t>
  </si>
  <si>
    <t>ODVĚTVÍ KRIZOVÉHO ŘÍZENÍ:</t>
  </si>
  <si>
    <t>ODVĚTVÍ KRIZOVÉHO ŘÍZENÍ CELKEM</t>
  </si>
  <si>
    <t>Rekonstrukce ubytovací části a přístavba
budovy D (Nový domov, příspěvková organizace, Karviná)</t>
  </si>
  <si>
    <t>Rekonstrukce budovy a spojovací chodby Máchova (Domov Duha, příspěvková organizace, Nový Jičín)</t>
  </si>
  <si>
    <t>Výstavba domova pro seniory a domova se zvláštním režimem Kopřivnice</t>
  </si>
  <si>
    <t xml:space="preserve">Financování akce bylo schváleno usnesením zastupitelstva kraje č. 2/28 ze dne 22.12.2016 </t>
  </si>
  <si>
    <t>Nemocnice s poliklinikou v Novém Jičíně – reinvestiční část nájemného a opravy</t>
  </si>
  <si>
    <t>Výstavba nadzemních koridorů (Slezská nemocnice v Opavě, příspěvková organizace)</t>
  </si>
  <si>
    <t>Financování akce bylo schváleno usnesením zastupitelstva kraje č. 17/1686 dne 17.12.2015.</t>
  </si>
  <si>
    <t>Nemocnice Havířov - ČOV (Nemocnice s poliklinikou Havířov, příspěvková organizace)</t>
  </si>
  <si>
    <t>Rekonstrukce elektroinstalace (Nemocnice s poliklinikou Havířov, příspěvková organizace)</t>
  </si>
  <si>
    <t>Pavilon L - stavební úpravy (Slezská nemocnice v Opavě, příspěvková organizace)</t>
  </si>
  <si>
    <t xml:space="preserve">Poznámka                                                           </t>
  </si>
  <si>
    <t>ODVĚTVÍ VLASTNÍ SPRÁVNÍ ČINNOST KRAJE A ČINNOST ZASTUPITELSTVA KRAJE:</t>
  </si>
  <si>
    <t>ODVĚTVÍ VLASTNÍ SPRÁVNÍ ČINNOST KRAJE A ČINNOST ZASTUPITELSTVA KRAJE CELKEM</t>
  </si>
  <si>
    <t>ODVĚTVÍ DOPRAVY A CHYTRÉHO REGIONU:</t>
  </si>
  <si>
    <t>Rekonstrukce silnice II/477 Frýdek - Místek - Lískovec</t>
  </si>
  <si>
    <t>Zastupitelstvo kraje rozhodlo o profinancování a kofinancování projektu dne 25.6.2015 usnesením č. 15/1535.</t>
  </si>
  <si>
    <t>Silnice II/442 Staré Heřminovy – Horní Benešov, včetně OZ</t>
  </si>
  <si>
    <t>Silnice III/4787 Ostrava ul. Výškovická – rekonstrukce mostů ev. č. 4787-3.3 a 4787-4.3</t>
  </si>
  <si>
    <t>Zastupitelstvo kraje rozhodlo o profinancování a kofinancování projektu dne 23.6.2016 usnesením č. 20/2083.</t>
  </si>
  <si>
    <t>Geoportál MSK - část dopravní infrastruktura - založení digitální technické mapy MSK</t>
  </si>
  <si>
    <t>Zastupitelstvo kraje rozhodlo o profinancování a kofinancování projektu dne 14.9.2017 usnesením č. 5/455.</t>
  </si>
  <si>
    <t>Zastupitelstvo kraje rozhodlo o profinancování a kofinancování projektu dne 25.9.2015 usnesením č. 16/1620.</t>
  </si>
  <si>
    <t>Modernizace technicko-výcvikové základny Hranečník</t>
  </si>
  <si>
    <t>Rozvoj ICT a služeb v prostředí IZS</t>
  </si>
  <si>
    <t>Zastupitelstvo kraje rozhodlo o profinancování a kofinancování projektu dne 15.6.2017 usnesením č. 4/309.</t>
  </si>
  <si>
    <t>Vybudování komunikační platformy krizového řízení</t>
  </si>
  <si>
    <t>Vybudování expozice muzea Těšínska v Jablunkově "Muzeum Trojmezí"</t>
  </si>
  <si>
    <t>Regionální poradenské centrum SK-CZ</t>
  </si>
  <si>
    <t>Zastupitelstvo kraje rozhodlo o profinancování a kofinancování projektu dne 23.6.2016 usnesením č. 20/2088.</t>
  </si>
  <si>
    <t>Technická pomoc - Podpora aktivit v rámci Programu Interreg V-A ČR - PR II</t>
  </si>
  <si>
    <t>Chutě a vůně bez hranic</t>
  </si>
  <si>
    <t>Na bicykli k susedom</t>
  </si>
  <si>
    <t>Interdisciplinární spolupráce v soudním regionu Nový Jičín</t>
  </si>
  <si>
    <t>Podpora rozvoje rodičovských kompetencí</t>
  </si>
  <si>
    <t xml:space="preserve">Zastupitelstvo kraje rozhodlo o profinancování a kofinancování projektu dne 25.9.2015 usnesením č. 16/1633. </t>
  </si>
  <si>
    <t>Podpora služeb sociální prevence 4</t>
  </si>
  <si>
    <t>Dílny pro Střední školu stavební a dřevozpracující, Ostrava, příspěvková organizace</t>
  </si>
  <si>
    <t xml:space="preserve">Zastupitelstvo kraje rozhodlo o profinancování a kofinancování projektu dne 22.9.2016 usnesením č. 21/2254. </t>
  </si>
  <si>
    <t>Modernizace Školního statku v Opavě</t>
  </si>
  <si>
    <t>Vybudování dílen pro praktické vyučování, Střední odborná škola, Frýdek-Místek, příspěvková organizace</t>
  </si>
  <si>
    <t>Krajský akční plán rozvoje vzdělávání Moravskoslezského kraje</t>
  </si>
  <si>
    <t>ODVĚTVÍ ŽIVOTNÍHO PROSTŘEDÍ:</t>
  </si>
  <si>
    <t>Zastupitelstvo kraje rozhodlo o profinancování a kofinancování projektu dne 22.9.2016 usnesením č. 21/2247.</t>
  </si>
  <si>
    <t>Zastupitelstvo kraje rozhodlo o profinancování a kofinancování projektu dne 25.2.2016 usnesením č. 18/1880 a jeho navýšení usnesením č. 3/156 dne 16.3.2017.</t>
  </si>
  <si>
    <t xml:space="preserve">Poznámka                                                            </t>
  </si>
  <si>
    <t>Zpracovaní ratingu Moravskoslezského kraje</t>
  </si>
  <si>
    <t>Zajištění centrálního pojištění nemovitého, movitého majetku, vozidel a odpovědnosti Moravskoslezského kraje a jeho organizací</t>
  </si>
  <si>
    <t>Závazek Moravskoslezského kraje byl schválen usnesením zastupitelstva kraje č. 17/1792 ze dne 17.12.2015.</t>
  </si>
  <si>
    <t>Platba poplatků z bankovních účtů</t>
  </si>
  <si>
    <t>Smlouva o financování projektu Moravia-Silesia Regional Infra II - úvěrový rámce od Evropské investiční banky II - splátky jistin</t>
  </si>
  <si>
    <t>Smlouva o financování projektu Moravia-Silesia Regional Infra II - úvěrový rámce od Evropské investiční banky II - platba úroků</t>
  </si>
  <si>
    <t>Smlouva o poskytnutí úvěrového rámce ve výši 1.200.000 tis. Kč mezi Československou obchodní bankou, a.s. a Moravskoslezským krajem - splátka jistiny</t>
  </si>
  <si>
    <t xml:space="preserve">O uzavření smlouvy o poskytnutí úvěrového rámce mezi Československou obchodní bankou, a.s. ve výši 1.200 mil. Kč rozhodlo zastupitelstvo kraje svým usnesením č. 16/1567 ze dne 25.9.2015. </t>
  </si>
  <si>
    <t>Smlouva o poskytnutí úvěrového rámce ve výši 1.200.000 tis. Kč mezi Československou obchodní bankou, a.s. a Moravskoslezským krajem - platba úroků</t>
  </si>
  <si>
    <t>Zajištění financování drážní dopravy - prodloužení termínu platnosti Smlouvy o závazku veřejné služby v drážní dopravě k zajištění dopravní obslužnosti - linky zajišťované vozidly pořízenými s využitím prostředků z ERDF</t>
  </si>
  <si>
    <t>Zajištění financování drážní dopravy - prodloužení termínu platnosti Smlouvy o závazku veřejné služby v drážní dopravě k zajištění dopravní obslužnosti - ve vztahu k lince S2 Bohumín - Mošnov, Ostrava Airport</t>
  </si>
  <si>
    <t>Zajištění dopravní obslužnosti v Moravskoslezském kraji veřejnou drážní osobní dopravou vybraných vlaků na lince S6 Ostrava hl. n. – Frýdek-Místek – Frenštát pod Radhoštěm město na trati 323 Ostrava – Valašské Meziříčí od prosince roku 2019 do prosince roku 2023</t>
  </si>
  <si>
    <t>Zvýšení základního kapitálu Letiště Ostrava, a.s.</t>
  </si>
  <si>
    <t>Závazek Moravskoslezského kraje byl schválen usnesením zastupitelstva kraje č. 25/2209 ze dne 5.9.2012, 21/2215 ze dne 22.9.2016.</t>
  </si>
  <si>
    <t>Zajištění dopravní obslužnosti linkovou dopravou - oblast Jablunkovsko - Třinecko</t>
  </si>
  <si>
    <t>Zajištění dopravní obslužnosti linkovou dopravou - oblast Českotěšínsko</t>
  </si>
  <si>
    <t>Smlouva o finanční spolupráci ve veřejné linkové dopravě mezi Moravskoslezským krajem a Olomouckým krajem</t>
  </si>
  <si>
    <t>Zajištění dopravní obslužnosti linkovou dopravou - oblast Karvinsko</t>
  </si>
  <si>
    <t>Zajištění dopravní obslužnosti linkovou dopravou - oblast Orlovsko</t>
  </si>
  <si>
    <t>Zajištění dopravní obslužnosti linkovou dopravou - oblast Frýdlantsko</t>
  </si>
  <si>
    <t>Zajištění dopravní obslužnosti linkovou dopravou - oblast Novojičínsko východ</t>
  </si>
  <si>
    <t>Zajištění dopravní obslužnosti linkovou dopravou - oblast Novojičínsko západ</t>
  </si>
  <si>
    <t>Zajištění dopravní obslužnosti linkovou dopravou - oblast Bílovecko</t>
  </si>
  <si>
    <t>Zajištění dopravní obslužnosti linkovou dopravou - oblast Hlučínsko</t>
  </si>
  <si>
    <t>Zajištění dopravní obslužnosti linkovou dopravou - oblast Krnovsko</t>
  </si>
  <si>
    <t>Zajištění dopravní obslužnosti linkovou dopravou - oblast Opavsko</t>
  </si>
  <si>
    <t>Zajištění dopravní obslužnosti linkovou dopravou - oblast Rýmařovsko</t>
  </si>
  <si>
    <t>Zajištění dopravní obslužnosti linkovou dopravou - oblast Vítkovsko</t>
  </si>
  <si>
    <t>Zajištění dopravní obslužnosti linkovou dopravou - oblast Bruntálsko</t>
  </si>
  <si>
    <t>Provoz lodní dopravy na Slezské Hartě</t>
  </si>
  <si>
    <t>Zajištění udržitelnosti projektu Zdravé stárnutí v Moravskoslezském kraji</t>
  </si>
  <si>
    <t>Závazek Moravskoslezského kraje byl schválen usnesením zastupitelstva kraje č. 5/497 ze dne 14. 9. 2017.</t>
  </si>
  <si>
    <t>Závazek  k technickému zhodnocení majetku "I. etapa stará interna" (Nemocnice Nový Jičín)</t>
  </si>
  <si>
    <t>Vypořádání zůstatkové hodnoty technického zhodnocení majetku v rámci stavby "Rekonstrukce budovy ředitelství - umístění veřejné lékárny" (Nemocnice Nový Jičín)</t>
  </si>
  <si>
    <t>Dobrovolné dohody v oblasti ochrany ovzduší</t>
  </si>
  <si>
    <t>Závazek Moravskoslezského kraje byl schválen usnesením zastupitelstva kraje č. 5/482 ze dne 14.9.2017.</t>
  </si>
  <si>
    <t>Chráněné části přírody</t>
  </si>
  <si>
    <t xml:space="preserve">PŘEHLED OSTATNÍCH DLOUHODOBÝCH ZÁVAZKŮ KRAJE  </t>
  </si>
  <si>
    <t>Požadavek na rozpočet kraje</t>
  </si>
  <si>
    <t xml:space="preserve"> - vrácené návratné finanční výpomoci - Sanatorium Jablunkov, a.s.</t>
  </si>
  <si>
    <t>Zálohové platby u projektů spolufinancovaných zálohově
z evropských finančních zdrojů</t>
  </si>
  <si>
    <t>Výdaje financované z očekávaných účelových dotací ze státního rozpočtu mimo zálohové platby</t>
  </si>
  <si>
    <t>Podporujeme hrdinství, které není vidět II</t>
  </si>
  <si>
    <t>Závazek Moravskoslezského kraje vznikl na základě Smlouvy o poskytování energetických služeb se zaručeným výsledkem č. 00481/2012/IM, vč. dodatků. Jedná se o náklady za realizaci investičních opatření, včetně úhrady úroků a služeb za energetický management. Závazek trvá do roku 2023.</t>
  </si>
  <si>
    <t xml:space="preserve">Závazek Moravskoslezského kraje vznikl na základě Smlouvy o nájmu podniku č. 02262/2011/ZDR, vč. dodatků. Závazek trvá do roku 2032.   </t>
  </si>
  <si>
    <t>Členský příspěvek v Evropskému seskupení pro územní spolupráci TRITIA</t>
  </si>
  <si>
    <t>Členský příspěvek v zájmovém sdružení právnických osob Trojhalí Karolina</t>
  </si>
  <si>
    <t xml:space="preserve">Členský příspěvek  v zájmové sdružení Národní síť zdravých měst České republiky </t>
  </si>
  <si>
    <t>Stálá expozice historických dopravních prostředků s restaurátorskou dílnou</t>
  </si>
  <si>
    <t>Členský příspěvek v zájmovém sdružení právnických osob Evropská kulturní stezka sv. Cyrila a Metoděje</t>
  </si>
  <si>
    <t>Závazek Moravskoslezského kraje byl schválen usnesením zastupitelstva kraje č. 2/91 ze dne 20.12.2012. K datu řádného ukončení smlouvy o nájmu podniku k 31.12.2031 činí závazek ve výši 31 mil. Kč.</t>
  </si>
  <si>
    <t>UKAZATELE ZADLUŽENOSTI</t>
  </si>
  <si>
    <t>název</t>
  </si>
  <si>
    <r>
      <t>2018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</si>
  <si>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2019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</si>
  <si>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2020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</si>
  <si>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2021</t>
    </r>
    <r>
      <rPr>
        <b/>
        <vertAlign val="superscript"/>
        <sz val="10"/>
        <rFont val="Tahoma"/>
        <family val="2"/>
        <charset val="238"/>
      </rPr>
      <t xml:space="preserve"> 1)</t>
    </r>
  </si>
  <si>
    <t>daňové příjmy</t>
  </si>
  <si>
    <t>nedaňové příjmy</t>
  </si>
  <si>
    <t>provozní dotace vč. provozního přebytku minulých let</t>
  </si>
  <si>
    <t>PROVOZNÍ PŘÍJMY</t>
  </si>
  <si>
    <t>Provozní příjmy</t>
  </si>
  <si>
    <r>
      <t>DLUH</t>
    </r>
    <r>
      <rPr>
        <sz val="10"/>
        <rFont val="Tahoma"/>
        <family val="2"/>
        <charset val="238"/>
      </rPr>
      <t xml:space="preserve">, tj. zůstatky nesplacených úvěrů a návratných finančních výpomocí k rozvahovému dni 31.12.20xx </t>
    </r>
  </si>
  <si>
    <t>DLUH K PROVOZNÍM PŘÍJMŮM</t>
  </si>
  <si>
    <t>Celková zadluženost (v %)</t>
  </si>
  <si>
    <t>1)</t>
  </si>
  <si>
    <t>Pro léta 2013 a 2014 se jedná o očekávanou skutečnost k 31.12.20xx</t>
  </si>
  <si>
    <t>2)</t>
  </si>
  <si>
    <t>Pro léta 2015 až 2017 jsou uváděny hodnoty rozpočtového výhledu</t>
  </si>
  <si>
    <t>finanční závazky</t>
  </si>
  <si>
    <t>poskytnuté záruky</t>
  </si>
  <si>
    <t>fin. leasing</t>
  </si>
  <si>
    <t>CELKOVÉ ZADLUŽENÍ</t>
  </si>
  <si>
    <t>uhrazené splátky jistin úvěrů, dluhopisů a splátky fin. leasingu</t>
  </si>
  <si>
    <t xml:space="preserve">platby úroků </t>
  </si>
  <si>
    <t>VÝDAJE NA DLUHOVOU SLUŽBU</t>
  </si>
  <si>
    <t>běžné výdaje</t>
  </si>
  <si>
    <t>PROVOZNÍ VÝDAJE</t>
  </si>
  <si>
    <t>HRUBÝ PROVOZNÍ PŘEBYTEK</t>
  </si>
  <si>
    <t>CELKOVÉ ZADLUŽENÍ K PROVOZNÍM PŘÍJMŮM 
(&lt; 50%)</t>
  </si>
  <si>
    <t>výdaje na dluhovou službu k provozním příjmům 
(&lt; 15% )</t>
  </si>
  <si>
    <t>hrubý provozní přebytek ke splátkám úroků 
( &gt; 150% )</t>
  </si>
  <si>
    <t>CELKOVÉ PŘÍJMY k 31.12.</t>
  </si>
  <si>
    <t>Průměr příjmů za poslední 4 roky</t>
  </si>
  <si>
    <t>DLUH k 31.12.</t>
  </si>
  <si>
    <t>PODÍL DLUHU K PRŮMĚRU PŘÍJMŮ</t>
  </si>
  <si>
    <t>Obsah:</t>
  </si>
  <si>
    <t>str.</t>
  </si>
  <si>
    <t>v mil. Kč</t>
  </si>
  <si>
    <t xml:space="preserve"> - reprodukce majetku kraje - nezařazeno do odvětví</t>
  </si>
  <si>
    <t xml:space="preserve"> - akce spolufin. z evr.fin.zdrojů - nezařazeno do odvětví</t>
  </si>
  <si>
    <t>Bankovní poplatky za vedení účtů a provedené bankovní operace u peněžních ústavů, které plynou z uzavřených smluv na dobu neurčitou a všeobecných platebních podmínek.</t>
  </si>
  <si>
    <t>O uzavření smlouvy o financování projektu "Moravia-Silesia Regional Infra II (CZ)" ve výši 2.000 mil. Kč,  rozhodlo zastupitelstvo kraje svým usnesením č. 15/1270 ze dne 10. 11. 2010. Závazek trvá do roku 2025.</t>
  </si>
  <si>
    <t xml:space="preserve">Ručitelské závazky </t>
  </si>
  <si>
    <t>RUČITELSKÉ ZÁVAZKY CELKEM</t>
  </si>
  <si>
    <t>Výstavba výjezdového stanoviště v Novém Jičíně</t>
  </si>
  <si>
    <t>2018 - 2020</t>
  </si>
  <si>
    <t xml:space="preserve">Přehled závazků kraje u akcí reprodukce majetku kraje </t>
  </si>
  <si>
    <t>Přehled ostatních dlouhodobých závazků kraje</t>
  </si>
  <si>
    <t xml:space="preserve">PŘEHLED ZÁVAZKŮ KRAJE U AKCÍ SPOLUFINANCOVANÝCH Z EVROPSKÝCH FINANČNÍCH ZDROJŮ </t>
  </si>
  <si>
    <t xml:space="preserve">podíl MSK  (pouze způsobilé výdaje) v %  </t>
  </si>
  <si>
    <t>Příloha č. 13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</si>
  <si>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</si>
  <si>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</si>
  <si>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Závazek na zpracování ratingu Moravskoslezského kraje vyplývá z uzavřených smluv s EIB na základě usnesení zastupitelstva č. 5/209 ze dne 23.6.2005 a č. 15/1270 ze dne 10.11.2010. Závazek trvá do roku 2025. O uzavření smlouvy s Moody´s rozhodla rada kraje usnesením č. 80/2952 ze dne 2.8.2006, smlouva sjednána na dobu neurčitou.</t>
  </si>
  <si>
    <t>ODVĚTVÍ VLASTNÍ SPRÁVNÍ ČINNOST KRAJE
A ČINNOST ZASTUPITELSTVA KRAJE CELKEM</t>
  </si>
  <si>
    <t>Přehled výdajů na zajištění udržitelnosti akcí spolufinancovaných z evropských finančních zdrojů</t>
  </si>
  <si>
    <t xml:space="preserve">Ukazatele zadluženosti </t>
  </si>
  <si>
    <t xml:space="preserve"> - rezerva pro rozvoj znevýhodněných částí kraje</t>
  </si>
  <si>
    <t xml:space="preserve">PŘEHLED ZÁVAZKŮ KRAJE U AKCÍ REPRODUKCE MAJETKU KRAJE </t>
  </si>
  <si>
    <t xml:space="preserve">Přehled závazků kraje u akcí spolufinancovaných z evropských finančních zdrojů </t>
  </si>
  <si>
    <t>na léta 2020 – 2022</t>
  </si>
  <si>
    <t>BILANCE PŘÍJMŮ A VÝDAJŮ V LETECH 2020 - 2022</t>
  </si>
  <si>
    <t>Očekávaná skutečnost 2019</t>
  </si>
  <si>
    <t>Výhled 2022</t>
  </si>
  <si>
    <t>%
Výhled 20 / 
Oček.skut. 19</t>
  </si>
  <si>
    <t>%
Výhled 22 / Výhled 21</t>
  </si>
  <si>
    <t xml:space="preserve"> - vrácené návratné finanční výpomoci - individuální z Fondu sociálních služeb</t>
  </si>
  <si>
    <t xml:space="preserve"> - dotace ze státního rozpočtu</t>
  </si>
  <si>
    <t xml:space="preserve"> - dotace od obcí a krajů</t>
  </si>
  <si>
    <t>PŘEHLED OČEKÁVANÝCH ÚČELOVÝCH DOTACÍ V LETECH 2020 - 2022</t>
  </si>
  <si>
    <t>STÁTNÍ ROZPOČET</t>
  </si>
  <si>
    <t xml:space="preserve">Ministerstvo financí - příspěvek na výkon státní správy </t>
  </si>
  <si>
    <t>Ministerstvo dopravy - příspěvek na ztrátu dopravce z provozu veřejné osobní drážní dopravy</t>
  </si>
  <si>
    <t>Ministerstvo kultury - dotace na Novostavbu Moravskoslezské vědecké knihovny</t>
  </si>
  <si>
    <t>Ministerstvo kultury - dotace na Přístavbu Domu umění - Galerie 21. století</t>
  </si>
  <si>
    <t>DOTACE OD OBCÍ A KRAJŮ</t>
  </si>
  <si>
    <t>Olomoucký a Zlínský kraj - příspěvek na dopravní obslužnost linkovou</t>
  </si>
  <si>
    <t xml:space="preserve">DOTACE NA AKCE SPOLUFINANCOVANÉ Z EVROPSKÝCH FINANČNÍCH ZDROJŮ  </t>
  </si>
  <si>
    <t>Operační program Zaměstnanost</t>
  </si>
  <si>
    <t>Podpora zavádění diagnostických nástrojů</t>
  </si>
  <si>
    <t>Program protidrogové politiky</t>
  </si>
  <si>
    <t>Asistent pedagoga dle § 18 vyhlášky č. 27/2016 Sb.</t>
  </si>
  <si>
    <t xml:space="preserve">ISO D Preventivní ochrana před vlivy prostředí </t>
  </si>
  <si>
    <t xml:space="preserve">Záchrana architektonického dědictví - neinvestice </t>
  </si>
  <si>
    <t>Zálohové platby u projektů spolufinancovaných zálohově
z evropských finančních zdrojů celkem</t>
  </si>
  <si>
    <t>2022</t>
  </si>
  <si>
    <t>po r. 2022</t>
  </si>
  <si>
    <t>ODVĚTVÍ VLASTNÍ SPRÁVNÍ ČINNOST KRAJE A ČINNOST ZASTUPITELSTVA KRAJE</t>
  </si>
  <si>
    <t>Efektivní rozvoj zaměstnanců KÚ MSK</t>
  </si>
  <si>
    <t>Zastupitelstvo kraje rozhodlo o profinancování a kofinancování projektu usnesením č. 8/869 ze dne 14.6.2018.  Projekt bude financován formou záloh.</t>
  </si>
  <si>
    <t>Zastupitelstvo kraje rozhodlo o profinancování a kofinancování projektu usnesením č. 5/469 ze dne 14.9.2017.</t>
  </si>
  <si>
    <t>Úplné elektronické podání – jednotné prostředí pro vyřízení elektronických žádostí v krajské korporaci</t>
  </si>
  <si>
    <t>Zahájení přípravy projektu bylo schváleno zastupitelstvem kraje dne 15.6.2017 usnesením č. 4/317. Zastupitelstvu kraje bude předložen návrh na schválení kofinancování a profinancování projektu v průběhu roku 2019.</t>
  </si>
  <si>
    <t xml:space="preserve">Nové vedení trasy silnice III/4848, ul. Palkovická, Frýdek - Místek </t>
  </si>
  <si>
    <t>Zastupitelstvo kraje rozhodlo o profinancování a kofinancování projektu dne 14.3.2018 usnesením č. 7/710.</t>
  </si>
  <si>
    <t>MÚK Bazaly - II. a III. etapa</t>
  </si>
  <si>
    <t>Zastupitelstvo kraje rozhodlo o profinancování a kofinancování projektu dne 22. 9. 2016 usnesením č. 21/2233.</t>
  </si>
  <si>
    <t xml:space="preserve">Rekonstrukce a modernizace silnice II/478 Klimkovice – Polanka nad Odrou – Stará Bělá </t>
  </si>
  <si>
    <t>Rekonstrukce a modernizace silnice II/475 Stonava průtah II.</t>
  </si>
  <si>
    <t>Zastupitelstvu kraje bude předložen návrh na schválení přípravy a kofinancování a profinancování projektu na jeho zasedání dne 13.12.2018.</t>
  </si>
  <si>
    <t>Rekonstrukce a modernizace silnice II/479 ul. Těšínská II. etapa</t>
  </si>
  <si>
    <t xml:space="preserve">Rekonstrukce silnice III/47811, II/478 Ostrava, ulice Mitrovická </t>
  </si>
  <si>
    <t>Rekonstrukce silnice II/462 Jelenice – Lesní Albrechtice</t>
  </si>
  <si>
    <t>Dopravní dispečink</t>
  </si>
  <si>
    <t>Zahájení přípravy projektu bylo schváleno zastupitelstvem kraje 14. 3. 2018 usnesením č. 7/752. Zastupitelstvu kraje bude předložen návrh na schválení kofinancování a profinancování projektu v průběhu roku 2019.</t>
  </si>
  <si>
    <t>DORA - Demand responsive transport for the development and valorization of internal areas of Central Europe – DORA - Požadovaná plynulá přeprava pro rozvoj a zhodnocení oblastí Střední Evropy</t>
  </si>
  <si>
    <t>Zastupitelstvo kraje rozhodlo profinancovat a kofinancovat projekt usnesením č. 7/749 ze dne 14. 3. 2018.</t>
  </si>
  <si>
    <t>Zvýšení přístupnosti a bezpečnosti ke kulturním památkám v česko-slovenském pohraničí</t>
  </si>
  <si>
    <t>Zahájení přípravy projektu bylo schváleno zastupitelstvem kraje dne 14. 3. 2018 usnesením č. 7/751. Zastupitelstvu kraje bude předložen návrh na schválení kofinancování a profinancování projektu v průběhu roku 2019.</t>
  </si>
  <si>
    <t>Komplexní lokální výstražný a varovný systém před přívalovými povodněmi v Moravskoslezském kraji</t>
  </si>
  <si>
    <t>Zahájení přípravy projektu bylo schváleno zastupitelstvem kraje dne 13.9.2018 usnesením č. 9/992. Zastupitelstvu kraje bude předložen návrh na schválení kofinancování a profinancování projektu v průběhu roku 2019.</t>
  </si>
  <si>
    <t>Zahájení přípravy projektu bylo schváleno zastupitelstvem kraje usnesením č. 5/436 ze dne 14.9.2017. Zastupitelstvu kraje bude předložen návrh na schválení kofinancování a profinancování projektu v průběhu roku 2019.</t>
  </si>
  <si>
    <t>Zastupitelstvo kraje rozhodlo o profinancování a kofinancování projektu usnesením č. 9/982 ze dne 13.09.2018.</t>
  </si>
  <si>
    <t xml:space="preserve">Památník J. A. Komenského ve Fulneku - živé muzeum </t>
  </si>
  <si>
    <t>Zastupitelstvo kraje rozhodlo o profinancování a kofinancování projektu usnesením č. 9/980 ze dne 13.09.2018.</t>
  </si>
  <si>
    <t>Zastupitelstvo kraje rozhodlo o profinancování a kofinancování projektu dne 14.12.2017 usnesením č. 6/567.</t>
  </si>
  <si>
    <t>Zámek Nová Horka - Muzeum pro veřejnost II</t>
  </si>
  <si>
    <t>Zlepšenie dostupnosti kultúrnych pamiatok na Slovensko-českom pohraničí</t>
  </si>
  <si>
    <t>Zahájení přípravy projektu bylo schváleno zastupitelstvem kraje dne 14. 3. 2018 usnesením č. 7/751. Zastupitelstvu kraje bude předložen návrh na schválení kofinancování a profinancování projektu na jeho zasedání dne 13.12.2018.</t>
  </si>
  <si>
    <t>Podpora činnosti sekretariátu III a zajištění chodu Regionální stálé konference Moravskoslezského kraje v rámci Operačního programu Technická pomoc 2014-2020</t>
  </si>
  <si>
    <t>Zastupitelstvu kraje bude předložen návrh na schválení kofinancování a profinancování projektu v průběhu roku 2019.</t>
  </si>
  <si>
    <t>Zastupitelstvo kraje rozhodlo o profinancování a kofinancování projektu dne 14. 12. 2017 usnesením č. 6/600.</t>
  </si>
  <si>
    <t xml:space="preserve">Zastupitelstvo kraje rozhodlo o profinancování a kofinancování projektu dne 23.6.2016 usnesením č. 20/2088. </t>
  </si>
  <si>
    <t>Cyklovýlety na hrady a zámky v Moravskoslezském a Žilinském kraji</t>
  </si>
  <si>
    <t>Zahájení přípravy projektu bylo schváleno zastupitelstvem  dne 25.9.2015 usnesením č. 16/1631. Zastupitelstvu kraje bude předložen návrh na schválení kofinancování a profinancování projektu v průběhu roku 2019.</t>
  </si>
  <si>
    <t>Zastupitelstvo kraje rozhodlo o profinancování a kofinancování projektu dne 22.9.2016 usnesením č. 21/2254.</t>
  </si>
  <si>
    <t>Zastupitelstvo kraje rozhodlo o profinancování a kofinancování projektu dne 14.6.2018 usnesením č. 8/852.</t>
  </si>
  <si>
    <t>Rekonstrukce a výstavba Domova Březiny</t>
  </si>
  <si>
    <t>Zastupitelstvo kraje rozhodlo o profinancování a kofinancování projektu dne 13.9.2018 usnesením č. 9/974.</t>
  </si>
  <si>
    <t>Zastupitelstvo kraje dne 13.9.2018 usnesením č. 9/974 rozhodlo o profinancování a kofinancování projektu.</t>
  </si>
  <si>
    <t>Zastupitelstvo kraje rozhodlo o profinancování a kofinancování projektu dne 22.9.2016 usnesením č. 21/2245. Projekt je financován formou záloh.</t>
  </si>
  <si>
    <t>Naplňování protidrogové politiky Moravskoslezského kraje</t>
  </si>
  <si>
    <t>Zahájení přípravy projektu bylo schváleno zastupitelstvem kraje 14.6.2018 usnesením č. 8/865. Projekt bude financován formou záloh. Zastupitelstvu kraje bude předložen návrh na schválení kofinancování a profinancování projektu v průběhu roku 2019.</t>
  </si>
  <si>
    <t>Optimalizace odborného sociálního poradenství a poskytování dluhového poradenství v Moravskoslezském kraji</t>
  </si>
  <si>
    <t>Zastupitelstvo kraje rozhodlo o profinancování a kofinancování projektu dne 22. 12. 2016 usnesením č. 2/68. Projekt je financován formou záloh.</t>
  </si>
  <si>
    <t>Podpora duše II</t>
  </si>
  <si>
    <t>Zastupitelstvo kraje rozhodlo o profinancování a kofinancování projektu dne 13. 9. 2018 usnesením č. 9/989. Projekt je financován formou záloh.</t>
  </si>
  <si>
    <t>Podpora komunitní práce v MSK II</t>
  </si>
  <si>
    <t>Zastupitelstvo kraje rozhodlo o profinancování a kofinancování projektu dne 14. 6. 2018 usnesením č. 8/865. Projekt je financován formou záloh.</t>
  </si>
  <si>
    <t>Podpora služeb sociální prevence 3</t>
  </si>
  <si>
    <t>Zastupitelstvu kraje bude předložen návrh na schválení přípravy a kofinancování a profinancování projektu v průběhu roku 2019.</t>
  </si>
  <si>
    <t>Zastupitelstvo kraje rozhodlo o profinancování a kofinancování projektu dne 15.6.2017 usnesením č. 4/305. Projekt je financován formou záloh.</t>
  </si>
  <si>
    <t>Podpora zadavatelů a poskytovatelů sociálních služeb při procesu střednědobého plánování sociálních služeb v MSK</t>
  </si>
  <si>
    <t>Zastupitelstvo kraje rozhodlo o profinancování a kofinancování projektu dne 14. 12. 2017 usnesením č. 6/585. Projekt je financován formou záloh.</t>
  </si>
  <si>
    <t>Systém pomoci vedoucí k návratu a setrvání v domácím prostředí</t>
  </si>
  <si>
    <t>Zvyšování efektivity a podpora využívání nástrojů systému péče o ohrožené děti v Moravskoslezském kraji</t>
  </si>
  <si>
    <t>Zastupitelstvo kraje rozhodlo o profinancování a kofinancování projektu usnesením č. 48/4261 ze dne 9.10.2018. Projekt je financován formou záloh.</t>
  </si>
  <si>
    <t>Zateplení Mendelova gymnázia v Opavě</t>
  </si>
  <si>
    <t>Aditivní technologie a 3D tisk do škol v Moravskoslezském kraji</t>
  </si>
  <si>
    <t>Zahájení přípravy projektu bylo schváleno zastupitelstvem kraje 25.9.2015 usnesením č. 16/1624. Zastupitelstvu kraje bude předložen návrh na schválení kofinancování a profinancování projektu v průběhu roku 2019.</t>
  </si>
  <si>
    <t>Zastupitelstvo kraje rozhodlo o profinancování a kofinancování projektu dne 25.9.2015 usnesením č. 16/1634. Projekt je financován formou záloh.</t>
  </si>
  <si>
    <t>Moderní metody pěstování rostlin</t>
  </si>
  <si>
    <t>Zastupitelstvo kraje rozhodlo o profinancování a kofinancování projektu svým usnesením č. 9/1004 ze dne 13.9.2018.</t>
  </si>
  <si>
    <t>Odborné, kariérové a polytechnické vzdělávání v MSK</t>
  </si>
  <si>
    <t xml:space="preserve">Zastupitelstvo kraje rozhodlo o profinancování a kofinancování projektu dne 14.9.2017 usnesením č. 5/450.  Projekt je financován formou záloh. </t>
  </si>
  <si>
    <t>Podpora technických a řemeslných oborů v MSK</t>
  </si>
  <si>
    <t>Zastupitelstvo kraje rozhodlo o profinancování a kofinancování projektu dne 13. 9. 2018 usnesením č. 9/1004.</t>
  </si>
  <si>
    <t>Přírodní vědy v technických oborech</t>
  </si>
  <si>
    <t>Zastupitelstvo kraje rozhodlo profinancovat a kofinancovat projekt usnesením č. 9/1004 ze dne 13. 9. 2018.</t>
  </si>
  <si>
    <t>Specializované laboratoře na SPŠ chemické akademika Heyrovského v Ostravě</t>
  </si>
  <si>
    <t>Zateplení vybraných objektů Slezské nemocnice v Opavě - II etapa, památkové objekty</t>
  </si>
  <si>
    <t>Zastupitelstvo kraje rozhodlo profinancovat a kofinancovat projekt usnesením č. 4/275 ze dne 15.6.2017.</t>
  </si>
  <si>
    <t>Zastupitelstvo kraje rozhodlo profinancovat a kofinancovat projekt usnesením č. 21/2254 ze dne 22.9.2016.</t>
  </si>
  <si>
    <t>Modernizace a pořízení ITC systémů zajišťující ochranu a zabezpečení dat, síťového provozu pro nemocnice MSK</t>
  </si>
  <si>
    <t>Zahájení přípravy projektu bylo schváleno zastupitelstvem kraje dne 5. 3. 2015 usnesením č. 13/1166. Zastupitelstvu kraje bude předložen návrh na schválení kofinancování a profinancování projektu v průběhu roku 2019.</t>
  </si>
  <si>
    <t>Eliminace nadměrného šíření jmelí bílého na vybraných úsecích v Moravskoslezském kraji</t>
  </si>
  <si>
    <t>Rozhodnutí o profinancování a kofinancování projektu bude předloženo ke schválení na jednání zastupitelstva kraje dne 13.12.2018.</t>
  </si>
  <si>
    <t>Implementace programů zlepšování kvality ovzduší v České republice</t>
  </si>
  <si>
    <t>Zastupitelstvo kraje rozhodlo o profinancování a kofinancování projektu dne 14. 3. 2018 usnesením č. 7/740.</t>
  </si>
  <si>
    <t>Revitalizace EVL Děhylovský potok - Štěpán</t>
  </si>
  <si>
    <t>Zastupitelstvo kraje rozhodlo o profinancování a kofinancování projektu dne 13. 9. 2018 usnesením č. 9/991.</t>
  </si>
  <si>
    <t>Revitalizace přírodní památky Stará řeka</t>
  </si>
  <si>
    <t>Zastupitelstvo kraje rozhodlo o profinancování a kofinancování projektu dne 14. 6. 2018 usnesením č. 8/894.</t>
  </si>
  <si>
    <t>Kotlíkové dotace v Moravskoslezském kraji - 2. grantové schéma</t>
  </si>
  <si>
    <t>Zastupitelstvo kraje usnesením č. 4/319 ze dne 15.6.2017 vzalo na vědomí Registraci akce a Rozhodnutí o poskytnutí dotace k projektu, rozhodlo o závazku kraje na období 2016 – 2020 na příspěvek kraje všem konečným uživatelům a schválilo předfinancování příspěvků obcí.</t>
  </si>
  <si>
    <t>RESOLVE – Sustainable mobility and the transition to a low-carbon retailing economy</t>
  </si>
  <si>
    <t xml:space="preserve">Financování akce bude předloženo ke schválení na jednání zastupitelstva kraje dne 13. 12. 2018 v rámci schvalování rozpočtu kraje na rok 2019. Je předpoklad, že výdaje budou potřeba i v dalších letech. Toto bude předmětem při schvalování dalších rozpočtů. </t>
  </si>
  <si>
    <t>Vysokorychlostní datová síť</t>
  </si>
  <si>
    <t>Financování akce bude předloženo ke schválení na jednání zastupitelstva kraje dne 13. 12. 2018 v rámci schvalování rozpočtu kraje na rok 2019.</t>
  </si>
  <si>
    <t xml:space="preserve">Financování akce bylo schváleno usnesením zastupitelstva kraje č. 2/28 dne 22. 12. 2016. Zastupitelstvo kraje usnesením č. 4/245 ze dne 15. 6. 2017 rozhodlo uzavřít Memorandum o spolupráci při přípravě a realizaci projektu s ČR - Ministerstvem kultury (800 mil. Kč) a statutárním městem Ostrava (150 mil. Kč). Memorandum bylo uzavřeno dne 25. 4. 2018.  </t>
  </si>
  <si>
    <t>Hrad Sovinec - oprava vnitřního opevnění (Muzeum v Bruntále, příspěvková organizace)</t>
  </si>
  <si>
    <t>Hrad Sovinec - oprava lesnické školy (Muzeum v Bruntále, příspěvková organizace)</t>
  </si>
  <si>
    <t>Hrad Hukvaldy - dobudování infrastruktury (Muzeum Beskyd Frýdek-Místek, příspěvková organizace)</t>
  </si>
  <si>
    <t>Novostavba objektu depozitáře (Muzeum v Bruntále, příspěvková organizace)</t>
  </si>
  <si>
    <t>Podpora rozvoje muzejnictví v Moravskoslezském kraje - příspěvkové organizace MSK</t>
  </si>
  <si>
    <t>Financování akce bude předloženo ke schválení na jednání zastupitelstva kraje dne 13. 12. 2018 v rámci schvalování rozpočtu kraje na rok 2019. Financování akce vychází z Koncepce rozvoje muzejnictví v Moravskoslezském kraji na léta 2015 – 2020, která byla schválena usnesením zastupitelstva kraje č. 16/1615 ze dne 25. 9. 2015.</t>
  </si>
  <si>
    <t>Zámek Nová Horka - restaurování a obnova (Muzeum Novojičínska, příspěvková organizace)</t>
  </si>
  <si>
    <t>Financování akce bylo schváleno usnesením zastupitelstva kraje č.  17/1686 ze dne 17.12.2015.  Akce je realizována od r. 2016 s  celkovými výdaji 70 mil. Kč a je spolufinancována ze státního rozpočtu (MPSV) v režimu ex-post plateb ve výši 20,3 mil. Kč.</t>
  </si>
  <si>
    <t>Financování akce bylo schváleno na jednání zastupitelstva kraje usnesením č. 6/520 ze dne 14. 12. 2017.</t>
  </si>
  <si>
    <t xml:space="preserve">Financování akce bylo schváleno na jednání zastupitelstva kraje usnesením č. 6/520 ze dne 14. 12. 2017.  Předpokládá se možnost spolufinancování akce městem Kopřivnice.  </t>
  </si>
  <si>
    <t>Rekonstrukce budovy na ulici Praskova čp. 411 v Opavě (Základní škola, Opava, Havlíčkova 1, příspěvková organizace)</t>
  </si>
  <si>
    <t>Rada kraje rozhodla vyčlenit finanční prostředky z rozpočtu kraje na projektovou přípravu akce usnesením č. 16/1352 ze dne 27. 6. 2017.  Financování realizace akce bylo schváleno usnesením zastupitelstva kraje č. 6/520 dne 14. 12. 2017.</t>
  </si>
  <si>
    <t>Rekonstrukce objektů Polského gymnázia (Polské gymnázium - Polskie Gimnazjum im. Juliusza Słowackiego, Český Těšín, příspěvková organizace)</t>
  </si>
  <si>
    <t>Financování realizace akce bylo schváleno usnesením zastupitelstva kraje č. 6/520 dne 14. 12. 2017.</t>
  </si>
  <si>
    <t>Rekonstrukce elektroinstalace (Střední škola technických oborů, Havířov-Šumbark, Lidická 1a/600,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</si>
  <si>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</si>
  <si>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</si>
  <si>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</si>
  <si>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Pavilon H - stavební úpravy a přístavba (Slezská nemocnice v Opavě, příspěvková organizace)</t>
  </si>
  <si>
    <t>Rada kraje rozhodla vyčlenit finanční prostředky z rozpočtu kraje na projektovou přípravu akce usnesením č. 102/7935 ze dne 7. 6. 2016.  Financování realizace akce bylo schváleno usnesením zastupitelstva kraje č.  2/28 dne 22. 12. 2016.</t>
  </si>
  <si>
    <t>Domov sester - přístavba výtahu a stavební úpravy (Slezská nemocnice v Opavě, příspěvková organizace)</t>
  </si>
  <si>
    <t>Rekonstrukce elektroinstalace Orlová (Nemocnice s poliklinikou Karviná-Ráj, příspěvková organizace)</t>
  </si>
  <si>
    <t>Financování realizace akce bylo schváleno usnesením zastupitelstva kraje č.  2/28 dne 22. 12. 2016.</t>
  </si>
  <si>
    <r>
      <t>Zahájení přípravy akce bylo schváleno zastupitelstvem kraje usnesením č. 16/1635 ze dne 25. 9. 2015. Financování realizace akce bylo schváleno na jednání zastupitelstva kraje usnesením č. 6/520 ze dne 14. 12. 2017. Předpokládá se možnost spolufinancování akce Ministerstvem kultury  a Statutárním městem Ostrava.</t>
    </r>
    <r>
      <rPr>
        <sz val="8"/>
        <color rgb="FFFF0000"/>
        <rFont val="Tahoma"/>
        <family val="2"/>
        <charset val="238"/>
      </rPr>
      <t xml:space="preserve">  </t>
    </r>
  </si>
  <si>
    <t xml:space="preserve">Závazky celkem      </t>
  </si>
  <si>
    <t>Požadavek na rozpočet</t>
  </si>
  <si>
    <t>Členský příspěvek Asociaci krajů České republiky</t>
  </si>
  <si>
    <t>Závazek kraje vyplývající z členství Moravskoslezského kraje v Asociaci krajů České republiky. Členství bylo schváleno usnesením zastupitelstva kraje č. 47/M1 ze dne 12.2.2001 a to na dobu neurčitou.</t>
  </si>
  <si>
    <t xml:space="preserve">Operativní leasing automobilů Moravskoslezského kraje </t>
  </si>
  <si>
    <t>Závazek kraje vyplývající ze smlouvy č. 03755/2018/KŘ uzavřené na základě usnesení rady kraje č. 33/2949 ze dne 12.3.2018 na pronájem 7 vozidel kraji. Smlouva byla uzavřena na dobu 36 měsíců, závazek trvá do roku 2021.</t>
  </si>
  <si>
    <t>Zajištění služeb souvisejících s provozem a činností KÚ</t>
  </si>
  <si>
    <t>Závazek kraje vyplývající z dodavatelských smluv uzavřených krajem na dobu neurčitou. Jedná se o smlouvy na zajištění dodávek tepla, TUV, vodné a stočné, telekomunikační služby, odvoz odpadu, úklid a ostraha budov, revize výtahů, EZS, EPS, apod. v rámci činnosti krajského úřadu.</t>
  </si>
  <si>
    <t>Zpracování dat a zajištění služeb souvisejících s informačními a komunikačními technologiemi</t>
  </si>
  <si>
    <t>Závazek kraje vyplývající z dodavatelských smluv uzavřených krajem na dobu neurčitou. Jedná se o smlouvy na technickou a zákaznickou podporu (maintenance), na aktualizace a obnovu dat, služby k IT systémům a softwarové zpracování výstupů IT, apod. v rámci činnosti krajského úřadu.</t>
  </si>
  <si>
    <t>Pronájem pozemků</t>
  </si>
  <si>
    <t xml:space="preserve">Pronájem pozemků vyplývající z uzavřených smluv (01329/2012/IM,01471/2011/IM,03511/2016/IM,00756/2017/IM). Jedná se o smlouvy na dobu určitou i neurčitou. </t>
  </si>
  <si>
    <t xml:space="preserve">Zajištění poradenství v oblasti pojišťovnictví </t>
  </si>
  <si>
    <t>Moravskoslezský kraj uzavřel smlouvu č. 06513/2018/IM na správa pojistných smluv, odborné poradenství, odborná pomoc při likvidaci pojistných událostí s trváním do 30.6.2023.</t>
  </si>
  <si>
    <t>Smlouva o poskytnutí nového úvěrového rámce ve výši 1.000.000 tis. Kč mezi UniCredit Bank Czech Republic and Slovakia, a.s. a Moravskoslezským krajem - splátky jistin</t>
  </si>
  <si>
    <t>O uzavření smlouvy o poskytnutí úvěrového rámce mezi UniCredit Bank Czech Republic and Slovakia, a.s. a Moravskoslezským krajem ve výši 1.000 mil. Kč rozhodne zastupitelstvo kraje na svém zasedání dne 13.12.2018 a z toho vyplývající závazek bude předložen ke schválení na stejném zasedání zastupitelstva.</t>
  </si>
  <si>
    <t>Smlouva o poskytnutí nového úvěrového rámce ve výši 1.000.000 tis. Kč mezi UniCredit Bank Czech Republic and Slovakia, a.s. a Moravskoslezským krajem - platba úroků</t>
  </si>
  <si>
    <t>Zajištění dopravní obslužnosti v Moravskoslezském kraji veřejnou drážní osobní dopravou na vybraných traťových linkách a úsecích v Moravskoslezském kraji, od prosince 2019 do prosince 2025</t>
  </si>
  <si>
    <t xml:space="preserve">Závazek Moravskoslezského kraje byl schválen usnesením zastupitelstva kraje č. 8/834 ze dne 14.6.2018. Závazek  trvá v období od prosince 2019 do prosince 2025 na základě uzavřené smlouvy  o Smlouvě budoucí o veřejných službách v přepravě cestujících k zajištění dopravní obslužnosti kraje veřejnou drážní osobní dopravou (06958/2018/DSH). </t>
  </si>
  <si>
    <t xml:space="preserve">Závazek Moravskoslezského kraje byl schválen usnesením zastupitelstva kraje č. 5/423 ze dne 14.9.2017 a upřesněn usnesením č. 6/552 ze dne 14. 12. 2017. Závazek trvá v období od prosince 2019 do prosince 2023 na základě uzavřené smlouvy č. 07698/2018/DSH. </t>
  </si>
  <si>
    <t>Závazek Moravskoslezského kraje byl schválen usnesením zastupitelstva kraje č. 12/1022 ze dne 11.12.2014 na základě uzavřené smlouvy č. 02118/2006/DSH.</t>
  </si>
  <si>
    <t>Závazek Moravskoslezského kraje byl schválen usnesením zastupitelstva kraje č. 13/1128 ze dne 5.3.2015. Závazek trvá do roku 2027 na základě uzavřené smlouvy č. 02118/2006/DSH/24.</t>
  </si>
  <si>
    <t>Provozování železniční dráhy</t>
  </si>
  <si>
    <t xml:space="preserve">Jedná se o závazek vyplývající ze smlouvy č. 00530/2014/KŘ byla uzavřena na základě usnesení rady kraje č. 39/2872 ze dne 25.3.2014. Jedná se o smlouvu na dobu neurčitou. V rámci udržitelnosti projektu byl schválen usnesením zastupitelstva kraje č. 8/684 ze dne 27.2.2014 na léta 2015-2019. </t>
  </si>
  <si>
    <t xml:space="preserve">Vypořádání zůstatkové hodnoty technického zhodnocení majetku provedené na vlastní náklady Letiště Ostrava, a. s. </t>
  </si>
  <si>
    <t xml:space="preserve">Vypořádání zůstatkové hodnoty technického zhodnocení majetku realizovaného Letištěm Ostrava, a.s.,  z vlastních zdrojů se souhlasem Moravskoslezského kraje v případě realizace majetku. Vyčíslený závazek bude každoročně ponížen o hodnotu odpisů. Závazek Moravskoslezského kraje bude předložen ke schválení na zasedání zastupitelstva kraje dne 13.12.2018. </t>
  </si>
  <si>
    <t>Zkvalitnění dopravního napojení závodu společnosti Mondelez CR Biscuit Production s.r.o. na silnici I/57</t>
  </si>
  <si>
    <t>Závazek Moravskoslezského kraje byl schválen usnesením zastupitelstva kraje č. 9/962 ze dne 13.9.2018.</t>
  </si>
  <si>
    <t>Závazek Moravskoslezského kraje byl schválen usnesením zastupitelstva kraje č. 15/1485 ze dne 25.6.2015. Závazek trvá do roku 2025.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</si>
  <si>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Závazek Moravskoslezského kraje byl schválen usnesením zastupitelstva kraje č. 16/1564 ze dne 25.9.2015. Závazek trvá do roku 2026.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</si>
  <si>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Závazek Moravskoslezského kraje byl schválen usnesením zastupitelstva kraje č. 3/132 ze dne 16.3.2017. Závazek trvá do roku 2028.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</si>
  <si>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Závazek Moravskoslezského kraje byl schválen usnesením zastupitelstva kraje č.  3/132 ze dne 16.3.2017. Závazek trvá do roku 2028.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</si>
  <si>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Smlouva o poskytnutí finančního příspěvku na zajištění dopravní obslužnosti území Moravskoslezského kraje městskou hromadnou dopravou - Obec Horní Bludovice</t>
  </si>
  <si>
    <t>Závazek Moravskoslezského kraje byl schválen usnesením zastupitelstva kraje č. 9/966 ze dne 13.9.2018. Závazek bude trvat do roku 2023.</t>
  </si>
  <si>
    <t>Smlouva o poskytnutí finančního příspěvku na zajištění dopravní obslužnosti území Moravskoslezského kraje městskou hromadnou dopravou - Město Šenov</t>
  </si>
  <si>
    <t>Smlouva o poskytnutí finančního příspěvku na zajištění dopravní obslužnosti území Moravskoslezského kraje městskou hromadnou dopravou - Statutární město Frýdek-Místek</t>
  </si>
  <si>
    <t>Závazek Moravskoslezského kraje byl schválen usnesením zastupitelstva kraje č.9/966 ze dne 13.9.2018. Závazek bude trvat do roku 2028.</t>
  </si>
  <si>
    <t>Smlouva o poskytnutí finančního příspěvku na zajištění dopravní obslužnosti území Moravskoslezského kraje městskou hromadnou dopravou - Statutární město Opava</t>
  </si>
  <si>
    <t>Závazek Moravskoslezského kraje byl schválen usnesením zastupitelstva kraje č. 9/966 ze dne 13.9.2018. Závazek bude trvat do roku 2028.</t>
  </si>
  <si>
    <t>Smlouva o poskytnutí finančního příspěvku na zajištění dopravní obslužnosti území Moravskoslezského kraje městskou hromadnou dopravou - Statutární město Ostrava</t>
  </si>
  <si>
    <t>Závazek Moravskoslezského kraje byl schválen usnesením zastupitelstva kraje č. 9/966 ze dne 13.9.2018. Závazek bude trvat do roku 2024.</t>
  </si>
  <si>
    <t xml:space="preserve">Zastupitelstvo kraje svým usnesením č. 3/131 ze dne 16.3.2017 rozhodlo o uzavření smlouvy o finanční spolupráci ve veřejné linkové osobní dopravě mezi Moravskoslezským krajem a Olomouckým krajem. Dále usnesením zastupitelstva kraje č. 6/541 ze dne 14.12.2017 byl schválen závazek, který trvá do roku 2027. </t>
  </si>
  <si>
    <t>Smlouva o finanční spolupráci ve veřejné linkové dopravě mezi Moravskoslezským krajem a Zlínským krajem</t>
  </si>
  <si>
    <t xml:space="preserve">Zastupitelstvo kraje svým usnesením č. 21/2211 ze dne 22.9.2016 rozhodlo o uzavření smlouvy o finanční spolupráci ve veřejné linkové osobní dopravě mezi Moravskoslezským krajem a Zlínským krajem. Závazek Moravskoslezského kraje bude předložen ke schválení na zasedání zastupitelstva kraje dne 13.12.2018. </t>
  </si>
  <si>
    <t>Závazek Moravskoslezského kraje byl schválen usnesením zastupitelstva kraje č. 3/132 ze dne 16.3.2017, který byl následně změněn usnesením zastupitelstva kraje č. 6/542 ze dne 14.12.2017. Závazek trvá do roku 2028.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</si>
  <si>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Závazek Moravskoslezského kraje byl schválen usnesením zastupitelstva kraje č. 4/253 ze dne 15.6.2017, který byl následně změněn usnesením zastupitelstva kraje č. 6/542 ze dne 14.12.2017. Závazek trvá do roku 2029.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</si>
  <si>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 xml:space="preserve">Závazek Moravskoslezského kraje byl schválen usnesením zastupitelstva kraje č. 4/253 ze dne 15.6.2017, který byl následně změněn usnesením zastupitelstva kraje č. 6/542 ze dne 14.12.2017. Závazek trvá do roku 2029.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Jedná se o polední oblast, na kterou není uzavřená smlouva. V současné době probíhá opakování veřejné zakázky. </t>
  </si>
  <si>
    <t>Závazek Moravskoslezského kraje byl schválen usnesením zastupitelstva kraje č. 5/420 ze dne 14.9.2017, který byl následně změněn usnesením zastupitelstva kraje č. 6/542 ze dne 14.12.2017. Závazek trvá do roku 2028.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</si>
  <si>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Zajištění dopravní obslužnosti linkovou dopravou - oblast Frýdecko-Místecko</t>
  </si>
  <si>
    <t>Závazek Moravskoslezského kraje byl schválen usnesením zastupitelstva kraje č. 6/553 ze dne 14.12.2017. Závazek trvá do roku 2029.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</si>
  <si>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 xml:space="preserve">Zajištění činnosti krizového štábu </t>
  </si>
  <si>
    <t>Závazek vyplývající ze smlouvy č. 02380/2011/KH uzavřené s dodavatelem na poskytování servisní a uživatelské podpory aplikace ECC.</t>
  </si>
  <si>
    <t>Zabezpečení technické podpory pro Integrované bezpečnostní centrum Moravskoslezského kraje</t>
  </si>
  <si>
    <t>Závazek vyplývající ze smlouvy č. 06170/2017/KŘ uzavřené s dodavatelem na poskytování servisní a uživatelské podpory aplikace SW Geocortex.</t>
  </si>
  <si>
    <t>Členství Moravskoslezského kraje v zájmovém sdružení na dobu neurčitou schválilo za zastupitelstvo kraje usnesením č. 18/1535 ze dne 23.3.2011. Závazek Moravskoslezského kraje byl schválen usnesením zastupitelstva kraje č. 6/520 ze dne 14.12.2017.</t>
  </si>
  <si>
    <t>Členství Moravskoslezského kraje v Evropskému seskupení pro územní spolupráci TRITIA na dobu neurčitou schválilo zastupitelstvo kraje usnesením č. 11/946 ze dne 21.4.2010. Nové stanovy a zmocnění hejtmana kraje jako člena valné hromady k hlasování pro navýšení členského příspěvku na 32 tis. EUR včetně závazku byly schváleny usnesením zastupitelstva kraje č. 6/520 ze dne 14.12.2017.</t>
  </si>
  <si>
    <t xml:space="preserve">Dotační program Podpora vědy a výzkumu v Moravskoslezském kraji </t>
  </si>
  <si>
    <t>Rada kraje usnesením č. 40/3595 ze dne 12.6.2018 vyhlásila dotační program "Podpora vědy a výzkumu v Moravskoslezském kraji 2018". První a druhé splátky budou vyplaceny vysokým školám v průběhu roku 2019 a poslední splátky budou vyplaceny po předložení závěrečného vyúčtování v roce 2020. V návaznosti na výše uvedené bude tento závazek předložen ke schválení na zasedání zastupitelstva kraje dne 13.12.2018.</t>
  </si>
  <si>
    <t>Dofinancování dotačního programu Program na podporu financování akcí s podporou EU</t>
  </si>
  <si>
    <t>Dotační program byl vyhlášen jako kontinuální s celkovou alokací 48 mil. Kč. Zastupitelstvo kraje usnesením č. 9/1001 ze dne 13.9.2018 schválilo závazek dofinancovat druhé splátky dotací z rozpočtu kraje na rok 2019. Na zasedání zastupitelstva kraje konané v prosinci je předložen materiál se schválením dalších příjemců v rámci dotačního programu a rozhodnutí o dofinancování splátek poskytnutých v rámci dotačního programu v letech 2020 a 2021.</t>
  </si>
  <si>
    <t>Spolufinancování provozu Moravskoslezského inovačního centra Ostrava, a.s.</t>
  </si>
  <si>
    <t>Rozhodnutím zastupitelstva kraje č. 7/754 ze dne 14.3.2018 bylo Moravskoslezské inovační centrum Ostrava, a.s., pověřeno poskytováním služeb obecného hospodářského zájmu vymezeného ve Smlouvě o poskytnutí vyrovnávací platby za poskytování služeb v obecném hospodářském zájmu č. 04321/2018/RRC. Současně bylo rozhodnuto o dofinancování poskytovaných služeb v letech 2019 - 2021 ve výši 10 mil. Kč ročně.</t>
  </si>
  <si>
    <t>Závazek Moravskoslezského kraje byl schválen usnesením zastupitelstva kraje č. 16/1673 ze dne 25.9.2015 v celkové výši 5.645 tis. Kč. Tento závazek byl upraven usnesením zastupitelstva kraje č. 6/520 ze dne 14.12.2017. Dále zastupitelstvo kraje schválilo závazek dofinancovat náklady spojené s provozem restaurátorské dílny VŠB-TU Ostrava, číslo usnesení 9/996 ze dne 13.9.2018.</t>
  </si>
  <si>
    <t>Členství Moravskoslezského kraje v zájmovém sdružení právnických osob Evropská kulturní stezka sv. Cyrila a Metoděje na dobu neurčitou schválilo zastupitelstvo kraje usnesením č. 12/1085 ze dne 11.12.2014. Závazek Moravskoslezského kraje byl schválen usnesením zastupitelstva kraje č. 6/520 ze dne 14.12.2017.</t>
  </si>
  <si>
    <t>Rozvojové aktivity v cestovním ruchu</t>
  </si>
  <si>
    <t>Poplatek za dočasné odnětí pozemku plnění funkcí lesa do roku 2022 v souvislosti se zrealizovaným projektem SingleTrails Bílá. Závazek Moravskoslezského kraje byl schválen usnesením zastupitelstva kraje č. 6/520 ze dne 14.12.2017.</t>
  </si>
  <si>
    <t>Závazek Moravskoslezského kraje byl schválen usnesením zastupitelstva kraje č. 2/73 ze dne 22.12.2016, změna usnesením č. 7/742 ze dne 14.3.2018.</t>
  </si>
  <si>
    <t>Projekt Víkendová vlaková doprava na tr. 314 Opava – Jakartovice – Svobodné Heřmanice“ realizovaný subjektem Mikroregion Hvozdnice</t>
  </si>
  <si>
    <t>Závazek Moravskoslezského kraje byl schválen usnesením zastupitelstva kraje č. 6/607 ze dne 14.12.2017.</t>
  </si>
  <si>
    <t>Služby pro informační systém Beskydská a Jesenická magistrála</t>
  </si>
  <si>
    <t>Závazek vyplývající ze smlouvy č. 00335/2015/INF uzavřené s dodavatelem na poskytování technické podpory Orientačně-informačního systému Jesenické magistrály.</t>
  </si>
  <si>
    <t xml:space="preserve">Memorandum o spolupráci při přípravě a realizaci projektu „Výstavba nového koncertního sálu jako přístavba objektu Domu kultury města Ostravy“ se statutárním městem Ostrava, IČO: 00845451 a Českou republikou - Ministerstvem kultury, IČO: 00023671 </t>
  </si>
  <si>
    <t>Závazek Moravskoslezského kraje byl schválen usnesením zastupitelstva kraje č. 4/245 ze dne 15. 6. 2017, realizuje statutární město Ostrava, předpokládané náklady 1.450 mil. Kč.</t>
  </si>
  <si>
    <t xml:space="preserve">Technická údržba, podpora a služby k software v odvětví školství </t>
  </si>
  <si>
    <t>Závazek vyplývající ze smlouvy č. 07092/2016/INF uzavřené s dodavatelem na poskytování licence k SW produktům Microsoft (Microsoft campus and school).</t>
  </si>
  <si>
    <t>Závazek Moravskoslezského kraje byl schválen usnesením zastupitelstva kraje č. 16/1584 ze dne 25.9.2015. K datu řádného ukončení smlouvy o nájmu podniku k 31.12.2031 bude závazek ve výši 9,8 mil. Kč.</t>
  </si>
  <si>
    <t>Závazek kraje k zajištění prohlídek těl zemřelých v Moravskoslezském kraji</t>
  </si>
  <si>
    <t>Závazek Moravskoslezského kraje byl schválen usnesením zastupitelstva kraje č. 8/856 ze dne 14.6.2018.</t>
  </si>
  <si>
    <t>Technická údržba, podpora a služby k software v odvětví zdravotnictví</t>
  </si>
  <si>
    <t>Závazek vyplývající ze smluv č. 01189/2011/ZDR, 01109/2014/KŘ, 00021/2015/INF, 01218/2015/ZDR, 01880/2015/KŘ, 00509/2016/INF uzavřené s dodavateli na poskytování servisní a technické podpory k SW produktům.</t>
  </si>
  <si>
    <t>Moravskoslezský kraj zajišťuje údržbu chráněných části přírody na území kraje vyplývající z obecně právních předpisů. V návaznosti na to jsou uzavřené dlouhodobé smlouvy nebo smlouvy na dobu neurčitou s jednotlivými subjekty na tyto činnosti. Závazek Moravskoslezského kraje byl schválen usnesením zasedání zastupitelstva kraje č. 6/520 dne 14.12.2017.</t>
  </si>
  <si>
    <t>Požadavek  na rozpočet kraje</t>
  </si>
  <si>
    <t>Ručitelský závazek MSK za úvěr společnosti Bílovecká nemocnice, a.s. - očekávaný stav k 31.12.2018</t>
  </si>
  <si>
    <t>O převzetí ručitelského závazku rozhodlo zastupitelstvo kraje usnesením č. 6/422 ze dne 19. 9. 2013. Splatnost závazku je dána podmínkami smlouvy o úvěru č. 1424/13/5628 mezi Bíloveckou nemocnicí, a.s., a Československou obchodní bankou, a.s. (úvěr je splatný nejpozději do 27. 1. 2020), roční splátka činí 1 980 tis. Kč.</t>
  </si>
  <si>
    <t>Ručitelský závazek MSK za závazky společnosti VaK Bruntál, a.s. - stav k 30. 6. 2018</t>
  </si>
  <si>
    <t xml:space="preserve">V souvislosti s žádostí společnosti VaK Bruntál, a.s. a na základě usnesením č. 5/277 ze dne 17. 6. 2009 rozhodlo zastupitelstvo kraje o převzetí ručitelského závazku za všechny dluhy obchodní společnosti VaK Bruntál a. s., a vydání prohlášení ručitele ve smyslu § 546 zákona č. 40/1964 Sb., občanský zákoník, ve znění pozdějších předpisů. Moravskoslezský kraj převzal ručení s ohledem na ust. § 143 odst. 4 insolvenčního zákona, když takový krok vyššího územního samosprávného celku je zákonným důvodem pro zamítnutí insolvenčního návrhu podaného věřitelem. Ve věci zajištění ručitelského závazku Moravskoslezského kraje je uzavřena smlouva o budoucí smlouvě zástavní se společností VaK Bruntál, a.s. Ručitelský závazek je aktualizován pololetně podle údajů z účetnictví společnosti VaK Bruntál, a. s. </t>
  </si>
  <si>
    <r>
      <t>Členství Moravskoslezského kraje v zájmovém sdružení  je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na dobu neurčitou schválilo zastupitelstvo kraje usnesením č. 3/259 ze dne 21.3.2013. Závazek Moravskoslezského kraje byl schválen usnesením zastupitelstva kraje č. 6/520 ze dne 14.12.2017.</t>
    </r>
  </si>
  <si>
    <t>rok 2022</t>
  </si>
  <si>
    <t>po roce 2022</t>
  </si>
  <si>
    <t>2019 - 2020</t>
  </si>
  <si>
    <t>2016 - 2021</t>
  </si>
  <si>
    <t>2017 - 2021</t>
  </si>
  <si>
    <t>Pozn. Výdaje na udržitelnost projektů je povinen kraje dle rozhodnutí řídícho orgánu zajistit po dobu 5 let. Výjimkou jsou projekty EVL v odvětví životního prostředí, kde je doba udržitelnosti stanovena na 10 let a projekt v odvětví regionálního rozvoje, kde je doba udržitelnosti stanovena na 3 roky.</t>
  </si>
  <si>
    <r>
      <t xml:space="preserve">NOVÝ ÚVĚROVÝ RÁMEC
</t>
    </r>
    <r>
      <rPr>
        <sz val="10"/>
        <rFont val="Tahoma"/>
        <family val="2"/>
        <charset val="238"/>
      </rPr>
      <t>(smlouva bude předložena na ZK 13.12.2018</t>
    </r>
    <r>
      <rPr>
        <b/>
        <sz val="10"/>
        <rFont val="Tahoma"/>
        <family val="2"/>
        <charset val="238"/>
      </rPr>
      <t xml:space="preserve">
ve výši 1,0 mld. Kč</t>
    </r>
    <r>
      <rPr>
        <sz val="10"/>
        <rFont val="Tahoma"/>
        <family val="2"/>
        <charset val="238"/>
      </rPr>
      <t>)</t>
    </r>
  </si>
  <si>
    <r>
      <t>2022</t>
    </r>
    <r>
      <rPr>
        <b/>
        <vertAlign val="superscript"/>
        <sz val="10"/>
        <rFont val="Tahoma"/>
        <family val="2"/>
        <charset val="238"/>
      </rPr>
      <t xml:space="preserve"> 1)</t>
    </r>
  </si>
  <si>
    <t>1) Pro léta 2018 až 2022 se jedná o očekávanou skutečnost k 31.12.20xx</t>
  </si>
  <si>
    <t xml:space="preserve"> v mil. Kč</t>
  </si>
  <si>
    <t>Bilance příjmů a výdajů v letech 2020 -2022</t>
  </si>
  <si>
    <t>Přehled očekávaných účelových dotací v letech 2020 – 2022</t>
  </si>
  <si>
    <t xml:space="preserve">Závazek Moravskoslezského kraje byl schválen usnesením zastupitelstva kraje č. 5/421 ze dne 14. 9. 2017. Akce "Silnice II/479, III/4721, Bazaly, II. etapa" je zařazena v závazcích kraje spolufinancovaných z evropských finančních zdrojů pod názvem projektu "MÚK Bazaly – II. a III. etapa". Finanční prostředky budou na akce dle této smlouvy zahrnuty do rozpočtu a výhledu až po zpřesnění celkových výdajů v daných letech a příp. budou využity úvěrové zdroje.  </t>
  </si>
  <si>
    <t>Statutární město Ostrava  - dotace na spolufinancování akce Přístavba Domu umění - Galerie 21. století</t>
  </si>
  <si>
    <t>Statutární město Ostrava  - dotace na spolufinancování akce Novostavba Moravskoslezské vědecké knihovny</t>
  </si>
  <si>
    <t>Ostatní dotace ze státního rozpočtu</t>
  </si>
  <si>
    <t>Obce MSK - příspěvek na dopravní obslužnost linkovou</t>
  </si>
  <si>
    <t>Obce MSK - dotace do Fondu sociálních služeb</t>
  </si>
  <si>
    <t>Dotace od obcí na spolufinancování investičních akcí kraje</t>
  </si>
  <si>
    <t>Zateplení a stavební úpravy správní budovy, pavilonu E a F Domova Březiny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</si>
</sst>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\ _K_č"/>
    <numFmt numFmtId="166" formatCode="#,##0\ _K_č;\-#,##0\_\K_č"/>
    <numFmt numFmtId="167" formatCode="0000"/>
    <numFmt numFmtId="168" formatCode="0.0%"/>
  </numFmts>
  <fonts count="6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indexed="60"/>
      <name val="Tahoma"/>
      <family val="2"/>
      <charset val="238"/>
    </font>
    <font>
      <sz val="11"/>
      <color indexed="12"/>
      <name val="Tahoma"/>
      <family val="2"/>
      <charset val="238"/>
    </font>
    <font>
      <i/>
      <sz val="8"/>
      <name val="Tahoma"/>
      <family val="2"/>
      <charset val="238"/>
    </font>
    <font>
      <b/>
      <i/>
      <sz val="10"/>
      <name val="Tahoma"/>
      <family val="2"/>
      <charset val="238"/>
    </font>
    <font>
      <i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i/>
      <sz val="12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8"/>
      <color rgb="FFFF000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b/>
      <sz val="10"/>
      <name val="Arial"/>
      <family val="2"/>
      <charset val="238"/>
    </font>
    <font>
      <sz val="12"/>
      <color indexed="10"/>
      <name val="Tahoma"/>
      <family val="2"/>
      <charset val="238"/>
    </font>
    <font>
      <sz val="9"/>
      <color rgb="FFFF0000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8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Calibri"/>
      <family val="2"/>
      <charset val="238"/>
      <scheme val="minor"/>
    </font>
    <font>
      <sz val="12"/>
      <color rgb="FFFF0000"/>
      <name val="Tahoma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5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18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27" applyNumberFormat="0" applyAlignment="0" applyProtection="0"/>
    <xf numFmtId="0" fontId="23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5" fillId="0" borderId="0"/>
    <xf numFmtId="0" fontId="19" fillId="23" borderId="28" applyNumberFormat="0" applyFont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1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89">
    <xf numFmtId="0" fontId="0" fillId="0" borderId="0" xfId="0"/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1" fillId="3" borderId="0" xfId="1" applyFont="1" applyFill="1" applyAlignment="1">
      <alignment vertical="center"/>
    </xf>
    <xf numFmtId="49" fontId="13" fillId="0" borderId="0" xfId="1" applyNumberFormat="1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4" fontId="8" fillId="0" borderId="0" xfId="1" applyNumberFormat="1" applyFont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4" fontId="8" fillId="0" borderId="0" xfId="1" applyNumberFormat="1" applyFont="1" applyFill="1" applyAlignment="1">
      <alignment vertical="center"/>
    </xf>
    <xf numFmtId="49" fontId="12" fillId="0" borderId="4" xfId="1" applyNumberFormat="1" applyFont="1" applyFill="1" applyBorder="1" applyAlignment="1">
      <alignment horizontal="left" vertical="center" wrapText="1"/>
    </xf>
    <xf numFmtId="0" fontId="8" fillId="5" borderId="0" xfId="1" applyFont="1" applyFill="1" applyAlignment="1">
      <alignment vertical="center"/>
    </xf>
    <xf numFmtId="0" fontId="32" fillId="0" borderId="15" xfId="1" applyFont="1" applyFill="1" applyBorder="1" applyAlignment="1">
      <alignment horizontal="center" vertical="center" wrapText="1"/>
    </xf>
    <xf numFmtId="1" fontId="32" fillId="28" borderId="17" xfId="1" applyNumberFormat="1" applyFont="1" applyFill="1" applyBorder="1" applyAlignment="1">
      <alignment horizontal="center" vertical="center" wrapText="1"/>
    </xf>
    <xf numFmtId="1" fontId="32" fillId="28" borderId="16" xfId="1" applyNumberFormat="1" applyFont="1" applyFill="1" applyBorder="1" applyAlignment="1">
      <alignment horizontal="center" vertical="center" wrapText="1"/>
    </xf>
    <xf numFmtId="164" fontId="32" fillId="6" borderId="18" xfId="1" applyNumberFormat="1" applyFont="1" applyFill="1" applyBorder="1" applyAlignment="1">
      <alignment horizontal="center" vertical="center" wrapText="1"/>
    </xf>
    <xf numFmtId="3" fontId="33" fillId="28" borderId="9" xfId="1" applyNumberFormat="1" applyFont="1" applyFill="1" applyBorder="1" applyAlignment="1"/>
    <xf numFmtId="49" fontId="8" fillId="0" borderId="3" xfId="1" applyNumberFormat="1" applyFont="1" applyFill="1" applyBorder="1" applyAlignment="1">
      <alignment horizontal="left"/>
    </xf>
    <xf numFmtId="49" fontId="8" fillId="0" borderId="3" xfId="1" applyNumberFormat="1" applyFont="1" applyFill="1" applyBorder="1" applyAlignment="1">
      <alignment horizontal="left" wrapText="1"/>
    </xf>
    <xf numFmtId="3" fontId="33" fillId="6" borderId="9" xfId="1" applyNumberFormat="1" applyFont="1" applyFill="1" applyBorder="1" applyAlignment="1"/>
    <xf numFmtId="0" fontId="32" fillId="6" borderId="25" xfId="1" applyFont="1" applyFill="1" applyBorder="1" applyAlignment="1">
      <alignment horizontal="center" vertical="center" wrapText="1"/>
    </xf>
    <xf numFmtId="0" fontId="32" fillId="28" borderId="25" xfId="1" applyFont="1" applyFill="1" applyBorder="1" applyAlignment="1">
      <alignment horizontal="center" vertical="center" wrapText="1"/>
    </xf>
    <xf numFmtId="0" fontId="32" fillId="28" borderId="24" xfId="1" applyFont="1" applyFill="1" applyBorder="1" applyAlignment="1">
      <alignment horizontal="center" vertical="center" wrapText="1"/>
    </xf>
    <xf numFmtId="164" fontId="32" fillId="6" borderId="23" xfId="1" applyNumberFormat="1" applyFont="1" applyFill="1" applyBorder="1" applyAlignment="1">
      <alignment horizontal="center" vertical="center" wrapText="1"/>
    </xf>
    <xf numFmtId="0" fontId="32" fillId="28" borderId="23" xfId="1" applyFont="1" applyFill="1" applyBorder="1" applyAlignment="1">
      <alignment horizontal="center" vertical="center" wrapText="1"/>
    </xf>
    <xf numFmtId="0" fontId="32" fillId="28" borderId="22" xfId="1" applyFont="1" applyFill="1" applyBorder="1" applyAlignment="1">
      <alignment horizontal="center" vertical="center" wrapText="1"/>
    </xf>
    <xf numFmtId="3" fontId="10" fillId="2" borderId="10" xfId="1" applyNumberFormat="1" applyFont="1" applyFill="1" applyBorder="1" applyAlignment="1"/>
    <xf numFmtId="3" fontId="32" fillId="28" borderId="2" xfId="1" applyNumberFormat="1" applyFont="1" applyFill="1" applyBorder="1" applyAlignment="1"/>
    <xf numFmtId="3" fontId="8" fillId="2" borderId="10" xfId="1" applyNumberFormat="1" applyFont="1" applyFill="1" applyBorder="1" applyAlignment="1"/>
    <xf numFmtId="3" fontId="8" fillId="28" borderId="10" xfId="1" applyNumberFormat="1" applyFont="1" applyFill="1" applyBorder="1" applyAlignment="1"/>
    <xf numFmtId="3" fontId="8" fillId="2" borderId="4" xfId="1" applyNumberFormat="1" applyFont="1" applyFill="1" applyBorder="1" applyAlignment="1"/>
    <xf numFmtId="3" fontId="10" fillId="2" borderId="4" xfId="1" applyNumberFormat="1" applyFont="1" applyFill="1" applyBorder="1" applyAlignment="1"/>
    <xf numFmtId="3" fontId="10" fillId="2" borderId="18" xfId="1" applyNumberFormat="1" applyFont="1" applyFill="1" applyBorder="1" applyAlignment="1"/>
    <xf numFmtId="3" fontId="32" fillId="0" borderId="10" xfId="1" applyNumberFormat="1" applyFont="1" applyFill="1" applyBorder="1"/>
    <xf numFmtId="3" fontId="32" fillId="0" borderId="9" xfId="1" applyNumberFormat="1" applyFont="1" applyFill="1" applyBorder="1"/>
    <xf numFmtId="3" fontId="32" fillId="0" borderId="13" xfId="1" applyNumberFormat="1" applyFont="1" applyFill="1" applyBorder="1"/>
    <xf numFmtId="3" fontId="8" fillId="0" borderId="10" xfId="1" applyNumberFormat="1" applyFont="1" applyFill="1" applyBorder="1"/>
    <xf numFmtId="3" fontId="8" fillId="0" borderId="9" xfId="1" applyNumberFormat="1" applyFont="1" applyFill="1" applyBorder="1"/>
    <xf numFmtId="3" fontId="8" fillId="0" borderId="13" xfId="1" applyNumberFormat="1" applyFont="1" applyFill="1" applyBorder="1"/>
    <xf numFmtId="49" fontId="14" fillId="4" borderId="3" xfId="1" applyNumberFormat="1" applyFont="1" applyFill="1" applyBorder="1" applyAlignment="1"/>
    <xf numFmtId="3" fontId="14" fillId="4" borderId="4" xfId="1" applyNumberFormat="1" applyFont="1" applyFill="1" applyBorder="1" applyAlignment="1">
      <alignment horizontal="right"/>
    </xf>
    <xf numFmtId="0" fontId="15" fillId="0" borderId="0" xfId="1" applyFont="1" applyAlignment="1"/>
    <xf numFmtId="49" fontId="10" fillId="4" borderId="19" xfId="1" applyNumberFormat="1" applyFont="1" applyFill="1" applyBorder="1" applyAlignment="1">
      <alignment vertical="center"/>
    </xf>
    <xf numFmtId="3" fontId="10" fillId="4" borderId="22" xfId="1" applyNumberFormat="1" applyFont="1" applyFill="1" applyBorder="1" applyAlignment="1">
      <alignment horizontal="right" vertical="center"/>
    </xf>
    <xf numFmtId="3" fontId="14" fillId="4" borderId="5" xfId="1" applyNumberFormat="1" applyFont="1" applyFill="1" applyBorder="1" applyAlignment="1">
      <alignment horizontal="right"/>
    </xf>
    <xf numFmtId="3" fontId="33" fillId="28" borderId="13" xfId="1" applyNumberFormat="1" applyFont="1" applyFill="1" applyBorder="1" applyAlignment="1"/>
    <xf numFmtId="49" fontId="8" fillId="0" borderId="14" xfId="1" applyNumberFormat="1" applyFont="1" applyFill="1" applyBorder="1" applyAlignment="1">
      <alignment horizontal="left" wrapText="1"/>
    </xf>
    <xf numFmtId="3" fontId="33" fillId="6" borderId="23" xfId="1" applyNumberFormat="1" applyFont="1" applyFill="1" applyBorder="1" applyAlignment="1"/>
    <xf numFmtId="3" fontId="33" fillId="28" borderId="23" xfId="1" applyNumberFormat="1" applyFont="1" applyFill="1" applyBorder="1" applyAlignment="1"/>
    <xf numFmtId="3" fontId="33" fillId="28" borderId="21" xfId="1" applyNumberFormat="1" applyFont="1" applyFill="1" applyBorder="1" applyAlignment="1"/>
    <xf numFmtId="0" fontId="8" fillId="0" borderId="0" xfId="1" applyFont="1"/>
    <xf numFmtId="0" fontId="5" fillId="0" borderId="0" xfId="1"/>
    <xf numFmtId="164" fontId="5" fillId="0" borderId="0" xfId="1" applyNumberFormat="1"/>
    <xf numFmtId="3" fontId="5" fillId="0" borderId="0" xfId="1" applyNumberFormat="1"/>
    <xf numFmtId="49" fontId="8" fillId="0" borderId="0" xfId="1" applyNumberFormat="1" applyFont="1"/>
    <xf numFmtId="0" fontId="34" fillId="0" borderId="0" xfId="1" applyFont="1"/>
    <xf numFmtId="164" fontId="34" fillId="0" borderId="0" xfId="1" applyNumberFormat="1" applyFont="1"/>
    <xf numFmtId="3" fontId="35" fillId="0" borderId="0" xfId="1" applyNumberFormat="1" applyFont="1"/>
    <xf numFmtId="0" fontId="35" fillId="0" borderId="0" xfId="1" applyFont="1"/>
    <xf numFmtId="164" fontId="36" fillId="0" borderId="0" xfId="1" applyNumberFormat="1" applyFont="1" applyAlignment="1">
      <alignment horizontal="center" vertical="center" wrapText="1"/>
    </xf>
    <xf numFmtId="3" fontId="36" fillId="0" borderId="0" xfId="1" applyNumberFormat="1" applyFont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right"/>
    </xf>
    <xf numFmtId="3" fontId="8" fillId="0" borderId="13" xfId="1" applyNumberFormat="1" applyFont="1" applyFill="1" applyBorder="1" applyAlignment="1">
      <alignment horizontal="right"/>
    </xf>
    <xf numFmtId="3" fontId="10" fillId="2" borderId="8" xfId="1" applyNumberFormat="1" applyFont="1" applyFill="1" applyBorder="1" applyAlignment="1"/>
    <xf numFmtId="3" fontId="32" fillId="28" borderId="7" xfId="1" applyNumberFormat="1" applyFont="1" applyFill="1" applyBorder="1" applyAlignment="1"/>
    <xf numFmtId="3" fontId="32" fillId="0" borderId="12" xfId="1" applyNumberFormat="1" applyFont="1" applyFill="1" applyBorder="1"/>
    <xf numFmtId="3" fontId="32" fillId="0" borderId="26" xfId="1" applyNumberFormat="1" applyFont="1" applyFill="1" applyBorder="1"/>
    <xf numFmtId="3" fontId="32" fillId="0" borderId="11" xfId="1" applyNumberFormat="1" applyFont="1" applyFill="1" applyBorder="1"/>
    <xf numFmtId="3" fontId="32" fillId="28" borderId="17" xfId="1" applyNumberFormat="1" applyFont="1" applyFill="1" applyBorder="1" applyAlignment="1"/>
    <xf numFmtId="3" fontId="32" fillId="0" borderId="18" xfId="1" applyNumberFormat="1" applyFont="1" applyFill="1" applyBorder="1"/>
    <xf numFmtId="3" fontId="32" fillId="0" borderId="17" xfId="1" applyNumberFormat="1" applyFont="1" applyFill="1" applyBorder="1"/>
    <xf numFmtId="3" fontId="32" fillId="0" borderId="16" xfId="1" applyNumberFormat="1" applyFont="1" applyFill="1" applyBorder="1"/>
    <xf numFmtId="49" fontId="10" fillId="0" borderId="1" xfId="1" applyNumberFormat="1" applyFont="1" applyFill="1" applyBorder="1" applyAlignment="1"/>
    <xf numFmtId="49" fontId="14" fillId="0" borderId="3" xfId="1" applyNumberFormat="1" applyFont="1" applyFill="1" applyBorder="1" applyAlignment="1">
      <alignment horizontal="left"/>
    </xf>
    <xf numFmtId="49" fontId="8" fillId="0" borderId="3" xfId="1" applyNumberFormat="1" applyFont="1" applyFill="1" applyBorder="1" applyAlignment="1"/>
    <xf numFmtId="49" fontId="10" fillId="0" borderId="3" xfId="1" applyNumberFormat="1" applyFont="1" applyFill="1" applyBorder="1" applyAlignment="1"/>
    <xf numFmtId="49" fontId="10" fillId="0" borderId="3" xfId="1" applyNumberFormat="1" applyFont="1" applyFill="1" applyBorder="1" applyAlignment="1">
      <alignment horizontal="left"/>
    </xf>
    <xf numFmtId="49" fontId="8" fillId="0" borderId="6" xfId="1" applyNumberFormat="1" applyFont="1" applyFill="1" applyBorder="1" applyAlignment="1"/>
    <xf numFmtId="49" fontId="8" fillId="0" borderId="6" xfId="1" applyNumberFormat="1" applyFont="1" applyFill="1" applyBorder="1" applyAlignment="1">
      <alignment wrapText="1"/>
    </xf>
    <xf numFmtId="49" fontId="10" fillId="0" borderId="6" xfId="1" applyNumberFormat="1" applyFont="1" applyFill="1" applyBorder="1" applyAlignment="1">
      <alignment horizontal="left" wrapText="1"/>
    </xf>
    <xf numFmtId="49" fontId="10" fillId="0" borderId="15" xfId="1" applyNumberFormat="1" applyFont="1" applyFill="1" applyBorder="1" applyAlignment="1"/>
    <xf numFmtId="3" fontId="13" fillId="2" borderId="8" xfId="0" applyNumberFormat="1" applyFont="1" applyFill="1" applyBorder="1" applyAlignment="1">
      <alignment horizontal="right"/>
    </xf>
    <xf numFmtId="3" fontId="10" fillId="0" borderId="24" xfId="1" applyNumberFormat="1" applyFont="1" applyFill="1" applyBorder="1"/>
    <xf numFmtId="3" fontId="10" fillId="0" borderId="25" xfId="1" applyNumberFormat="1" applyFont="1" applyFill="1" applyBorder="1"/>
    <xf numFmtId="3" fontId="10" fillId="0" borderId="36" xfId="1" applyNumberFormat="1" applyFont="1" applyFill="1" applyBorder="1"/>
    <xf numFmtId="3" fontId="10" fillId="0" borderId="4" xfId="1" applyNumberFormat="1" applyFont="1" applyFill="1" applyBorder="1"/>
    <xf numFmtId="3" fontId="10" fillId="0" borderId="5" xfId="1" applyNumberFormat="1" applyFont="1" applyFill="1" applyBorder="1"/>
    <xf numFmtId="3" fontId="8" fillId="0" borderId="4" xfId="1" applyNumberFormat="1" applyFont="1" applyFill="1" applyBorder="1"/>
    <xf numFmtId="3" fontId="8" fillId="0" borderId="5" xfId="1" applyNumberFormat="1" applyFont="1" applyFill="1" applyBorder="1"/>
    <xf numFmtId="0" fontId="7" fillId="0" borderId="4" xfId="1" applyFont="1" applyFill="1" applyBorder="1" applyAlignment="1">
      <alignment vertical="center"/>
    </xf>
    <xf numFmtId="3" fontId="10" fillId="2" borderId="24" xfId="1" applyNumberFormat="1" applyFont="1" applyFill="1" applyBorder="1" applyAlignment="1"/>
    <xf numFmtId="0" fontId="10" fillId="0" borderId="3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wrapText="1"/>
    </xf>
    <xf numFmtId="0" fontId="8" fillId="0" borderId="3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 wrapText="1"/>
    </xf>
    <xf numFmtId="0" fontId="8" fillId="0" borderId="37" xfId="1" applyFont="1" applyFill="1" applyBorder="1" applyAlignment="1">
      <alignment horizontal="left"/>
    </xf>
    <xf numFmtId="0" fontId="10" fillId="0" borderId="37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/>
    </xf>
    <xf numFmtId="0" fontId="10" fillId="0" borderId="15" xfId="1" applyFont="1" applyFill="1" applyBorder="1" applyAlignment="1">
      <alignment horizontal="left"/>
    </xf>
    <xf numFmtId="0" fontId="7" fillId="0" borderId="5" xfId="1" applyFont="1" applyFill="1" applyBorder="1" applyAlignment="1">
      <alignment vertical="center"/>
    </xf>
    <xf numFmtId="0" fontId="13" fillId="0" borderId="6" xfId="0" applyFont="1" applyFill="1" applyBorder="1" applyAlignment="1">
      <alignment horizontal="left" wrapText="1"/>
    </xf>
    <xf numFmtId="0" fontId="17" fillId="0" borderId="8" xfId="1" applyFont="1" applyFill="1" applyBorder="1" applyAlignment="1">
      <alignment vertical="center"/>
    </xf>
    <xf numFmtId="0" fontId="17" fillId="0" borderId="38" xfId="1" applyFont="1" applyFill="1" applyBorder="1" applyAlignment="1">
      <alignment vertical="center"/>
    </xf>
    <xf numFmtId="3" fontId="10" fillId="0" borderId="18" xfId="1" applyNumberFormat="1" applyFont="1" applyFill="1" applyBorder="1"/>
    <xf numFmtId="3" fontId="10" fillId="0" borderId="16" xfId="1" applyNumberFormat="1" applyFont="1" applyFill="1" applyBorder="1"/>
    <xf numFmtId="3" fontId="8" fillId="28" borderId="4" xfId="1" applyNumberFormat="1" applyFont="1" applyFill="1" applyBorder="1" applyAlignment="1"/>
    <xf numFmtId="0" fontId="8" fillId="0" borderId="1" xfId="1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5" fillId="0" borderId="0" xfId="51"/>
    <xf numFmtId="0" fontId="5" fillId="0" borderId="0" xfId="51" applyAlignment="1">
      <alignment vertical="center"/>
    </xf>
    <xf numFmtId="0" fontId="38" fillId="0" borderId="42" xfId="51" applyNumberFormat="1" applyFont="1" applyFill="1" applyBorder="1" applyAlignment="1">
      <alignment horizontal="center" vertical="center" wrapText="1"/>
    </xf>
    <xf numFmtId="0" fontId="38" fillId="0" borderId="43" xfId="51" applyNumberFormat="1" applyFont="1" applyFill="1" applyBorder="1" applyAlignment="1">
      <alignment horizontal="center" vertical="center" wrapText="1"/>
    </xf>
    <xf numFmtId="0" fontId="40" fillId="28" borderId="44" xfId="34" applyFont="1" applyFill="1" applyBorder="1" applyAlignment="1">
      <alignment horizontal="left" vertical="center" wrapText="1"/>
    </xf>
    <xf numFmtId="0" fontId="40" fillId="28" borderId="10" xfId="34" applyFont="1" applyFill="1" applyBorder="1" applyAlignment="1">
      <alignment horizontal="left" vertical="center" wrapText="1"/>
    </xf>
    <xf numFmtId="3" fontId="40" fillId="28" borderId="10" xfId="34" applyNumberFormat="1" applyFont="1" applyFill="1" applyBorder="1" applyAlignment="1">
      <alignment horizontal="right" vertical="center" wrapText="1"/>
    </xf>
    <xf numFmtId="3" fontId="40" fillId="28" borderId="13" xfId="34" applyNumberFormat="1" applyFont="1" applyFill="1" applyBorder="1" applyAlignment="1">
      <alignment horizontal="right" vertical="center" wrapText="1"/>
    </xf>
    <xf numFmtId="0" fontId="41" fillId="0" borderId="3" xfId="51" applyFont="1" applyFill="1" applyBorder="1" applyAlignment="1">
      <alignment horizontal="justify" vertical="center" wrapText="1"/>
    </xf>
    <xf numFmtId="0" fontId="41" fillId="29" borderId="4" xfId="51" applyFont="1" applyFill="1" applyBorder="1" applyAlignment="1">
      <alignment horizontal="center" vertical="center"/>
    </xf>
    <xf numFmtId="3" fontId="40" fillId="0" borderId="4" xfId="51" applyNumberFormat="1" applyFont="1" applyFill="1" applyBorder="1" applyAlignment="1">
      <alignment horizontal="right" vertical="center" wrapText="1"/>
    </xf>
    <xf numFmtId="3" fontId="40" fillId="0" borderId="45" xfId="51" applyNumberFormat="1" applyFont="1" applyFill="1" applyBorder="1" applyAlignment="1">
      <alignment horizontal="right" vertical="center" wrapText="1"/>
    </xf>
    <xf numFmtId="0" fontId="5" fillId="0" borderId="0" xfId="51" applyFill="1" applyAlignment="1">
      <alignment vertical="center"/>
    </xf>
    <xf numFmtId="49" fontId="39" fillId="0" borderId="3" xfId="1" applyNumberFormat="1" applyFont="1" applyFill="1" applyBorder="1" applyAlignment="1">
      <alignment horizontal="justify" vertical="center"/>
    </xf>
    <xf numFmtId="3" fontId="39" fillId="0" borderId="4" xfId="1" applyNumberFormat="1" applyFont="1" applyFill="1" applyBorder="1" applyAlignment="1">
      <alignment vertical="center"/>
    </xf>
    <xf numFmtId="3" fontId="39" fillId="0" borderId="45" xfId="1" applyNumberFormat="1" applyFont="1" applyFill="1" applyBorder="1" applyAlignment="1">
      <alignment vertical="center"/>
    </xf>
    <xf numFmtId="0" fontId="41" fillId="0" borderId="8" xfId="51" applyFont="1" applyFill="1" applyBorder="1" applyAlignment="1">
      <alignment horizontal="center" vertical="center"/>
    </xf>
    <xf numFmtId="3" fontId="41" fillId="0" borderId="4" xfId="51" applyNumberFormat="1" applyFont="1" applyFill="1" applyBorder="1" applyAlignment="1">
      <alignment horizontal="right" vertical="center" wrapText="1"/>
    </xf>
    <xf numFmtId="0" fontId="40" fillId="28" borderId="3" xfId="34" applyFont="1" applyFill="1" applyBorder="1" applyAlignment="1">
      <alignment horizontal="left" vertical="center" wrapText="1"/>
    </xf>
    <xf numFmtId="0" fontId="40" fillId="28" borderId="4" xfId="34" applyFont="1" applyFill="1" applyBorder="1" applyAlignment="1">
      <alignment horizontal="left" vertical="center" wrapText="1"/>
    </xf>
    <xf numFmtId="0" fontId="41" fillId="0" borderId="4" xfId="51" applyFont="1" applyFill="1" applyBorder="1" applyAlignment="1">
      <alignment horizontal="center" vertical="center"/>
    </xf>
    <xf numFmtId="0" fontId="41" fillId="0" borderId="3" xfId="51" applyFont="1" applyFill="1" applyBorder="1" applyAlignment="1">
      <alignment vertical="center" wrapText="1"/>
    </xf>
    <xf numFmtId="0" fontId="40" fillId="0" borderId="3" xfId="51" applyFont="1" applyFill="1" applyBorder="1" applyAlignment="1">
      <alignment vertical="center" wrapText="1"/>
    </xf>
    <xf numFmtId="3" fontId="41" fillId="0" borderId="5" xfId="51" applyNumberFormat="1" applyFont="1" applyFill="1" applyBorder="1" applyAlignment="1">
      <alignment horizontal="right" vertical="center" wrapText="1"/>
    </xf>
    <xf numFmtId="0" fontId="42" fillId="0" borderId="3" xfId="51" applyFont="1" applyFill="1" applyBorder="1" applyAlignment="1">
      <alignment vertical="center" wrapText="1"/>
    </xf>
    <xf numFmtId="0" fontId="42" fillId="0" borderId="4" xfId="51" applyFont="1" applyFill="1" applyBorder="1" applyAlignment="1">
      <alignment horizontal="center" vertical="center"/>
    </xf>
    <xf numFmtId="3" fontId="42" fillId="0" borderId="4" xfId="51" applyNumberFormat="1" applyFont="1" applyFill="1" applyBorder="1" applyAlignment="1">
      <alignment horizontal="right" vertical="center" wrapText="1"/>
    </xf>
    <xf numFmtId="3" fontId="42" fillId="0" borderId="5" xfId="51" applyNumberFormat="1" applyFont="1" applyFill="1" applyBorder="1" applyAlignment="1">
      <alignment horizontal="right" vertical="center" wrapText="1"/>
    </xf>
    <xf numFmtId="0" fontId="40" fillId="0" borderId="1" xfId="51" applyFont="1" applyFill="1" applyBorder="1" applyAlignment="1">
      <alignment vertical="center" wrapText="1"/>
    </xf>
    <xf numFmtId="0" fontId="41" fillId="0" borderId="10" xfId="51" applyFont="1" applyFill="1" applyBorder="1" applyAlignment="1">
      <alignment horizontal="center" vertical="center"/>
    </xf>
    <xf numFmtId="3" fontId="40" fillId="0" borderId="5" xfId="51" applyNumberFormat="1" applyFont="1" applyFill="1" applyBorder="1" applyAlignment="1">
      <alignment horizontal="right" vertical="center" wrapText="1"/>
    </xf>
    <xf numFmtId="3" fontId="41" fillId="30" borderId="4" xfId="51" applyNumberFormat="1" applyFont="1" applyFill="1" applyBorder="1" applyAlignment="1">
      <alignment horizontal="right" vertical="center"/>
    </xf>
    <xf numFmtId="3" fontId="41" fillId="0" borderId="4" xfId="51" applyNumberFormat="1" applyFont="1" applyFill="1" applyBorder="1" applyAlignment="1">
      <alignment horizontal="right" vertical="center"/>
    </xf>
    <xf numFmtId="0" fontId="40" fillId="0" borderId="6" xfId="51" applyFont="1" applyFill="1" applyBorder="1" applyAlignment="1">
      <alignment vertical="center" wrapText="1"/>
    </xf>
    <xf numFmtId="3" fontId="40" fillId="28" borderId="4" xfId="34" applyNumberFormat="1" applyFont="1" applyFill="1" applyBorder="1" applyAlignment="1">
      <alignment horizontal="right" vertical="center" wrapText="1"/>
    </xf>
    <xf numFmtId="0" fontId="40" fillId="28" borderId="14" xfId="34" applyFont="1" applyFill="1" applyBorder="1" applyAlignment="1">
      <alignment horizontal="left" vertical="center" wrapText="1"/>
    </xf>
    <xf numFmtId="0" fontId="40" fillId="28" borderId="42" xfId="34" applyFont="1" applyFill="1" applyBorder="1" applyAlignment="1">
      <alignment horizontal="left" vertical="center" wrapText="1"/>
    </xf>
    <xf numFmtId="3" fontId="40" fillId="28" borderId="42" xfId="34" applyNumberFormat="1" applyFont="1" applyFill="1" applyBorder="1" applyAlignment="1">
      <alignment horizontal="right" vertical="center" wrapText="1"/>
    </xf>
    <xf numFmtId="3" fontId="40" fillId="28" borderId="43" xfId="34" applyNumberFormat="1" applyFont="1" applyFill="1" applyBorder="1" applyAlignment="1">
      <alignment horizontal="right" vertical="center" wrapText="1"/>
    </xf>
    <xf numFmtId="0" fontId="5" fillId="0" borderId="0" xfId="51" applyFont="1"/>
    <xf numFmtId="0" fontId="5" fillId="0" borderId="0" xfId="34" applyFont="1"/>
    <xf numFmtId="0" fontId="8" fillId="0" borderId="0" xfId="34" applyFont="1" applyAlignment="1" applyProtection="1">
      <alignment vertical="center" wrapText="1"/>
      <protection locked="0"/>
    </xf>
    <xf numFmtId="0" fontId="43" fillId="0" borderId="0" xfId="34" applyFont="1" applyAlignment="1" applyProtection="1">
      <alignment horizontal="right" vertical="center" wrapText="1"/>
      <protection locked="0"/>
    </xf>
    <xf numFmtId="0" fontId="43" fillId="0" borderId="48" xfId="34" applyFont="1" applyBorder="1" applyAlignment="1" applyProtection="1">
      <alignment horizontal="center" vertical="center" wrapText="1"/>
      <protection locked="0"/>
    </xf>
    <xf numFmtId="0" fontId="44" fillId="0" borderId="49" xfId="34" applyFont="1" applyFill="1" applyBorder="1" applyAlignment="1" applyProtection="1">
      <alignment horizontal="left" vertical="center" wrapText="1"/>
      <protection locked="0"/>
    </xf>
    <xf numFmtId="0" fontId="44" fillId="0" borderId="4" xfId="52" applyFont="1" applyFill="1" applyBorder="1" applyAlignment="1">
      <alignment horizontal="center" vertical="center" wrapText="1"/>
    </xf>
    <xf numFmtId="3" fontId="44" fillId="0" borderId="4" xfId="34" applyNumberFormat="1" applyFont="1" applyFill="1" applyBorder="1" applyAlignment="1" applyProtection="1">
      <alignment horizontal="right" vertical="center"/>
      <protection locked="0"/>
    </xf>
    <xf numFmtId="3" fontId="44" fillId="0" borderId="4" xfId="34" applyNumberFormat="1" applyFont="1" applyFill="1" applyBorder="1" applyAlignment="1" applyProtection="1">
      <alignment horizontal="center" vertical="center"/>
      <protection locked="0"/>
    </xf>
    <xf numFmtId="3" fontId="44" fillId="0" borderId="15" xfId="34" applyNumberFormat="1" applyFont="1" applyFill="1" applyBorder="1" applyAlignment="1" applyProtection="1">
      <alignment vertical="center" wrapText="1"/>
      <protection locked="0"/>
    </xf>
    <xf numFmtId="3" fontId="44" fillId="0" borderId="53" xfId="34" applyNumberFormat="1" applyFont="1" applyFill="1" applyBorder="1" applyAlignment="1" applyProtection="1">
      <alignment vertical="center" wrapText="1"/>
      <protection locked="0"/>
    </xf>
    <xf numFmtId="3" fontId="44" fillId="0" borderId="53" xfId="34" applyNumberFormat="1" applyFont="1" applyBorder="1" applyAlignment="1" applyProtection="1">
      <alignment vertical="center" wrapText="1"/>
      <protection locked="0"/>
    </xf>
    <xf numFmtId="3" fontId="44" fillId="0" borderId="53" xfId="34" applyNumberFormat="1" applyFont="1" applyBorder="1" applyAlignment="1" applyProtection="1">
      <alignment horizontal="center" vertical="center" wrapText="1"/>
      <protection locked="0"/>
    </xf>
    <xf numFmtId="3" fontId="44" fillId="0" borderId="54" xfId="34" applyNumberFormat="1" applyFont="1" applyBorder="1" applyAlignment="1" applyProtection="1">
      <alignment vertical="center" wrapText="1"/>
      <protection locked="0"/>
    </xf>
    <xf numFmtId="3" fontId="43" fillId="28" borderId="55" xfId="34" applyNumberFormat="1" applyFont="1" applyFill="1" applyBorder="1" applyAlignment="1" applyProtection="1">
      <alignment horizontal="left" vertical="center" wrapText="1"/>
      <protection locked="0"/>
    </xf>
    <xf numFmtId="3" fontId="43" fillId="28" borderId="54" xfId="34" applyNumberFormat="1" applyFont="1" applyFill="1" applyBorder="1" applyAlignment="1" applyProtection="1">
      <alignment horizontal="left" vertical="center" wrapText="1"/>
      <protection locked="0"/>
    </xf>
    <xf numFmtId="3" fontId="43" fillId="28" borderId="18" xfId="34" applyNumberFormat="1" applyFont="1" applyFill="1" applyBorder="1" applyAlignment="1" applyProtection="1">
      <alignment horizontal="center" vertical="center" wrapText="1"/>
      <protection locked="0"/>
    </xf>
    <xf numFmtId="3" fontId="43" fillId="28" borderId="18" xfId="34" applyNumberFormat="1" applyFont="1" applyFill="1" applyBorder="1" applyAlignment="1" applyProtection="1">
      <alignment horizontal="center" vertical="center"/>
      <protection locked="0"/>
    </xf>
    <xf numFmtId="3" fontId="43" fillId="28" borderId="18" xfId="34" applyNumberFormat="1" applyFont="1" applyFill="1" applyBorder="1" applyAlignment="1" applyProtection="1">
      <alignment horizontal="right" vertical="center"/>
      <protection locked="0"/>
    </xf>
    <xf numFmtId="0" fontId="13" fillId="0" borderId="0" xfId="54" applyFont="1" applyFill="1" applyAlignment="1">
      <alignment vertical="center"/>
    </xf>
    <xf numFmtId="0" fontId="8" fillId="0" borderId="0" xfId="34" applyFont="1" applyAlignment="1" applyProtection="1">
      <alignment vertical="center"/>
      <protection locked="0"/>
    </xf>
    <xf numFmtId="0" fontId="8" fillId="0" borderId="0" xfId="34" applyFont="1" applyAlignment="1" applyProtection="1">
      <alignment horizontal="center" vertical="center"/>
      <protection locked="0"/>
    </xf>
    <xf numFmtId="0" fontId="13" fillId="0" borderId="0" xfId="34" applyFont="1" applyFill="1" applyAlignment="1" applyProtection="1">
      <alignment vertical="center"/>
      <protection locked="0"/>
    </xf>
    <xf numFmtId="0" fontId="13" fillId="0" borderId="0" xfId="34" applyFont="1" applyFill="1" applyAlignment="1" applyProtection="1">
      <alignment horizontal="center" vertical="center"/>
      <protection locked="0"/>
    </xf>
    <xf numFmtId="0" fontId="13" fillId="0" borderId="0" xfId="34" applyFont="1" applyAlignment="1" applyProtection="1">
      <alignment vertical="center"/>
      <protection locked="0"/>
    </xf>
    <xf numFmtId="0" fontId="13" fillId="0" borderId="0" xfId="34" applyFont="1" applyAlignment="1" applyProtection="1">
      <alignment horizontal="center" vertical="center"/>
      <protection locked="0"/>
    </xf>
    <xf numFmtId="0" fontId="8" fillId="0" borderId="0" xfId="1" applyFont="1" applyProtection="1">
      <protection locked="0"/>
    </xf>
    <xf numFmtId="0" fontId="8" fillId="0" borderId="0" xfId="37" applyFont="1"/>
    <xf numFmtId="166" fontId="8" fillId="0" borderId="0" xfId="37" applyNumberFormat="1" applyFont="1" applyAlignment="1">
      <alignment horizontal="right"/>
    </xf>
    <xf numFmtId="0" fontId="8" fillId="0" borderId="0" xfId="37" applyFont="1" applyAlignment="1">
      <alignment horizontal="right"/>
    </xf>
    <xf numFmtId="0" fontId="8" fillId="0" borderId="56" xfId="37" applyFont="1" applyBorder="1" applyAlignment="1">
      <alignment horizontal="center" vertical="center" wrapText="1"/>
    </xf>
    <xf numFmtId="0" fontId="8" fillId="0" borderId="3" xfId="37" applyFont="1" applyBorder="1" applyAlignment="1">
      <alignment horizontal="center" vertical="center" wrapText="1"/>
    </xf>
    <xf numFmtId="0" fontId="8" fillId="0" borderId="3" xfId="37" applyFont="1" applyBorder="1" applyAlignment="1">
      <alignment horizontal="center" vertical="center"/>
    </xf>
    <xf numFmtId="3" fontId="8" fillId="0" borderId="4" xfId="37" applyNumberFormat="1" applyFont="1" applyBorder="1" applyAlignment="1">
      <alignment vertical="center"/>
    </xf>
    <xf numFmtId="3" fontId="8" fillId="0" borderId="2" xfId="37" applyNumberFormat="1" applyFont="1" applyBorder="1" applyAlignment="1">
      <alignment vertical="center"/>
    </xf>
    <xf numFmtId="3" fontId="8" fillId="0" borderId="49" xfId="37" applyNumberFormat="1" applyFont="1" applyBorder="1" applyAlignment="1">
      <alignment vertical="center"/>
    </xf>
    <xf numFmtId="3" fontId="8" fillId="0" borderId="5" xfId="37" applyNumberFormat="1" applyFont="1" applyBorder="1" applyAlignment="1">
      <alignment vertical="center"/>
    </xf>
    <xf numFmtId="3" fontId="8" fillId="0" borderId="8" xfId="37" applyNumberFormat="1" applyFont="1" applyBorder="1" applyAlignment="1">
      <alignment vertical="center"/>
    </xf>
    <xf numFmtId="3" fontId="8" fillId="0" borderId="38" xfId="37" applyNumberFormat="1" applyFont="1" applyBorder="1" applyAlignment="1">
      <alignment vertical="center"/>
    </xf>
    <xf numFmtId="0" fontId="8" fillId="0" borderId="6" xfId="37" applyFont="1" applyBorder="1" applyAlignment="1">
      <alignment horizontal="center" vertical="center"/>
    </xf>
    <xf numFmtId="3" fontId="8" fillId="0" borderId="7" xfId="37" applyNumberFormat="1" applyFont="1" applyBorder="1" applyAlignment="1">
      <alignment vertical="center"/>
    </xf>
    <xf numFmtId="0" fontId="8" fillId="0" borderId="14" xfId="37" applyFont="1" applyBorder="1" applyAlignment="1">
      <alignment horizontal="center" vertical="center"/>
    </xf>
    <xf numFmtId="3" fontId="8" fillId="0" borderId="42" xfId="37" applyNumberFormat="1" applyFont="1" applyBorder="1" applyAlignment="1">
      <alignment vertical="center"/>
    </xf>
    <xf numFmtId="3" fontId="8" fillId="0" borderId="57" xfId="37" applyNumberFormat="1" applyFont="1" applyBorder="1" applyAlignment="1">
      <alignment vertical="center"/>
    </xf>
    <xf numFmtId="3" fontId="8" fillId="0" borderId="58" xfId="37" applyNumberFormat="1" applyFont="1" applyBorder="1" applyAlignment="1">
      <alignment vertical="center"/>
    </xf>
    <xf numFmtId="3" fontId="8" fillId="0" borderId="43" xfId="37" applyNumberFormat="1" applyFont="1" applyBorder="1" applyAlignment="1">
      <alignment vertical="center"/>
    </xf>
    <xf numFmtId="0" fontId="40" fillId="0" borderId="0" xfId="55" applyFont="1" applyAlignment="1">
      <alignment horizontal="center" vertical="center" wrapText="1"/>
    </xf>
    <xf numFmtId="0" fontId="41" fillId="0" borderId="0" xfId="55" applyFont="1" applyAlignment="1">
      <alignment vertical="center"/>
    </xf>
    <xf numFmtId="0" fontId="41" fillId="0" borderId="0" xfId="55" applyFont="1" applyAlignment="1">
      <alignment horizontal="center" vertical="center"/>
    </xf>
    <xf numFmtId="0" fontId="43" fillId="0" borderId="0" xfId="55" applyFont="1" applyAlignment="1">
      <alignment horizontal="right" vertical="justify"/>
    </xf>
    <xf numFmtId="49" fontId="43" fillId="28" borderId="42" xfId="56" applyNumberFormat="1" applyFont="1" applyFill="1" applyBorder="1" applyAlignment="1">
      <alignment horizontal="center" vertical="center" wrapText="1"/>
    </xf>
    <xf numFmtId="0" fontId="41" fillId="0" borderId="0" xfId="55" applyFont="1" applyFill="1" applyAlignment="1">
      <alignment vertical="center"/>
    </xf>
    <xf numFmtId="0" fontId="44" fillId="0" borderId="61" xfId="57" applyFont="1" applyFill="1" applyBorder="1" applyAlignment="1" applyProtection="1">
      <alignment horizontal="left" vertical="center" wrapText="1"/>
    </xf>
    <xf numFmtId="0" fontId="44" fillId="0" borderId="8" xfId="57" applyFont="1" applyFill="1" applyBorder="1" applyAlignment="1" applyProtection="1">
      <alignment horizontal="center" vertical="center" wrapText="1"/>
    </xf>
    <xf numFmtId="3" fontId="44" fillId="0" borderId="8" xfId="57" applyNumberFormat="1" applyFont="1" applyFill="1" applyBorder="1" applyAlignment="1" applyProtection="1">
      <alignment horizontal="right" vertical="center" wrapText="1"/>
    </xf>
    <xf numFmtId="3" fontId="44" fillId="0" borderId="62" xfId="55" applyNumberFormat="1" applyFont="1" applyFill="1" applyBorder="1" applyAlignment="1">
      <alignment horizontal="right" vertical="center"/>
    </xf>
    <xf numFmtId="3" fontId="44" fillId="0" borderId="46" xfId="55" applyNumberFormat="1" applyFont="1" applyFill="1" applyBorder="1" applyAlignment="1">
      <alignment horizontal="justify" vertical="center" wrapText="1"/>
    </xf>
    <xf numFmtId="0" fontId="43" fillId="28" borderId="63" xfId="55" applyFont="1" applyFill="1" applyBorder="1" applyAlignment="1">
      <alignment vertical="center"/>
    </xf>
    <xf numFmtId="0" fontId="43" fillId="28" borderId="64" xfId="55" applyFont="1" applyFill="1" applyBorder="1" applyAlignment="1">
      <alignment horizontal="center" vertical="center"/>
    </xf>
    <xf numFmtId="3" fontId="43" fillId="28" borderId="64" xfId="55" applyNumberFormat="1" applyFont="1" applyFill="1" applyBorder="1" applyAlignment="1">
      <alignment vertical="center"/>
    </xf>
    <xf numFmtId="3" fontId="43" fillId="28" borderId="65" xfId="55" applyNumberFormat="1" applyFont="1" applyFill="1" applyBorder="1" applyAlignment="1">
      <alignment vertical="center"/>
    </xf>
    <xf numFmtId="3" fontId="43" fillId="28" borderId="66" xfId="55" applyNumberFormat="1" applyFont="1" applyFill="1" applyBorder="1" applyAlignment="1">
      <alignment horizontal="justify" vertical="justify"/>
    </xf>
    <xf numFmtId="0" fontId="44" fillId="0" borderId="49" xfId="55" applyFont="1" applyFill="1" applyBorder="1" applyAlignment="1">
      <alignment horizontal="left" vertical="center" wrapText="1"/>
    </xf>
    <xf numFmtId="0" fontId="44" fillId="0" borderId="50" xfId="55" applyFont="1" applyFill="1" applyBorder="1" applyAlignment="1">
      <alignment horizontal="center" vertical="center" wrapText="1"/>
    </xf>
    <xf numFmtId="3" fontId="44" fillId="0" borderId="4" xfId="55" applyNumberFormat="1" applyFont="1" applyFill="1" applyBorder="1" applyAlignment="1">
      <alignment horizontal="right" vertical="center" wrapText="1"/>
    </xf>
    <xf numFmtId="3" fontId="44" fillId="0" borderId="67" xfId="55" applyNumberFormat="1" applyFont="1" applyFill="1" applyBorder="1" applyAlignment="1">
      <alignment vertical="center"/>
    </xf>
    <xf numFmtId="3" fontId="44" fillId="0" borderId="68" xfId="55" applyNumberFormat="1" applyFont="1" applyBorder="1" applyAlignment="1">
      <alignment vertical="center"/>
    </xf>
    <xf numFmtId="3" fontId="44" fillId="0" borderId="5" xfId="55" applyNumberFormat="1" applyFont="1" applyFill="1" applyBorder="1" applyAlignment="1">
      <alignment horizontal="justify" vertical="center" wrapText="1"/>
    </xf>
    <xf numFmtId="0" fontId="40" fillId="0" borderId="0" xfId="55" applyFont="1" applyAlignment="1">
      <alignment vertical="center"/>
    </xf>
    <xf numFmtId="3" fontId="44" fillId="0" borderId="70" xfId="55" applyNumberFormat="1" applyFont="1" applyFill="1" applyBorder="1" applyAlignment="1">
      <alignment horizontal="right" vertical="center"/>
    </xf>
    <xf numFmtId="3" fontId="43" fillId="28" borderId="71" xfId="55" applyNumberFormat="1" applyFont="1" applyFill="1" applyBorder="1" applyAlignment="1">
      <alignment horizontal="justify" vertical="justify"/>
    </xf>
    <xf numFmtId="3" fontId="44" fillId="0" borderId="72" xfId="55" applyNumberFormat="1" applyFont="1" applyFill="1" applyBorder="1" applyAlignment="1">
      <alignment horizontal="right" vertical="center"/>
    </xf>
    <xf numFmtId="3" fontId="44" fillId="0" borderId="73" xfId="55" applyNumberFormat="1" applyFont="1" applyFill="1" applyBorder="1" applyAlignment="1">
      <alignment horizontal="right" vertical="center"/>
    </xf>
    <xf numFmtId="3" fontId="44" fillId="0" borderId="74" xfId="55" applyNumberFormat="1" applyFont="1" applyFill="1" applyBorder="1" applyAlignment="1">
      <alignment horizontal="right" vertical="center"/>
    </xf>
    <xf numFmtId="3" fontId="44" fillId="0" borderId="45" xfId="55" applyNumberFormat="1" applyFont="1" applyFill="1" applyBorder="1" applyAlignment="1">
      <alignment horizontal="justify" vertical="center" wrapText="1"/>
    </xf>
    <xf numFmtId="0" fontId="44" fillId="0" borderId="61" xfId="55" applyFont="1" applyFill="1" applyBorder="1" applyAlignment="1">
      <alignment horizontal="left" vertical="center" wrapText="1"/>
    </xf>
    <xf numFmtId="0" fontId="44" fillId="0" borderId="69" xfId="55" applyFont="1" applyFill="1" applyBorder="1" applyAlignment="1">
      <alignment horizontal="center" vertical="center" wrapText="1"/>
    </xf>
    <xf numFmtId="3" fontId="44" fillId="0" borderId="8" xfId="55" applyNumberFormat="1" applyFont="1" applyFill="1" applyBorder="1" applyAlignment="1">
      <alignment horizontal="right" vertical="center" wrapText="1"/>
    </xf>
    <xf numFmtId="3" fontId="44" fillId="0" borderId="8" xfId="55" applyNumberFormat="1" applyFont="1" applyFill="1" applyBorder="1" applyAlignment="1">
      <alignment horizontal="right" vertical="center"/>
    </xf>
    <xf numFmtId="3" fontId="44" fillId="0" borderId="12" xfId="55" applyNumberFormat="1" applyFont="1" applyFill="1" applyBorder="1" applyAlignment="1">
      <alignment horizontal="right" vertical="center"/>
    </xf>
    <xf numFmtId="3" fontId="44" fillId="0" borderId="4" xfId="55" applyNumberFormat="1" applyFont="1" applyFill="1" applyBorder="1" applyAlignment="1">
      <alignment horizontal="right" vertical="center"/>
    </xf>
    <xf numFmtId="0" fontId="41" fillId="0" borderId="0" xfId="55" applyFont="1" applyFill="1" applyBorder="1" applyAlignment="1">
      <alignment vertical="center"/>
    </xf>
    <xf numFmtId="0" fontId="41" fillId="0" borderId="0" xfId="55" applyFont="1" applyFill="1" applyBorder="1" applyAlignment="1">
      <alignment horizontal="center" vertical="center"/>
    </xf>
    <xf numFmtId="0" fontId="41" fillId="0" borderId="75" xfId="55" applyFont="1" applyFill="1" applyBorder="1" applyAlignment="1">
      <alignment horizontal="justify" vertical="justify"/>
    </xf>
    <xf numFmtId="0" fontId="41" fillId="0" borderId="0" xfId="55" applyFont="1" applyAlignment="1">
      <alignment horizontal="justify" vertical="justify"/>
    </xf>
    <xf numFmtId="0" fontId="8" fillId="0" borderId="0" xfId="52" applyFont="1" applyAlignment="1">
      <alignment vertical="center"/>
    </xf>
    <xf numFmtId="0" fontId="43" fillId="0" borderId="0" xfId="52" applyFont="1" applyAlignment="1">
      <alignment vertical="center" wrapText="1"/>
    </xf>
    <xf numFmtId="4" fontId="43" fillId="0" borderId="0" xfId="52" applyNumberFormat="1" applyFont="1" applyAlignment="1">
      <alignment horizontal="right" vertical="center"/>
    </xf>
    <xf numFmtId="0" fontId="44" fillId="0" borderId="0" xfId="52" applyFont="1" applyAlignment="1">
      <alignment vertical="center"/>
    </xf>
    <xf numFmtId="0" fontId="44" fillId="0" borderId="49" xfId="52" applyFont="1" applyFill="1" applyBorder="1" applyAlignment="1">
      <alignment horizontal="left" vertical="center" wrapText="1"/>
    </xf>
    <xf numFmtId="3" fontId="44" fillId="0" borderId="51" xfId="52" applyNumberFormat="1" applyFont="1" applyFill="1" applyBorder="1" applyAlignment="1">
      <alignment vertical="center"/>
    </xf>
    <xf numFmtId="3" fontId="44" fillId="0" borderId="4" xfId="52" applyNumberFormat="1" applyFont="1" applyFill="1" applyBorder="1" applyAlignment="1">
      <alignment horizontal="right" vertical="center"/>
    </xf>
    <xf numFmtId="0" fontId="43" fillId="28" borderId="15" xfId="52" applyFont="1" applyFill="1" applyBorder="1" applyAlignment="1">
      <alignment vertical="center" wrapText="1"/>
    </xf>
    <xf numFmtId="3" fontId="43" fillId="28" borderId="18" xfId="52" applyNumberFormat="1" applyFont="1" applyFill="1" applyBorder="1" applyAlignment="1">
      <alignment vertical="center" wrapText="1"/>
    </xf>
    <xf numFmtId="0" fontId="44" fillId="28" borderId="16" xfId="52" applyFont="1" applyFill="1" applyBorder="1" applyAlignment="1">
      <alignment horizontal="justify" vertical="center"/>
    </xf>
    <xf numFmtId="3" fontId="44" fillId="0" borderId="4" xfId="52" applyNumberFormat="1" applyFont="1" applyFill="1" applyBorder="1" applyAlignment="1">
      <alignment horizontal="right" vertical="center" wrapText="1"/>
    </xf>
    <xf numFmtId="0" fontId="44" fillId="0" borderId="51" xfId="52" applyFont="1" applyFill="1" applyBorder="1" applyAlignment="1">
      <alignment vertical="center"/>
    </xf>
    <xf numFmtId="0" fontId="44" fillId="0" borderId="78" xfId="52" applyFont="1" applyFill="1" applyBorder="1" applyAlignment="1">
      <alignment horizontal="left" vertical="center" wrapText="1"/>
    </xf>
    <xf numFmtId="3" fontId="44" fillId="0" borderId="12" xfId="52" applyNumberFormat="1" applyFont="1" applyFill="1" applyBorder="1" applyAlignment="1">
      <alignment horizontal="right" vertical="center" wrapText="1"/>
    </xf>
    <xf numFmtId="0" fontId="43" fillId="28" borderId="55" xfId="52" applyFont="1" applyFill="1" applyBorder="1" applyAlignment="1">
      <alignment vertical="center" wrapText="1"/>
    </xf>
    <xf numFmtId="3" fontId="44" fillId="0" borderId="51" xfId="52" applyNumberFormat="1" applyFont="1" applyFill="1" applyBorder="1" applyAlignment="1">
      <alignment vertical="center" wrapText="1"/>
    </xf>
    <xf numFmtId="0" fontId="44" fillId="0" borderId="8" xfId="52" applyFont="1" applyFill="1" applyBorder="1" applyAlignment="1">
      <alignment horizontal="center" vertical="center" wrapText="1"/>
    </xf>
    <xf numFmtId="3" fontId="44" fillId="0" borderId="8" xfId="52" applyNumberFormat="1" applyFont="1" applyFill="1" applyBorder="1" applyAlignment="1">
      <alignment horizontal="right" vertical="center" wrapText="1"/>
    </xf>
    <xf numFmtId="0" fontId="44" fillId="0" borderId="61" xfId="52" applyFont="1" applyFill="1" applyBorder="1" applyAlignment="1">
      <alignment horizontal="left" vertical="center" wrapText="1"/>
    </xf>
    <xf numFmtId="0" fontId="43" fillId="28" borderId="16" xfId="52" applyFont="1" applyFill="1" applyBorder="1" applyAlignment="1">
      <alignment horizontal="justify" vertical="center"/>
    </xf>
    <xf numFmtId="0" fontId="44" fillId="0" borderId="49" xfId="52" applyFont="1" applyFill="1" applyBorder="1" applyAlignment="1">
      <alignment vertical="center" wrapText="1"/>
    </xf>
    <xf numFmtId="0" fontId="44" fillId="0" borderId="69" xfId="52" applyFont="1" applyFill="1" applyBorder="1" applyAlignment="1">
      <alignment horizontal="center" vertical="center" wrapText="1"/>
    </xf>
    <xf numFmtId="3" fontId="43" fillId="28" borderId="18" xfId="52" applyNumberFormat="1" applyFont="1" applyFill="1" applyBorder="1" applyAlignment="1">
      <alignment horizontal="right" vertical="center" wrapText="1"/>
    </xf>
    <xf numFmtId="0" fontId="43" fillId="0" borderId="1" xfId="52" applyFont="1" applyFill="1" applyBorder="1" applyAlignment="1">
      <alignment vertical="center"/>
    </xf>
    <xf numFmtId="0" fontId="43" fillId="0" borderId="76" xfId="52" applyFont="1" applyFill="1" applyBorder="1" applyAlignment="1">
      <alignment vertical="center"/>
    </xf>
    <xf numFmtId="0" fontId="43" fillId="0" borderId="77" xfId="52" applyFont="1" applyFill="1" applyBorder="1" applyAlignment="1">
      <alignment vertical="center"/>
    </xf>
    <xf numFmtId="0" fontId="43" fillId="0" borderId="1" xfId="52" applyFont="1" applyFill="1" applyBorder="1" applyAlignment="1">
      <alignment vertical="center" wrapText="1"/>
    </xf>
    <xf numFmtId="0" fontId="43" fillId="0" borderId="76" xfId="52" applyFont="1" applyFill="1" applyBorder="1" applyAlignment="1">
      <alignment vertical="center" wrapText="1"/>
    </xf>
    <xf numFmtId="0" fontId="43" fillId="0" borderId="77" xfId="52" applyFont="1" applyFill="1" applyBorder="1" applyAlignment="1">
      <alignment vertical="center" wrapText="1"/>
    </xf>
    <xf numFmtId="3" fontId="44" fillId="0" borderId="0" xfId="52" applyNumberFormat="1" applyFont="1" applyAlignment="1">
      <alignment vertical="center"/>
    </xf>
    <xf numFmtId="3" fontId="44" fillId="0" borderId="53" xfId="52" applyNumberFormat="1" applyFont="1" applyBorder="1" applyAlignment="1">
      <alignment vertical="center" wrapText="1"/>
    </xf>
    <xf numFmtId="0" fontId="44" fillId="0" borderId="53" xfId="52" applyFont="1" applyBorder="1" applyAlignment="1">
      <alignment vertical="center" wrapText="1"/>
    </xf>
    <xf numFmtId="49" fontId="44" fillId="0" borderId="66" xfId="52" applyNumberFormat="1" applyFont="1" applyFill="1" applyBorder="1" applyAlignment="1">
      <alignment horizontal="justify" vertical="center"/>
    </xf>
    <xf numFmtId="0" fontId="43" fillId="28" borderId="55" xfId="52" applyFont="1" applyFill="1" applyBorder="1" applyAlignment="1">
      <alignment horizontal="left" vertical="center" wrapText="1"/>
    </xf>
    <xf numFmtId="49" fontId="44" fillId="28" borderId="16" xfId="52" applyNumberFormat="1" applyFont="1" applyFill="1" applyBorder="1" applyAlignment="1">
      <alignment horizontal="justify" vertical="center"/>
    </xf>
    <xf numFmtId="0" fontId="8" fillId="0" borderId="0" xfId="52" applyFont="1" applyFill="1" applyAlignment="1">
      <alignment vertical="center"/>
    </xf>
    <xf numFmtId="0" fontId="50" fillId="0" borderId="0" xfId="59" applyFont="1"/>
    <xf numFmtId="3" fontId="44" fillId="0" borderId="4" xfId="52" applyNumberFormat="1" applyFont="1" applyFill="1" applyBorder="1" applyAlignment="1">
      <alignment vertical="center"/>
    </xf>
    <xf numFmtId="0" fontId="43" fillId="0" borderId="75" xfId="52" applyFont="1" applyFill="1" applyBorder="1" applyAlignment="1">
      <alignment vertical="center" wrapText="1"/>
    </xf>
    <xf numFmtId="0" fontId="44" fillId="0" borderId="4" xfId="52" applyFont="1" applyFill="1" applyBorder="1" applyAlignment="1">
      <alignment vertical="center"/>
    </xf>
    <xf numFmtId="3" fontId="44" fillId="30" borderId="4" xfId="34" applyNumberFormat="1" applyFont="1" applyFill="1" applyBorder="1" applyAlignment="1" applyProtection="1">
      <alignment horizontal="right" vertical="center"/>
      <protection locked="0"/>
    </xf>
    <xf numFmtId="3" fontId="44" fillId="30" borderId="2" xfId="34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/>
    </xf>
    <xf numFmtId="0" fontId="44" fillId="0" borderId="0" xfId="51" applyFont="1"/>
    <xf numFmtId="0" fontId="44" fillId="0" borderId="0" xfId="51" applyFont="1" applyBorder="1"/>
    <xf numFmtId="0" fontId="18" fillId="0" borderId="0" xfId="51" applyFont="1" applyBorder="1"/>
    <xf numFmtId="0" fontId="51" fillId="0" borderId="0" xfId="51" applyFont="1"/>
    <xf numFmtId="0" fontId="43" fillId="0" borderId="0" xfId="51" applyFont="1" applyAlignment="1">
      <alignment horizontal="right"/>
    </xf>
    <xf numFmtId="0" fontId="10" fillId="0" borderId="18" xfId="51" applyFont="1" applyBorder="1" applyAlignment="1">
      <alignment horizontal="center" vertical="center" wrapText="1"/>
    </xf>
    <xf numFmtId="0" fontId="10" fillId="0" borderId="17" xfId="51" applyFont="1" applyBorder="1" applyAlignment="1">
      <alignment horizontal="center" vertical="center" wrapText="1"/>
    </xf>
    <xf numFmtId="0" fontId="10" fillId="0" borderId="16" xfId="51" applyFont="1" applyBorder="1" applyAlignment="1">
      <alignment horizontal="center" vertical="center" wrapText="1"/>
    </xf>
    <xf numFmtId="0" fontId="44" fillId="0" borderId="0" xfId="51" applyFont="1" applyBorder="1" applyAlignment="1">
      <alignment horizontal="center" vertical="center" wrapText="1"/>
    </xf>
    <xf numFmtId="0" fontId="43" fillId="0" borderId="0" xfId="51" applyFont="1" applyBorder="1" applyAlignment="1">
      <alignment horizontal="center" vertical="center" wrapText="1"/>
    </xf>
    <xf numFmtId="4" fontId="8" fillId="0" borderId="10" xfId="51" applyNumberFormat="1" applyFont="1" applyFill="1" applyBorder="1" applyAlignment="1">
      <alignment horizontal="right" vertical="center"/>
    </xf>
    <xf numFmtId="4" fontId="8" fillId="0" borderId="10" xfId="51" applyNumberFormat="1" applyFont="1" applyBorder="1" applyAlignment="1">
      <alignment horizontal="right" vertical="center"/>
    </xf>
    <xf numFmtId="4" fontId="8" fillId="0" borderId="9" xfId="51" applyNumberFormat="1" applyFont="1" applyBorder="1" applyAlignment="1">
      <alignment horizontal="right" vertical="center"/>
    </xf>
    <xf numFmtId="4" fontId="8" fillId="0" borderId="13" xfId="51" applyNumberFormat="1" applyFont="1" applyBorder="1" applyAlignment="1">
      <alignment horizontal="right" vertical="center"/>
    </xf>
    <xf numFmtId="4" fontId="8" fillId="0" borderId="4" xfId="51" applyNumberFormat="1" applyFont="1" applyBorder="1" applyAlignment="1">
      <alignment horizontal="right" vertical="center"/>
    </xf>
    <xf numFmtId="4" fontId="8" fillId="0" borderId="2" xfId="51" applyNumberFormat="1" applyFont="1" applyBorder="1" applyAlignment="1">
      <alignment horizontal="right" vertical="center"/>
    </xf>
    <xf numFmtId="4" fontId="8" fillId="0" borderId="5" xfId="51" applyNumberFormat="1" applyFont="1" applyBorder="1" applyAlignment="1">
      <alignment horizontal="right" vertical="center"/>
    </xf>
    <xf numFmtId="4" fontId="10" fillId="0" borderId="4" xfId="51" applyNumberFormat="1" applyFont="1" applyBorder="1" applyAlignment="1">
      <alignment vertical="center"/>
    </xf>
    <xf numFmtId="4" fontId="10" fillId="0" borderId="2" xfId="51" applyNumberFormat="1" applyFont="1" applyBorder="1" applyAlignment="1">
      <alignment vertical="center"/>
    </xf>
    <xf numFmtId="4" fontId="10" fillId="0" borderId="5" xfId="51" applyNumberFormat="1" applyFont="1" applyBorder="1" applyAlignment="1">
      <alignment vertical="center"/>
    </xf>
    <xf numFmtId="0" fontId="44" fillId="0" borderId="0" xfId="51" applyFont="1" applyBorder="1" applyAlignment="1">
      <alignment wrapText="1"/>
    </xf>
    <xf numFmtId="4" fontId="8" fillId="0" borderId="8" xfId="51" applyNumberFormat="1" applyFont="1" applyFill="1" applyBorder="1" applyAlignment="1">
      <alignment vertical="center"/>
    </xf>
    <xf numFmtId="4" fontId="8" fillId="0" borderId="7" xfId="51" applyNumberFormat="1" applyFont="1" applyFill="1" applyBorder="1" applyAlignment="1">
      <alignment vertical="center"/>
    </xf>
    <xf numFmtId="4" fontId="8" fillId="0" borderId="38" xfId="51" applyNumberFormat="1" applyFont="1" applyFill="1" applyBorder="1" applyAlignment="1">
      <alignment vertical="center"/>
    </xf>
    <xf numFmtId="0" fontId="44" fillId="0" borderId="0" xfId="51" applyFont="1" applyFill="1" applyBorder="1" applyAlignment="1">
      <alignment horizontal="left" vertical="center" wrapText="1"/>
    </xf>
    <xf numFmtId="4" fontId="44" fillId="0" borderId="0" xfId="51" applyNumberFormat="1" applyFont="1" applyBorder="1" applyAlignment="1">
      <alignment horizontal="center" vertical="center"/>
    </xf>
    <xf numFmtId="10" fontId="10" fillId="28" borderId="18" xfId="51" applyNumberFormat="1" applyFont="1" applyFill="1" applyBorder="1" applyAlignment="1">
      <alignment vertical="center"/>
    </xf>
    <xf numFmtId="10" fontId="10" fillId="28" borderId="17" xfId="51" applyNumberFormat="1" applyFont="1" applyFill="1" applyBorder="1" applyAlignment="1">
      <alignment vertical="center"/>
    </xf>
    <xf numFmtId="10" fontId="10" fillId="28" borderId="16" xfId="51" applyNumberFormat="1" applyFont="1" applyFill="1" applyBorder="1" applyAlignment="1">
      <alignment vertical="center"/>
    </xf>
    <xf numFmtId="0" fontId="41" fillId="0" borderId="0" xfId="51" applyFont="1" applyAlignment="1">
      <alignment horizontal="right"/>
    </xf>
    <xf numFmtId="0" fontId="41" fillId="0" borderId="0" xfId="51" applyFont="1"/>
    <xf numFmtId="3" fontId="44" fillId="0" borderId="0" xfId="51" applyNumberFormat="1" applyFont="1" applyBorder="1"/>
    <xf numFmtId="0" fontId="43" fillId="0" borderId="0" xfId="51" applyFont="1" applyBorder="1" applyAlignment="1">
      <alignment horizontal="center" vertical="center"/>
    </xf>
    <xf numFmtId="168" fontId="43" fillId="0" borderId="0" xfId="51" applyNumberFormat="1" applyFont="1" applyBorder="1"/>
    <xf numFmtId="0" fontId="13" fillId="0" borderId="0" xfId="51" applyFont="1"/>
    <xf numFmtId="4" fontId="43" fillId="0" borderId="0" xfId="51" applyNumberFormat="1" applyFont="1" applyBorder="1" applyAlignment="1">
      <alignment horizontal="center" vertical="center"/>
    </xf>
    <xf numFmtId="4" fontId="8" fillId="0" borderId="24" xfId="51" applyNumberFormat="1" applyFont="1" applyBorder="1" applyAlignment="1">
      <alignment horizontal="right" vertical="center"/>
    </xf>
    <xf numFmtId="4" fontId="8" fillId="0" borderId="36" xfId="51" applyNumberFormat="1" applyFont="1" applyBorder="1" applyAlignment="1">
      <alignment horizontal="right" vertical="center"/>
    </xf>
    <xf numFmtId="4" fontId="8" fillId="0" borderId="25" xfId="51" applyNumberFormat="1" applyFont="1" applyBorder="1" applyAlignment="1">
      <alignment horizontal="right" vertical="center"/>
    </xf>
    <xf numFmtId="0" fontId="44" fillId="0" borderId="0" xfId="51" applyFont="1" applyBorder="1" applyAlignment="1">
      <alignment vertical="center"/>
    </xf>
    <xf numFmtId="0" fontId="43" fillId="0" borderId="0" xfId="51" applyFont="1" applyBorder="1" applyAlignment="1">
      <alignment horizontal="left" vertical="center" wrapText="1"/>
    </xf>
    <xf numFmtId="10" fontId="43" fillId="0" borderId="0" xfId="51" applyNumberFormat="1" applyFont="1" applyBorder="1" applyAlignment="1">
      <alignment horizontal="center" vertical="center"/>
    </xf>
    <xf numFmtId="4" fontId="10" fillId="0" borderId="42" xfId="51" applyNumberFormat="1" applyFont="1" applyBorder="1" applyAlignment="1">
      <alignment horizontal="right" vertical="center"/>
    </xf>
    <xf numFmtId="4" fontId="10" fillId="0" borderId="57" xfId="51" applyNumberFormat="1" applyFont="1" applyBorder="1" applyAlignment="1">
      <alignment horizontal="right" vertical="center"/>
    </xf>
    <xf numFmtId="4" fontId="10" fillId="0" borderId="43" xfId="51" applyNumberFormat="1" applyFont="1" applyBorder="1" applyAlignment="1">
      <alignment horizontal="right" vertical="center"/>
    </xf>
    <xf numFmtId="1" fontId="8" fillId="0" borderId="15" xfId="51" applyNumberFormat="1" applyFont="1" applyFill="1" applyBorder="1" applyAlignment="1">
      <alignment vertical="center"/>
    </xf>
    <xf numFmtId="1" fontId="8" fillId="0" borderId="53" xfId="51" applyNumberFormat="1" applyFont="1" applyFill="1" applyBorder="1" applyAlignment="1">
      <alignment vertical="center"/>
    </xf>
    <xf numFmtId="1" fontId="8" fillId="0" borderId="17" xfId="51" applyNumberFormat="1" applyFont="1" applyFill="1" applyBorder="1" applyAlignment="1">
      <alignment vertical="center"/>
    </xf>
    <xf numFmtId="1" fontId="8" fillId="0" borderId="16" xfId="51" applyNumberFormat="1" applyFont="1" applyFill="1" applyBorder="1" applyAlignment="1">
      <alignment vertical="center"/>
    </xf>
    <xf numFmtId="4" fontId="8" fillId="0" borderId="24" xfId="51" applyNumberFormat="1" applyFont="1" applyFill="1" applyBorder="1" applyAlignment="1">
      <alignment horizontal="right" vertical="center"/>
    </xf>
    <xf numFmtId="4" fontId="8" fillId="0" borderId="25" xfId="51" applyNumberFormat="1" applyFont="1" applyFill="1" applyBorder="1" applyAlignment="1">
      <alignment horizontal="right" vertical="center"/>
    </xf>
    <xf numFmtId="4" fontId="8" fillId="0" borderId="36" xfId="51" applyNumberFormat="1" applyFont="1" applyFill="1" applyBorder="1" applyAlignment="1">
      <alignment horizontal="right" vertical="center"/>
    </xf>
    <xf numFmtId="4" fontId="8" fillId="0" borderId="4" xfId="51" applyNumberFormat="1" applyFont="1" applyFill="1" applyBorder="1" applyAlignment="1">
      <alignment horizontal="right" vertical="center"/>
    </xf>
    <xf numFmtId="4" fontId="8" fillId="0" borderId="2" xfId="51" applyNumberFormat="1" applyFont="1" applyFill="1" applyBorder="1" applyAlignment="1">
      <alignment horizontal="right" vertical="center"/>
    </xf>
    <xf numFmtId="4" fontId="8" fillId="0" borderId="5" xfId="51" applyNumberFormat="1" applyFont="1" applyFill="1" applyBorder="1" applyAlignment="1">
      <alignment horizontal="right" vertical="center"/>
    </xf>
    <xf numFmtId="1" fontId="8" fillId="0" borderId="15" xfId="51" applyNumberFormat="1" applyFont="1" applyBorder="1" applyAlignment="1">
      <alignment vertical="center"/>
    </xf>
    <xf numFmtId="1" fontId="8" fillId="0" borderId="53" xfId="51" applyNumberFormat="1" applyFont="1" applyBorder="1" applyAlignment="1">
      <alignment vertical="center"/>
    </xf>
    <xf numFmtId="1" fontId="8" fillId="0" borderId="17" xfId="51" applyNumberFormat="1" applyFont="1" applyBorder="1" applyAlignment="1">
      <alignment vertical="center"/>
    </xf>
    <xf numFmtId="1" fontId="8" fillId="0" borderId="16" xfId="51" applyNumberFormat="1" applyFont="1" applyBorder="1" applyAlignment="1">
      <alignment vertical="center"/>
    </xf>
    <xf numFmtId="4" fontId="10" fillId="0" borderId="82" xfId="51" applyNumberFormat="1" applyFont="1" applyBorder="1" applyAlignment="1">
      <alignment horizontal="right" vertical="center"/>
    </xf>
    <xf numFmtId="4" fontId="10" fillId="0" borderId="81" xfId="51" applyNumberFormat="1" applyFont="1" applyBorder="1" applyAlignment="1">
      <alignment horizontal="right" vertical="center"/>
    </xf>
    <xf numFmtId="4" fontId="10" fillId="0" borderId="83" xfId="51" applyNumberFormat="1" applyFont="1" applyBorder="1" applyAlignment="1">
      <alignment horizontal="right" vertical="center"/>
    </xf>
    <xf numFmtId="1" fontId="8" fillId="0" borderId="84" xfId="51" applyNumberFormat="1" applyFont="1" applyBorder="1" applyAlignment="1">
      <alignment vertical="center"/>
    </xf>
    <xf numFmtId="1" fontId="8" fillId="0" borderId="85" xfId="51" applyNumberFormat="1" applyFont="1" applyBorder="1" applyAlignment="1">
      <alignment vertical="center"/>
    </xf>
    <xf numFmtId="1" fontId="8" fillId="0" borderId="86" xfId="51" applyNumberFormat="1" applyFont="1" applyBorder="1" applyAlignment="1">
      <alignment vertical="center"/>
    </xf>
    <xf numFmtId="1" fontId="8" fillId="0" borderId="87" xfId="51" applyNumberFormat="1" applyFont="1" applyBorder="1" applyAlignment="1">
      <alignment vertical="center"/>
    </xf>
    <xf numFmtId="10" fontId="10" fillId="28" borderId="24" xfId="51" applyNumberFormat="1" applyFont="1" applyFill="1" applyBorder="1" applyAlignment="1">
      <alignment horizontal="right" vertical="center"/>
    </xf>
    <xf numFmtId="10" fontId="10" fillId="28" borderId="25" xfId="51" applyNumberFormat="1" applyFont="1" applyFill="1" applyBorder="1" applyAlignment="1">
      <alignment horizontal="right" vertical="center"/>
    </xf>
    <xf numFmtId="10" fontId="10" fillId="28" borderId="36" xfId="51" applyNumberFormat="1" applyFont="1" applyFill="1" applyBorder="1" applyAlignment="1">
      <alignment horizontal="right" vertical="center"/>
    </xf>
    <xf numFmtId="10" fontId="10" fillId="0" borderId="4" xfId="51" applyNumberFormat="1" applyFont="1" applyBorder="1" applyAlignment="1">
      <alignment horizontal="right" vertical="center"/>
    </xf>
    <xf numFmtId="10" fontId="10" fillId="0" borderId="2" xfId="51" applyNumberFormat="1" applyFont="1" applyBorder="1" applyAlignment="1">
      <alignment horizontal="right" vertical="center"/>
    </xf>
    <xf numFmtId="10" fontId="10" fillId="0" borderId="5" xfId="51" applyNumberFormat="1" applyFont="1" applyBorder="1" applyAlignment="1">
      <alignment horizontal="right" vertical="center"/>
    </xf>
    <xf numFmtId="10" fontId="10" fillId="0" borderId="42" xfId="51" applyNumberFormat="1" applyFont="1" applyBorder="1" applyAlignment="1">
      <alignment horizontal="right" vertical="center"/>
    </xf>
    <xf numFmtId="10" fontId="10" fillId="0" borderId="57" xfId="51" applyNumberFormat="1" applyFont="1" applyBorder="1" applyAlignment="1">
      <alignment horizontal="right" vertical="center"/>
    </xf>
    <xf numFmtId="10" fontId="10" fillId="0" borderId="43" xfId="51" applyNumberFormat="1" applyFont="1" applyBorder="1" applyAlignment="1">
      <alignment horizontal="right" vertical="center"/>
    </xf>
    <xf numFmtId="0" fontId="44" fillId="0" borderId="0" xfId="51" applyFont="1" applyAlignment="1">
      <alignment horizontal="left"/>
    </xf>
    <xf numFmtId="0" fontId="41" fillId="0" borderId="0" xfId="51" applyFont="1" applyAlignment="1">
      <alignment horizontal="left"/>
    </xf>
    <xf numFmtId="10" fontId="51" fillId="0" borderId="0" xfId="51" applyNumberFormat="1" applyFont="1" applyBorder="1" applyAlignment="1">
      <alignment horizontal="right" vertical="center"/>
    </xf>
    <xf numFmtId="0" fontId="13" fillId="0" borderId="0" xfId="51" applyFont="1" applyBorder="1"/>
    <xf numFmtId="0" fontId="44" fillId="0" borderId="0" xfId="51" applyFont="1" applyBorder="1" applyAlignment="1">
      <alignment horizontal="center"/>
    </xf>
    <xf numFmtId="4" fontId="13" fillId="0" borderId="0" xfId="51" applyNumberFormat="1" applyFont="1" applyBorder="1"/>
    <xf numFmtId="0" fontId="7" fillId="0" borderId="0" xfId="34" applyFont="1"/>
    <xf numFmtId="0" fontId="6" fillId="0" borderId="0" xfId="34" applyFont="1"/>
    <xf numFmtId="0" fontId="6" fillId="0" borderId="0" xfId="34" applyFont="1" applyAlignment="1">
      <alignment horizontal="right"/>
    </xf>
    <xf numFmtId="0" fontId="41" fillId="0" borderId="0" xfId="34" applyFont="1"/>
    <xf numFmtId="0" fontId="34" fillId="0" borderId="0" xfId="34" applyFont="1" applyFill="1"/>
    <xf numFmtId="0" fontId="6" fillId="0" borderId="0" xfId="34" applyFont="1" applyFill="1" applyAlignment="1"/>
    <xf numFmtId="0" fontId="54" fillId="0" borderId="0" xfId="34" applyFont="1" applyAlignment="1"/>
    <xf numFmtId="0" fontId="34" fillId="0" borderId="0" xfId="34" applyFont="1" applyAlignment="1"/>
    <xf numFmtId="0" fontId="34" fillId="0" borderId="0" xfId="34" applyFont="1"/>
    <xf numFmtId="0" fontId="44" fillId="0" borderId="0" xfId="52" applyFont="1" applyFill="1" applyAlignment="1">
      <alignment vertical="center"/>
    </xf>
    <xf numFmtId="3" fontId="44" fillId="0" borderId="0" xfId="52" applyNumberFormat="1" applyFont="1" applyFill="1" applyAlignment="1">
      <alignment vertical="center"/>
    </xf>
    <xf numFmtId="3" fontId="44" fillId="0" borderId="39" xfId="52" applyNumberFormat="1" applyFont="1" applyBorder="1" applyAlignment="1">
      <alignment vertical="center" wrapText="1"/>
    </xf>
    <xf numFmtId="0" fontId="44" fillId="0" borderId="39" xfId="52" applyFont="1" applyBorder="1" applyAlignment="1">
      <alignment vertical="center" wrapText="1"/>
    </xf>
    <xf numFmtId="49" fontId="44" fillId="0" borderId="88" xfId="52" applyNumberFormat="1" applyFont="1" applyFill="1" applyBorder="1" applyAlignment="1">
      <alignment horizontal="justify" vertical="center"/>
    </xf>
    <xf numFmtId="0" fontId="43" fillId="0" borderId="56" xfId="52" applyFont="1" applyFill="1" applyBorder="1" applyAlignment="1">
      <alignment vertical="center" wrapText="1"/>
    </xf>
    <xf numFmtId="0" fontId="43" fillId="0" borderId="40" xfId="52" applyFont="1" applyFill="1" applyBorder="1" applyAlignment="1">
      <alignment vertical="center" wrapText="1"/>
    </xf>
    <xf numFmtId="0" fontId="43" fillId="0" borderId="41" xfId="52" applyFont="1" applyFill="1" applyBorder="1" applyAlignment="1">
      <alignment vertical="center" wrapText="1"/>
    </xf>
    <xf numFmtId="0" fontId="7" fillId="0" borderId="0" xfId="34" applyFont="1" applyAlignment="1"/>
    <xf numFmtId="3" fontId="44" fillId="30" borderId="5" xfId="34" applyNumberFormat="1" applyFont="1" applyFill="1" applyBorder="1" applyAlignment="1" applyProtection="1">
      <alignment horizontal="right" vertical="center"/>
      <protection locked="0"/>
    </xf>
    <xf numFmtId="3" fontId="44" fillId="0" borderId="2" xfId="34" applyNumberFormat="1" applyFont="1" applyFill="1" applyBorder="1" applyAlignment="1" applyProtection="1">
      <alignment horizontal="right" vertical="center"/>
      <protection locked="0"/>
    </xf>
    <xf numFmtId="3" fontId="44" fillId="0" borderId="5" xfId="34" applyNumberFormat="1" applyFont="1" applyFill="1" applyBorder="1" applyAlignment="1" applyProtection="1">
      <alignment horizontal="right" vertical="center"/>
      <protection locked="0"/>
    </xf>
    <xf numFmtId="3" fontId="44" fillId="0" borderId="66" xfId="34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0" fontId="8" fillId="31" borderId="4" xfId="37" applyFont="1" applyFill="1" applyBorder="1" applyAlignment="1">
      <alignment horizontal="center" vertical="center" wrapText="1"/>
    </xf>
    <xf numFmtId="0" fontId="8" fillId="31" borderId="2" xfId="37" applyFont="1" applyFill="1" applyBorder="1" applyAlignment="1">
      <alignment horizontal="center" vertical="center" wrapText="1"/>
    </xf>
    <xf numFmtId="0" fontId="8" fillId="31" borderId="49" xfId="37" applyFont="1" applyFill="1" applyBorder="1" applyAlignment="1">
      <alignment horizontal="center" vertical="center" wrapText="1"/>
    </xf>
    <xf numFmtId="0" fontId="8" fillId="31" borderId="5" xfId="37" applyFont="1" applyFill="1" applyBorder="1" applyAlignment="1">
      <alignment horizontal="center" vertical="center" wrapText="1"/>
    </xf>
    <xf numFmtId="0" fontId="44" fillId="0" borderId="15" xfId="52" applyFont="1" applyFill="1" applyBorder="1" applyAlignment="1">
      <alignment vertical="center" wrapText="1"/>
    </xf>
    <xf numFmtId="0" fontId="43" fillId="28" borderId="66" xfId="52" applyFont="1" applyFill="1" applyBorder="1" applyAlignment="1">
      <alignment horizontal="justify" vertical="center"/>
    </xf>
    <xf numFmtId="0" fontId="44" fillId="0" borderId="45" xfId="52" applyFont="1" applyFill="1" applyBorder="1" applyAlignment="1">
      <alignment horizontal="justify" vertical="center" wrapText="1"/>
    </xf>
    <xf numFmtId="0" fontId="44" fillId="0" borderId="46" xfId="52" applyFont="1" applyFill="1" applyBorder="1" applyAlignment="1">
      <alignment horizontal="justify" vertical="center" wrapText="1"/>
    </xf>
    <xf numFmtId="3" fontId="44" fillId="0" borderId="4" xfId="55" applyNumberFormat="1" applyFont="1" applyBorder="1" applyAlignment="1">
      <alignment horizontal="right" vertical="center"/>
    </xf>
    <xf numFmtId="0" fontId="44" fillId="0" borderId="5" xfId="52" applyFont="1" applyFill="1" applyBorder="1" applyAlignment="1">
      <alignment horizontal="justify" vertical="center" wrapText="1"/>
    </xf>
    <xf numFmtId="4" fontId="44" fillId="0" borderId="5" xfId="55" applyNumberFormat="1" applyFont="1" applyFill="1" applyBorder="1" applyAlignment="1">
      <alignment horizontal="justify" vertical="center" wrapText="1"/>
    </xf>
    <xf numFmtId="0" fontId="44" fillId="0" borderId="75" xfId="52" applyFont="1" applyFill="1" applyBorder="1" applyAlignment="1">
      <alignment horizontal="justify" vertical="center" wrapText="1"/>
    </xf>
    <xf numFmtId="0" fontId="43" fillId="28" borderId="63" xfId="55" applyFont="1" applyFill="1" applyBorder="1" applyAlignment="1">
      <alignment vertical="center" wrapText="1"/>
    </xf>
    <xf numFmtId="3" fontId="44" fillId="0" borderId="8" xfId="52" applyNumberFormat="1" applyFont="1" applyFill="1" applyBorder="1" applyAlignment="1">
      <alignment vertical="center"/>
    </xf>
    <xf numFmtId="3" fontId="44" fillId="0" borderId="8" xfId="52" applyNumberFormat="1" applyFont="1" applyFill="1" applyBorder="1" applyAlignment="1">
      <alignment horizontal="right" vertical="center"/>
    </xf>
    <xf numFmtId="3" fontId="44" fillId="0" borderId="8" xfId="52" applyNumberFormat="1" applyFont="1" applyFill="1" applyBorder="1" applyAlignment="1">
      <alignment vertical="center" wrapText="1"/>
    </xf>
    <xf numFmtId="0" fontId="44" fillId="0" borderId="38" xfId="52" applyFont="1" applyFill="1" applyBorder="1" applyAlignment="1">
      <alignment horizontal="justify" vertical="center" wrapText="1"/>
    </xf>
    <xf numFmtId="0" fontId="44" fillId="0" borderId="19" xfId="52" applyFont="1" applyFill="1" applyBorder="1" applyAlignment="1">
      <alignment vertical="center" wrapText="1"/>
    </xf>
    <xf numFmtId="3" fontId="43" fillId="28" borderId="16" xfId="34" applyNumberFormat="1" applyFont="1" applyFill="1" applyBorder="1" applyAlignment="1" applyProtection="1">
      <alignment horizontal="right" vertical="center"/>
      <protection locked="0"/>
    </xf>
    <xf numFmtId="0" fontId="36" fillId="0" borderId="0" xfId="1" applyFont="1" applyAlignment="1">
      <alignment horizontal="center" vertical="center" wrapText="1"/>
    </xf>
    <xf numFmtId="0" fontId="7" fillId="0" borderId="0" xfId="37" applyFont="1" applyAlignment="1">
      <alignment horizontal="center" vertical="center"/>
    </xf>
    <xf numFmtId="0" fontId="45" fillId="0" borderId="0" xfId="37" applyFont="1" applyAlignment="1">
      <alignment horizontal="center"/>
    </xf>
    <xf numFmtId="0" fontId="43" fillId="0" borderId="0" xfId="51" applyFont="1" applyBorder="1" applyAlignment="1">
      <alignment wrapText="1"/>
    </xf>
    <xf numFmtId="0" fontId="44" fillId="0" borderId="0" xfId="51" applyFont="1" applyBorder="1" applyAlignment="1">
      <alignment horizontal="center" vertical="center"/>
    </xf>
    <xf numFmtId="0" fontId="44" fillId="0" borderId="0" xfId="51" applyFont="1" applyBorder="1" applyAlignment="1"/>
    <xf numFmtId="0" fontId="6" fillId="0" borderId="0" xfId="0" applyFont="1" applyAlignment="1"/>
    <xf numFmtId="3" fontId="14" fillId="2" borderId="4" xfId="1" applyNumberFormat="1" applyFont="1" applyFill="1" applyBorder="1" applyAlignment="1"/>
    <xf numFmtId="3" fontId="14" fillId="28" borderId="2" xfId="1" applyNumberFormat="1" applyFont="1" applyFill="1" applyBorder="1" applyAlignment="1"/>
    <xf numFmtId="3" fontId="8" fillId="0" borderId="4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38" fillId="0" borderId="57" xfId="51" applyNumberFormat="1" applyFont="1" applyFill="1" applyBorder="1" applyAlignment="1">
      <alignment horizontal="center" vertical="center" wrapText="1"/>
    </xf>
    <xf numFmtId="3" fontId="5" fillId="0" borderId="0" xfId="51" applyNumberFormat="1" applyAlignment="1">
      <alignment vertical="center"/>
    </xf>
    <xf numFmtId="3" fontId="39" fillId="0" borderId="5" xfId="1" applyNumberFormat="1" applyFont="1" applyFill="1" applyBorder="1" applyAlignment="1">
      <alignment vertical="center"/>
    </xf>
    <xf numFmtId="3" fontId="40" fillId="0" borderId="4" xfId="1" applyNumberFormat="1" applyFont="1" applyFill="1" applyBorder="1" applyAlignment="1">
      <alignment vertical="center"/>
    </xf>
    <xf numFmtId="3" fontId="40" fillId="0" borderId="45" xfId="1" applyNumberFormat="1" applyFont="1" applyFill="1" applyBorder="1" applyAlignment="1">
      <alignment vertical="center"/>
    </xf>
    <xf numFmtId="3" fontId="40" fillId="28" borderId="2" xfId="34" applyNumberFormat="1" applyFont="1" applyFill="1" applyBorder="1" applyAlignment="1">
      <alignment horizontal="right" vertical="center" wrapText="1"/>
    </xf>
    <xf numFmtId="3" fontId="40" fillId="28" borderId="5" xfId="34" applyNumberFormat="1" applyFont="1" applyFill="1" applyBorder="1" applyAlignment="1">
      <alignment horizontal="right" vertical="center" wrapText="1"/>
    </xf>
    <xf numFmtId="3" fontId="40" fillId="0" borderId="51" xfId="51" applyNumberFormat="1" applyFont="1" applyFill="1" applyBorder="1" applyAlignment="1">
      <alignment horizontal="right" vertical="center" wrapText="1"/>
    </xf>
    <xf numFmtId="3" fontId="41" fillId="0" borderId="51" xfId="51" applyNumberFormat="1" applyFont="1" applyFill="1" applyBorder="1" applyAlignment="1">
      <alignment horizontal="right" vertical="center" wrapText="1"/>
    </xf>
    <xf numFmtId="3" fontId="41" fillId="0" borderId="2" xfId="51" applyNumberFormat="1" applyFont="1" applyFill="1" applyBorder="1" applyAlignment="1">
      <alignment horizontal="right" vertical="center" wrapText="1"/>
    </xf>
    <xf numFmtId="0" fontId="41" fillId="0" borderId="1" xfId="51" applyFont="1" applyFill="1" applyBorder="1" applyAlignment="1">
      <alignment vertical="center" wrapText="1"/>
    </xf>
    <xf numFmtId="0" fontId="41" fillId="30" borderId="10" xfId="51" applyFont="1" applyFill="1" applyBorder="1" applyAlignment="1">
      <alignment horizontal="center" vertical="center"/>
    </xf>
    <xf numFmtId="3" fontId="41" fillId="30" borderId="10" xfId="51" applyNumberFormat="1" applyFont="1" applyFill="1" applyBorder="1" applyAlignment="1">
      <alignment horizontal="right" vertical="center"/>
    </xf>
    <xf numFmtId="3" fontId="41" fillId="30" borderId="13" xfId="51" applyNumberFormat="1" applyFont="1" applyFill="1" applyBorder="1" applyAlignment="1">
      <alignment horizontal="right" vertical="center"/>
    </xf>
    <xf numFmtId="3" fontId="41" fillId="30" borderId="5" xfId="51" applyNumberFormat="1" applyFont="1" applyFill="1" applyBorder="1" applyAlignment="1">
      <alignment horizontal="right" vertical="center"/>
    </xf>
    <xf numFmtId="3" fontId="41" fillId="0" borderId="5" xfId="51" applyNumberFormat="1" applyFont="1" applyFill="1" applyBorder="1" applyAlignment="1">
      <alignment horizontal="right" vertical="center"/>
    </xf>
    <xf numFmtId="3" fontId="40" fillId="0" borderId="10" xfId="51" applyNumberFormat="1" applyFont="1" applyFill="1" applyBorder="1" applyAlignment="1">
      <alignment horizontal="right" vertical="center" wrapText="1"/>
    </xf>
    <xf numFmtId="3" fontId="40" fillId="0" borderId="76" xfId="51" applyNumberFormat="1" applyFont="1" applyFill="1" applyBorder="1" applyAlignment="1">
      <alignment horizontal="right" vertical="center" wrapText="1"/>
    </xf>
    <xf numFmtId="3" fontId="40" fillId="0" borderId="13" xfId="51" applyNumberFormat="1" applyFont="1" applyFill="1" applyBorder="1" applyAlignment="1">
      <alignment horizontal="right" vertical="center" wrapText="1"/>
    </xf>
    <xf numFmtId="3" fontId="40" fillId="28" borderId="51" xfId="34" applyNumberFormat="1" applyFont="1" applyFill="1" applyBorder="1" applyAlignment="1">
      <alignment horizontal="right" vertical="center" wrapText="1"/>
    </xf>
    <xf numFmtId="3" fontId="40" fillId="0" borderId="52" xfId="51" applyNumberFormat="1" applyFont="1" applyFill="1" applyBorder="1" applyAlignment="1">
      <alignment horizontal="right" vertical="center" wrapText="1"/>
    </xf>
    <xf numFmtId="3" fontId="40" fillId="0" borderId="38" xfId="51" applyNumberFormat="1" applyFont="1" applyFill="1" applyBorder="1" applyAlignment="1">
      <alignment horizontal="right" vertical="center" wrapText="1"/>
    </xf>
    <xf numFmtId="49" fontId="43" fillId="0" borderId="0" xfId="52" applyNumberFormat="1" applyFont="1" applyAlignment="1">
      <alignment vertical="center"/>
    </xf>
    <xf numFmtId="0" fontId="44" fillId="0" borderId="4" xfId="52" applyNumberFormat="1" applyFont="1" applyFill="1" applyBorder="1" applyAlignment="1">
      <alignment horizontal="center" vertical="center" wrapText="1"/>
    </xf>
    <xf numFmtId="49" fontId="44" fillId="0" borderId="49" xfId="52" applyNumberFormat="1" applyFont="1" applyFill="1" applyBorder="1" applyAlignment="1">
      <alignment horizontal="left" vertical="center" wrapText="1"/>
    </xf>
    <xf numFmtId="0" fontId="43" fillId="0" borderId="0" xfId="52" applyFont="1" applyAlignment="1">
      <alignment vertical="center"/>
    </xf>
    <xf numFmtId="3" fontId="44" fillId="0" borderId="89" xfId="55" applyNumberFormat="1" applyFont="1" applyBorder="1" applyAlignment="1">
      <alignment vertical="center"/>
    </xf>
    <xf numFmtId="0" fontId="55" fillId="0" borderId="0" xfId="55" applyFont="1" applyAlignment="1">
      <alignment vertical="center"/>
    </xf>
    <xf numFmtId="167" fontId="48" fillId="0" borderId="4" xfId="58" applyNumberFormat="1" applyFont="1" applyFill="1" applyBorder="1" applyAlignment="1">
      <alignment horizontal="center" vertical="center" wrapText="1"/>
    </xf>
    <xf numFmtId="0" fontId="44" fillId="0" borderId="4" xfId="55" applyFont="1" applyFill="1" applyBorder="1" applyAlignment="1">
      <alignment horizontal="center" vertical="center" wrapText="1"/>
    </xf>
    <xf numFmtId="0" fontId="44" fillId="0" borderId="5" xfId="63" applyFont="1" applyFill="1" applyBorder="1" applyAlignment="1">
      <alignment vertical="center" wrapText="1"/>
    </xf>
    <xf numFmtId="0" fontId="44" fillId="0" borderId="78" xfId="55" applyFont="1" applyFill="1" applyBorder="1" applyAlignment="1">
      <alignment horizontal="left" vertical="center" wrapText="1"/>
    </xf>
    <xf numFmtId="0" fontId="41" fillId="0" borderId="37" xfId="55" applyFont="1" applyFill="1" applyBorder="1" applyAlignment="1">
      <alignment vertical="center"/>
    </xf>
    <xf numFmtId="0" fontId="10" fillId="0" borderId="0" xfId="52" applyFont="1" applyAlignment="1">
      <alignment vertical="center" wrapText="1"/>
    </xf>
    <xf numFmtId="4" fontId="10" fillId="0" borderId="0" xfId="52" applyNumberFormat="1" applyFont="1" applyAlignment="1">
      <alignment horizontal="right" vertical="center"/>
    </xf>
    <xf numFmtId="4" fontId="10" fillId="0" borderId="0" xfId="52" applyNumberFormat="1" applyFont="1" applyAlignment="1">
      <alignment vertical="center"/>
    </xf>
    <xf numFmtId="0" fontId="8" fillId="0" borderId="0" xfId="59" applyFont="1"/>
    <xf numFmtId="0" fontId="44" fillId="30" borderId="49" xfId="62" applyFont="1" applyFill="1" applyBorder="1" applyAlignment="1">
      <alignment vertical="center" wrapText="1"/>
    </xf>
    <xf numFmtId="3" fontId="44" fillId="30" borderId="51" xfId="52" applyNumberFormat="1" applyFont="1" applyFill="1" applyBorder="1" applyAlignment="1">
      <alignment vertical="center"/>
    </xf>
    <xf numFmtId="3" fontId="44" fillId="30" borderId="4" xfId="52" applyNumberFormat="1" applyFont="1" applyFill="1" applyBorder="1" applyAlignment="1">
      <alignment vertical="center"/>
    </xf>
    <xf numFmtId="3" fontId="44" fillId="30" borderId="4" xfId="52" applyNumberFormat="1" applyFont="1" applyFill="1" applyBorder="1" applyAlignment="1">
      <alignment horizontal="right" vertical="center"/>
    </xf>
    <xf numFmtId="0" fontId="44" fillId="30" borderId="45" xfId="52" applyFont="1" applyFill="1" applyBorder="1" applyAlignment="1">
      <alignment horizontal="justify" vertical="center" wrapText="1"/>
    </xf>
    <xf numFmtId="0" fontId="44" fillId="30" borderId="61" xfId="62" applyFont="1" applyFill="1" applyBorder="1" applyAlignment="1">
      <alignment vertical="center" wrapText="1"/>
    </xf>
    <xf numFmtId="3" fontId="44" fillId="30" borderId="52" xfId="52" applyNumberFormat="1" applyFont="1" applyFill="1" applyBorder="1" applyAlignment="1">
      <alignment vertical="center"/>
    </xf>
    <xf numFmtId="3" fontId="44" fillId="30" borderId="8" xfId="52" applyNumberFormat="1" applyFont="1" applyFill="1" applyBorder="1" applyAlignment="1">
      <alignment vertical="center"/>
    </xf>
    <xf numFmtId="3" fontId="44" fillId="30" borderId="8" xfId="52" applyNumberFormat="1" applyFont="1" applyFill="1" applyBorder="1" applyAlignment="1">
      <alignment horizontal="right" vertical="center"/>
    </xf>
    <xf numFmtId="0" fontId="44" fillId="30" borderId="46" xfId="52" applyFont="1" applyFill="1" applyBorder="1" applyAlignment="1">
      <alignment horizontal="justify" vertical="center" wrapText="1"/>
    </xf>
    <xf numFmtId="0" fontId="44" fillId="0" borderId="61" xfId="62" applyFont="1" applyFill="1" applyBorder="1" applyAlignment="1">
      <alignment vertical="center" wrapText="1"/>
    </xf>
    <xf numFmtId="3" fontId="44" fillId="30" borderId="4" xfId="52" applyNumberFormat="1" applyFont="1" applyFill="1" applyBorder="1" applyAlignment="1">
      <alignment horizontal="right" vertical="center" wrapText="1"/>
    </xf>
    <xf numFmtId="0" fontId="44" fillId="30" borderId="0" xfId="52" applyFont="1" applyFill="1" applyAlignment="1">
      <alignment vertical="center"/>
    </xf>
    <xf numFmtId="0" fontId="44" fillId="0" borderId="49" xfId="62" applyFont="1" applyFill="1" applyBorder="1" applyAlignment="1">
      <alignment vertical="center" wrapText="1"/>
    </xf>
    <xf numFmtId="3" fontId="44" fillId="0" borderId="4" xfId="62" applyNumberFormat="1" applyFont="1" applyFill="1" applyBorder="1" applyAlignment="1">
      <alignment vertical="center"/>
    </xf>
    <xf numFmtId="0" fontId="44" fillId="0" borderId="5" xfId="62" applyFont="1" applyFill="1" applyBorder="1" applyAlignment="1">
      <alignment horizontal="justify" vertical="center" wrapText="1"/>
    </xf>
    <xf numFmtId="3" fontId="44" fillId="0" borderId="4" xfId="52" applyNumberFormat="1" applyFont="1" applyFill="1" applyBorder="1" applyAlignment="1">
      <alignment vertical="center" wrapText="1"/>
    </xf>
    <xf numFmtId="3" fontId="44" fillId="0" borderId="4" xfId="63" applyNumberFormat="1" applyFont="1" applyFill="1" applyBorder="1" applyAlignment="1">
      <alignment vertical="center"/>
    </xf>
    <xf numFmtId="0" fontId="49" fillId="0" borderId="0" xfId="52" applyFont="1" applyFill="1" applyAlignment="1">
      <alignment vertical="center"/>
    </xf>
    <xf numFmtId="0" fontId="58" fillId="0" borderId="0" xfId="52" applyFont="1" applyAlignment="1">
      <alignment vertical="center"/>
    </xf>
    <xf numFmtId="0" fontId="58" fillId="0" borderId="0" xfId="52" applyFont="1" applyFill="1" applyAlignment="1">
      <alignment vertical="center"/>
    </xf>
    <xf numFmtId="3" fontId="44" fillId="0" borderId="8" xfId="62" applyNumberFormat="1" applyFont="1" applyFill="1" applyBorder="1" applyAlignment="1">
      <alignment vertical="center"/>
    </xf>
    <xf numFmtId="0" fontId="44" fillId="0" borderId="38" xfId="62" applyFont="1" applyFill="1" applyBorder="1" applyAlignment="1">
      <alignment horizontal="justify" vertical="center" wrapText="1"/>
    </xf>
    <xf numFmtId="0" fontId="59" fillId="0" borderId="0" xfId="63" applyFont="1"/>
    <xf numFmtId="0" fontId="44" fillId="0" borderId="49" xfId="52" applyFont="1" applyFill="1" applyBorder="1" applyAlignment="1">
      <alignment horizontal="justify" vertical="center" wrapText="1"/>
    </xf>
    <xf numFmtId="0" fontId="43" fillId="0" borderId="56" xfId="52" applyFont="1" applyFill="1" applyBorder="1" applyAlignment="1">
      <alignment vertical="center"/>
    </xf>
    <xf numFmtId="0" fontId="43" fillId="0" borderId="40" xfId="52" applyFont="1" applyFill="1" applyBorder="1" applyAlignment="1">
      <alignment vertical="center"/>
    </xf>
    <xf numFmtId="0" fontId="43" fillId="0" borderId="41" xfId="52" applyFont="1" applyFill="1" applyBorder="1" applyAlignment="1">
      <alignment vertical="center"/>
    </xf>
    <xf numFmtId="0" fontId="44" fillId="30" borderId="61" xfId="52" applyFont="1" applyFill="1" applyBorder="1" applyAlignment="1">
      <alignment vertical="center" wrapText="1"/>
    </xf>
    <xf numFmtId="3" fontId="44" fillId="30" borderId="8" xfId="52" applyNumberFormat="1" applyFont="1" applyFill="1" applyBorder="1" applyAlignment="1">
      <alignment horizontal="right" vertical="center" wrapText="1"/>
    </xf>
    <xf numFmtId="0" fontId="44" fillId="30" borderId="38" xfId="52" applyFont="1" applyFill="1" applyBorder="1" applyAlignment="1">
      <alignment horizontal="justify" vertical="center" wrapText="1"/>
    </xf>
    <xf numFmtId="0" fontId="43" fillId="28" borderId="16" xfId="52" applyFont="1" applyFill="1" applyBorder="1" applyAlignment="1">
      <alignment vertical="center" wrapText="1"/>
    </xf>
    <xf numFmtId="0" fontId="43" fillId="0" borderId="0" xfId="52" applyFont="1" applyFill="1" applyBorder="1" applyAlignment="1">
      <alignment vertical="center" wrapText="1"/>
    </xf>
    <xf numFmtId="0" fontId="43" fillId="28" borderId="0" xfId="52" applyFont="1" applyFill="1" applyBorder="1" applyAlignment="1">
      <alignment vertical="center" wrapText="1"/>
    </xf>
    <xf numFmtId="3" fontId="44" fillId="0" borderId="2" xfId="63" applyNumberFormat="1" applyFont="1" applyFill="1" applyBorder="1" applyAlignment="1">
      <alignment vertical="center"/>
    </xf>
    <xf numFmtId="0" fontId="44" fillId="30" borderId="58" xfId="62" applyFont="1" applyFill="1" applyBorder="1" applyAlignment="1">
      <alignment vertical="center" wrapText="1"/>
    </xf>
    <xf numFmtId="3" fontId="44" fillId="30" borderId="51" xfId="52" applyNumberFormat="1" applyFont="1" applyFill="1" applyBorder="1" applyAlignment="1">
      <alignment vertical="center" wrapText="1"/>
    </xf>
    <xf numFmtId="0" fontId="44" fillId="30" borderId="43" xfId="52" applyFont="1" applyFill="1" applyBorder="1" applyAlignment="1">
      <alignment horizontal="justify" vertical="center" wrapText="1"/>
    </xf>
    <xf numFmtId="0" fontId="44" fillId="0" borderId="58" xfId="62" applyFont="1" applyFill="1" applyBorder="1" applyAlignment="1">
      <alignment vertical="center" wrapText="1"/>
    </xf>
    <xf numFmtId="3" fontId="44" fillId="0" borderId="42" xfId="52" applyNumberFormat="1" applyFont="1" applyFill="1" applyBorder="1" applyAlignment="1">
      <alignment horizontal="right" vertical="center" wrapText="1"/>
    </xf>
    <xf numFmtId="0" fontId="44" fillId="0" borderId="43" xfId="52" applyFont="1" applyFill="1" applyBorder="1" applyAlignment="1">
      <alignment horizontal="justify" vertical="center" wrapText="1"/>
    </xf>
    <xf numFmtId="0" fontId="44" fillId="0" borderId="37" xfId="52" applyFont="1" applyBorder="1" applyAlignment="1">
      <alignment vertical="center"/>
    </xf>
    <xf numFmtId="0" fontId="44" fillId="0" borderId="0" xfId="52" applyFont="1" applyBorder="1" applyAlignment="1">
      <alignment vertical="center"/>
    </xf>
    <xf numFmtId="0" fontId="44" fillId="0" borderId="75" xfId="52" applyFont="1" applyBorder="1" applyAlignment="1">
      <alignment vertical="center"/>
    </xf>
    <xf numFmtId="49" fontId="43" fillId="28" borderId="22" xfId="56" applyNumberFormat="1" applyFont="1" applyFill="1" applyBorder="1" applyAlignment="1">
      <alignment horizontal="center" vertical="center" wrapText="1"/>
    </xf>
    <xf numFmtId="0" fontId="44" fillId="0" borderId="3" xfId="52" applyFont="1" applyFill="1" applyBorder="1" applyAlignment="1">
      <alignment horizontal="justify" vertical="center" wrapText="1"/>
    </xf>
    <xf numFmtId="3" fontId="44" fillId="0" borderId="42" xfId="52" applyNumberFormat="1" applyFont="1" applyFill="1" applyBorder="1" applyAlignment="1">
      <alignment vertical="center" wrapText="1"/>
    </xf>
    <xf numFmtId="0" fontId="5" fillId="0" borderId="0" xfId="1" applyFont="1"/>
    <xf numFmtId="3" fontId="5" fillId="0" borderId="0" xfId="1" applyNumberFormat="1" applyFont="1"/>
    <xf numFmtId="0" fontId="44" fillId="0" borderId="4" xfId="34" applyNumberFormat="1" applyFont="1" applyFill="1" applyBorder="1" applyAlignment="1" applyProtection="1">
      <alignment horizontal="center" vertical="center"/>
      <protection locked="0"/>
    </xf>
    <xf numFmtId="3" fontId="44" fillId="0" borderId="8" xfId="34" applyNumberFormat="1" applyFont="1" applyFill="1" applyBorder="1" applyAlignment="1" applyProtection="1">
      <alignment horizontal="right" vertical="center"/>
      <protection locked="0"/>
    </xf>
    <xf numFmtId="3" fontId="44" fillId="0" borderId="8" xfId="34" applyNumberFormat="1" applyFont="1" applyFill="1" applyBorder="1" applyAlignment="1" applyProtection="1">
      <alignment horizontal="center" vertical="center"/>
      <protection locked="0"/>
    </xf>
    <xf numFmtId="3" fontId="44" fillId="30" borderId="7" xfId="34" applyNumberFormat="1" applyFont="1" applyFill="1" applyBorder="1" applyAlignment="1" applyProtection="1">
      <alignment horizontal="right" vertical="center"/>
      <protection locked="0"/>
    </xf>
    <xf numFmtId="3" fontId="44" fillId="30" borderId="8" xfId="34" applyNumberFormat="1" applyFont="1" applyFill="1" applyBorder="1" applyAlignment="1" applyProtection="1">
      <alignment horizontal="right" vertical="center"/>
      <protection locked="0"/>
    </xf>
    <xf numFmtId="3" fontId="44" fillId="30" borderId="38" xfId="34" applyNumberFormat="1" applyFont="1" applyFill="1" applyBorder="1" applyAlignment="1" applyProtection="1">
      <alignment horizontal="right" vertical="center"/>
      <protection locked="0"/>
    </xf>
    <xf numFmtId="3" fontId="43" fillId="28" borderId="15" xfId="34" applyNumberFormat="1" applyFont="1" applyFill="1" applyBorder="1" applyAlignment="1" applyProtection="1">
      <alignment vertical="center" wrapText="1"/>
      <protection locked="0"/>
    </xf>
    <xf numFmtId="3" fontId="43" fillId="28" borderId="53" xfId="34" applyNumberFormat="1" applyFont="1" applyFill="1" applyBorder="1" applyAlignment="1" applyProtection="1">
      <alignment vertical="center" wrapText="1"/>
      <protection locked="0"/>
    </xf>
    <xf numFmtId="3" fontId="43" fillId="28" borderId="18" xfId="34" applyNumberFormat="1" applyFont="1" applyFill="1" applyBorder="1" applyAlignment="1" applyProtection="1">
      <alignment horizontal="right" vertical="center" wrapText="1"/>
      <protection locked="0"/>
    </xf>
    <xf numFmtId="3" fontId="43" fillId="28" borderId="16" xfId="34" applyNumberFormat="1" applyFont="1" applyFill="1" applyBorder="1" applyAlignment="1" applyProtection="1">
      <alignment horizontal="right" vertical="center" wrapText="1"/>
      <protection locked="0"/>
    </xf>
    <xf numFmtId="3" fontId="44" fillId="0" borderId="7" xfId="34" applyNumberFormat="1" applyFont="1" applyFill="1" applyBorder="1" applyAlignment="1" applyProtection="1">
      <alignment horizontal="right" vertical="center"/>
      <protection locked="0"/>
    </xf>
    <xf numFmtId="3" fontId="43" fillId="28" borderId="54" xfId="34" applyNumberFormat="1" applyFont="1" applyFill="1" applyBorder="1" applyAlignment="1" applyProtection="1">
      <alignment vertical="center" wrapText="1"/>
      <protection locked="0"/>
    </xf>
    <xf numFmtId="0" fontId="44" fillId="0" borderId="61" xfId="34" applyFont="1" applyFill="1" applyBorder="1" applyAlignment="1" applyProtection="1">
      <alignment horizontal="left" vertical="center" wrapText="1"/>
      <protection locked="0"/>
    </xf>
    <xf numFmtId="3" fontId="44" fillId="0" borderId="38" xfId="34" applyNumberFormat="1" applyFont="1" applyFill="1" applyBorder="1" applyAlignment="1" applyProtection="1">
      <alignment horizontal="right" vertical="center"/>
      <protection locked="0"/>
    </xf>
    <xf numFmtId="3" fontId="43" fillId="28" borderId="55" xfId="34" applyNumberFormat="1" applyFont="1" applyFill="1" applyBorder="1" applyAlignment="1" applyProtection="1">
      <alignment vertical="center" wrapText="1"/>
      <protection locked="0"/>
    </xf>
    <xf numFmtId="3" fontId="44" fillId="0" borderId="8" xfId="34" applyNumberFormat="1" applyFont="1" applyFill="1" applyBorder="1" applyAlignment="1" applyProtection="1">
      <alignment horizontal="right" vertical="center" wrapText="1"/>
      <protection locked="0"/>
    </xf>
    <xf numFmtId="0" fontId="43" fillId="0" borderId="79" xfId="34" applyFont="1" applyBorder="1" applyAlignment="1" applyProtection="1">
      <alignment horizontal="center" vertical="center" wrapText="1"/>
      <protection locked="0"/>
    </xf>
    <xf numFmtId="4" fontId="43" fillId="28" borderId="42" xfId="34" applyNumberFormat="1" applyFont="1" applyFill="1" applyBorder="1" applyAlignment="1" applyProtection="1">
      <alignment horizontal="center" vertical="center"/>
      <protection locked="0"/>
    </xf>
    <xf numFmtId="4" fontId="43" fillId="28" borderId="79" xfId="34" applyNumberFormat="1" applyFont="1" applyFill="1" applyBorder="1" applyAlignment="1" applyProtection="1">
      <alignment horizontal="center" vertical="center"/>
      <protection locked="0"/>
    </xf>
    <xf numFmtId="4" fontId="43" fillId="28" borderId="90" xfId="34" applyNumberFormat="1" applyFont="1" applyFill="1" applyBorder="1" applyAlignment="1" applyProtection="1">
      <alignment horizontal="center" vertical="center"/>
      <protection locked="0"/>
    </xf>
    <xf numFmtId="0" fontId="44" fillId="0" borderId="8" xfId="34" applyNumberFormat="1" applyFont="1" applyFill="1" applyBorder="1" applyAlignment="1" applyProtection="1">
      <alignment horizontal="center" vertical="center"/>
      <protection locked="0"/>
    </xf>
    <xf numFmtId="0" fontId="44" fillId="0" borderId="8" xfId="52" applyNumberFormat="1" applyFont="1" applyFill="1" applyBorder="1" applyAlignment="1">
      <alignment horizontal="center" vertical="center" wrapText="1"/>
    </xf>
    <xf numFmtId="3" fontId="8" fillId="0" borderId="61" xfId="37" applyNumberFormat="1" applyFont="1" applyBorder="1" applyAlignment="1">
      <alignment vertical="center"/>
    </xf>
    <xf numFmtId="0" fontId="44" fillId="0" borderId="0" xfId="51" applyFont="1" applyAlignment="1"/>
    <xf numFmtId="4" fontId="10" fillId="0" borderId="4" xfId="51" applyNumberFormat="1" applyFont="1" applyFill="1" applyBorder="1" applyAlignment="1">
      <alignment vertical="center"/>
    </xf>
    <xf numFmtId="168" fontId="43" fillId="0" borderId="0" xfId="51" applyNumberFormat="1" applyFont="1" applyBorder="1" applyAlignment="1"/>
    <xf numFmtId="0" fontId="61" fillId="0" borderId="0" xfId="34" applyFont="1" applyFill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6" fillId="0" borderId="0" xfId="1" applyFont="1" applyAlignment="1">
      <alignment horizontal="center" vertical="center" wrapText="1"/>
    </xf>
    <xf numFmtId="49" fontId="32" fillId="0" borderId="35" xfId="1" applyNumberFormat="1" applyFont="1" applyBorder="1" applyAlignment="1">
      <alignment horizontal="center" vertical="center" wrapText="1"/>
    </xf>
    <xf numFmtId="49" fontId="32" fillId="0" borderId="19" xfId="1" applyNumberFormat="1" applyFont="1" applyBorder="1" applyAlignment="1">
      <alignment horizontal="center" vertical="center" wrapText="1"/>
    </xf>
    <xf numFmtId="3" fontId="32" fillId="0" borderId="32" xfId="1" applyNumberFormat="1" applyFont="1" applyFill="1" applyBorder="1" applyAlignment="1">
      <alignment horizontal="center" vertical="center" wrapText="1"/>
    </xf>
    <xf numFmtId="3" fontId="32" fillId="0" borderId="22" xfId="1" applyNumberFormat="1" applyFont="1" applyFill="1" applyBorder="1" applyAlignment="1">
      <alignment horizontal="center" vertical="center" wrapText="1"/>
    </xf>
    <xf numFmtId="3" fontId="32" fillId="0" borderId="31" xfId="1" applyNumberFormat="1" applyFont="1" applyFill="1" applyBorder="1" applyAlignment="1">
      <alignment horizontal="center" vertical="center" wrapText="1"/>
    </xf>
    <xf numFmtId="3" fontId="32" fillId="0" borderId="23" xfId="1" applyNumberFormat="1" applyFont="1" applyFill="1" applyBorder="1" applyAlignment="1">
      <alignment horizontal="center" vertical="center" wrapText="1"/>
    </xf>
    <xf numFmtId="3" fontId="32" fillId="0" borderId="34" xfId="1" applyNumberFormat="1" applyFont="1" applyFill="1" applyBorder="1" applyAlignment="1">
      <alignment horizontal="center" vertical="center" wrapText="1"/>
    </xf>
    <xf numFmtId="3" fontId="32" fillId="0" borderId="21" xfId="1" applyNumberFormat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/>
    </xf>
    <xf numFmtId="0" fontId="37" fillId="0" borderId="39" xfId="51" applyFont="1" applyFill="1" applyBorder="1" applyAlignment="1">
      <alignment horizontal="center" vertical="center" wrapText="1"/>
    </xf>
    <xf numFmtId="0" fontId="38" fillId="0" borderId="33" xfId="51" applyFont="1" applyFill="1" applyBorder="1" applyAlignment="1">
      <alignment horizontal="center" vertical="center"/>
    </xf>
    <xf numFmtId="0" fontId="38" fillId="0" borderId="20" xfId="51" applyFont="1" applyFill="1" applyBorder="1" applyAlignment="1">
      <alignment horizontal="center" vertical="center"/>
    </xf>
    <xf numFmtId="0" fontId="39" fillId="0" borderId="32" xfId="51" applyFont="1" applyFill="1" applyBorder="1" applyAlignment="1">
      <alignment horizontal="center" vertical="center"/>
    </xf>
    <xf numFmtId="0" fontId="39" fillId="0" borderId="22" xfId="51" applyFont="1" applyFill="1" applyBorder="1" applyAlignment="1">
      <alignment horizontal="center" vertical="center"/>
    </xf>
    <xf numFmtId="165" fontId="38" fillId="0" borderId="25" xfId="51" applyNumberFormat="1" applyFont="1" applyFill="1" applyBorder="1" applyAlignment="1">
      <alignment horizontal="center" vertical="center" wrapText="1"/>
    </xf>
    <xf numFmtId="165" fontId="38" fillId="0" borderId="40" xfId="51" applyNumberFormat="1" applyFont="1" applyFill="1" applyBorder="1" applyAlignment="1">
      <alignment horizontal="center" vertical="center" wrapText="1"/>
    </xf>
    <xf numFmtId="165" fontId="38" fillId="0" borderId="41" xfId="51" applyNumberFormat="1" applyFont="1" applyFill="1" applyBorder="1" applyAlignment="1">
      <alignment horizontal="center" vertical="center" wrapText="1"/>
    </xf>
    <xf numFmtId="0" fontId="7" fillId="0" borderId="0" xfId="52" applyFont="1" applyAlignment="1">
      <alignment horizontal="center" vertical="center" wrapText="1"/>
    </xf>
    <xf numFmtId="0" fontId="5" fillId="0" borderId="0" xfId="55" applyFont="1" applyAlignment="1">
      <alignment horizontal="center" vertical="center" wrapText="1"/>
    </xf>
    <xf numFmtId="0" fontId="43" fillId="28" borderId="47" xfId="52" applyFont="1" applyFill="1" applyBorder="1" applyAlignment="1">
      <alignment horizontal="center" vertical="center" wrapText="1"/>
    </xf>
    <xf numFmtId="0" fontId="43" fillId="28" borderId="58" xfId="52" applyFont="1" applyFill="1" applyBorder="1" applyAlignment="1">
      <alignment horizontal="center" vertical="center" wrapText="1"/>
    </xf>
    <xf numFmtId="4" fontId="43" fillId="28" borderId="32" xfId="52" applyNumberFormat="1" applyFont="1" applyFill="1" applyBorder="1" applyAlignment="1">
      <alignment horizontal="center" vertical="center" wrapText="1"/>
    </xf>
    <xf numFmtId="4" fontId="43" fillId="28" borderId="22" xfId="52" applyNumberFormat="1" applyFont="1" applyFill="1" applyBorder="1" applyAlignment="1">
      <alignment horizontal="center" vertical="center" wrapText="1"/>
    </xf>
    <xf numFmtId="4" fontId="43" fillId="28" borderId="24" xfId="34" applyNumberFormat="1" applyFont="1" applyFill="1" applyBorder="1" applyAlignment="1">
      <alignment horizontal="center" vertical="center" wrapText="1"/>
    </xf>
    <xf numFmtId="0" fontId="46" fillId="0" borderId="24" xfId="34" applyFont="1" applyBorder="1" applyAlignment="1">
      <alignment vertical="center"/>
    </xf>
    <xf numFmtId="0" fontId="5" fillId="0" borderId="24" xfId="34" applyFont="1" applyBorder="1" applyAlignment="1">
      <alignment vertical="center"/>
    </xf>
    <xf numFmtId="0" fontId="5" fillId="0" borderId="24" xfId="55" applyFont="1" applyBorder="1" applyAlignment="1">
      <alignment vertical="center"/>
    </xf>
    <xf numFmtId="49" fontId="43" fillId="28" borderId="34" xfId="56" applyNumberFormat="1" applyFont="1" applyFill="1" applyBorder="1" applyAlignment="1">
      <alignment horizontal="center" vertical="center" wrapText="1"/>
    </xf>
    <xf numFmtId="0" fontId="47" fillId="0" borderId="21" xfId="62" applyFont="1" applyBorder="1" applyAlignment="1">
      <alignment horizontal="center" vertical="center" wrapText="1"/>
    </xf>
    <xf numFmtId="0" fontId="43" fillId="0" borderId="56" xfId="52" applyFont="1" applyFill="1" applyBorder="1" applyAlignment="1">
      <alignment horizontal="left" vertical="center" wrapText="1"/>
    </xf>
    <xf numFmtId="0" fontId="43" fillId="0" borderId="40" xfId="52" applyFont="1" applyFill="1" applyBorder="1" applyAlignment="1">
      <alignment horizontal="left" vertical="center" wrapText="1"/>
    </xf>
    <xf numFmtId="0" fontId="43" fillId="0" borderId="41" xfId="52" applyFont="1" applyFill="1" applyBorder="1" applyAlignment="1">
      <alignment horizontal="left" vertical="center" wrapText="1"/>
    </xf>
    <xf numFmtId="0" fontId="43" fillId="0" borderId="1" xfId="52" applyFont="1" applyFill="1" applyBorder="1" applyAlignment="1">
      <alignment horizontal="left" vertical="center"/>
    </xf>
    <xf numFmtId="0" fontId="43" fillId="0" borderId="76" xfId="52" applyFont="1" applyFill="1" applyBorder="1" applyAlignment="1">
      <alignment horizontal="left" vertical="center"/>
    </xf>
    <xf numFmtId="0" fontId="43" fillId="0" borderId="77" xfId="52" applyFont="1" applyFill="1" applyBorder="1" applyAlignment="1">
      <alignment horizontal="left" vertical="center"/>
    </xf>
    <xf numFmtId="0" fontId="43" fillId="0" borderId="1" xfId="52" applyFont="1" applyBorder="1" applyAlignment="1">
      <alignment horizontal="left" vertical="center" wrapText="1"/>
    </xf>
    <xf numFmtId="0" fontId="43" fillId="0" borderId="76" xfId="52" applyFont="1" applyBorder="1" applyAlignment="1">
      <alignment horizontal="left" vertical="center" wrapText="1"/>
    </xf>
    <xf numFmtId="0" fontId="43" fillId="0" borderId="77" xfId="52" applyFont="1" applyBorder="1" applyAlignment="1">
      <alignment horizontal="left" vertical="center" wrapText="1"/>
    </xf>
    <xf numFmtId="0" fontId="43" fillId="0" borderId="1" xfId="52" applyFont="1" applyFill="1" applyBorder="1" applyAlignment="1">
      <alignment horizontal="left" vertical="center" wrapText="1"/>
    </xf>
    <xf numFmtId="0" fontId="43" fillId="0" borderId="76" xfId="52" applyFont="1" applyFill="1" applyBorder="1" applyAlignment="1">
      <alignment horizontal="left" vertical="center" wrapText="1"/>
    </xf>
    <xf numFmtId="0" fontId="43" fillId="0" borderId="77" xfId="52" applyFont="1" applyFill="1" applyBorder="1" applyAlignment="1">
      <alignment horizontal="left" vertical="center" wrapText="1"/>
    </xf>
    <xf numFmtId="0" fontId="7" fillId="0" borderId="0" xfId="55" applyFont="1" applyFill="1" applyAlignment="1">
      <alignment horizontal="center" vertical="center" wrapText="1"/>
    </xf>
    <xf numFmtId="0" fontId="43" fillId="28" borderId="32" xfId="52" applyFont="1" applyFill="1" applyBorder="1" applyAlignment="1">
      <alignment horizontal="center" vertical="center" wrapText="1"/>
    </xf>
    <xf numFmtId="0" fontId="1" fillId="0" borderId="22" xfId="63" applyBorder="1" applyAlignment="1">
      <alignment horizontal="center" vertical="center" wrapText="1"/>
    </xf>
    <xf numFmtId="0" fontId="5" fillId="0" borderId="24" xfId="55" applyBorder="1" applyAlignment="1">
      <alignment vertical="center"/>
    </xf>
    <xf numFmtId="0" fontId="1" fillId="0" borderId="21" xfId="63" applyBorder="1" applyAlignment="1">
      <alignment horizontal="center" vertical="center" wrapText="1"/>
    </xf>
    <xf numFmtId="0" fontId="43" fillId="0" borderId="56" xfId="55" applyFont="1" applyFill="1" applyBorder="1" applyAlignment="1">
      <alignment horizontal="left" vertical="center" wrapText="1"/>
    </xf>
    <xf numFmtId="0" fontId="43" fillId="0" borderId="40" xfId="55" applyFont="1" applyFill="1" applyBorder="1" applyAlignment="1">
      <alignment horizontal="left" vertical="center" wrapText="1"/>
    </xf>
    <xf numFmtId="0" fontId="43" fillId="0" borderId="41" xfId="55" applyFont="1" applyFill="1" applyBorder="1" applyAlignment="1">
      <alignment horizontal="left" vertical="center" wrapText="1"/>
    </xf>
    <xf numFmtId="0" fontId="13" fillId="0" borderId="0" xfId="55" applyFont="1" applyFill="1" applyAlignment="1">
      <alignment horizontal="left" wrapText="1"/>
    </xf>
    <xf numFmtId="0" fontId="43" fillId="0" borderId="35" xfId="55" applyFont="1" applyFill="1" applyBorder="1" applyAlignment="1">
      <alignment horizontal="left" vertical="center" wrapText="1"/>
    </xf>
    <xf numFmtId="0" fontId="43" fillId="0" borderId="59" xfId="55" applyFont="1" applyFill="1" applyBorder="1" applyAlignment="1">
      <alignment horizontal="left" vertical="center" wrapText="1"/>
    </xf>
    <xf numFmtId="0" fontId="43" fillId="0" borderId="60" xfId="55" applyFont="1" applyFill="1" applyBorder="1" applyAlignment="1">
      <alignment horizontal="left" vertical="center" wrapText="1"/>
    </xf>
    <xf numFmtId="3" fontId="44" fillId="0" borderId="38" xfId="55" applyNumberFormat="1" applyFont="1" applyFill="1" applyBorder="1" applyAlignment="1">
      <alignment horizontal="justify" vertical="center" wrapText="1"/>
    </xf>
    <xf numFmtId="0" fontId="47" fillId="0" borderId="21" xfId="63" applyFont="1" applyFill="1" applyBorder="1" applyAlignment="1">
      <alignment horizontal="justify" vertical="center" wrapText="1"/>
    </xf>
    <xf numFmtId="0" fontId="60" fillId="0" borderId="0" xfId="62" applyFont="1" applyAlignment="1">
      <alignment horizontal="center" vertical="center" wrapText="1"/>
    </xf>
    <xf numFmtId="49" fontId="43" fillId="28" borderId="25" xfId="56" applyNumberFormat="1" applyFont="1" applyFill="1" applyBorder="1" applyAlignment="1">
      <alignment horizontal="center" vertical="center" wrapText="1"/>
    </xf>
    <xf numFmtId="0" fontId="56" fillId="0" borderId="40" xfId="63" applyFont="1" applyBorder="1" applyAlignment="1">
      <alignment horizontal="center" vertical="center" wrapText="1"/>
    </xf>
    <xf numFmtId="0" fontId="56" fillId="0" borderId="48" xfId="63" applyFont="1" applyBorder="1" applyAlignment="1">
      <alignment horizontal="center" vertical="center" wrapText="1"/>
    </xf>
    <xf numFmtId="0" fontId="57" fillId="0" borderId="21" xfId="62" applyFont="1" applyBorder="1" applyAlignment="1">
      <alignment horizontal="center" vertical="center" wrapText="1"/>
    </xf>
    <xf numFmtId="0" fontId="43" fillId="0" borderId="44" xfId="52" applyFont="1" applyFill="1" applyBorder="1" applyAlignment="1">
      <alignment horizontal="left" vertical="center"/>
    </xf>
    <xf numFmtId="0" fontId="43" fillId="0" borderId="10" xfId="52" applyFont="1" applyFill="1" applyBorder="1" applyAlignment="1">
      <alignment horizontal="left" vertical="center"/>
    </xf>
    <xf numFmtId="0" fontId="43" fillId="0" borderId="13" xfId="52" applyFont="1" applyFill="1" applyBorder="1" applyAlignment="1">
      <alignment horizontal="left" vertical="center"/>
    </xf>
    <xf numFmtId="3" fontId="43" fillId="0" borderId="1" xfId="34" applyNumberFormat="1" applyFont="1" applyFill="1" applyBorder="1" applyAlignment="1" applyProtection="1">
      <alignment horizontal="left" vertical="center"/>
      <protection locked="0"/>
    </xf>
    <xf numFmtId="3" fontId="43" fillId="0" borderId="76" xfId="34" applyNumberFormat="1" applyFont="1" applyFill="1" applyBorder="1" applyAlignment="1" applyProtection="1">
      <alignment horizontal="left" vertical="center"/>
      <protection locked="0"/>
    </xf>
    <xf numFmtId="3" fontId="43" fillId="0" borderId="77" xfId="34" applyNumberFormat="1" applyFont="1" applyFill="1" applyBorder="1" applyAlignment="1" applyProtection="1">
      <alignment horizontal="left" vertical="center"/>
      <protection locked="0"/>
    </xf>
    <xf numFmtId="0" fontId="43" fillId="0" borderId="47" xfId="34" applyFont="1" applyBorder="1" applyAlignment="1" applyProtection="1">
      <alignment horizontal="center" vertical="center" wrapText="1"/>
      <protection locked="0"/>
    </xf>
    <xf numFmtId="0" fontId="43" fillId="0" borderId="58" xfId="34" applyFont="1" applyBorder="1" applyAlignment="1" applyProtection="1">
      <alignment horizontal="center" vertical="center" wrapText="1"/>
      <protection locked="0"/>
    </xf>
    <xf numFmtId="4" fontId="43" fillId="0" borderId="24" xfId="34" applyNumberFormat="1" applyFont="1" applyBorder="1" applyAlignment="1" applyProtection="1">
      <alignment horizontal="center" vertical="center" wrapText="1"/>
      <protection locked="0"/>
    </xf>
    <xf numFmtId="4" fontId="43" fillId="0" borderId="42" xfId="34" applyNumberFormat="1" applyFont="1" applyBorder="1" applyAlignment="1" applyProtection="1">
      <alignment horizontal="center" vertical="center" wrapText="1"/>
      <protection locked="0"/>
    </xf>
    <xf numFmtId="4" fontId="43" fillId="0" borderId="32" xfId="34" applyNumberFormat="1" applyFont="1" applyBorder="1" applyAlignment="1" applyProtection="1">
      <alignment horizontal="center" vertical="center" wrapText="1"/>
      <protection locked="0"/>
    </xf>
    <xf numFmtId="4" fontId="43" fillId="0" borderId="22" xfId="34" applyNumberFormat="1" applyFont="1" applyBorder="1" applyAlignment="1" applyProtection="1">
      <alignment horizontal="center" vertical="center" wrapText="1"/>
      <protection locked="0"/>
    </xf>
    <xf numFmtId="4" fontId="43" fillId="28" borderId="24" xfId="34" applyNumberFormat="1" applyFont="1" applyFill="1" applyBorder="1" applyAlignment="1" applyProtection="1">
      <alignment horizontal="center" vertical="center"/>
      <protection locked="0"/>
    </xf>
    <xf numFmtId="4" fontId="43" fillId="28" borderId="36" xfId="34" applyNumberFormat="1" applyFont="1" applyFill="1" applyBorder="1" applyAlignment="1" applyProtection="1">
      <alignment horizontal="center" vertical="center"/>
      <protection locked="0"/>
    </xf>
    <xf numFmtId="0" fontId="43" fillId="0" borderId="1" xfId="34" applyFont="1" applyBorder="1" applyAlignment="1" applyProtection="1">
      <alignment horizontal="left" vertical="center" wrapText="1"/>
      <protection locked="0"/>
    </xf>
    <xf numFmtId="0" fontId="43" fillId="0" borderId="76" xfId="34" applyFont="1" applyBorder="1" applyAlignment="1" applyProtection="1">
      <alignment horizontal="left" vertical="center" wrapText="1"/>
      <protection locked="0"/>
    </xf>
    <xf numFmtId="0" fontId="43" fillId="0" borderId="77" xfId="34" applyFont="1" applyBorder="1" applyAlignment="1" applyProtection="1">
      <alignment horizontal="left" vertical="center" wrapText="1"/>
      <protection locked="0"/>
    </xf>
    <xf numFmtId="3" fontId="44" fillId="0" borderId="7" xfId="34" applyNumberFormat="1" applyFont="1" applyFill="1" applyBorder="1" applyAlignment="1" applyProtection="1">
      <alignment horizontal="center" vertical="center" wrapText="1"/>
      <protection locked="0"/>
    </xf>
    <xf numFmtId="0" fontId="5" fillId="0" borderId="52" xfId="35" applyFont="1" applyBorder="1" applyAlignment="1">
      <alignment horizontal="center" vertical="center" wrapText="1"/>
    </xf>
    <xf numFmtId="0" fontId="5" fillId="0" borderId="46" xfId="35" applyFont="1" applyBorder="1" applyAlignment="1">
      <alignment horizontal="center" vertical="center" wrapText="1"/>
    </xf>
    <xf numFmtId="0" fontId="43" fillId="0" borderId="1" xfId="34" applyFont="1" applyBorder="1" applyAlignment="1" applyProtection="1">
      <alignment horizontal="left" vertical="center"/>
      <protection locked="0"/>
    </xf>
    <xf numFmtId="0" fontId="43" fillId="0" borderId="76" xfId="34" applyFont="1" applyBorder="1" applyAlignment="1" applyProtection="1">
      <alignment horizontal="left" vertical="center"/>
      <protection locked="0"/>
    </xf>
    <xf numFmtId="0" fontId="43" fillId="0" borderId="77" xfId="34" applyFont="1" applyBorder="1" applyAlignment="1" applyProtection="1">
      <alignment horizontal="left" vertical="center"/>
      <protection locked="0"/>
    </xf>
    <xf numFmtId="3" fontId="43" fillId="0" borderId="1" xfId="34" applyNumberFormat="1" applyFont="1" applyFill="1" applyBorder="1" applyAlignment="1" applyProtection="1">
      <alignment horizontal="left" vertical="center" wrapText="1"/>
      <protection locked="0"/>
    </xf>
    <xf numFmtId="3" fontId="43" fillId="0" borderId="76" xfId="34" applyNumberFormat="1" applyFont="1" applyFill="1" applyBorder="1" applyAlignment="1" applyProtection="1">
      <alignment horizontal="left" vertical="center" wrapText="1"/>
      <protection locked="0"/>
    </xf>
    <xf numFmtId="3" fontId="43" fillId="0" borderId="77" xfId="34" applyNumberFormat="1" applyFont="1" applyFill="1" applyBorder="1" applyAlignment="1" applyProtection="1">
      <alignment horizontal="left" vertical="center" wrapText="1"/>
      <protection locked="0"/>
    </xf>
    <xf numFmtId="3" fontId="9" fillId="0" borderId="59" xfId="34" applyNumberFormat="1" applyFont="1" applyBorder="1" applyAlignment="1" applyProtection="1">
      <alignment horizontal="left" vertical="center" wrapText="1"/>
      <protection locked="0"/>
    </xf>
    <xf numFmtId="0" fontId="7" fillId="0" borderId="0" xfId="37" applyFont="1" applyAlignment="1">
      <alignment horizontal="center" vertical="center"/>
    </xf>
    <xf numFmtId="0" fontId="45" fillId="0" borderId="0" xfId="37" applyFont="1" applyAlignment="1">
      <alignment horizontal="center"/>
    </xf>
    <xf numFmtId="0" fontId="10" fillId="0" borderId="24" xfId="37" applyFont="1" applyBorder="1" applyAlignment="1">
      <alignment horizontal="center" vertical="center" wrapText="1"/>
    </xf>
    <xf numFmtId="0" fontId="10" fillId="0" borderId="24" xfId="37" applyFont="1" applyBorder="1" applyAlignment="1">
      <alignment horizontal="center" vertical="center"/>
    </xf>
    <xf numFmtId="0" fontId="10" fillId="0" borderId="25" xfId="37" applyFont="1" applyBorder="1" applyAlignment="1">
      <alignment horizontal="center" vertical="center"/>
    </xf>
    <xf numFmtId="0" fontId="10" fillId="0" borderId="47" xfId="37" applyFont="1" applyBorder="1" applyAlignment="1">
      <alignment horizontal="center" vertical="center" wrapText="1"/>
    </xf>
    <xf numFmtId="0" fontId="8" fillId="0" borderId="24" xfId="37" applyFont="1" applyBorder="1" applyAlignment="1">
      <alignment horizontal="center" vertical="center"/>
    </xf>
    <xf numFmtId="0" fontId="8" fillId="0" borderId="36" xfId="37" applyFont="1" applyBorder="1" applyAlignment="1">
      <alignment horizontal="center" vertical="center"/>
    </xf>
    <xf numFmtId="0" fontId="10" fillId="0" borderId="25" xfId="37" applyFont="1" applyBorder="1" applyAlignment="1">
      <alignment horizontal="center" vertical="center" wrapText="1"/>
    </xf>
    <xf numFmtId="0" fontId="10" fillId="0" borderId="40" xfId="37" applyFont="1" applyBorder="1" applyAlignment="1">
      <alignment horizontal="center" vertical="center" wrapText="1"/>
    </xf>
    <xf numFmtId="0" fontId="10" fillId="0" borderId="56" xfId="37" applyFont="1" applyBorder="1" applyAlignment="1">
      <alignment horizontal="center" vertical="center" wrapText="1"/>
    </xf>
    <xf numFmtId="0" fontId="8" fillId="0" borderId="40" xfId="37" applyFont="1" applyBorder="1" applyAlignment="1">
      <alignment horizontal="center" vertical="center"/>
    </xf>
    <xf numFmtId="0" fontId="8" fillId="0" borderId="41" xfId="37" applyFont="1" applyBorder="1" applyAlignment="1">
      <alignment horizontal="center" vertical="center"/>
    </xf>
    <xf numFmtId="0" fontId="10" fillId="0" borderId="14" xfId="51" applyFont="1" applyBorder="1" applyAlignment="1">
      <alignment vertical="center" wrapText="1"/>
    </xf>
    <xf numFmtId="0" fontId="10" fillId="0" borderId="79" xfId="51" applyFont="1" applyBorder="1" applyAlignment="1">
      <alignment vertical="center" wrapText="1"/>
    </xf>
    <xf numFmtId="0" fontId="8" fillId="0" borderId="55" xfId="51" applyFont="1" applyBorder="1" applyAlignment="1">
      <alignment horizontal="center" vertical="center"/>
    </xf>
    <xf numFmtId="0" fontId="5" fillId="0" borderId="18" xfId="51" applyFont="1" applyBorder="1" applyAlignment="1">
      <alignment horizontal="center" vertical="center"/>
    </xf>
    <xf numFmtId="0" fontId="8" fillId="0" borderId="44" xfId="51" applyFont="1" applyBorder="1" applyAlignment="1">
      <alignment vertical="center"/>
    </xf>
    <xf numFmtId="0" fontId="5" fillId="0" borderId="10" xfId="51" applyFont="1" applyBorder="1" applyAlignment="1">
      <alignment vertical="center"/>
    </xf>
    <xf numFmtId="0" fontId="8" fillId="0" borderId="49" xfId="51" applyFont="1" applyBorder="1" applyAlignment="1">
      <alignment vertical="center"/>
    </xf>
    <xf numFmtId="0" fontId="5" fillId="0" borderId="4" xfId="51" applyFont="1" applyBorder="1" applyAlignment="1">
      <alignment vertical="center"/>
    </xf>
    <xf numFmtId="0" fontId="8" fillId="0" borderId="49" xfId="5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10" fillId="0" borderId="49" xfId="51" applyFont="1" applyBorder="1" applyAlignment="1">
      <alignment vertical="center"/>
    </xf>
    <xf numFmtId="0" fontId="53" fillId="0" borderId="4" xfId="51" applyFont="1" applyBorder="1" applyAlignment="1">
      <alignment vertical="center"/>
    </xf>
    <xf numFmtId="0" fontId="10" fillId="0" borderId="14" xfId="51" applyFont="1" applyBorder="1" applyAlignment="1">
      <alignment horizontal="left" vertical="center" wrapText="1"/>
    </xf>
    <xf numFmtId="0" fontId="5" fillId="0" borderId="79" xfId="51" applyFont="1" applyBorder="1" applyAlignment="1"/>
    <xf numFmtId="0" fontId="10" fillId="28" borderId="15" xfId="51" applyFont="1" applyFill="1" applyBorder="1" applyAlignment="1">
      <alignment vertical="center" wrapText="1"/>
    </xf>
    <xf numFmtId="0" fontId="53" fillId="28" borderId="54" xfId="51" applyFont="1" applyFill="1" applyBorder="1" applyAlignment="1">
      <alignment vertical="center" wrapText="1"/>
    </xf>
    <xf numFmtId="0" fontId="8" fillId="0" borderId="47" xfId="51" applyFont="1" applyFill="1" applyBorder="1" applyAlignment="1">
      <alignment horizontal="left" vertical="center" wrapText="1"/>
    </xf>
    <xf numFmtId="0" fontId="8" fillId="0" borderId="24" xfId="51" applyFont="1" applyFill="1" applyBorder="1" applyAlignment="1">
      <alignment horizontal="left" vertical="center" wrapText="1"/>
    </xf>
    <xf numFmtId="0" fontId="10" fillId="0" borderId="58" xfId="51" applyFont="1" applyBorder="1" applyAlignment="1">
      <alignment vertical="center" wrapText="1"/>
    </xf>
    <xf numFmtId="0" fontId="10" fillId="0" borderId="42" xfId="51" applyFont="1" applyBorder="1" applyAlignment="1">
      <alignment vertical="center" wrapText="1"/>
    </xf>
    <xf numFmtId="0" fontId="10" fillId="0" borderId="80" xfId="51" applyFont="1" applyBorder="1" applyAlignment="1">
      <alignment vertical="center" wrapText="1"/>
    </xf>
    <xf numFmtId="0" fontId="10" fillId="0" borderId="82" xfId="51" applyFont="1" applyBorder="1" applyAlignment="1">
      <alignment vertical="center" wrapText="1"/>
    </xf>
    <xf numFmtId="0" fontId="44" fillId="0" borderId="0" xfId="51" applyFont="1" applyBorder="1" applyAlignment="1">
      <alignment horizontal="center" vertical="center"/>
    </xf>
    <xf numFmtId="0" fontId="44" fillId="0" borderId="0" xfId="51" applyFont="1" applyBorder="1" applyAlignment="1"/>
    <xf numFmtId="0" fontId="43" fillId="0" borderId="0" xfId="51" applyFont="1" applyBorder="1" applyAlignment="1">
      <alignment wrapText="1"/>
    </xf>
    <xf numFmtId="0" fontId="8" fillId="0" borderId="47" xfId="51" applyFont="1" applyBorder="1" applyAlignment="1">
      <alignment horizontal="left" vertical="center" wrapText="1"/>
    </xf>
    <xf numFmtId="0" fontId="8" fillId="0" borderId="24" xfId="51" applyFont="1" applyBorder="1" applyAlignment="1">
      <alignment horizontal="left" vertical="center" wrapText="1"/>
    </xf>
    <xf numFmtId="0" fontId="53" fillId="28" borderId="53" xfId="51" applyFont="1" applyFill="1" applyBorder="1" applyAlignment="1">
      <alignment vertical="center" wrapText="1"/>
    </xf>
    <xf numFmtId="0" fontId="7" fillId="0" borderId="0" xfId="51" applyFont="1" applyAlignment="1">
      <alignment horizontal="center" vertical="center"/>
    </xf>
    <xf numFmtId="0" fontId="51" fillId="0" borderId="0" xfId="51" applyFont="1" applyAlignment="1">
      <alignment horizontal="center" vertical="center"/>
    </xf>
    <xf numFmtId="0" fontId="10" fillId="28" borderId="47" xfId="51" applyFont="1" applyFill="1" applyBorder="1" applyAlignment="1">
      <alignment horizontal="left" vertical="center" wrapText="1"/>
    </xf>
    <xf numFmtId="0" fontId="10" fillId="28" borderId="24" xfId="51" applyFont="1" applyFill="1" applyBorder="1" applyAlignment="1">
      <alignment horizontal="left" vertical="center" wrapText="1"/>
    </xf>
    <xf numFmtId="0" fontId="10" fillId="0" borderId="49" xfId="51" applyFont="1" applyBorder="1" applyAlignment="1">
      <alignment vertical="center" wrapText="1"/>
    </xf>
    <xf numFmtId="0" fontId="10" fillId="0" borderId="4" xfId="51" applyFont="1" applyBorder="1" applyAlignment="1">
      <alignment vertical="center" wrapText="1"/>
    </xf>
    <xf numFmtId="0" fontId="8" fillId="0" borderId="15" xfId="5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0" borderId="56" xfId="51" applyFont="1" applyBorder="1" applyAlignment="1">
      <alignment vertical="center" wrapText="1"/>
    </xf>
    <xf numFmtId="0" fontId="10" fillId="0" borderId="48" xfId="51" applyFont="1" applyBorder="1" applyAlignment="1">
      <alignment vertical="center" wrapText="1"/>
    </xf>
    <xf numFmtId="0" fontId="8" fillId="0" borderId="44" xfId="51" applyFont="1" applyFill="1" applyBorder="1" applyAlignment="1">
      <alignment horizontal="left" vertical="center" wrapText="1"/>
    </xf>
    <xf numFmtId="0" fontId="8" fillId="0" borderId="9" xfId="51" applyFont="1" applyFill="1" applyBorder="1" applyAlignment="1">
      <alignment horizontal="left" vertical="center" wrapText="1"/>
    </xf>
    <xf numFmtId="0" fontId="8" fillId="0" borderId="47" xfId="51" applyFont="1" applyFill="1" applyBorder="1" applyAlignment="1">
      <alignment vertical="center" wrapText="1"/>
    </xf>
    <xf numFmtId="0" fontId="8" fillId="0" borderId="24" xfId="51" applyFont="1" applyFill="1" applyBorder="1" applyAlignment="1">
      <alignment vertical="center" wrapText="1"/>
    </xf>
    <xf numFmtId="0" fontId="8" fillId="0" borderId="49" xfId="51" applyFont="1" applyFill="1" applyBorder="1" applyAlignment="1">
      <alignment vertical="center" wrapText="1"/>
    </xf>
    <xf numFmtId="0" fontId="8" fillId="0" borderId="4" xfId="51" applyFont="1" applyFill="1" applyBorder="1" applyAlignment="1">
      <alignment vertical="center" wrapText="1"/>
    </xf>
  </cellXfs>
  <cellStyles count="64">
    <cellStyle name="20 % – Zvýraznění1 2" xfId="2"/>
    <cellStyle name="20 % – Zvýraznění2 2" xfId="3"/>
    <cellStyle name="20 % – Zvýraznění3 2" xfId="4"/>
    <cellStyle name="20 % – Zvýraznění4 2" xfId="5"/>
    <cellStyle name="20 % - zvýraznenie1" xfId="6"/>
    <cellStyle name="20 % - zvýraznenie2" xfId="7"/>
    <cellStyle name="20 % - zvýraznenie3" xfId="8"/>
    <cellStyle name="20 % - zvýraznenie4" xfId="9"/>
    <cellStyle name="20 % - zvýraznenie5" xfId="10"/>
    <cellStyle name="20 % - zvýraznenie6" xfId="11"/>
    <cellStyle name="40 % – Zvýraznění3 2" xfId="12"/>
    <cellStyle name="40 % - zvýraznenie1" xfId="13"/>
    <cellStyle name="40 % - zvýraznenie2" xfId="14"/>
    <cellStyle name="40 % - zvýraznenie3" xfId="15"/>
    <cellStyle name="40 % - zvýraznenie4" xfId="16"/>
    <cellStyle name="40 % - zvýraznenie5" xfId="17"/>
    <cellStyle name="40 % - zvýraznenie6" xfId="18"/>
    <cellStyle name="60 % – Zvýraznění3 2" xfId="19"/>
    <cellStyle name="60 % – Zvýraznění4 2" xfId="20"/>
    <cellStyle name="60 % – Zvýraznění6 2" xfId="21"/>
    <cellStyle name="60 % - zvýraznenie1" xfId="22"/>
    <cellStyle name="60 % - zvýraznenie2" xfId="23"/>
    <cellStyle name="60 % - zvýraznenie3" xfId="24"/>
    <cellStyle name="60 % - zvýraznenie4" xfId="25"/>
    <cellStyle name="60 % - zvýraznenie5" xfId="26"/>
    <cellStyle name="60 % - zvýraznenie6" xfId="27"/>
    <cellStyle name="Dobrá" xfId="28"/>
    <cellStyle name="Kontrolná bunka" xfId="29"/>
    <cellStyle name="Neutrálna" xfId="30"/>
    <cellStyle name="Normal_Zlin II table for road scheme submission_new environmental wording" xfId="31"/>
    <cellStyle name="normálne 2" xfId="32"/>
    <cellStyle name="normálne_2007 až 2013 august 2008" xfId="33"/>
    <cellStyle name="Normální" xfId="0" builtinId="0"/>
    <cellStyle name="normální 2" xfId="34"/>
    <cellStyle name="Normální 3" xfId="35"/>
    <cellStyle name="Normální 3 2" xfId="55"/>
    <cellStyle name="Normální 4" xfId="36"/>
    <cellStyle name="Normální 4 2" xfId="51"/>
    <cellStyle name="Normální 5" xfId="37"/>
    <cellStyle name="Normální 6" xfId="53"/>
    <cellStyle name="Normální 6 2" xfId="60"/>
    <cellStyle name="Normální 6 2 2" xfId="63"/>
    <cellStyle name="Normální 6 3" xfId="61"/>
    <cellStyle name="Normální 6 3 2" xfId="62"/>
    <cellStyle name="normální_10_BILANCEE" xfId="1"/>
    <cellStyle name="normální_Akce EU - tabulka(tom)-final" xfId="59"/>
    <cellStyle name="normální_číselníky MSK" xfId="58"/>
    <cellStyle name="normální_EU akce-upr 2" xfId="52"/>
    <cellStyle name="normální_List1" xfId="57"/>
    <cellStyle name="normální_Z002_002_05_str_12-14" xfId="54"/>
    <cellStyle name="Poznámka 2" xfId="38"/>
    <cellStyle name="Prepojená bunka" xfId="39"/>
    <cellStyle name="Procenta 2" xfId="56"/>
    <cellStyle name="Spolu" xfId="40"/>
    <cellStyle name="Text upozornenia" xfId="41"/>
    <cellStyle name="Titul" xfId="42"/>
    <cellStyle name="Vysvetľujúci text" xfId="43"/>
    <cellStyle name="Zlá" xfId="44"/>
    <cellStyle name="Zvýraznenie1" xfId="45"/>
    <cellStyle name="Zvýraznenie2" xfId="46"/>
    <cellStyle name="Zvýraznenie3" xfId="47"/>
    <cellStyle name="Zvýraznenie4" xfId="48"/>
    <cellStyle name="Zvýraznenie5" xfId="49"/>
    <cellStyle name="Zvýraznenie6" xfId="5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/>
              <a:t>Přehled splácení jistiny a úroků z úvěrů čerpaných Moravskoslezským krajem</a:t>
            </a:r>
            <a:r>
              <a:rPr lang="cs-CZ" baseline="0"/>
              <a:t> (v tis. Kč)</a:t>
            </a:r>
            <a:endParaRPr lang="cs-CZ"/>
          </a:p>
        </c:rich>
      </c:tx>
      <c:layout>
        <c:manualLayout>
          <c:xMode val="edge"/>
          <c:yMode val="edge"/>
          <c:x val="0.15142679753705285"/>
          <c:y val="4.1666757172594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579881042189453E-2"/>
          <c:y val="0.10293673635623134"/>
          <c:w val="0.85522820309522629"/>
          <c:h val="0.8264541587473981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'Tab. 7'!$L$7</c:f>
              <c:strCache>
                <c:ptCount val="1"/>
                <c:pt idx="0">
                  <c:v>splátka jistiny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'Tab. 7'!$A$8:$A$14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'Tab. 7'!$L$8:$L$14</c:f>
              <c:numCache>
                <c:formatCode>#,##0</c:formatCode>
                <c:ptCount val="7"/>
                <c:pt idx="0">
                  <c:v>992148</c:v>
                </c:pt>
                <c:pt idx="1">
                  <c:v>1072569</c:v>
                </c:pt>
                <c:pt idx="2">
                  <c:v>578550</c:v>
                </c:pt>
                <c:pt idx="3">
                  <c:v>347456</c:v>
                </c:pt>
                <c:pt idx="4">
                  <c:v>386437</c:v>
                </c:pt>
                <c:pt idx="5">
                  <c:v>245000</c:v>
                </c:pt>
                <c:pt idx="6">
                  <c:v>245000</c:v>
                </c:pt>
              </c:numCache>
            </c:numRef>
          </c:val>
        </c:ser>
        <c:ser>
          <c:idx val="1"/>
          <c:order val="1"/>
          <c:tx>
            <c:strRef>
              <c:f>'Tab. 7'!$M$7</c:f>
              <c:strCache>
                <c:ptCount val="1"/>
                <c:pt idx="0">
                  <c:v>úrok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'Tab. 7'!$A$8:$A$14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'Tab. 7'!$M$8:$M$14</c:f>
              <c:numCache>
                <c:formatCode>#,##0</c:formatCode>
                <c:ptCount val="7"/>
                <c:pt idx="0">
                  <c:v>55000</c:v>
                </c:pt>
                <c:pt idx="1">
                  <c:v>50000</c:v>
                </c:pt>
                <c:pt idx="2">
                  <c:v>35000</c:v>
                </c:pt>
                <c:pt idx="3">
                  <c:v>28000</c:v>
                </c:pt>
                <c:pt idx="4">
                  <c:v>21000</c:v>
                </c:pt>
                <c:pt idx="5">
                  <c:v>14000</c:v>
                </c:pt>
                <c:pt idx="6">
                  <c:v>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574616"/>
        <c:axId val="489575400"/>
        <c:axId val="0"/>
      </c:bar3DChart>
      <c:catAx>
        <c:axId val="48957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489575400"/>
        <c:crosses val="autoZero"/>
        <c:auto val="1"/>
        <c:lblAlgn val="ctr"/>
        <c:lblOffset val="100"/>
        <c:noMultiLvlLbl val="0"/>
      </c:catAx>
      <c:valAx>
        <c:axId val="48957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48957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27277510684521"/>
          <c:y val="0.35458322020092314"/>
          <c:w val="8.2822349692876204E-2"/>
          <c:h val="0.20403746945424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900" b="1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19</xdr:row>
      <xdr:rowOff>19050</xdr:rowOff>
    </xdr:from>
    <xdr:to>
      <xdr:col>12</xdr:col>
      <xdr:colOff>628649</xdr:colOff>
      <xdr:row>53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workbookViewId="0">
      <selection activeCell="E6" sqref="E6"/>
    </sheetView>
  </sheetViews>
  <sheetFormatPr defaultRowHeight="15.75" x14ac:dyDescent="0.25"/>
  <cols>
    <col min="1" max="1" width="15.85546875" style="122" customWidth="1"/>
    <col min="2" max="2" width="67.42578125" style="122" customWidth="1"/>
    <col min="3" max="3" width="5.7109375" style="383" customWidth="1"/>
    <col min="4" max="16384" width="9.140625" style="122"/>
  </cols>
  <sheetData>
    <row r="1" spans="1:4" ht="15" x14ac:dyDescent="0.2">
      <c r="A1" s="397" t="s">
        <v>361</v>
      </c>
      <c r="C1" s="378"/>
    </row>
    <row r="2" spans="1:4" x14ac:dyDescent="0.25">
      <c r="C2" s="379"/>
    </row>
    <row r="3" spans="1:4" ht="17.25" customHeight="1" x14ac:dyDescent="0.2">
      <c r="A3" s="541" t="s">
        <v>83</v>
      </c>
      <c r="B3" s="541"/>
      <c r="C3" s="126"/>
      <c r="D3" s="126"/>
    </row>
    <row r="4" spans="1:4" ht="19.5" customHeight="1" x14ac:dyDescent="0.2">
      <c r="A4" s="541" t="s">
        <v>371</v>
      </c>
      <c r="B4" s="541"/>
      <c r="C4" s="376"/>
      <c r="D4" s="126"/>
    </row>
    <row r="6" spans="1:4" ht="18" customHeight="1" x14ac:dyDescent="0.2">
      <c r="A6" s="542" t="s">
        <v>91</v>
      </c>
      <c r="B6" s="542"/>
      <c r="C6" s="376"/>
    </row>
    <row r="7" spans="1:4" ht="36.75" customHeight="1" x14ac:dyDescent="0.2">
      <c r="A7" s="293"/>
      <c r="B7" s="293"/>
      <c r="C7" s="376"/>
    </row>
    <row r="8" spans="1:4" s="376" customFormat="1" ht="21" customHeight="1" x14ac:dyDescent="0.2">
      <c r="A8" s="375" t="s">
        <v>346</v>
      </c>
      <c r="C8" s="377" t="s">
        <v>347</v>
      </c>
    </row>
    <row r="9" spans="1:4" s="376" customFormat="1" ht="15" customHeight="1" x14ac:dyDescent="0.2">
      <c r="A9" s="375"/>
      <c r="C9" s="377"/>
    </row>
    <row r="10" spans="1:4" ht="18" customHeight="1" x14ac:dyDescent="0.2">
      <c r="A10" s="423" t="s">
        <v>60</v>
      </c>
      <c r="B10" s="123" t="s">
        <v>612</v>
      </c>
      <c r="C10" s="380">
        <v>2</v>
      </c>
    </row>
    <row r="11" spans="1:4" ht="15" x14ac:dyDescent="0.2">
      <c r="A11" s="423"/>
      <c r="B11" s="123"/>
      <c r="C11" s="540"/>
    </row>
    <row r="12" spans="1:4" ht="18" customHeight="1" x14ac:dyDescent="0.2">
      <c r="A12" s="423" t="s">
        <v>84</v>
      </c>
      <c r="B12" s="123" t="s">
        <v>613</v>
      </c>
      <c r="C12" s="380">
        <v>5</v>
      </c>
    </row>
    <row r="13" spans="1:4" ht="15" x14ac:dyDescent="0.2">
      <c r="A13" s="423"/>
      <c r="B13" s="123"/>
      <c r="C13" s="380"/>
    </row>
    <row r="14" spans="1:4" ht="30" x14ac:dyDescent="0.2">
      <c r="A14" s="423" t="s">
        <v>85</v>
      </c>
      <c r="B14" s="123" t="s">
        <v>370</v>
      </c>
      <c r="C14" s="380">
        <v>7</v>
      </c>
    </row>
    <row r="15" spans="1:4" ht="15" x14ac:dyDescent="0.2">
      <c r="A15" s="423"/>
      <c r="B15" s="123"/>
      <c r="C15" s="540"/>
    </row>
    <row r="16" spans="1:4" ht="18" customHeight="1" x14ac:dyDescent="0.2">
      <c r="A16" s="423" t="s">
        <v>86</v>
      </c>
      <c r="B16" s="123" t="s">
        <v>357</v>
      </c>
      <c r="C16" s="380">
        <v>14</v>
      </c>
    </row>
    <row r="17" spans="1:3" ht="15" x14ac:dyDescent="0.2">
      <c r="A17" s="423"/>
      <c r="B17" s="123"/>
      <c r="C17" s="540"/>
    </row>
    <row r="18" spans="1:3" ht="18" customHeight="1" x14ac:dyDescent="0.2">
      <c r="A18" s="423" t="s">
        <v>87</v>
      </c>
      <c r="B18" s="123" t="s">
        <v>358</v>
      </c>
      <c r="C18" s="380">
        <v>18</v>
      </c>
    </row>
    <row r="19" spans="1:3" ht="15" x14ac:dyDescent="0.2">
      <c r="A19" s="423"/>
      <c r="B19" s="123"/>
      <c r="C19" s="380"/>
    </row>
    <row r="20" spans="1:3" ht="30" x14ac:dyDescent="0.2">
      <c r="A20" s="423" t="s">
        <v>88</v>
      </c>
      <c r="B20" s="123" t="s">
        <v>366</v>
      </c>
      <c r="C20" s="380">
        <v>30</v>
      </c>
    </row>
    <row r="21" spans="1:3" ht="15" x14ac:dyDescent="0.2">
      <c r="A21" s="423"/>
      <c r="B21" s="123"/>
      <c r="C21" s="380"/>
    </row>
    <row r="22" spans="1:3" ht="30" x14ac:dyDescent="0.2">
      <c r="A22" s="423" t="s">
        <v>89</v>
      </c>
      <c r="B22" s="123" t="s">
        <v>92</v>
      </c>
      <c r="C22" s="380">
        <v>33</v>
      </c>
    </row>
    <row r="23" spans="1:3" ht="15" x14ac:dyDescent="0.2">
      <c r="A23" s="423"/>
      <c r="B23" s="123"/>
      <c r="C23" s="380"/>
    </row>
    <row r="24" spans="1:3" ht="18" customHeight="1" x14ac:dyDescent="0.2">
      <c r="A24" s="423" t="s">
        <v>90</v>
      </c>
      <c r="B24" s="123" t="s">
        <v>367</v>
      </c>
      <c r="C24" s="380">
        <v>34</v>
      </c>
    </row>
    <row r="25" spans="1:3" ht="15" x14ac:dyDescent="0.2">
      <c r="A25" s="125"/>
      <c r="B25" s="123"/>
      <c r="C25" s="380"/>
    </row>
    <row r="26" spans="1:3" ht="15" x14ac:dyDescent="0.2">
      <c r="A26" s="125"/>
      <c r="B26" s="124"/>
      <c r="C26" s="380"/>
    </row>
    <row r="27" spans="1:3" ht="15" x14ac:dyDescent="0.2">
      <c r="C27" s="381"/>
    </row>
    <row r="28" spans="1:3" ht="15" x14ac:dyDescent="0.2">
      <c r="C28" s="380"/>
    </row>
    <row r="29" spans="1:3" x14ac:dyDescent="0.25">
      <c r="C29" s="382"/>
    </row>
    <row r="30" spans="1:3" ht="15" x14ac:dyDescent="0.2">
      <c r="C30" s="380"/>
    </row>
    <row r="31" spans="1:3" x14ac:dyDescent="0.25">
      <c r="C31" s="382"/>
    </row>
    <row r="32" spans="1:3" ht="15" x14ac:dyDescent="0.2">
      <c r="C32" s="380"/>
    </row>
    <row r="33" spans="3:3" x14ac:dyDescent="0.25">
      <c r="C33" s="382"/>
    </row>
    <row r="34" spans="3:3" ht="15" x14ac:dyDescent="0.2">
      <c r="C34" s="380"/>
    </row>
    <row r="35" spans="3:3" x14ac:dyDescent="0.25">
      <c r="C35" s="382"/>
    </row>
    <row r="36" spans="3:3" ht="15" x14ac:dyDescent="0.2">
      <c r="C36" s="380"/>
    </row>
    <row r="37" spans="3:3" x14ac:dyDescent="0.25">
      <c r="C37" s="382"/>
    </row>
    <row r="38" spans="3:3" ht="15" x14ac:dyDescent="0.2">
      <c r="C38" s="380"/>
    </row>
  </sheetData>
  <mergeCells count="3">
    <mergeCell ref="A4:B4"/>
    <mergeCell ref="A3:B3"/>
    <mergeCell ref="A6:B6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4"/>
  <sheetViews>
    <sheetView showGridLines="0" zoomScale="90" zoomScaleNormal="90" zoomScaleSheetLayoutView="70" workbookViewId="0">
      <selection activeCell="J4" sqref="J4"/>
    </sheetView>
  </sheetViews>
  <sheetFormatPr defaultRowHeight="10.5" x14ac:dyDescent="0.15"/>
  <cols>
    <col min="1" max="1" width="38.140625" style="294" customWidth="1"/>
    <col min="2" max="2" width="13.42578125" style="294" customWidth="1"/>
    <col min="3" max="4" width="14.7109375" style="295" customWidth="1"/>
    <col min="5" max="8" width="14.7109375" style="294" customWidth="1"/>
    <col min="9" max="10" width="12.5703125" style="294" bestFit="1" customWidth="1"/>
    <col min="11" max="254" width="9.140625" style="294"/>
    <col min="255" max="256" width="0" style="294" hidden="1" customWidth="1"/>
    <col min="257" max="257" width="11.140625" style="294" customWidth="1"/>
    <col min="258" max="258" width="43.140625" style="294" customWidth="1"/>
    <col min="259" max="260" width="13.28515625" style="294" customWidth="1"/>
    <col min="261" max="261" width="13.5703125" style="294" customWidth="1"/>
    <col min="262" max="264" width="14.85546875" style="294" customWidth="1"/>
    <col min="265" max="266" width="12.5703125" style="294" bestFit="1" customWidth="1"/>
    <col min="267" max="510" width="9.140625" style="294"/>
    <col min="511" max="512" width="0" style="294" hidden="1" customWidth="1"/>
    <col min="513" max="513" width="11.140625" style="294" customWidth="1"/>
    <col min="514" max="514" width="43.140625" style="294" customWidth="1"/>
    <col min="515" max="516" width="13.28515625" style="294" customWidth="1"/>
    <col min="517" max="517" width="13.5703125" style="294" customWidth="1"/>
    <col min="518" max="520" width="14.85546875" style="294" customWidth="1"/>
    <col min="521" max="522" width="12.5703125" style="294" bestFit="1" customWidth="1"/>
    <col min="523" max="766" width="9.140625" style="294"/>
    <col min="767" max="768" width="0" style="294" hidden="1" customWidth="1"/>
    <col min="769" max="769" width="11.140625" style="294" customWidth="1"/>
    <col min="770" max="770" width="43.140625" style="294" customWidth="1"/>
    <col min="771" max="772" width="13.28515625" style="294" customWidth="1"/>
    <col min="773" max="773" width="13.5703125" style="294" customWidth="1"/>
    <col min="774" max="776" width="14.85546875" style="294" customWidth="1"/>
    <col min="777" max="778" width="12.5703125" style="294" bestFit="1" customWidth="1"/>
    <col min="779" max="1022" width="9.140625" style="294"/>
    <col min="1023" max="1024" width="0" style="294" hidden="1" customWidth="1"/>
    <col min="1025" max="1025" width="11.140625" style="294" customWidth="1"/>
    <col min="1026" max="1026" width="43.140625" style="294" customWidth="1"/>
    <col min="1027" max="1028" width="13.28515625" style="294" customWidth="1"/>
    <col min="1029" max="1029" width="13.5703125" style="294" customWidth="1"/>
    <col min="1030" max="1032" width="14.85546875" style="294" customWidth="1"/>
    <col min="1033" max="1034" width="12.5703125" style="294" bestFit="1" customWidth="1"/>
    <col min="1035" max="1278" width="9.140625" style="294"/>
    <col min="1279" max="1280" width="0" style="294" hidden="1" customWidth="1"/>
    <col min="1281" max="1281" width="11.140625" style="294" customWidth="1"/>
    <col min="1282" max="1282" width="43.140625" style="294" customWidth="1"/>
    <col min="1283" max="1284" width="13.28515625" style="294" customWidth="1"/>
    <col min="1285" max="1285" width="13.5703125" style="294" customWidth="1"/>
    <col min="1286" max="1288" width="14.85546875" style="294" customWidth="1"/>
    <col min="1289" max="1290" width="12.5703125" style="294" bestFit="1" customWidth="1"/>
    <col min="1291" max="1534" width="9.140625" style="294"/>
    <col min="1535" max="1536" width="0" style="294" hidden="1" customWidth="1"/>
    <col min="1537" max="1537" width="11.140625" style="294" customWidth="1"/>
    <col min="1538" max="1538" width="43.140625" style="294" customWidth="1"/>
    <col min="1539" max="1540" width="13.28515625" style="294" customWidth="1"/>
    <col min="1541" max="1541" width="13.5703125" style="294" customWidth="1"/>
    <col min="1542" max="1544" width="14.85546875" style="294" customWidth="1"/>
    <col min="1545" max="1546" width="12.5703125" style="294" bestFit="1" customWidth="1"/>
    <col min="1547" max="1790" width="9.140625" style="294"/>
    <col min="1791" max="1792" width="0" style="294" hidden="1" customWidth="1"/>
    <col min="1793" max="1793" width="11.140625" style="294" customWidth="1"/>
    <col min="1794" max="1794" width="43.140625" style="294" customWidth="1"/>
    <col min="1795" max="1796" width="13.28515625" style="294" customWidth="1"/>
    <col min="1797" max="1797" width="13.5703125" style="294" customWidth="1"/>
    <col min="1798" max="1800" width="14.85546875" style="294" customWidth="1"/>
    <col min="1801" max="1802" width="12.5703125" style="294" bestFit="1" customWidth="1"/>
    <col min="1803" max="2046" width="9.140625" style="294"/>
    <col min="2047" max="2048" width="0" style="294" hidden="1" customWidth="1"/>
    <col min="2049" max="2049" width="11.140625" style="294" customWidth="1"/>
    <col min="2050" max="2050" width="43.140625" style="294" customWidth="1"/>
    <col min="2051" max="2052" width="13.28515625" style="294" customWidth="1"/>
    <col min="2053" max="2053" width="13.5703125" style="294" customWidth="1"/>
    <col min="2054" max="2056" width="14.85546875" style="294" customWidth="1"/>
    <col min="2057" max="2058" width="12.5703125" style="294" bestFit="1" customWidth="1"/>
    <col min="2059" max="2302" width="9.140625" style="294"/>
    <col min="2303" max="2304" width="0" style="294" hidden="1" customWidth="1"/>
    <col min="2305" max="2305" width="11.140625" style="294" customWidth="1"/>
    <col min="2306" max="2306" width="43.140625" style="294" customWidth="1"/>
    <col min="2307" max="2308" width="13.28515625" style="294" customWidth="1"/>
    <col min="2309" max="2309" width="13.5703125" style="294" customWidth="1"/>
    <col min="2310" max="2312" width="14.85546875" style="294" customWidth="1"/>
    <col min="2313" max="2314" width="12.5703125" style="294" bestFit="1" customWidth="1"/>
    <col min="2315" max="2558" width="9.140625" style="294"/>
    <col min="2559" max="2560" width="0" style="294" hidden="1" customWidth="1"/>
    <col min="2561" max="2561" width="11.140625" style="294" customWidth="1"/>
    <col min="2562" max="2562" width="43.140625" style="294" customWidth="1"/>
    <col min="2563" max="2564" width="13.28515625" style="294" customWidth="1"/>
    <col min="2565" max="2565" width="13.5703125" style="294" customWidth="1"/>
    <col min="2566" max="2568" width="14.85546875" style="294" customWidth="1"/>
    <col min="2569" max="2570" width="12.5703125" style="294" bestFit="1" customWidth="1"/>
    <col min="2571" max="2814" width="9.140625" style="294"/>
    <col min="2815" max="2816" width="0" style="294" hidden="1" customWidth="1"/>
    <col min="2817" max="2817" width="11.140625" style="294" customWidth="1"/>
    <col min="2818" max="2818" width="43.140625" style="294" customWidth="1"/>
    <col min="2819" max="2820" width="13.28515625" style="294" customWidth="1"/>
    <col min="2821" max="2821" width="13.5703125" style="294" customWidth="1"/>
    <col min="2822" max="2824" width="14.85546875" style="294" customWidth="1"/>
    <col min="2825" max="2826" width="12.5703125" style="294" bestFit="1" customWidth="1"/>
    <col min="2827" max="3070" width="9.140625" style="294"/>
    <col min="3071" max="3072" width="0" style="294" hidden="1" customWidth="1"/>
    <col min="3073" max="3073" width="11.140625" style="294" customWidth="1"/>
    <col min="3074" max="3074" width="43.140625" style="294" customWidth="1"/>
    <col min="3075" max="3076" width="13.28515625" style="294" customWidth="1"/>
    <col min="3077" max="3077" width="13.5703125" style="294" customWidth="1"/>
    <col min="3078" max="3080" width="14.85546875" style="294" customWidth="1"/>
    <col min="3081" max="3082" width="12.5703125" style="294" bestFit="1" customWidth="1"/>
    <col min="3083" max="3326" width="9.140625" style="294"/>
    <col min="3327" max="3328" width="0" style="294" hidden="1" customWidth="1"/>
    <col min="3329" max="3329" width="11.140625" style="294" customWidth="1"/>
    <col min="3330" max="3330" width="43.140625" style="294" customWidth="1"/>
    <col min="3331" max="3332" width="13.28515625" style="294" customWidth="1"/>
    <col min="3333" max="3333" width="13.5703125" style="294" customWidth="1"/>
    <col min="3334" max="3336" width="14.85546875" style="294" customWidth="1"/>
    <col min="3337" max="3338" width="12.5703125" style="294" bestFit="1" customWidth="1"/>
    <col min="3339" max="3582" width="9.140625" style="294"/>
    <col min="3583" max="3584" width="0" style="294" hidden="1" customWidth="1"/>
    <col min="3585" max="3585" width="11.140625" style="294" customWidth="1"/>
    <col min="3586" max="3586" width="43.140625" style="294" customWidth="1"/>
    <col min="3587" max="3588" width="13.28515625" style="294" customWidth="1"/>
    <col min="3589" max="3589" width="13.5703125" style="294" customWidth="1"/>
    <col min="3590" max="3592" width="14.85546875" style="294" customWidth="1"/>
    <col min="3593" max="3594" width="12.5703125" style="294" bestFit="1" customWidth="1"/>
    <col min="3595" max="3838" width="9.140625" style="294"/>
    <col min="3839" max="3840" width="0" style="294" hidden="1" customWidth="1"/>
    <col min="3841" max="3841" width="11.140625" style="294" customWidth="1"/>
    <col min="3842" max="3842" width="43.140625" style="294" customWidth="1"/>
    <col min="3843" max="3844" width="13.28515625" style="294" customWidth="1"/>
    <col min="3845" max="3845" width="13.5703125" style="294" customWidth="1"/>
    <col min="3846" max="3848" width="14.85546875" style="294" customWidth="1"/>
    <col min="3849" max="3850" width="12.5703125" style="294" bestFit="1" customWidth="1"/>
    <col min="3851" max="4094" width="9.140625" style="294"/>
    <col min="4095" max="4096" width="0" style="294" hidden="1" customWidth="1"/>
    <col min="4097" max="4097" width="11.140625" style="294" customWidth="1"/>
    <col min="4098" max="4098" width="43.140625" style="294" customWidth="1"/>
    <col min="4099" max="4100" width="13.28515625" style="294" customWidth="1"/>
    <col min="4101" max="4101" width="13.5703125" style="294" customWidth="1"/>
    <col min="4102" max="4104" width="14.85546875" style="294" customWidth="1"/>
    <col min="4105" max="4106" width="12.5703125" style="294" bestFit="1" customWidth="1"/>
    <col min="4107" max="4350" width="9.140625" style="294"/>
    <col min="4351" max="4352" width="0" style="294" hidden="1" customWidth="1"/>
    <col min="4353" max="4353" width="11.140625" style="294" customWidth="1"/>
    <col min="4354" max="4354" width="43.140625" style="294" customWidth="1"/>
    <col min="4355" max="4356" width="13.28515625" style="294" customWidth="1"/>
    <col min="4357" max="4357" width="13.5703125" style="294" customWidth="1"/>
    <col min="4358" max="4360" width="14.85546875" style="294" customWidth="1"/>
    <col min="4361" max="4362" width="12.5703125" style="294" bestFit="1" customWidth="1"/>
    <col min="4363" max="4606" width="9.140625" style="294"/>
    <col min="4607" max="4608" width="0" style="294" hidden="1" customWidth="1"/>
    <col min="4609" max="4609" width="11.140625" style="294" customWidth="1"/>
    <col min="4610" max="4610" width="43.140625" style="294" customWidth="1"/>
    <col min="4611" max="4612" width="13.28515625" style="294" customWidth="1"/>
    <col min="4613" max="4613" width="13.5703125" style="294" customWidth="1"/>
    <col min="4614" max="4616" width="14.85546875" style="294" customWidth="1"/>
    <col min="4617" max="4618" width="12.5703125" style="294" bestFit="1" customWidth="1"/>
    <col min="4619" max="4862" width="9.140625" style="294"/>
    <col min="4863" max="4864" width="0" style="294" hidden="1" customWidth="1"/>
    <col min="4865" max="4865" width="11.140625" style="294" customWidth="1"/>
    <col min="4866" max="4866" width="43.140625" style="294" customWidth="1"/>
    <col min="4867" max="4868" width="13.28515625" style="294" customWidth="1"/>
    <col min="4869" max="4869" width="13.5703125" style="294" customWidth="1"/>
    <col min="4870" max="4872" width="14.85546875" style="294" customWidth="1"/>
    <col min="4873" max="4874" width="12.5703125" style="294" bestFit="1" customWidth="1"/>
    <col min="4875" max="5118" width="9.140625" style="294"/>
    <col min="5119" max="5120" width="0" style="294" hidden="1" customWidth="1"/>
    <col min="5121" max="5121" width="11.140625" style="294" customWidth="1"/>
    <col min="5122" max="5122" width="43.140625" style="294" customWidth="1"/>
    <col min="5123" max="5124" width="13.28515625" style="294" customWidth="1"/>
    <col min="5125" max="5125" width="13.5703125" style="294" customWidth="1"/>
    <col min="5126" max="5128" width="14.85546875" style="294" customWidth="1"/>
    <col min="5129" max="5130" width="12.5703125" style="294" bestFit="1" customWidth="1"/>
    <col min="5131" max="5374" width="9.140625" style="294"/>
    <col min="5375" max="5376" width="0" style="294" hidden="1" customWidth="1"/>
    <col min="5377" max="5377" width="11.140625" style="294" customWidth="1"/>
    <col min="5378" max="5378" width="43.140625" style="294" customWidth="1"/>
    <col min="5379" max="5380" width="13.28515625" style="294" customWidth="1"/>
    <col min="5381" max="5381" width="13.5703125" style="294" customWidth="1"/>
    <col min="5382" max="5384" width="14.85546875" style="294" customWidth="1"/>
    <col min="5385" max="5386" width="12.5703125" style="294" bestFit="1" customWidth="1"/>
    <col min="5387" max="5630" width="9.140625" style="294"/>
    <col min="5631" max="5632" width="0" style="294" hidden="1" customWidth="1"/>
    <col min="5633" max="5633" width="11.140625" style="294" customWidth="1"/>
    <col min="5634" max="5634" width="43.140625" style="294" customWidth="1"/>
    <col min="5635" max="5636" width="13.28515625" style="294" customWidth="1"/>
    <col min="5637" max="5637" width="13.5703125" style="294" customWidth="1"/>
    <col min="5638" max="5640" width="14.85546875" style="294" customWidth="1"/>
    <col min="5641" max="5642" width="12.5703125" style="294" bestFit="1" customWidth="1"/>
    <col min="5643" max="5886" width="9.140625" style="294"/>
    <col min="5887" max="5888" width="0" style="294" hidden="1" customWidth="1"/>
    <col min="5889" max="5889" width="11.140625" style="294" customWidth="1"/>
    <col min="5890" max="5890" width="43.140625" style="294" customWidth="1"/>
    <col min="5891" max="5892" width="13.28515625" style="294" customWidth="1"/>
    <col min="5893" max="5893" width="13.5703125" style="294" customWidth="1"/>
    <col min="5894" max="5896" width="14.85546875" style="294" customWidth="1"/>
    <col min="5897" max="5898" width="12.5703125" style="294" bestFit="1" customWidth="1"/>
    <col min="5899" max="6142" width="9.140625" style="294"/>
    <col min="6143" max="6144" width="0" style="294" hidden="1" customWidth="1"/>
    <col min="6145" max="6145" width="11.140625" style="294" customWidth="1"/>
    <col min="6146" max="6146" width="43.140625" style="294" customWidth="1"/>
    <col min="6147" max="6148" width="13.28515625" style="294" customWidth="1"/>
    <col min="6149" max="6149" width="13.5703125" style="294" customWidth="1"/>
    <col min="6150" max="6152" width="14.85546875" style="294" customWidth="1"/>
    <col min="6153" max="6154" width="12.5703125" style="294" bestFit="1" customWidth="1"/>
    <col min="6155" max="6398" width="9.140625" style="294"/>
    <col min="6399" max="6400" width="0" style="294" hidden="1" customWidth="1"/>
    <col min="6401" max="6401" width="11.140625" style="294" customWidth="1"/>
    <col min="6402" max="6402" width="43.140625" style="294" customWidth="1"/>
    <col min="6403" max="6404" width="13.28515625" style="294" customWidth="1"/>
    <col min="6405" max="6405" width="13.5703125" style="294" customWidth="1"/>
    <col min="6406" max="6408" width="14.85546875" style="294" customWidth="1"/>
    <col min="6409" max="6410" width="12.5703125" style="294" bestFit="1" customWidth="1"/>
    <col min="6411" max="6654" width="9.140625" style="294"/>
    <col min="6655" max="6656" width="0" style="294" hidden="1" customWidth="1"/>
    <col min="6657" max="6657" width="11.140625" style="294" customWidth="1"/>
    <col min="6658" max="6658" width="43.140625" style="294" customWidth="1"/>
    <col min="6659" max="6660" width="13.28515625" style="294" customWidth="1"/>
    <col min="6661" max="6661" width="13.5703125" style="294" customWidth="1"/>
    <col min="6662" max="6664" width="14.85546875" style="294" customWidth="1"/>
    <col min="6665" max="6666" width="12.5703125" style="294" bestFit="1" customWidth="1"/>
    <col min="6667" max="6910" width="9.140625" style="294"/>
    <col min="6911" max="6912" width="0" style="294" hidden="1" customWidth="1"/>
    <col min="6913" max="6913" width="11.140625" style="294" customWidth="1"/>
    <col min="6914" max="6914" width="43.140625" style="294" customWidth="1"/>
    <col min="6915" max="6916" width="13.28515625" style="294" customWidth="1"/>
    <col min="6917" max="6917" width="13.5703125" style="294" customWidth="1"/>
    <col min="6918" max="6920" width="14.85546875" style="294" customWidth="1"/>
    <col min="6921" max="6922" width="12.5703125" style="294" bestFit="1" customWidth="1"/>
    <col min="6923" max="7166" width="9.140625" style="294"/>
    <col min="7167" max="7168" width="0" style="294" hidden="1" customWidth="1"/>
    <col min="7169" max="7169" width="11.140625" style="294" customWidth="1"/>
    <col min="7170" max="7170" width="43.140625" style="294" customWidth="1"/>
    <col min="7171" max="7172" width="13.28515625" style="294" customWidth="1"/>
    <col min="7173" max="7173" width="13.5703125" style="294" customWidth="1"/>
    <col min="7174" max="7176" width="14.85546875" style="294" customWidth="1"/>
    <col min="7177" max="7178" width="12.5703125" style="294" bestFit="1" customWidth="1"/>
    <col min="7179" max="7422" width="9.140625" style="294"/>
    <col min="7423" max="7424" width="0" style="294" hidden="1" customWidth="1"/>
    <col min="7425" max="7425" width="11.140625" style="294" customWidth="1"/>
    <col min="7426" max="7426" width="43.140625" style="294" customWidth="1"/>
    <col min="7427" max="7428" width="13.28515625" style="294" customWidth="1"/>
    <col min="7429" max="7429" width="13.5703125" style="294" customWidth="1"/>
    <col min="7430" max="7432" width="14.85546875" style="294" customWidth="1"/>
    <col min="7433" max="7434" width="12.5703125" style="294" bestFit="1" customWidth="1"/>
    <col min="7435" max="7678" width="9.140625" style="294"/>
    <col min="7679" max="7680" width="0" style="294" hidden="1" customWidth="1"/>
    <col min="7681" max="7681" width="11.140625" style="294" customWidth="1"/>
    <col min="7682" max="7682" width="43.140625" style="294" customWidth="1"/>
    <col min="7683" max="7684" width="13.28515625" style="294" customWidth="1"/>
    <col min="7685" max="7685" width="13.5703125" style="294" customWidth="1"/>
    <col min="7686" max="7688" width="14.85546875" style="294" customWidth="1"/>
    <col min="7689" max="7690" width="12.5703125" style="294" bestFit="1" customWidth="1"/>
    <col min="7691" max="7934" width="9.140625" style="294"/>
    <col min="7935" max="7936" width="0" style="294" hidden="1" customWidth="1"/>
    <col min="7937" max="7937" width="11.140625" style="294" customWidth="1"/>
    <col min="7938" max="7938" width="43.140625" style="294" customWidth="1"/>
    <col min="7939" max="7940" width="13.28515625" style="294" customWidth="1"/>
    <col min="7941" max="7941" width="13.5703125" style="294" customWidth="1"/>
    <col min="7942" max="7944" width="14.85546875" style="294" customWidth="1"/>
    <col min="7945" max="7946" width="12.5703125" style="294" bestFit="1" customWidth="1"/>
    <col min="7947" max="8190" width="9.140625" style="294"/>
    <col min="8191" max="8192" width="0" style="294" hidden="1" customWidth="1"/>
    <col min="8193" max="8193" width="11.140625" style="294" customWidth="1"/>
    <col min="8194" max="8194" width="43.140625" style="294" customWidth="1"/>
    <col min="8195" max="8196" width="13.28515625" style="294" customWidth="1"/>
    <col min="8197" max="8197" width="13.5703125" style="294" customWidth="1"/>
    <col min="8198" max="8200" width="14.85546875" style="294" customWidth="1"/>
    <col min="8201" max="8202" width="12.5703125" style="294" bestFit="1" customWidth="1"/>
    <col min="8203" max="8446" width="9.140625" style="294"/>
    <col min="8447" max="8448" width="0" style="294" hidden="1" customWidth="1"/>
    <col min="8449" max="8449" width="11.140625" style="294" customWidth="1"/>
    <col min="8450" max="8450" width="43.140625" style="294" customWidth="1"/>
    <col min="8451" max="8452" width="13.28515625" style="294" customWidth="1"/>
    <col min="8453" max="8453" width="13.5703125" style="294" customWidth="1"/>
    <col min="8454" max="8456" width="14.85546875" style="294" customWidth="1"/>
    <col min="8457" max="8458" width="12.5703125" style="294" bestFit="1" customWidth="1"/>
    <col min="8459" max="8702" width="9.140625" style="294"/>
    <col min="8703" max="8704" width="0" style="294" hidden="1" customWidth="1"/>
    <col min="8705" max="8705" width="11.140625" style="294" customWidth="1"/>
    <col min="8706" max="8706" width="43.140625" style="294" customWidth="1"/>
    <col min="8707" max="8708" width="13.28515625" style="294" customWidth="1"/>
    <col min="8709" max="8709" width="13.5703125" style="294" customWidth="1"/>
    <col min="8710" max="8712" width="14.85546875" style="294" customWidth="1"/>
    <col min="8713" max="8714" width="12.5703125" style="294" bestFit="1" customWidth="1"/>
    <col min="8715" max="8958" width="9.140625" style="294"/>
    <col min="8959" max="8960" width="0" style="294" hidden="1" customWidth="1"/>
    <col min="8961" max="8961" width="11.140625" style="294" customWidth="1"/>
    <col min="8962" max="8962" width="43.140625" style="294" customWidth="1"/>
    <col min="8963" max="8964" width="13.28515625" style="294" customWidth="1"/>
    <col min="8965" max="8965" width="13.5703125" style="294" customWidth="1"/>
    <col min="8966" max="8968" width="14.85546875" style="294" customWidth="1"/>
    <col min="8969" max="8970" width="12.5703125" style="294" bestFit="1" customWidth="1"/>
    <col min="8971" max="9214" width="9.140625" style="294"/>
    <col min="9215" max="9216" width="0" style="294" hidden="1" customWidth="1"/>
    <col min="9217" max="9217" width="11.140625" style="294" customWidth="1"/>
    <col min="9218" max="9218" width="43.140625" style="294" customWidth="1"/>
    <col min="9219" max="9220" width="13.28515625" style="294" customWidth="1"/>
    <col min="9221" max="9221" width="13.5703125" style="294" customWidth="1"/>
    <col min="9222" max="9224" width="14.85546875" style="294" customWidth="1"/>
    <col min="9225" max="9226" width="12.5703125" style="294" bestFit="1" customWidth="1"/>
    <col min="9227" max="9470" width="9.140625" style="294"/>
    <col min="9471" max="9472" width="0" style="294" hidden="1" customWidth="1"/>
    <col min="9473" max="9473" width="11.140625" style="294" customWidth="1"/>
    <col min="9474" max="9474" width="43.140625" style="294" customWidth="1"/>
    <col min="9475" max="9476" width="13.28515625" style="294" customWidth="1"/>
    <col min="9477" max="9477" width="13.5703125" style="294" customWidth="1"/>
    <col min="9478" max="9480" width="14.85546875" style="294" customWidth="1"/>
    <col min="9481" max="9482" width="12.5703125" style="294" bestFit="1" customWidth="1"/>
    <col min="9483" max="9726" width="9.140625" style="294"/>
    <col min="9727" max="9728" width="0" style="294" hidden="1" customWidth="1"/>
    <col min="9729" max="9729" width="11.140625" style="294" customWidth="1"/>
    <col min="9730" max="9730" width="43.140625" style="294" customWidth="1"/>
    <col min="9731" max="9732" width="13.28515625" style="294" customWidth="1"/>
    <col min="9733" max="9733" width="13.5703125" style="294" customWidth="1"/>
    <col min="9734" max="9736" width="14.85546875" style="294" customWidth="1"/>
    <col min="9737" max="9738" width="12.5703125" style="294" bestFit="1" customWidth="1"/>
    <col min="9739" max="9982" width="9.140625" style="294"/>
    <col min="9983" max="9984" width="0" style="294" hidden="1" customWidth="1"/>
    <col min="9985" max="9985" width="11.140625" style="294" customWidth="1"/>
    <col min="9986" max="9986" width="43.140625" style="294" customWidth="1"/>
    <col min="9987" max="9988" width="13.28515625" style="294" customWidth="1"/>
    <col min="9989" max="9989" width="13.5703125" style="294" customWidth="1"/>
    <col min="9990" max="9992" width="14.85546875" style="294" customWidth="1"/>
    <col min="9993" max="9994" width="12.5703125" style="294" bestFit="1" customWidth="1"/>
    <col min="9995" max="10238" width="9.140625" style="294"/>
    <col min="10239" max="10240" width="0" style="294" hidden="1" customWidth="1"/>
    <col min="10241" max="10241" width="11.140625" style="294" customWidth="1"/>
    <col min="10242" max="10242" width="43.140625" style="294" customWidth="1"/>
    <col min="10243" max="10244" width="13.28515625" style="294" customWidth="1"/>
    <col min="10245" max="10245" width="13.5703125" style="294" customWidth="1"/>
    <col min="10246" max="10248" width="14.85546875" style="294" customWidth="1"/>
    <col min="10249" max="10250" width="12.5703125" style="294" bestFit="1" customWidth="1"/>
    <col min="10251" max="10494" width="9.140625" style="294"/>
    <col min="10495" max="10496" width="0" style="294" hidden="1" customWidth="1"/>
    <col min="10497" max="10497" width="11.140625" style="294" customWidth="1"/>
    <col min="10498" max="10498" width="43.140625" style="294" customWidth="1"/>
    <col min="10499" max="10500" width="13.28515625" style="294" customWidth="1"/>
    <col min="10501" max="10501" width="13.5703125" style="294" customWidth="1"/>
    <col min="10502" max="10504" width="14.85546875" style="294" customWidth="1"/>
    <col min="10505" max="10506" width="12.5703125" style="294" bestFit="1" customWidth="1"/>
    <col min="10507" max="10750" width="9.140625" style="294"/>
    <col min="10751" max="10752" width="0" style="294" hidden="1" customWidth="1"/>
    <col min="10753" max="10753" width="11.140625" style="294" customWidth="1"/>
    <col min="10754" max="10754" width="43.140625" style="294" customWidth="1"/>
    <col min="10755" max="10756" width="13.28515625" style="294" customWidth="1"/>
    <col min="10757" max="10757" width="13.5703125" style="294" customWidth="1"/>
    <col min="10758" max="10760" width="14.85546875" style="294" customWidth="1"/>
    <col min="10761" max="10762" width="12.5703125" style="294" bestFit="1" customWidth="1"/>
    <col min="10763" max="11006" width="9.140625" style="294"/>
    <col min="11007" max="11008" width="0" style="294" hidden="1" customWidth="1"/>
    <col min="11009" max="11009" width="11.140625" style="294" customWidth="1"/>
    <col min="11010" max="11010" width="43.140625" style="294" customWidth="1"/>
    <col min="11011" max="11012" width="13.28515625" style="294" customWidth="1"/>
    <col min="11013" max="11013" width="13.5703125" style="294" customWidth="1"/>
    <col min="11014" max="11016" width="14.85546875" style="294" customWidth="1"/>
    <col min="11017" max="11018" width="12.5703125" style="294" bestFit="1" customWidth="1"/>
    <col min="11019" max="11262" width="9.140625" style="294"/>
    <col min="11263" max="11264" width="0" style="294" hidden="1" customWidth="1"/>
    <col min="11265" max="11265" width="11.140625" style="294" customWidth="1"/>
    <col min="11266" max="11266" width="43.140625" style="294" customWidth="1"/>
    <col min="11267" max="11268" width="13.28515625" style="294" customWidth="1"/>
    <col min="11269" max="11269" width="13.5703125" style="294" customWidth="1"/>
    <col min="11270" max="11272" width="14.85546875" style="294" customWidth="1"/>
    <col min="11273" max="11274" width="12.5703125" style="294" bestFit="1" customWidth="1"/>
    <col min="11275" max="11518" width="9.140625" style="294"/>
    <col min="11519" max="11520" width="0" style="294" hidden="1" customWidth="1"/>
    <col min="11521" max="11521" width="11.140625" style="294" customWidth="1"/>
    <col min="11522" max="11522" width="43.140625" style="294" customWidth="1"/>
    <col min="11523" max="11524" width="13.28515625" style="294" customWidth="1"/>
    <col min="11525" max="11525" width="13.5703125" style="294" customWidth="1"/>
    <col min="11526" max="11528" width="14.85546875" style="294" customWidth="1"/>
    <col min="11529" max="11530" width="12.5703125" style="294" bestFit="1" customWidth="1"/>
    <col min="11531" max="11774" width="9.140625" style="294"/>
    <col min="11775" max="11776" width="0" style="294" hidden="1" customWidth="1"/>
    <col min="11777" max="11777" width="11.140625" style="294" customWidth="1"/>
    <col min="11778" max="11778" width="43.140625" style="294" customWidth="1"/>
    <col min="11779" max="11780" width="13.28515625" style="294" customWidth="1"/>
    <col min="11781" max="11781" width="13.5703125" style="294" customWidth="1"/>
    <col min="11782" max="11784" width="14.85546875" style="294" customWidth="1"/>
    <col min="11785" max="11786" width="12.5703125" style="294" bestFit="1" customWidth="1"/>
    <col min="11787" max="12030" width="9.140625" style="294"/>
    <col min="12031" max="12032" width="0" style="294" hidden="1" customWidth="1"/>
    <col min="12033" max="12033" width="11.140625" style="294" customWidth="1"/>
    <col min="12034" max="12034" width="43.140625" style="294" customWidth="1"/>
    <col min="12035" max="12036" width="13.28515625" style="294" customWidth="1"/>
    <col min="12037" max="12037" width="13.5703125" style="294" customWidth="1"/>
    <col min="12038" max="12040" width="14.85546875" style="294" customWidth="1"/>
    <col min="12041" max="12042" width="12.5703125" style="294" bestFit="1" customWidth="1"/>
    <col min="12043" max="12286" width="9.140625" style="294"/>
    <col min="12287" max="12288" width="0" style="294" hidden="1" customWidth="1"/>
    <col min="12289" max="12289" width="11.140625" style="294" customWidth="1"/>
    <col min="12290" max="12290" width="43.140625" style="294" customWidth="1"/>
    <col min="12291" max="12292" width="13.28515625" style="294" customWidth="1"/>
    <col min="12293" max="12293" width="13.5703125" style="294" customWidth="1"/>
    <col min="12294" max="12296" width="14.85546875" style="294" customWidth="1"/>
    <col min="12297" max="12298" width="12.5703125" style="294" bestFit="1" customWidth="1"/>
    <col min="12299" max="12542" width="9.140625" style="294"/>
    <col min="12543" max="12544" width="0" style="294" hidden="1" customWidth="1"/>
    <col min="12545" max="12545" width="11.140625" style="294" customWidth="1"/>
    <col min="12546" max="12546" width="43.140625" style="294" customWidth="1"/>
    <col min="12547" max="12548" width="13.28515625" style="294" customWidth="1"/>
    <col min="12549" max="12549" width="13.5703125" style="294" customWidth="1"/>
    <col min="12550" max="12552" width="14.85546875" style="294" customWidth="1"/>
    <col min="12553" max="12554" width="12.5703125" style="294" bestFit="1" customWidth="1"/>
    <col min="12555" max="12798" width="9.140625" style="294"/>
    <col min="12799" max="12800" width="0" style="294" hidden="1" customWidth="1"/>
    <col min="12801" max="12801" width="11.140625" style="294" customWidth="1"/>
    <col min="12802" max="12802" width="43.140625" style="294" customWidth="1"/>
    <col min="12803" max="12804" width="13.28515625" style="294" customWidth="1"/>
    <col min="12805" max="12805" width="13.5703125" style="294" customWidth="1"/>
    <col min="12806" max="12808" width="14.85546875" style="294" customWidth="1"/>
    <col min="12809" max="12810" width="12.5703125" style="294" bestFit="1" customWidth="1"/>
    <col min="12811" max="13054" width="9.140625" style="294"/>
    <col min="13055" max="13056" width="0" style="294" hidden="1" customWidth="1"/>
    <col min="13057" max="13057" width="11.140625" style="294" customWidth="1"/>
    <col min="13058" max="13058" width="43.140625" style="294" customWidth="1"/>
    <col min="13059" max="13060" width="13.28515625" style="294" customWidth="1"/>
    <col min="13061" max="13061" width="13.5703125" style="294" customWidth="1"/>
    <col min="13062" max="13064" width="14.85546875" style="294" customWidth="1"/>
    <col min="13065" max="13066" width="12.5703125" style="294" bestFit="1" customWidth="1"/>
    <col min="13067" max="13310" width="9.140625" style="294"/>
    <col min="13311" max="13312" width="0" style="294" hidden="1" customWidth="1"/>
    <col min="13313" max="13313" width="11.140625" style="294" customWidth="1"/>
    <col min="13314" max="13314" width="43.140625" style="294" customWidth="1"/>
    <col min="13315" max="13316" width="13.28515625" style="294" customWidth="1"/>
    <col min="13317" max="13317" width="13.5703125" style="294" customWidth="1"/>
    <col min="13318" max="13320" width="14.85546875" style="294" customWidth="1"/>
    <col min="13321" max="13322" width="12.5703125" style="294" bestFit="1" customWidth="1"/>
    <col min="13323" max="13566" width="9.140625" style="294"/>
    <col min="13567" max="13568" width="0" style="294" hidden="1" customWidth="1"/>
    <col min="13569" max="13569" width="11.140625" style="294" customWidth="1"/>
    <col min="13570" max="13570" width="43.140625" style="294" customWidth="1"/>
    <col min="13571" max="13572" width="13.28515625" style="294" customWidth="1"/>
    <col min="13573" max="13573" width="13.5703125" style="294" customWidth="1"/>
    <col min="13574" max="13576" width="14.85546875" style="294" customWidth="1"/>
    <col min="13577" max="13578" width="12.5703125" style="294" bestFit="1" customWidth="1"/>
    <col min="13579" max="13822" width="9.140625" style="294"/>
    <col min="13823" max="13824" width="0" style="294" hidden="1" customWidth="1"/>
    <col min="13825" max="13825" width="11.140625" style="294" customWidth="1"/>
    <col min="13826" max="13826" width="43.140625" style="294" customWidth="1"/>
    <col min="13827" max="13828" width="13.28515625" style="294" customWidth="1"/>
    <col min="13829" max="13829" width="13.5703125" style="294" customWidth="1"/>
    <col min="13830" max="13832" width="14.85546875" style="294" customWidth="1"/>
    <col min="13833" max="13834" width="12.5703125" style="294" bestFit="1" customWidth="1"/>
    <col min="13835" max="14078" width="9.140625" style="294"/>
    <col min="14079" max="14080" width="0" style="294" hidden="1" customWidth="1"/>
    <col min="14081" max="14081" width="11.140625" style="294" customWidth="1"/>
    <col min="14082" max="14082" width="43.140625" style="294" customWidth="1"/>
    <col min="14083" max="14084" width="13.28515625" style="294" customWidth="1"/>
    <col min="14085" max="14085" width="13.5703125" style="294" customWidth="1"/>
    <col min="14086" max="14088" width="14.85546875" style="294" customWidth="1"/>
    <col min="14089" max="14090" width="12.5703125" style="294" bestFit="1" customWidth="1"/>
    <col min="14091" max="14334" width="9.140625" style="294"/>
    <col min="14335" max="14336" width="0" style="294" hidden="1" customWidth="1"/>
    <col min="14337" max="14337" width="11.140625" style="294" customWidth="1"/>
    <col min="14338" max="14338" width="43.140625" style="294" customWidth="1"/>
    <col min="14339" max="14340" width="13.28515625" style="294" customWidth="1"/>
    <col min="14341" max="14341" width="13.5703125" style="294" customWidth="1"/>
    <col min="14342" max="14344" width="14.85546875" style="294" customWidth="1"/>
    <col min="14345" max="14346" width="12.5703125" style="294" bestFit="1" customWidth="1"/>
    <col min="14347" max="14590" width="9.140625" style="294"/>
    <col min="14591" max="14592" width="0" style="294" hidden="1" customWidth="1"/>
    <col min="14593" max="14593" width="11.140625" style="294" customWidth="1"/>
    <col min="14594" max="14594" width="43.140625" style="294" customWidth="1"/>
    <col min="14595" max="14596" width="13.28515625" style="294" customWidth="1"/>
    <col min="14597" max="14597" width="13.5703125" style="294" customWidth="1"/>
    <col min="14598" max="14600" width="14.85546875" style="294" customWidth="1"/>
    <col min="14601" max="14602" width="12.5703125" style="294" bestFit="1" customWidth="1"/>
    <col min="14603" max="14846" width="9.140625" style="294"/>
    <col min="14847" max="14848" width="0" style="294" hidden="1" customWidth="1"/>
    <col min="14849" max="14849" width="11.140625" style="294" customWidth="1"/>
    <col min="14850" max="14850" width="43.140625" style="294" customWidth="1"/>
    <col min="14851" max="14852" width="13.28515625" style="294" customWidth="1"/>
    <col min="14853" max="14853" width="13.5703125" style="294" customWidth="1"/>
    <col min="14854" max="14856" width="14.85546875" style="294" customWidth="1"/>
    <col min="14857" max="14858" width="12.5703125" style="294" bestFit="1" customWidth="1"/>
    <col min="14859" max="15102" width="9.140625" style="294"/>
    <col min="15103" max="15104" width="0" style="294" hidden="1" customWidth="1"/>
    <col min="15105" max="15105" width="11.140625" style="294" customWidth="1"/>
    <col min="15106" max="15106" width="43.140625" style="294" customWidth="1"/>
    <col min="15107" max="15108" width="13.28515625" style="294" customWidth="1"/>
    <col min="15109" max="15109" width="13.5703125" style="294" customWidth="1"/>
    <col min="15110" max="15112" width="14.85546875" style="294" customWidth="1"/>
    <col min="15113" max="15114" width="12.5703125" style="294" bestFit="1" customWidth="1"/>
    <col min="15115" max="15358" width="9.140625" style="294"/>
    <col min="15359" max="15360" width="0" style="294" hidden="1" customWidth="1"/>
    <col min="15361" max="15361" width="11.140625" style="294" customWidth="1"/>
    <col min="15362" max="15362" width="43.140625" style="294" customWidth="1"/>
    <col min="15363" max="15364" width="13.28515625" style="294" customWidth="1"/>
    <col min="15365" max="15365" width="13.5703125" style="294" customWidth="1"/>
    <col min="15366" max="15368" width="14.85546875" style="294" customWidth="1"/>
    <col min="15369" max="15370" width="12.5703125" style="294" bestFit="1" customWidth="1"/>
    <col min="15371" max="15614" width="9.140625" style="294"/>
    <col min="15615" max="15616" width="0" style="294" hidden="1" customWidth="1"/>
    <col min="15617" max="15617" width="11.140625" style="294" customWidth="1"/>
    <col min="15618" max="15618" width="43.140625" style="294" customWidth="1"/>
    <col min="15619" max="15620" width="13.28515625" style="294" customWidth="1"/>
    <col min="15621" max="15621" width="13.5703125" style="294" customWidth="1"/>
    <col min="15622" max="15624" width="14.85546875" style="294" customWidth="1"/>
    <col min="15625" max="15626" width="12.5703125" style="294" bestFit="1" customWidth="1"/>
    <col min="15627" max="15870" width="9.140625" style="294"/>
    <col min="15871" max="15872" width="0" style="294" hidden="1" customWidth="1"/>
    <col min="15873" max="15873" width="11.140625" style="294" customWidth="1"/>
    <col min="15874" max="15874" width="43.140625" style="294" customWidth="1"/>
    <col min="15875" max="15876" width="13.28515625" style="294" customWidth="1"/>
    <col min="15877" max="15877" width="13.5703125" style="294" customWidth="1"/>
    <col min="15878" max="15880" width="14.85546875" style="294" customWidth="1"/>
    <col min="15881" max="15882" width="12.5703125" style="294" bestFit="1" customWidth="1"/>
    <col min="15883" max="16126" width="9.140625" style="294"/>
    <col min="16127" max="16128" width="0" style="294" hidden="1" customWidth="1"/>
    <col min="16129" max="16129" width="11.140625" style="294" customWidth="1"/>
    <col min="16130" max="16130" width="43.140625" style="294" customWidth="1"/>
    <col min="16131" max="16132" width="13.28515625" style="294" customWidth="1"/>
    <col min="16133" max="16133" width="13.5703125" style="294" customWidth="1"/>
    <col min="16134" max="16136" width="14.85546875" style="294" customWidth="1"/>
    <col min="16137" max="16138" width="12.5703125" style="294" bestFit="1" customWidth="1"/>
    <col min="16139" max="16384" width="9.140625" style="294"/>
  </cols>
  <sheetData>
    <row r="1" spans="1:22" ht="12.75" x14ac:dyDescent="0.2">
      <c r="A1" s="65" t="s">
        <v>90</v>
      </c>
    </row>
    <row r="2" spans="1:22" ht="27.75" customHeight="1" x14ac:dyDescent="0.15">
      <c r="A2" s="673" t="s">
        <v>311</v>
      </c>
      <c r="B2" s="673"/>
      <c r="C2" s="673"/>
      <c r="D2" s="673"/>
      <c r="E2" s="673"/>
      <c r="F2" s="673"/>
      <c r="G2" s="673"/>
      <c r="H2" s="673"/>
    </row>
    <row r="3" spans="1:22" x14ac:dyDescent="0.15">
      <c r="A3" s="537"/>
      <c r="B3" s="537"/>
      <c r="C3" s="422"/>
      <c r="D3" s="422"/>
      <c r="E3" s="537"/>
      <c r="F3" s="537"/>
    </row>
    <row r="4" spans="1:22" ht="14.25" customHeight="1" x14ac:dyDescent="0.15">
      <c r="A4" s="674" t="s">
        <v>93</v>
      </c>
      <c r="B4" s="674"/>
      <c r="C4" s="674"/>
      <c r="D4" s="674"/>
      <c r="E4" s="674"/>
      <c r="F4" s="674"/>
      <c r="G4" s="674"/>
      <c r="H4" s="674"/>
      <c r="K4" s="295"/>
      <c r="L4" s="296"/>
      <c r="M4" s="295"/>
      <c r="N4" s="295"/>
      <c r="O4" s="295"/>
      <c r="P4" s="295"/>
      <c r="Q4" s="295"/>
      <c r="R4" s="295"/>
      <c r="S4" s="295"/>
      <c r="T4" s="295"/>
      <c r="U4" s="295"/>
      <c r="V4" s="295"/>
    </row>
    <row r="5" spans="1:22" ht="12" customHeight="1" thickBot="1" x14ac:dyDescent="0.2">
      <c r="A5" s="537"/>
      <c r="B5" s="537"/>
      <c r="C5" s="422"/>
      <c r="D5" s="422"/>
      <c r="E5" s="537"/>
      <c r="F5" s="537"/>
      <c r="G5" s="298"/>
      <c r="H5" s="298" t="s">
        <v>348</v>
      </c>
      <c r="K5" s="295"/>
      <c r="L5" s="296"/>
      <c r="M5" s="295"/>
      <c r="N5" s="295"/>
      <c r="O5" s="295"/>
      <c r="P5" s="295"/>
      <c r="Q5" s="295"/>
      <c r="R5" s="295"/>
      <c r="S5" s="295"/>
      <c r="T5" s="295"/>
      <c r="U5" s="295"/>
      <c r="V5" s="295"/>
    </row>
    <row r="6" spans="1:22" ht="18" customHeight="1" thickBot="1" x14ac:dyDescent="0.2">
      <c r="A6" s="647" t="s">
        <v>312</v>
      </c>
      <c r="B6" s="648"/>
      <c r="C6" s="299">
        <v>2017</v>
      </c>
      <c r="D6" s="299" t="s">
        <v>313</v>
      </c>
      <c r="E6" s="299" t="s">
        <v>314</v>
      </c>
      <c r="F6" s="300" t="s">
        <v>315</v>
      </c>
      <c r="G6" s="300" t="s">
        <v>316</v>
      </c>
      <c r="H6" s="301" t="s">
        <v>609</v>
      </c>
      <c r="K6" s="421"/>
      <c r="L6" s="302"/>
      <c r="M6" s="302"/>
      <c r="N6" s="295"/>
      <c r="O6" s="295"/>
      <c r="P6" s="303"/>
      <c r="Q6" s="303"/>
      <c r="R6" s="303"/>
      <c r="S6" s="303"/>
      <c r="T6" s="303"/>
      <c r="U6" s="303"/>
      <c r="V6" s="303"/>
    </row>
    <row r="7" spans="1:22" ht="15" customHeight="1" x14ac:dyDescent="0.15">
      <c r="A7" s="649" t="s">
        <v>317</v>
      </c>
      <c r="B7" s="650"/>
      <c r="C7" s="304">
        <v>6402.7002125400004</v>
      </c>
      <c r="D7" s="305">
        <v>6727</v>
      </c>
      <c r="E7" s="305">
        <v>7030.55</v>
      </c>
      <c r="F7" s="306">
        <v>7380.65</v>
      </c>
      <c r="G7" s="306">
        <v>7580.65</v>
      </c>
      <c r="H7" s="307">
        <v>7730.65</v>
      </c>
      <c r="K7" s="421"/>
      <c r="L7" s="302"/>
      <c r="M7" s="302"/>
      <c r="N7" s="295"/>
      <c r="O7" s="295"/>
      <c r="P7" s="303"/>
      <c r="Q7" s="303"/>
      <c r="R7" s="303"/>
      <c r="S7" s="303"/>
      <c r="T7" s="303"/>
      <c r="U7" s="303"/>
      <c r="V7" s="303"/>
    </row>
    <row r="8" spans="1:22" ht="15" customHeight="1" x14ac:dyDescent="0.15">
      <c r="A8" s="651" t="s">
        <v>318</v>
      </c>
      <c r="B8" s="652" t="s">
        <v>318</v>
      </c>
      <c r="C8" s="308">
        <v>261.21229370999998</v>
      </c>
      <c r="D8" s="346">
        <v>553.15281000000004</v>
      </c>
      <c r="E8" s="308">
        <v>563.61099999999999</v>
      </c>
      <c r="F8" s="309">
        <v>479.863</v>
      </c>
      <c r="G8" s="309">
        <v>396.91300000000001</v>
      </c>
      <c r="H8" s="310">
        <v>432.20299999999997</v>
      </c>
      <c r="K8" s="421"/>
      <c r="L8" s="302"/>
      <c r="M8" s="302"/>
      <c r="N8" s="295"/>
      <c r="O8" s="295"/>
      <c r="P8" s="303"/>
      <c r="Q8" s="303"/>
      <c r="R8" s="303"/>
      <c r="S8" s="303"/>
      <c r="T8" s="303"/>
      <c r="U8" s="303"/>
      <c r="V8" s="303"/>
    </row>
    <row r="9" spans="1:22" ht="15" customHeight="1" x14ac:dyDescent="0.15">
      <c r="A9" s="653" t="s">
        <v>319</v>
      </c>
      <c r="B9" s="654" t="s">
        <v>319</v>
      </c>
      <c r="C9" s="308">
        <v>13777.386743859999</v>
      </c>
      <c r="D9" s="346">
        <v>15529.8</v>
      </c>
      <c r="E9" s="308">
        <v>17014.210999999999</v>
      </c>
      <c r="F9" s="308">
        <v>17196.112000000001</v>
      </c>
      <c r="G9" s="309">
        <v>16961.012999999999</v>
      </c>
      <c r="H9" s="310">
        <v>16914.877</v>
      </c>
      <c r="K9" s="421"/>
      <c r="L9" s="302"/>
      <c r="M9" s="302"/>
      <c r="N9" s="295"/>
      <c r="O9" s="295"/>
      <c r="P9" s="303"/>
      <c r="Q9" s="303"/>
      <c r="R9" s="303"/>
      <c r="S9" s="303"/>
      <c r="T9" s="303"/>
      <c r="U9" s="303"/>
      <c r="V9" s="303"/>
    </row>
    <row r="10" spans="1:22" ht="15" customHeight="1" x14ac:dyDescent="0.15">
      <c r="A10" s="655" t="s">
        <v>320</v>
      </c>
      <c r="B10" s="656" t="s">
        <v>321</v>
      </c>
      <c r="C10" s="311">
        <f>SUM(C7:C9)</f>
        <v>20441.299250110002</v>
      </c>
      <c r="D10" s="538">
        <f>SUM(D7:D9)</f>
        <v>22809.952809999999</v>
      </c>
      <c r="E10" s="311">
        <f t="shared" ref="E10:G10" si="0">SUM(E7:E9)</f>
        <v>24608.371999999999</v>
      </c>
      <c r="F10" s="312">
        <f t="shared" si="0"/>
        <v>25056.625</v>
      </c>
      <c r="G10" s="312">
        <f t="shared" si="0"/>
        <v>24938.576000000001</v>
      </c>
      <c r="H10" s="313">
        <f t="shared" ref="H10" si="1">SUM(H7:H9)</f>
        <v>25077.73</v>
      </c>
      <c r="K10" s="295"/>
      <c r="L10" s="295"/>
      <c r="M10" s="314"/>
      <c r="N10" s="314"/>
      <c r="O10" s="314"/>
      <c r="P10" s="314"/>
      <c r="Q10" s="314"/>
      <c r="R10" s="314"/>
      <c r="S10" s="314"/>
      <c r="T10" s="314"/>
      <c r="U10" s="314"/>
      <c r="V10" s="314"/>
    </row>
    <row r="11" spans="1:22" ht="28.5" customHeight="1" thickBot="1" x14ac:dyDescent="0.25">
      <c r="A11" s="657" t="s">
        <v>322</v>
      </c>
      <c r="B11" s="658"/>
      <c r="C11" s="315">
        <v>2024.59207412</v>
      </c>
      <c r="D11" s="315">
        <v>2326.3410637300003</v>
      </c>
      <c r="E11" s="315">
        <v>2177.9004558699999</v>
      </c>
      <c r="F11" s="316">
        <v>1451.5168268700002</v>
      </c>
      <c r="G11" s="316">
        <v>1086.4328268700001</v>
      </c>
      <c r="H11" s="317">
        <v>876.43700000000001</v>
      </c>
      <c r="K11" s="421"/>
      <c r="L11" s="421"/>
      <c r="M11" s="421"/>
      <c r="N11" s="318"/>
      <c r="O11" s="318"/>
      <c r="P11" s="319"/>
      <c r="Q11" s="319"/>
      <c r="R11" s="319"/>
      <c r="S11" s="319"/>
      <c r="T11" s="319"/>
      <c r="U11" s="319"/>
      <c r="V11" s="319"/>
    </row>
    <row r="12" spans="1:22" ht="28.5" customHeight="1" thickBot="1" x14ac:dyDescent="0.2">
      <c r="A12" s="659" t="s">
        <v>323</v>
      </c>
      <c r="B12" s="660" t="s">
        <v>324</v>
      </c>
      <c r="C12" s="320">
        <f t="shared" ref="C12:H12" si="2">C11/C10</f>
        <v>9.9044197208213419E-2</v>
      </c>
      <c r="D12" s="320">
        <f t="shared" si="2"/>
        <v>0.10198798231227031</v>
      </c>
      <c r="E12" s="320">
        <f t="shared" si="2"/>
        <v>8.8502419252683595E-2</v>
      </c>
      <c r="F12" s="321">
        <f t="shared" si="2"/>
        <v>5.7929462841464087E-2</v>
      </c>
      <c r="G12" s="321">
        <f t="shared" si="2"/>
        <v>4.3564348937565646E-2</v>
      </c>
      <c r="H12" s="322">
        <f t="shared" si="2"/>
        <v>3.4948817137755293E-2</v>
      </c>
      <c r="K12" s="421"/>
      <c r="L12" s="421"/>
      <c r="M12" s="421"/>
      <c r="N12" s="318"/>
      <c r="O12" s="318"/>
      <c r="P12" s="319"/>
      <c r="Q12" s="319"/>
      <c r="R12" s="319"/>
      <c r="S12" s="319"/>
      <c r="T12" s="319"/>
      <c r="U12" s="319"/>
      <c r="V12" s="319"/>
    </row>
    <row r="13" spans="1:22" ht="11.25" hidden="1" x14ac:dyDescent="0.15">
      <c r="A13" s="323" t="s">
        <v>325</v>
      </c>
      <c r="B13" s="324" t="s">
        <v>326</v>
      </c>
      <c r="C13" s="325"/>
      <c r="K13" s="421"/>
      <c r="L13" s="421"/>
      <c r="M13" s="326"/>
      <c r="N13" s="318"/>
      <c r="O13" s="318"/>
      <c r="P13" s="319"/>
      <c r="Q13" s="319"/>
      <c r="R13" s="319"/>
      <c r="S13" s="319"/>
      <c r="T13" s="319"/>
      <c r="U13" s="319"/>
      <c r="V13" s="319"/>
    </row>
    <row r="14" spans="1:22" ht="11.25" hidden="1" x14ac:dyDescent="0.15">
      <c r="A14" s="323" t="s">
        <v>327</v>
      </c>
      <c r="B14" s="324" t="s">
        <v>328</v>
      </c>
      <c r="C14" s="325"/>
      <c r="K14" s="421"/>
      <c r="L14" s="421"/>
      <c r="M14" s="326"/>
      <c r="N14" s="318"/>
      <c r="O14" s="318"/>
      <c r="P14" s="319"/>
      <c r="Q14" s="319"/>
      <c r="R14" s="319"/>
      <c r="S14" s="319"/>
      <c r="T14" s="319"/>
      <c r="U14" s="319"/>
      <c r="V14" s="319"/>
    </row>
    <row r="15" spans="1:22" ht="45.75" customHeight="1" x14ac:dyDescent="0.15">
      <c r="C15" s="539"/>
      <c r="K15" s="421"/>
      <c r="L15" s="421"/>
      <c r="M15" s="421"/>
      <c r="N15" s="318"/>
      <c r="O15" s="318"/>
      <c r="P15" s="319"/>
      <c r="Q15" s="319"/>
      <c r="R15" s="319"/>
      <c r="S15" s="319"/>
      <c r="T15" s="319"/>
      <c r="U15" s="319"/>
      <c r="V15" s="319"/>
    </row>
    <row r="16" spans="1:22" s="328" customFormat="1" ht="17.25" customHeight="1" x14ac:dyDescent="0.15">
      <c r="A16" s="674" t="s">
        <v>94</v>
      </c>
      <c r="B16" s="674"/>
      <c r="C16" s="674"/>
      <c r="D16" s="674"/>
      <c r="E16" s="674"/>
      <c r="F16" s="674"/>
      <c r="G16" s="674"/>
      <c r="H16" s="674"/>
      <c r="I16" s="294"/>
      <c r="J16" s="294"/>
      <c r="K16" s="421"/>
      <c r="L16" s="421"/>
      <c r="M16" s="421"/>
      <c r="N16" s="420"/>
      <c r="O16" s="420"/>
      <c r="P16" s="329"/>
      <c r="Q16" s="329"/>
      <c r="R16" s="329"/>
      <c r="S16" s="329"/>
      <c r="T16" s="329"/>
      <c r="U16" s="329"/>
      <c r="V16" s="329"/>
    </row>
    <row r="17" spans="1:22" ht="11.25" customHeight="1" thickBot="1" x14ac:dyDescent="0.25">
      <c r="A17" s="297"/>
      <c r="C17" s="294"/>
      <c r="G17" s="298"/>
      <c r="H17" s="298" t="s">
        <v>611</v>
      </c>
      <c r="K17" s="421"/>
      <c r="L17" s="421"/>
      <c r="M17" s="421"/>
      <c r="N17" s="314"/>
      <c r="O17" s="314"/>
      <c r="P17" s="319"/>
      <c r="Q17" s="319"/>
      <c r="R17" s="319"/>
      <c r="S17" s="319"/>
      <c r="T17" s="319"/>
      <c r="U17" s="319"/>
      <c r="V17" s="319"/>
    </row>
    <row r="18" spans="1:22" ht="18" customHeight="1" thickBot="1" x14ac:dyDescent="0.2">
      <c r="A18" s="647" t="s">
        <v>312</v>
      </c>
      <c r="B18" s="648"/>
      <c r="C18" s="299">
        <v>2017</v>
      </c>
      <c r="D18" s="299" t="s">
        <v>313</v>
      </c>
      <c r="E18" s="299" t="s">
        <v>314</v>
      </c>
      <c r="F18" s="300" t="s">
        <v>315</v>
      </c>
      <c r="G18" s="300" t="s">
        <v>316</v>
      </c>
      <c r="H18" s="301" t="s">
        <v>609</v>
      </c>
      <c r="K18" s="421"/>
      <c r="L18" s="302"/>
      <c r="M18" s="302"/>
      <c r="N18" s="295"/>
      <c r="O18" s="295"/>
      <c r="P18" s="303"/>
      <c r="Q18" s="303"/>
      <c r="R18" s="303"/>
      <c r="S18" s="303"/>
      <c r="T18" s="303"/>
      <c r="U18" s="303"/>
      <c r="V18" s="303"/>
    </row>
    <row r="19" spans="1:22" ht="17.25" hidden="1" customHeight="1" thickBot="1" x14ac:dyDescent="0.2">
      <c r="A19" s="661" t="s">
        <v>317</v>
      </c>
      <c r="B19" s="662"/>
      <c r="C19" s="330">
        <f t="shared" ref="C19:H21" si="3">C7</f>
        <v>6402.7002125400004</v>
      </c>
      <c r="D19" s="330">
        <f t="shared" si="3"/>
        <v>6727</v>
      </c>
      <c r="E19" s="330">
        <f t="shared" si="3"/>
        <v>7030.55</v>
      </c>
      <c r="F19" s="332">
        <f t="shared" si="3"/>
        <v>7380.65</v>
      </c>
      <c r="G19" s="332">
        <f t="shared" si="3"/>
        <v>7580.65</v>
      </c>
      <c r="H19" s="331">
        <f t="shared" si="3"/>
        <v>7730.65</v>
      </c>
      <c r="K19" s="295"/>
      <c r="L19" s="295"/>
      <c r="M19" s="295"/>
      <c r="N19" s="295"/>
      <c r="O19" s="295"/>
      <c r="P19" s="421"/>
      <c r="Q19" s="421"/>
      <c r="R19" s="421"/>
      <c r="S19" s="421"/>
      <c r="T19" s="421"/>
      <c r="U19" s="421"/>
      <c r="V19" s="421"/>
    </row>
    <row r="20" spans="1:22" ht="17.25" hidden="1" customHeight="1" thickBot="1" x14ac:dyDescent="0.2">
      <c r="A20" s="653" t="s">
        <v>318</v>
      </c>
      <c r="B20" s="654"/>
      <c r="C20" s="330">
        <f t="shared" si="3"/>
        <v>261.21229370999998</v>
      </c>
      <c r="D20" s="330">
        <f t="shared" si="3"/>
        <v>553.15281000000004</v>
      </c>
      <c r="E20" s="330">
        <f t="shared" si="3"/>
        <v>563.61099999999999</v>
      </c>
      <c r="F20" s="332">
        <f t="shared" si="3"/>
        <v>479.863</v>
      </c>
      <c r="G20" s="332">
        <f t="shared" si="3"/>
        <v>396.91300000000001</v>
      </c>
      <c r="H20" s="331">
        <f t="shared" si="3"/>
        <v>432.20299999999997</v>
      </c>
      <c r="K20" s="303"/>
      <c r="L20" s="326"/>
      <c r="M20" s="326"/>
      <c r="N20" s="326"/>
      <c r="O20" s="326"/>
      <c r="P20" s="333"/>
      <c r="Q20" s="333"/>
      <c r="R20" s="333"/>
      <c r="S20" s="333"/>
      <c r="T20" s="333"/>
      <c r="U20" s="333"/>
      <c r="V20" s="333"/>
    </row>
    <row r="21" spans="1:22" ht="42" hidden="1" customHeight="1" x14ac:dyDescent="0.15">
      <c r="A21" s="653" t="s">
        <v>319</v>
      </c>
      <c r="B21" s="654"/>
      <c r="C21" s="330">
        <f t="shared" si="3"/>
        <v>13777.386743859999</v>
      </c>
      <c r="D21" s="330">
        <f t="shared" si="3"/>
        <v>15529.8</v>
      </c>
      <c r="E21" s="330">
        <f t="shared" si="3"/>
        <v>17014.210999999999</v>
      </c>
      <c r="F21" s="332">
        <f t="shared" si="3"/>
        <v>17196.112000000001</v>
      </c>
      <c r="G21" s="332">
        <f t="shared" si="3"/>
        <v>16961.012999999999</v>
      </c>
      <c r="H21" s="331">
        <f t="shared" si="3"/>
        <v>16914.877</v>
      </c>
      <c r="K21" s="295"/>
      <c r="L21" s="421"/>
      <c r="M21" s="422"/>
      <c r="N21" s="334"/>
      <c r="O21" s="334"/>
      <c r="P21" s="335"/>
      <c r="Q21" s="335"/>
      <c r="R21" s="335"/>
      <c r="S21" s="335"/>
      <c r="T21" s="335"/>
      <c r="U21" s="335"/>
      <c r="V21" s="335"/>
    </row>
    <row r="22" spans="1:22" ht="16.5" customHeight="1" thickBot="1" x14ac:dyDescent="0.2">
      <c r="A22" s="645" t="s">
        <v>320</v>
      </c>
      <c r="B22" s="646"/>
      <c r="C22" s="336">
        <f t="shared" ref="C22:H22" si="4">SUM(C19:C21)</f>
        <v>20441.299250110002</v>
      </c>
      <c r="D22" s="337">
        <f t="shared" si="4"/>
        <v>22809.952809999999</v>
      </c>
      <c r="E22" s="337">
        <f t="shared" si="4"/>
        <v>24608.371999999999</v>
      </c>
      <c r="F22" s="337">
        <f t="shared" si="4"/>
        <v>25056.625</v>
      </c>
      <c r="G22" s="337">
        <f t="shared" si="4"/>
        <v>24938.576000000001</v>
      </c>
      <c r="H22" s="338">
        <f t="shared" si="4"/>
        <v>25077.73</v>
      </c>
      <c r="K22" s="295"/>
      <c r="L22" s="421"/>
      <c r="M22" s="422"/>
      <c r="N22" s="420"/>
      <c r="O22" s="420"/>
      <c r="P22" s="335"/>
      <c r="Q22" s="335"/>
      <c r="R22" s="335"/>
      <c r="S22" s="335"/>
      <c r="T22" s="335"/>
      <c r="U22" s="335"/>
      <c r="V22" s="335"/>
    </row>
    <row r="23" spans="1:22" ht="5.25" customHeight="1" thickBot="1" x14ac:dyDescent="0.2">
      <c r="A23" s="339"/>
      <c r="B23" s="340"/>
      <c r="C23" s="340"/>
      <c r="D23" s="340"/>
      <c r="E23" s="341"/>
      <c r="F23" s="341"/>
      <c r="G23" s="341"/>
      <c r="H23" s="342"/>
      <c r="K23" s="295"/>
      <c r="L23" s="667"/>
      <c r="M23" s="668"/>
      <c r="N23" s="669"/>
      <c r="O23" s="669"/>
      <c r="P23" s="335"/>
      <c r="Q23" s="335"/>
      <c r="R23" s="335"/>
      <c r="S23" s="335"/>
      <c r="T23" s="335"/>
      <c r="U23" s="335"/>
      <c r="V23" s="335"/>
    </row>
    <row r="24" spans="1:22" ht="15" customHeight="1" x14ac:dyDescent="0.15">
      <c r="A24" s="670" t="s">
        <v>329</v>
      </c>
      <c r="B24" s="671"/>
      <c r="C24" s="343">
        <v>2327.63958912</v>
      </c>
      <c r="D24" s="344">
        <v>2582.3570637300004</v>
      </c>
      <c r="E24" s="344">
        <v>2401.9158268700003</v>
      </c>
      <c r="F24" s="344">
        <v>1643.5328268700002</v>
      </c>
      <c r="G24" s="344">
        <v>1246.4488268700002</v>
      </c>
      <c r="H24" s="345">
        <v>1004.453</v>
      </c>
    </row>
    <row r="25" spans="1:22" ht="15" customHeight="1" x14ac:dyDescent="0.15">
      <c r="A25" s="653" t="s">
        <v>330</v>
      </c>
      <c r="B25" s="654"/>
      <c r="C25" s="346">
        <v>79.433509000000001</v>
      </c>
      <c r="D25" s="347">
        <v>76.452933649999991</v>
      </c>
      <c r="E25" s="347">
        <v>74.465933649999997</v>
      </c>
      <c r="F25" s="347">
        <v>74.3</v>
      </c>
      <c r="G25" s="347">
        <v>74.3</v>
      </c>
      <c r="H25" s="348">
        <v>74.3</v>
      </c>
    </row>
    <row r="26" spans="1:22" ht="15" customHeight="1" x14ac:dyDescent="0.15">
      <c r="A26" s="653" t="s">
        <v>331</v>
      </c>
      <c r="B26" s="654"/>
      <c r="C26" s="308">
        <v>0</v>
      </c>
      <c r="D26" s="309">
        <v>0</v>
      </c>
      <c r="E26" s="309">
        <v>0</v>
      </c>
      <c r="F26" s="309">
        <v>0</v>
      </c>
      <c r="G26" s="309">
        <v>0</v>
      </c>
      <c r="H26" s="310">
        <v>0</v>
      </c>
    </row>
    <row r="27" spans="1:22" ht="15.75" customHeight="1" thickBot="1" x14ac:dyDescent="0.2">
      <c r="A27" s="663" t="s">
        <v>332</v>
      </c>
      <c r="B27" s="664"/>
      <c r="C27" s="336">
        <f t="shared" ref="C27:H27" si="5">SUM(C24:C26)</f>
        <v>2407.0730981199999</v>
      </c>
      <c r="D27" s="337">
        <f t="shared" si="5"/>
        <v>2658.8099973800004</v>
      </c>
      <c r="E27" s="337">
        <f t="shared" si="5"/>
        <v>2476.3817605200002</v>
      </c>
      <c r="F27" s="337">
        <f t="shared" si="5"/>
        <v>1717.8328268700002</v>
      </c>
      <c r="G27" s="337">
        <f t="shared" si="5"/>
        <v>1320.7488268700001</v>
      </c>
      <c r="H27" s="338">
        <f t="shared" si="5"/>
        <v>1078.7529999999999</v>
      </c>
    </row>
    <row r="28" spans="1:22" ht="3.75" customHeight="1" thickBot="1" x14ac:dyDescent="0.2">
      <c r="A28" s="349"/>
      <c r="B28" s="350"/>
      <c r="C28" s="350"/>
      <c r="D28" s="350"/>
      <c r="E28" s="351"/>
      <c r="F28" s="351"/>
      <c r="G28" s="351"/>
      <c r="H28" s="352"/>
    </row>
    <row r="29" spans="1:22" ht="27" customHeight="1" x14ac:dyDescent="0.15">
      <c r="A29" s="685" t="s">
        <v>333</v>
      </c>
      <c r="B29" s="686"/>
      <c r="C29" s="330">
        <v>212.69683058000001</v>
      </c>
      <c r="D29" s="332">
        <v>614.43223254999998</v>
      </c>
      <c r="E29" s="332">
        <v>992.14800000000002</v>
      </c>
      <c r="F29" s="332">
        <v>1072.5919999999999</v>
      </c>
      <c r="G29" s="332">
        <v>578.54999999999995</v>
      </c>
      <c r="H29" s="331">
        <v>347.45600000000002</v>
      </c>
    </row>
    <row r="30" spans="1:22" ht="15" customHeight="1" x14ac:dyDescent="0.15">
      <c r="A30" s="687" t="s">
        <v>334</v>
      </c>
      <c r="B30" s="688"/>
      <c r="C30" s="308">
        <v>27.270503919999999</v>
      </c>
      <c r="D30" s="347">
        <v>36.380000000000003</v>
      </c>
      <c r="E30" s="309">
        <v>55</v>
      </c>
      <c r="F30" s="309">
        <v>50</v>
      </c>
      <c r="G30" s="309">
        <v>35</v>
      </c>
      <c r="H30" s="310">
        <v>28</v>
      </c>
    </row>
    <row r="31" spans="1:22" ht="15.75" customHeight="1" thickBot="1" x14ac:dyDescent="0.2">
      <c r="A31" s="663" t="s">
        <v>335</v>
      </c>
      <c r="B31" s="664"/>
      <c r="C31" s="336">
        <f t="shared" ref="C31:H31" si="6">SUM(C29:C30)</f>
        <v>239.96733450000002</v>
      </c>
      <c r="D31" s="337">
        <f t="shared" si="6"/>
        <v>650.81223254999998</v>
      </c>
      <c r="E31" s="337">
        <f t="shared" si="6"/>
        <v>1047.1480000000001</v>
      </c>
      <c r="F31" s="337">
        <f t="shared" si="6"/>
        <v>1122.5919999999999</v>
      </c>
      <c r="G31" s="337">
        <f t="shared" si="6"/>
        <v>613.54999999999995</v>
      </c>
      <c r="H31" s="338">
        <f t="shared" si="6"/>
        <v>375.45600000000002</v>
      </c>
    </row>
    <row r="32" spans="1:22" ht="5.25" customHeight="1" thickBot="1" x14ac:dyDescent="0.2">
      <c r="A32" s="349"/>
      <c r="B32" s="350"/>
      <c r="C32" s="350"/>
      <c r="D32" s="350"/>
      <c r="E32" s="351"/>
      <c r="F32" s="351"/>
      <c r="G32" s="351"/>
      <c r="H32" s="352"/>
    </row>
    <row r="33" spans="1:8" ht="15" customHeight="1" x14ac:dyDescent="0.15">
      <c r="A33" s="685" t="s">
        <v>336</v>
      </c>
      <c r="B33" s="686"/>
      <c r="C33" s="343">
        <v>18636.110353060001</v>
      </c>
      <c r="D33" s="344">
        <v>21874.301561</v>
      </c>
      <c r="E33" s="344">
        <v>23872.195</v>
      </c>
      <c r="F33" s="344">
        <v>23829.333999999999</v>
      </c>
      <c r="G33" s="344">
        <v>23695.157999999999</v>
      </c>
      <c r="H33" s="345">
        <v>23679.701000000001</v>
      </c>
    </row>
    <row r="34" spans="1:8" ht="15.75" customHeight="1" thickBot="1" x14ac:dyDescent="0.2">
      <c r="A34" s="663" t="s">
        <v>337</v>
      </c>
      <c r="B34" s="664"/>
      <c r="C34" s="336">
        <f t="shared" ref="C34:G34" si="7">SUM(C33)</f>
        <v>18636.110353060001</v>
      </c>
      <c r="D34" s="337">
        <f t="shared" si="7"/>
        <v>21874.301561</v>
      </c>
      <c r="E34" s="337">
        <f t="shared" si="7"/>
        <v>23872.195</v>
      </c>
      <c r="F34" s="337">
        <f t="shared" si="7"/>
        <v>23829.333999999999</v>
      </c>
      <c r="G34" s="337">
        <f t="shared" si="7"/>
        <v>23695.157999999999</v>
      </c>
      <c r="H34" s="338">
        <f t="shared" ref="H34" si="8">SUM(H33)</f>
        <v>23679.701000000001</v>
      </c>
    </row>
    <row r="35" spans="1:8" ht="3.75" customHeight="1" thickBot="1" x14ac:dyDescent="0.2">
      <c r="A35" s="349"/>
      <c r="B35" s="350"/>
      <c r="C35" s="350"/>
      <c r="D35" s="350"/>
      <c r="E35" s="351"/>
      <c r="F35" s="351"/>
      <c r="G35" s="351"/>
      <c r="H35" s="352"/>
    </row>
    <row r="36" spans="1:8" ht="24.75" customHeight="1" thickBot="1" x14ac:dyDescent="0.2">
      <c r="A36" s="665" t="s">
        <v>338</v>
      </c>
      <c r="B36" s="666"/>
      <c r="C36" s="353">
        <f t="shared" ref="C36:H36" si="9">C22-(C34-C30)</f>
        <v>1832.4594009700013</v>
      </c>
      <c r="D36" s="354">
        <f>D22-(D34-D30)</f>
        <v>972.03124899999966</v>
      </c>
      <c r="E36" s="354">
        <f t="shared" si="9"/>
        <v>791.17699999999968</v>
      </c>
      <c r="F36" s="354">
        <f t="shared" si="9"/>
        <v>1277.2910000000011</v>
      </c>
      <c r="G36" s="354">
        <f t="shared" si="9"/>
        <v>1278.4180000000015</v>
      </c>
      <c r="H36" s="355">
        <f t="shared" si="9"/>
        <v>1426.0289999999986</v>
      </c>
    </row>
    <row r="37" spans="1:8" ht="6" customHeight="1" thickTop="1" thickBot="1" x14ac:dyDescent="0.2">
      <c r="A37" s="356"/>
      <c r="B37" s="357"/>
      <c r="C37" s="357"/>
      <c r="D37" s="357"/>
      <c r="E37" s="358"/>
      <c r="F37" s="358"/>
      <c r="G37" s="358"/>
      <c r="H37" s="359"/>
    </row>
    <row r="38" spans="1:8" ht="33" customHeight="1" x14ac:dyDescent="0.15">
      <c r="A38" s="675" t="s">
        <v>339</v>
      </c>
      <c r="B38" s="676"/>
      <c r="C38" s="360">
        <f t="shared" ref="C38:H38" si="10">C27/C22</f>
        <v>0.11775538671334929</v>
      </c>
      <c r="D38" s="361">
        <f t="shared" si="10"/>
        <v>0.1165635904434824</v>
      </c>
      <c r="E38" s="361">
        <f t="shared" si="10"/>
        <v>0.10063167772821381</v>
      </c>
      <c r="F38" s="361">
        <f t="shared" si="10"/>
        <v>6.855802913880063E-2</v>
      </c>
      <c r="G38" s="361">
        <f t="shared" si="10"/>
        <v>5.2960073857865823E-2</v>
      </c>
      <c r="H38" s="362">
        <f t="shared" si="10"/>
        <v>4.3016373491540104E-2</v>
      </c>
    </row>
    <row r="39" spans="1:8" ht="33.75" customHeight="1" x14ac:dyDescent="0.15">
      <c r="A39" s="677" t="s">
        <v>340</v>
      </c>
      <c r="B39" s="678"/>
      <c r="C39" s="363">
        <f>C31/C22</f>
        <v>1.1739338657678948E-2</v>
      </c>
      <c r="D39" s="364">
        <f t="shared" ref="D39" si="11">D31/D22</f>
        <v>2.8531941208781483E-2</v>
      </c>
      <c r="E39" s="364">
        <f t="shared" ref="E39:H39" si="12">E31/E22</f>
        <v>4.2552510178243408E-2</v>
      </c>
      <c r="F39" s="364">
        <f t="shared" si="12"/>
        <v>4.480220301018193E-2</v>
      </c>
      <c r="G39" s="364">
        <f t="shared" si="12"/>
        <v>2.4602447228743132E-2</v>
      </c>
      <c r="H39" s="365">
        <f t="shared" si="12"/>
        <v>1.4971690021385509E-2</v>
      </c>
    </row>
    <row r="40" spans="1:8" ht="33" customHeight="1" thickBot="1" x14ac:dyDescent="0.2">
      <c r="A40" s="663" t="s">
        <v>341</v>
      </c>
      <c r="B40" s="664"/>
      <c r="C40" s="366">
        <f t="shared" ref="C40:H40" si="13">C36/C30</f>
        <v>67.195656022552939</v>
      </c>
      <c r="D40" s="367">
        <f t="shared" si="13"/>
        <v>26.718835871357879</v>
      </c>
      <c r="E40" s="367">
        <f t="shared" si="13"/>
        <v>14.385036363636358</v>
      </c>
      <c r="F40" s="367">
        <f t="shared" si="13"/>
        <v>25.54582000000002</v>
      </c>
      <c r="G40" s="367">
        <f t="shared" si="13"/>
        <v>36.526228571428611</v>
      </c>
      <c r="H40" s="368">
        <f t="shared" si="13"/>
        <v>50.929607142857094</v>
      </c>
    </row>
    <row r="41" spans="1:8" ht="35.25" customHeight="1" x14ac:dyDescent="0.15">
      <c r="A41" s="369"/>
      <c r="B41" s="370"/>
      <c r="C41" s="371"/>
      <c r="D41" s="371"/>
    </row>
    <row r="42" spans="1:8" ht="18" customHeight="1" x14ac:dyDescent="0.15">
      <c r="A42" s="674" t="s">
        <v>95</v>
      </c>
      <c r="B42" s="674"/>
      <c r="C42" s="674"/>
      <c r="D42" s="674"/>
      <c r="E42" s="674"/>
      <c r="F42" s="674"/>
      <c r="G42" s="674"/>
      <c r="H42" s="674"/>
    </row>
    <row r="43" spans="1:8" ht="12" thickBot="1" x14ac:dyDescent="0.2">
      <c r="A43" s="323"/>
      <c r="B43" s="324"/>
      <c r="C43" s="372"/>
      <c r="D43" s="372"/>
      <c r="H43" s="298" t="s">
        <v>611</v>
      </c>
    </row>
    <row r="44" spans="1:8" ht="18" customHeight="1" thickBot="1" x14ac:dyDescent="0.2">
      <c r="A44" s="679" t="s">
        <v>312</v>
      </c>
      <c r="B44" s="680"/>
      <c r="C44" s="299">
        <v>2017</v>
      </c>
      <c r="D44" s="299" t="s">
        <v>313</v>
      </c>
      <c r="E44" s="299" t="s">
        <v>314</v>
      </c>
      <c r="F44" s="300" t="s">
        <v>315</v>
      </c>
      <c r="G44" s="300" t="s">
        <v>316</v>
      </c>
      <c r="H44" s="301" t="s">
        <v>609</v>
      </c>
    </row>
    <row r="45" spans="1:8" ht="17.25" customHeight="1" x14ac:dyDescent="0.15">
      <c r="A45" s="681" t="s">
        <v>342</v>
      </c>
      <c r="B45" s="682">
        <v>17394.467784840002</v>
      </c>
      <c r="C45" s="347">
        <v>21375.12532544</v>
      </c>
      <c r="D45" s="347">
        <v>23506</v>
      </c>
      <c r="E45" s="347">
        <v>25997.958039000001</v>
      </c>
      <c r="F45" s="347">
        <v>27152.760039000001</v>
      </c>
      <c r="G45" s="347">
        <v>27110.431038999999</v>
      </c>
      <c r="H45" s="348">
        <v>26453.245039000001</v>
      </c>
    </row>
    <row r="46" spans="1:8" ht="17.25" customHeight="1" x14ac:dyDescent="0.15">
      <c r="A46" s="683" t="s">
        <v>343</v>
      </c>
      <c r="B46" s="684"/>
      <c r="C46" s="308">
        <v>19627.202581360001</v>
      </c>
      <c r="D46" s="346">
        <v>21154.65</v>
      </c>
      <c r="E46" s="346">
        <v>22882.423157365003</v>
      </c>
      <c r="F46" s="346">
        <v>24508.062525110003</v>
      </c>
      <c r="G46" s="347">
        <v>25941.888953500002</v>
      </c>
      <c r="H46" s="348">
        <v>26678.598539000002</v>
      </c>
    </row>
    <row r="47" spans="1:8" ht="17.25" customHeight="1" thickBot="1" x14ac:dyDescent="0.2">
      <c r="A47" s="645" t="s">
        <v>344</v>
      </c>
      <c r="B47" s="646"/>
      <c r="C47" s="308">
        <v>2024.8928969900001</v>
      </c>
      <c r="D47" s="308">
        <f t="shared" ref="D47:H47" si="14">D11</f>
        <v>2326.3410637300003</v>
      </c>
      <c r="E47" s="308">
        <f t="shared" si="14"/>
        <v>2177.9004558699999</v>
      </c>
      <c r="F47" s="308">
        <f t="shared" si="14"/>
        <v>1451.5168268700002</v>
      </c>
      <c r="G47" s="309">
        <f t="shared" si="14"/>
        <v>1086.4328268700001</v>
      </c>
      <c r="H47" s="310">
        <f t="shared" si="14"/>
        <v>876.43700000000001</v>
      </c>
    </row>
    <row r="48" spans="1:8" ht="19.5" customHeight="1" thickBot="1" x14ac:dyDescent="0.2">
      <c r="A48" s="659" t="s">
        <v>345</v>
      </c>
      <c r="B48" s="672"/>
      <c r="C48" s="320">
        <f>(C47)/C46</f>
        <v>0.10316767703376362</v>
      </c>
      <c r="D48" s="320">
        <f t="shared" ref="D48:H48" si="15">(D47)/D46</f>
        <v>0.10996830785335612</v>
      </c>
      <c r="E48" s="320">
        <f>(E47)/E46</f>
        <v>9.5177876962257574E-2</v>
      </c>
      <c r="F48" s="320">
        <f t="shared" si="15"/>
        <v>5.9226094489633063E-2</v>
      </c>
      <c r="G48" s="321">
        <f t="shared" si="15"/>
        <v>4.1879480280614716E-2</v>
      </c>
      <c r="H48" s="322">
        <f t="shared" si="15"/>
        <v>3.2851688169406056E-2</v>
      </c>
    </row>
    <row r="49" spans="1:4" x14ac:dyDescent="0.15">
      <c r="C49" s="373"/>
      <c r="D49" s="373"/>
    </row>
    <row r="50" spans="1:4" ht="10.5" customHeight="1" x14ac:dyDescent="0.15">
      <c r="A50" s="369" t="s">
        <v>610</v>
      </c>
      <c r="B50" s="370"/>
      <c r="C50" s="371"/>
      <c r="D50" s="371"/>
    </row>
    <row r="51" spans="1:4" x14ac:dyDescent="0.15">
      <c r="C51" s="325"/>
      <c r="D51" s="325"/>
    </row>
    <row r="52" spans="1:4" x14ac:dyDescent="0.15">
      <c r="C52" s="374"/>
      <c r="D52" s="374"/>
    </row>
    <row r="53" spans="1:4" x14ac:dyDescent="0.15">
      <c r="C53" s="372"/>
      <c r="D53" s="372"/>
    </row>
    <row r="54" spans="1:4" x14ac:dyDescent="0.15">
      <c r="C54" s="372"/>
      <c r="D54" s="372"/>
    </row>
    <row r="55" spans="1:4" ht="10.5" customHeight="1" x14ac:dyDescent="0.15">
      <c r="C55" s="325"/>
      <c r="D55" s="325"/>
    </row>
    <row r="56" spans="1:4" ht="10.5" customHeight="1" x14ac:dyDescent="0.15">
      <c r="C56" s="327"/>
      <c r="D56" s="327"/>
    </row>
    <row r="57" spans="1:4" ht="10.5" customHeight="1" x14ac:dyDescent="0.15"/>
    <row r="59" spans="1:4" ht="21.75" customHeight="1" x14ac:dyDescent="0.15"/>
    <row r="60" spans="1:4" ht="10.5" customHeight="1" x14ac:dyDescent="0.15"/>
    <row r="62" spans="1:4" ht="11.25" customHeight="1" x14ac:dyDescent="0.15"/>
    <row r="64" spans="1:4" ht="10.5" customHeight="1" x14ac:dyDescent="0.15"/>
    <row r="67" spans="3:4" ht="11.25" customHeight="1" x14ac:dyDescent="0.15"/>
    <row r="70" spans="3:4" ht="10.5" customHeight="1" x14ac:dyDescent="0.15"/>
    <row r="71" spans="3:4" ht="10.5" customHeight="1" x14ac:dyDescent="0.15"/>
    <row r="72" spans="3:4" ht="11.25" customHeight="1" x14ac:dyDescent="0.15"/>
    <row r="74" spans="3:4" ht="11.25" customHeight="1" x14ac:dyDescent="0.15"/>
    <row r="77" spans="3:4" ht="10.5" customHeight="1" x14ac:dyDescent="0.15">
      <c r="C77" s="294"/>
      <c r="D77" s="294"/>
    </row>
    <row r="78" spans="3:4" ht="10.5" customHeight="1" x14ac:dyDescent="0.15">
      <c r="C78" s="294"/>
      <c r="D78" s="294"/>
    </row>
    <row r="79" spans="3:4" ht="11.25" customHeight="1" x14ac:dyDescent="0.15">
      <c r="C79" s="294"/>
      <c r="D79" s="294"/>
    </row>
    <row r="80" spans="3:4" x14ac:dyDescent="0.15">
      <c r="C80" s="294"/>
      <c r="D80" s="294"/>
    </row>
    <row r="81" spans="3:4" x14ac:dyDescent="0.15">
      <c r="C81" s="294"/>
      <c r="D81" s="294"/>
    </row>
    <row r="82" spans="3:4" x14ac:dyDescent="0.15">
      <c r="C82" s="294"/>
      <c r="D82" s="294"/>
    </row>
    <row r="83" spans="3:4" x14ac:dyDescent="0.15">
      <c r="C83" s="294"/>
      <c r="D83" s="294"/>
    </row>
    <row r="84" spans="3:4" x14ac:dyDescent="0.15">
      <c r="C84" s="294"/>
      <c r="D84" s="294"/>
    </row>
    <row r="85" spans="3:4" x14ac:dyDescent="0.15">
      <c r="C85" s="294"/>
      <c r="D85" s="294"/>
    </row>
    <row r="86" spans="3:4" x14ac:dyDescent="0.15">
      <c r="C86" s="294"/>
      <c r="D86" s="294"/>
    </row>
    <row r="87" spans="3:4" x14ac:dyDescent="0.15">
      <c r="C87" s="294"/>
      <c r="D87" s="294"/>
    </row>
    <row r="88" spans="3:4" x14ac:dyDescent="0.15">
      <c r="C88" s="294"/>
      <c r="D88" s="294"/>
    </row>
    <row r="89" spans="3:4" x14ac:dyDescent="0.15">
      <c r="C89" s="294"/>
      <c r="D89" s="294"/>
    </row>
    <row r="90" spans="3:4" x14ac:dyDescent="0.15">
      <c r="C90" s="294"/>
      <c r="D90" s="294"/>
    </row>
    <row r="91" spans="3:4" x14ac:dyDescent="0.15">
      <c r="C91" s="294"/>
      <c r="D91" s="294"/>
    </row>
    <row r="92" spans="3:4" x14ac:dyDescent="0.15">
      <c r="C92" s="294"/>
      <c r="D92" s="294"/>
    </row>
    <row r="93" spans="3:4" x14ac:dyDescent="0.15">
      <c r="C93" s="294"/>
      <c r="D93" s="294"/>
    </row>
    <row r="94" spans="3:4" x14ac:dyDescent="0.15">
      <c r="C94" s="294"/>
      <c r="D94" s="294"/>
    </row>
    <row r="95" spans="3:4" x14ac:dyDescent="0.15">
      <c r="C95" s="294"/>
      <c r="D95" s="294"/>
    </row>
    <row r="96" spans="3:4" x14ac:dyDescent="0.15">
      <c r="C96" s="294"/>
      <c r="D96" s="294"/>
    </row>
    <row r="97" spans="3:4" x14ac:dyDescent="0.15">
      <c r="C97" s="294"/>
      <c r="D97" s="294"/>
    </row>
    <row r="98" spans="3:4" x14ac:dyDescent="0.15">
      <c r="C98" s="294"/>
      <c r="D98" s="294"/>
    </row>
    <row r="99" spans="3:4" x14ac:dyDescent="0.15">
      <c r="C99" s="294"/>
      <c r="D99" s="294"/>
    </row>
    <row r="100" spans="3:4" x14ac:dyDescent="0.15">
      <c r="C100" s="294"/>
      <c r="D100" s="294"/>
    </row>
    <row r="101" spans="3:4" x14ac:dyDescent="0.15">
      <c r="C101" s="294"/>
      <c r="D101" s="294"/>
    </row>
    <row r="102" spans="3:4" x14ac:dyDescent="0.15">
      <c r="C102" s="294"/>
      <c r="D102" s="294"/>
    </row>
    <row r="103" spans="3:4" x14ac:dyDescent="0.15">
      <c r="C103" s="294"/>
      <c r="D103" s="294"/>
    </row>
    <row r="104" spans="3:4" x14ac:dyDescent="0.15">
      <c r="C104" s="294"/>
      <c r="D104" s="294"/>
    </row>
  </sheetData>
  <mergeCells count="36">
    <mergeCell ref="A47:B47"/>
    <mergeCell ref="A48:B48"/>
    <mergeCell ref="A2:H2"/>
    <mergeCell ref="A4:H4"/>
    <mergeCell ref="A16:H16"/>
    <mergeCell ref="A42:H42"/>
    <mergeCell ref="A38:B38"/>
    <mergeCell ref="A39:B39"/>
    <mergeCell ref="A40:B40"/>
    <mergeCell ref="A44:B44"/>
    <mergeCell ref="A45:B45"/>
    <mergeCell ref="A46:B46"/>
    <mergeCell ref="A29:B29"/>
    <mergeCell ref="A30:B30"/>
    <mergeCell ref="A31:B31"/>
    <mergeCell ref="A33:B33"/>
    <mergeCell ref="A34:B34"/>
    <mergeCell ref="A36:B36"/>
    <mergeCell ref="L23:M23"/>
    <mergeCell ref="N23:O23"/>
    <mergeCell ref="A24:B24"/>
    <mergeCell ref="A25:B25"/>
    <mergeCell ref="A26:B26"/>
    <mergeCell ref="A27:B27"/>
    <mergeCell ref="A22:B22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69" firstPageNumber="34" orientation="portrait" useFirstPageNumber="1" r:id="rId1"/>
  <headerFooter>
    <oddHeader>&amp;L&amp;"Tahoma,Kurzíva"Střednědobý výhled rozpočtu na léta 2020 - 2022
Příloha č. 13&amp;R&amp;"Tahoma,Kurzíva"Ukazatele zadluženosti</oddHeader>
    <oddFooter>&amp;C&amp;"Tahoma,Obyčejné"&amp;P</oddFooter>
  </headerFooter>
  <ignoredErrors>
    <ignoredError sqref="C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80"/>
  <sheetViews>
    <sheetView zoomScaleNormal="100" zoomScaleSheetLayoutView="100" workbookViewId="0">
      <selection activeCell="G5" sqref="G5"/>
    </sheetView>
  </sheetViews>
  <sheetFormatPr defaultRowHeight="12.75" x14ac:dyDescent="0.2"/>
  <cols>
    <col min="1" max="1" width="62.7109375" style="2" customWidth="1"/>
    <col min="2" max="2" width="15.7109375" style="12" customWidth="1"/>
    <col min="3" max="5" width="13.7109375" style="13" customWidth="1"/>
    <col min="6" max="6" width="12" style="2" customWidth="1"/>
    <col min="7" max="7" width="11.5703125" style="2" customWidth="1"/>
    <col min="8" max="8" width="11.7109375" style="2" customWidth="1"/>
    <col min="9" max="12" width="14.7109375" style="2" customWidth="1"/>
    <col min="13" max="16384" width="9.140625" style="2"/>
  </cols>
  <sheetData>
    <row r="1" spans="1:8" s="66" customFormat="1" ht="15" customHeight="1" x14ac:dyDescent="0.2">
      <c r="A1" s="65" t="s">
        <v>60</v>
      </c>
      <c r="E1" s="67"/>
      <c r="F1" s="68"/>
      <c r="G1" s="68"/>
      <c r="H1" s="68"/>
    </row>
    <row r="2" spans="1:8" s="73" customFormat="1" ht="6" customHeight="1" x14ac:dyDescent="0.25">
      <c r="A2" s="69"/>
      <c r="B2" s="70"/>
      <c r="C2" s="70"/>
      <c r="D2" s="70"/>
      <c r="E2" s="71"/>
      <c r="F2" s="72"/>
      <c r="G2" s="72"/>
      <c r="H2" s="72"/>
    </row>
    <row r="3" spans="1:8" s="73" customFormat="1" ht="36" customHeight="1" x14ac:dyDescent="0.2">
      <c r="A3" s="543" t="s">
        <v>372</v>
      </c>
      <c r="B3" s="543"/>
      <c r="C3" s="543"/>
      <c r="D3" s="543"/>
      <c r="E3" s="543"/>
      <c r="F3" s="543"/>
      <c r="G3" s="543"/>
      <c r="H3" s="543"/>
    </row>
    <row r="4" spans="1:8" s="73" customFormat="1" ht="11.25" customHeight="1" thickBot="1" x14ac:dyDescent="0.25">
      <c r="A4" s="417"/>
      <c r="B4" s="74"/>
      <c r="C4" s="74"/>
      <c r="D4" s="74"/>
      <c r="E4" s="74"/>
      <c r="F4" s="75"/>
      <c r="G4" s="75"/>
      <c r="H4" s="75"/>
    </row>
    <row r="5" spans="1:8" s="1" customFormat="1" ht="43.5" customHeight="1" thickBot="1" x14ac:dyDescent="0.25">
      <c r="A5" s="27" t="s">
        <v>0</v>
      </c>
      <c r="B5" s="30" t="s">
        <v>373</v>
      </c>
      <c r="C5" s="28" t="s">
        <v>67</v>
      </c>
      <c r="D5" s="28" t="s">
        <v>68</v>
      </c>
      <c r="E5" s="29" t="s">
        <v>374</v>
      </c>
    </row>
    <row r="6" spans="1:8" s="56" customFormat="1" ht="16.5" customHeight="1" x14ac:dyDescent="0.2">
      <c r="A6" s="54" t="s">
        <v>1</v>
      </c>
      <c r="B6" s="55">
        <f t="shared" ref="B6:E6" si="0">B7+B8+B9+B10</f>
        <v>25997958.039000001</v>
      </c>
      <c r="C6" s="55">
        <f t="shared" si="0"/>
        <v>27152760.039000001</v>
      </c>
      <c r="D6" s="55">
        <f t="shared" si="0"/>
        <v>27110431.039000001</v>
      </c>
      <c r="E6" s="59">
        <f t="shared" si="0"/>
        <v>26453245.039000001</v>
      </c>
    </row>
    <row r="7" spans="1:8" s="1" customFormat="1" ht="16.5" customHeight="1" x14ac:dyDescent="0.2">
      <c r="A7" s="32" t="s">
        <v>2</v>
      </c>
      <c r="B7" s="34">
        <f>B31</f>
        <v>7030550</v>
      </c>
      <c r="C7" s="31">
        <f t="shared" ref="C7:E7" si="1">C31</f>
        <v>7380650</v>
      </c>
      <c r="D7" s="31">
        <f t="shared" si="1"/>
        <v>7580650</v>
      </c>
      <c r="E7" s="60">
        <f t="shared" si="1"/>
        <v>7730650</v>
      </c>
    </row>
    <row r="8" spans="1:8" s="1" customFormat="1" ht="16.5" customHeight="1" x14ac:dyDescent="0.2">
      <c r="A8" s="32" t="s">
        <v>3</v>
      </c>
      <c r="B8" s="34">
        <f>B36</f>
        <v>563161</v>
      </c>
      <c r="C8" s="31">
        <f t="shared" ref="C8:E8" si="2">C36</f>
        <v>479863</v>
      </c>
      <c r="D8" s="31">
        <f t="shared" si="2"/>
        <v>396913</v>
      </c>
      <c r="E8" s="60">
        <f t="shared" si="2"/>
        <v>432203</v>
      </c>
    </row>
    <row r="9" spans="1:8" s="1" customFormat="1" ht="16.5" customHeight="1" x14ac:dyDescent="0.2">
      <c r="A9" s="32" t="s">
        <v>4</v>
      </c>
      <c r="B9" s="34">
        <f>B54</f>
        <v>41450</v>
      </c>
      <c r="C9" s="31">
        <f t="shared" ref="C9:E9" si="3">C54</f>
        <v>156000</v>
      </c>
      <c r="D9" s="31">
        <f t="shared" si="3"/>
        <v>36000</v>
      </c>
      <c r="E9" s="60">
        <f t="shared" si="3"/>
        <v>36000</v>
      </c>
    </row>
    <row r="10" spans="1:8" s="1" customFormat="1" ht="16.5" customHeight="1" x14ac:dyDescent="0.2">
      <c r="A10" s="32" t="s">
        <v>26</v>
      </c>
      <c r="B10" s="34">
        <f>B57+B61+B62</f>
        <v>18362797.039000001</v>
      </c>
      <c r="C10" s="31">
        <f>C57+C61+C62</f>
        <v>19136247.039000001</v>
      </c>
      <c r="D10" s="31">
        <f>D57+D61+D62</f>
        <v>19096868.039000001</v>
      </c>
      <c r="E10" s="60">
        <f>E57+E61+E62</f>
        <v>18254392.039000001</v>
      </c>
    </row>
    <row r="11" spans="1:8" s="56" customFormat="1" ht="16.5" customHeight="1" x14ac:dyDescent="0.2">
      <c r="A11" s="54" t="s">
        <v>5</v>
      </c>
      <c r="B11" s="55">
        <f>B12+B13+B14</f>
        <v>839593</v>
      </c>
      <c r="C11" s="55">
        <f>C12+C13+C14</f>
        <v>-580683</v>
      </c>
      <c r="D11" s="55">
        <f>D12+D13+D14</f>
        <v>-136191</v>
      </c>
      <c r="E11" s="59">
        <f>E12+E13+E14</f>
        <v>-187073</v>
      </c>
    </row>
    <row r="12" spans="1:8" s="3" customFormat="1" ht="16.5" customHeight="1" x14ac:dyDescent="0.2">
      <c r="A12" s="33" t="s">
        <v>57</v>
      </c>
      <c r="B12" s="34">
        <v>843705</v>
      </c>
      <c r="C12" s="31">
        <v>346186</v>
      </c>
      <c r="D12" s="31">
        <v>213466</v>
      </c>
      <c r="E12" s="60">
        <v>137458</v>
      </c>
    </row>
    <row r="13" spans="1:8" s="4" customFormat="1" ht="16.5" customHeight="1" x14ac:dyDescent="0.2">
      <c r="A13" s="33" t="s">
        <v>58</v>
      </c>
      <c r="B13" s="34">
        <v>-992148</v>
      </c>
      <c r="C13" s="31">
        <v>-1072569</v>
      </c>
      <c r="D13" s="31">
        <v>-578550</v>
      </c>
      <c r="E13" s="60">
        <v>-347456</v>
      </c>
    </row>
    <row r="14" spans="1:8" s="3" customFormat="1" ht="16.5" customHeight="1" x14ac:dyDescent="0.2">
      <c r="A14" s="33" t="s">
        <v>59</v>
      </c>
      <c r="B14" s="34">
        <v>988036</v>
      </c>
      <c r="C14" s="31">
        <v>145700</v>
      </c>
      <c r="D14" s="31">
        <v>228893</v>
      </c>
      <c r="E14" s="60">
        <v>22925</v>
      </c>
      <c r="F14" s="8"/>
    </row>
    <row r="15" spans="1:8" s="56" customFormat="1" ht="16.5" customHeight="1" x14ac:dyDescent="0.2">
      <c r="A15" s="54" t="s">
        <v>7</v>
      </c>
      <c r="B15" s="55">
        <f>B16+B17+B18+B19+B20+B21+B22+B23</f>
        <v>26837551.039000001</v>
      </c>
      <c r="C15" s="55">
        <f t="shared" ref="C15:E15" si="4">C16+C17+C18+C19+C20+C21+C22+C23</f>
        <v>26572077.039000001</v>
      </c>
      <c r="D15" s="55">
        <f t="shared" si="4"/>
        <v>26974240.039000001</v>
      </c>
      <c r="E15" s="59">
        <f t="shared" si="4"/>
        <v>26266172.039000001</v>
      </c>
    </row>
    <row r="16" spans="1:8" s="1" customFormat="1" ht="16.5" customHeight="1" x14ac:dyDescent="0.2">
      <c r="A16" s="33" t="s">
        <v>8</v>
      </c>
      <c r="B16" s="34">
        <f>'Tab. 1 VÝDAJE'!B3</f>
        <v>630528</v>
      </c>
      <c r="C16" s="31">
        <f>'Tab. 1 VÝDAJE'!C3</f>
        <v>642529</v>
      </c>
      <c r="D16" s="31">
        <f>'Tab. 1 VÝDAJE'!D3</f>
        <v>653703</v>
      </c>
      <c r="E16" s="60">
        <f>'Tab. 1 VÝDAJE'!E3</f>
        <v>665346</v>
      </c>
    </row>
    <row r="17" spans="1:8" s="1" customFormat="1" ht="16.5" customHeight="1" x14ac:dyDescent="0.2">
      <c r="A17" s="33" t="s">
        <v>9</v>
      </c>
      <c r="B17" s="34">
        <f>'Tab. 1 VÝDAJE'!B4</f>
        <v>261042</v>
      </c>
      <c r="C17" s="31">
        <f>'Tab. 1 VÝDAJE'!C4</f>
        <v>260562</v>
      </c>
      <c r="D17" s="31">
        <f>'Tab. 1 VÝDAJE'!D4</f>
        <v>237412</v>
      </c>
      <c r="E17" s="60">
        <f>'Tab. 1 VÝDAJE'!E4</f>
        <v>224259</v>
      </c>
    </row>
    <row r="18" spans="1:8" s="1" customFormat="1" ht="16.5" customHeight="1" x14ac:dyDescent="0.2">
      <c r="A18" s="33" t="s">
        <v>62</v>
      </c>
      <c r="B18" s="34">
        <f>'Tab. 1 VÝDAJE'!B14</f>
        <v>3169508</v>
      </c>
      <c r="C18" s="31">
        <f>'Tab. 1 VÝDAJE'!C14</f>
        <v>3178970</v>
      </c>
      <c r="D18" s="31">
        <f>'Tab. 1 VÝDAJE'!D14</f>
        <v>3354632</v>
      </c>
      <c r="E18" s="60">
        <f>'Tab. 1 VÝDAJE'!E14</f>
        <v>3466665</v>
      </c>
    </row>
    <row r="19" spans="1:8" s="1" customFormat="1" ht="16.5" customHeight="1" x14ac:dyDescent="0.2">
      <c r="A19" s="33" t="s">
        <v>10</v>
      </c>
      <c r="B19" s="34">
        <f>'Tab. 1 VÝDAJE'!B28</f>
        <v>2746121</v>
      </c>
      <c r="C19" s="31">
        <f>'Tab. 1 VÝDAJE'!C28</f>
        <v>2783342</v>
      </c>
      <c r="D19" s="31">
        <f>'Tab. 1 VÝDAJE'!D28</f>
        <v>2803023</v>
      </c>
      <c r="E19" s="60">
        <f>'Tab. 1 VÝDAJE'!E28</f>
        <v>2826163</v>
      </c>
    </row>
    <row r="20" spans="1:8" s="1" customFormat="1" ht="16.5" customHeight="1" x14ac:dyDescent="0.2">
      <c r="A20" s="33" t="s">
        <v>65</v>
      </c>
      <c r="B20" s="34">
        <f>'Tab. 1 VÝDAJE'!B35</f>
        <v>223958</v>
      </c>
      <c r="C20" s="31">
        <f>'Tab. 1 VÝDAJE'!C35</f>
        <v>104600</v>
      </c>
      <c r="D20" s="31">
        <f>'Tab. 1 VÝDAJE'!D35</f>
        <v>104600</v>
      </c>
      <c r="E20" s="60">
        <f>'Tab. 1 VÝDAJE'!E35</f>
        <v>104600</v>
      </c>
    </row>
    <row r="21" spans="1:8" s="1" customFormat="1" ht="16.5" customHeight="1" x14ac:dyDescent="0.2">
      <c r="A21" s="33" t="s">
        <v>63</v>
      </c>
      <c r="B21" s="34">
        <f>'Tab. 1 VÝDAJE'!B42</f>
        <v>1148153</v>
      </c>
      <c r="C21" s="31">
        <f>'Tab. 1 VÝDAJE'!C42</f>
        <v>1476963</v>
      </c>
      <c r="D21" s="31">
        <f>'Tab. 1 VÝDAJE'!D42</f>
        <v>1960832</v>
      </c>
      <c r="E21" s="60">
        <f>'Tab. 1 VÝDAJE'!E42</f>
        <v>1272223</v>
      </c>
    </row>
    <row r="22" spans="1:8" s="1" customFormat="1" ht="16.5" customHeight="1" x14ac:dyDescent="0.2">
      <c r="A22" s="33" t="s">
        <v>64</v>
      </c>
      <c r="B22" s="34">
        <f>'Tab. 1 VÝDAJE'!B54+'Tab. 1 VÝDAJE'!B68</f>
        <v>2252973</v>
      </c>
      <c r="C22" s="31">
        <f>'Tab. 1 VÝDAJE'!C54+'Tab. 1 VÝDAJE'!C68</f>
        <v>1774087</v>
      </c>
      <c r="D22" s="31">
        <f>'Tab. 1 VÝDAJE'!D54+'Tab. 1 VÝDAJE'!D68</f>
        <v>1511314</v>
      </c>
      <c r="E22" s="60">
        <f>'Tab. 1 VÝDAJE'!E54+'Tab. 1 VÝDAJE'!E68</f>
        <v>1361092</v>
      </c>
    </row>
    <row r="23" spans="1:8" s="1" customFormat="1" ht="29.25" customHeight="1" thickBot="1" x14ac:dyDescent="0.25">
      <c r="A23" s="61" t="s">
        <v>301</v>
      </c>
      <c r="B23" s="62">
        <f>'Tab. 1 VÝDAJE'!B40</f>
        <v>16405268.039000001</v>
      </c>
      <c r="C23" s="63">
        <f>'Tab. 1 VÝDAJE'!C40</f>
        <v>16351024.039000001</v>
      </c>
      <c r="D23" s="63">
        <f>'Tab. 1 VÝDAJE'!D40</f>
        <v>16348724.039000001</v>
      </c>
      <c r="E23" s="64">
        <f>'Tab. 1 VÝDAJE'!E40</f>
        <v>16345824.039000001</v>
      </c>
    </row>
    <row r="24" spans="1:8" s="1" customFormat="1" ht="20.100000000000001" hidden="1" customHeight="1" thickBot="1" x14ac:dyDescent="0.25">
      <c r="A24" s="57" t="s">
        <v>11</v>
      </c>
      <c r="B24" s="58">
        <f>B6+B11-B15</f>
        <v>0</v>
      </c>
      <c r="C24" s="58">
        <f>C6+C11-C15</f>
        <v>0</v>
      </c>
      <c r="D24" s="58">
        <f>D6+D11-D15</f>
        <v>0</v>
      </c>
      <c r="E24" s="58">
        <f>E6+E11-E15</f>
        <v>0</v>
      </c>
    </row>
    <row r="25" spans="1:8" s="7" customFormat="1" ht="12" customHeight="1" x14ac:dyDescent="0.2">
      <c r="A25" s="5"/>
      <c r="B25" s="6"/>
      <c r="C25" s="6"/>
      <c r="D25" s="6"/>
      <c r="E25" s="6"/>
    </row>
    <row r="26" spans="1:8" s="7" customFormat="1" ht="12" customHeight="1" x14ac:dyDescent="0.2">
      <c r="A26" s="5"/>
      <c r="B26" s="6"/>
      <c r="C26" s="6"/>
      <c r="D26" s="6"/>
      <c r="E26" s="6"/>
    </row>
    <row r="27" spans="1:8" s="7" customFormat="1" ht="12" customHeight="1" x14ac:dyDescent="0.2">
      <c r="A27" s="5"/>
      <c r="B27" s="10"/>
      <c r="C27" s="9"/>
      <c r="D27" s="9"/>
      <c r="E27" s="9"/>
    </row>
    <row r="28" spans="1:8" s="7" customFormat="1" ht="16.5" customHeight="1" thickBot="1" x14ac:dyDescent="0.25">
      <c r="A28" s="5"/>
      <c r="B28" s="6"/>
      <c r="C28" s="9"/>
      <c r="D28" s="9"/>
      <c r="E28" s="9"/>
    </row>
    <row r="29" spans="1:8" s="11" customFormat="1" ht="16.5" customHeight="1" x14ac:dyDescent="0.2">
      <c r="A29" s="544" t="s">
        <v>12</v>
      </c>
      <c r="B29" s="35">
        <v>2019</v>
      </c>
      <c r="C29" s="36">
        <v>2020</v>
      </c>
      <c r="D29" s="37">
        <v>2021</v>
      </c>
      <c r="E29" s="36">
        <v>2022</v>
      </c>
      <c r="F29" s="546" t="s">
        <v>375</v>
      </c>
      <c r="G29" s="548" t="s">
        <v>61</v>
      </c>
      <c r="H29" s="550" t="s">
        <v>376</v>
      </c>
    </row>
    <row r="30" spans="1:8" s="11" customFormat="1" ht="41.25" customHeight="1" thickBot="1" x14ac:dyDescent="0.25">
      <c r="A30" s="545"/>
      <c r="B30" s="38" t="s">
        <v>54</v>
      </c>
      <c r="C30" s="39" t="s">
        <v>55</v>
      </c>
      <c r="D30" s="40" t="s">
        <v>55</v>
      </c>
      <c r="E30" s="39" t="s">
        <v>55</v>
      </c>
      <c r="F30" s="547"/>
      <c r="G30" s="549"/>
      <c r="H30" s="551"/>
    </row>
    <row r="31" spans="1:8" s="3" customFormat="1" ht="17.100000000000001" customHeight="1" x14ac:dyDescent="0.2">
      <c r="A31" s="87" t="s">
        <v>2</v>
      </c>
      <c r="B31" s="41">
        <f>B32+B33+B34+B35</f>
        <v>7030550</v>
      </c>
      <c r="C31" s="42">
        <f>C32+C33+C34+C35</f>
        <v>7380650</v>
      </c>
      <c r="D31" s="42">
        <f>D32+D33+D34+D35</f>
        <v>7580650</v>
      </c>
      <c r="E31" s="42">
        <f>E32+E33+E34+E35</f>
        <v>7730650</v>
      </c>
      <c r="F31" s="48">
        <f t="shared" ref="F31:H60" si="5">C31/B31*100</f>
        <v>104.97969575637754</v>
      </c>
      <c r="G31" s="49">
        <f t="shared" si="5"/>
        <v>102.70978843326807</v>
      </c>
      <c r="H31" s="50">
        <f t="shared" si="5"/>
        <v>101.97872214124119</v>
      </c>
    </row>
    <row r="32" spans="1:8" s="1" customFormat="1" ht="17.100000000000001" customHeight="1" x14ac:dyDescent="0.2">
      <c r="A32" s="88" t="s">
        <v>13</v>
      </c>
      <c r="B32" s="424">
        <f>6900000+100000</f>
        <v>7000000</v>
      </c>
      <c r="C32" s="425">
        <f>7300000+50000</f>
        <v>7350000</v>
      </c>
      <c r="D32" s="425">
        <f>7500000+50000</f>
        <v>7550000</v>
      </c>
      <c r="E32" s="425">
        <v>7700000</v>
      </c>
      <c r="F32" s="48">
        <f t="shared" si="5"/>
        <v>105</v>
      </c>
      <c r="G32" s="49">
        <f t="shared" si="5"/>
        <v>102.72108843537416</v>
      </c>
      <c r="H32" s="50">
        <f t="shared" si="5"/>
        <v>101.98675496688743</v>
      </c>
    </row>
    <row r="33" spans="1:8" s="1" customFormat="1" ht="17.100000000000001" customHeight="1" x14ac:dyDescent="0.2">
      <c r="A33" s="32" t="s">
        <v>14</v>
      </c>
      <c r="B33" s="43">
        <v>25300</v>
      </c>
      <c r="C33" s="44">
        <v>25300</v>
      </c>
      <c r="D33" s="44">
        <v>25300</v>
      </c>
      <c r="E33" s="44">
        <v>25300</v>
      </c>
      <c r="F33" s="51">
        <f t="shared" si="5"/>
        <v>100</v>
      </c>
      <c r="G33" s="52">
        <f t="shared" si="5"/>
        <v>100</v>
      </c>
      <c r="H33" s="53">
        <f t="shared" si="5"/>
        <v>100</v>
      </c>
    </row>
    <row r="34" spans="1:8" s="1" customFormat="1" ht="17.100000000000001" customHeight="1" x14ac:dyDescent="0.2">
      <c r="A34" s="89" t="s">
        <v>15</v>
      </c>
      <c r="B34" s="43">
        <v>1750</v>
      </c>
      <c r="C34" s="44">
        <v>1850</v>
      </c>
      <c r="D34" s="44">
        <v>1850</v>
      </c>
      <c r="E34" s="44">
        <v>1850</v>
      </c>
      <c r="F34" s="51">
        <f t="shared" si="5"/>
        <v>105.71428571428572</v>
      </c>
      <c r="G34" s="52">
        <f t="shared" si="5"/>
        <v>100</v>
      </c>
      <c r="H34" s="53">
        <f t="shared" si="5"/>
        <v>100</v>
      </c>
    </row>
    <row r="35" spans="1:8" s="1" customFormat="1" ht="17.100000000000001" customHeight="1" x14ac:dyDescent="0.2">
      <c r="A35" s="89" t="s">
        <v>69</v>
      </c>
      <c r="B35" s="43">
        <v>3500</v>
      </c>
      <c r="C35" s="44">
        <v>3500</v>
      </c>
      <c r="D35" s="44">
        <v>3500</v>
      </c>
      <c r="E35" s="44">
        <v>3500</v>
      </c>
      <c r="F35" s="51">
        <f t="shared" si="5"/>
        <v>100</v>
      </c>
      <c r="G35" s="52">
        <f t="shared" si="5"/>
        <v>100</v>
      </c>
      <c r="H35" s="53">
        <f t="shared" si="5"/>
        <v>100</v>
      </c>
    </row>
    <row r="36" spans="1:8" s="3" customFormat="1" ht="17.100000000000001" customHeight="1" x14ac:dyDescent="0.2">
      <c r="A36" s="90" t="s">
        <v>3</v>
      </c>
      <c r="B36" s="46">
        <f>SUM(B37,,B38,B39,B40,B41,B42,B43,B44,B45,B46,B47,B48,B49,B50,B51,B52,B53)</f>
        <v>563161</v>
      </c>
      <c r="C36" s="42">
        <f t="shared" ref="C36:E36" si="6">SUM(C37,,C38,C39,C40,C41,C42,C43,C44,C45,C46,C47,C48,C49,C50,C51,C52,C53)</f>
        <v>479863</v>
      </c>
      <c r="D36" s="42">
        <f t="shared" si="6"/>
        <v>396913</v>
      </c>
      <c r="E36" s="42">
        <f t="shared" si="6"/>
        <v>432203</v>
      </c>
      <c r="F36" s="48">
        <f t="shared" si="5"/>
        <v>85.20884791382926</v>
      </c>
      <c r="G36" s="49">
        <f t="shared" si="5"/>
        <v>82.713816235050416</v>
      </c>
      <c r="H36" s="50">
        <f t="shared" si="5"/>
        <v>108.8911171969676</v>
      </c>
    </row>
    <row r="37" spans="1:8" s="1" customFormat="1" ht="17.100000000000001" customHeight="1" x14ac:dyDescent="0.2">
      <c r="A37" s="32" t="s">
        <v>16</v>
      </c>
      <c r="B37" s="43">
        <v>15000</v>
      </c>
      <c r="C37" s="44">
        <v>18000</v>
      </c>
      <c r="D37" s="44">
        <v>20000</v>
      </c>
      <c r="E37" s="44">
        <v>20000</v>
      </c>
      <c r="F37" s="51">
        <f t="shared" si="5"/>
        <v>120</v>
      </c>
      <c r="G37" s="52">
        <f t="shared" si="5"/>
        <v>111.11111111111111</v>
      </c>
      <c r="H37" s="53">
        <f t="shared" si="5"/>
        <v>100</v>
      </c>
    </row>
    <row r="38" spans="1:8" s="1" customFormat="1" ht="17.100000000000001" customHeight="1" x14ac:dyDescent="0.2">
      <c r="A38" s="32" t="s">
        <v>70</v>
      </c>
      <c r="B38" s="43">
        <v>104600</v>
      </c>
      <c r="C38" s="44">
        <v>104600</v>
      </c>
      <c r="D38" s="44">
        <v>104600</v>
      </c>
      <c r="E38" s="44">
        <v>104600</v>
      </c>
      <c r="F38" s="51">
        <f t="shared" si="5"/>
        <v>100</v>
      </c>
      <c r="G38" s="52">
        <f t="shared" si="5"/>
        <v>100</v>
      </c>
      <c r="H38" s="53">
        <f t="shared" si="5"/>
        <v>100</v>
      </c>
    </row>
    <row r="39" spans="1:8" s="1" customFormat="1" ht="29.25" customHeight="1" x14ac:dyDescent="0.2">
      <c r="A39" s="93" t="s">
        <v>74</v>
      </c>
      <c r="B39" s="43">
        <v>90229</v>
      </c>
      <c r="C39" s="44">
        <v>134000</v>
      </c>
      <c r="D39" s="44">
        <v>172000</v>
      </c>
      <c r="E39" s="44">
        <v>210000</v>
      </c>
      <c r="F39" s="51">
        <f t="shared" si="5"/>
        <v>148.51101087233593</v>
      </c>
      <c r="G39" s="52">
        <f t="shared" si="5"/>
        <v>128.35820895522389</v>
      </c>
      <c r="H39" s="53">
        <f t="shared" si="5"/>
        <v>122.09302325581395</v>
      </c>
    </row>
    <row r="40" spans="1:8" s="1" customFormat="1" ht="29.25" customHeight="1" x14ac:dyDescent="0.2">
      <c r="A40" s="93" t="s">
        <v>377</v>
      </c>
      <c r="B40" s="43">
        <v>700</v>
      </c>
      <c r="C40" s="44">
        <v>0</v>
      </c>
      <c r="D40" s="44">
        <v>0</v>
      </c>
      <c r="E40" s="44">
        <v>0</v>
      </c>
      <c r="F40" s="51">
        <f t="shared" si="5"/>
        <v>0</v>
      </c>
      <c r="G40" s="76" t="s">
        <v>6</v>
      </c>
      <c r="H40" s="77" t="s">
        <v>6</v>
      </c>
    </row>
    <row r="41" spans="1:8" s="1" customFormat="1" ht="17.100000000000001" customHeight="1" x14ac:dyDescent="0.2">
      <c r="A41" s="32" t="s">
        <v>71</v>
      </c>
      <c r="B41" s="43">
        <v>54114</v>
      </c>
      <c r="C41" s="44">
        <v>1500</v>
      </c>
      <c r="D41" s="44">
        <v>0</v>
      </c>
      <c r="E41" s="44">
        <v>0</v>
      </c>
      <c r="F41" s="51">
        <f t="shared" si="5"/>
        <v>2.7719259341390399</v>
      </c>
      <c r="G41" s="52">
        <f t="shared" si="5"/>
        <v>0</v>
      </c>
      <c r="H41" s="77" t="s">
        <v>6</v>
      </c>
    </row>
    <row r="42" spans="1:8" s="1" customFormat="1" ht="17.100000000000001" customHeight="1" x14ac:dyDescent="0.2">
      <c r="A42" s="32" t="s">
        <v>72</v>
      </c>
      <c r="B42" s="43">
        <v>8190</v>
      </c>
      <c r="C42" s="44">
        <v>21206</v>
      </c>
      <c r="D42" s="44">
        <v>0</v>
      </c>
      <c r="E42" s="44">
        <v>0</v>
      </c>
      <c r="F42" s="51">
        <f t="shared" si="5"/>
        <v>258.92551892551893</v>
      </c>
      <c r="G42" s="52">
        <f t="shared" si="5"/>
        <v>0</v>
      </c>
      <c r="H42" s="77" t="s">
        <v>6</v>
      </c>
    </row>
    <row r="43" spans="1:8" s="1" customFormat="1" ht="17.100000000000001" customHeight="1" x14ac:dyDescent="0.2">
      <c r="A43" s="32" t="s">
        <v>73</v>
      </c>
      <c r="B43" s="43">
        <v>194931</v>
      </c>
      <c r="C43" s="44">
        <v>106296</v>
      </c>
      <c r="D43" s="44">
        <v>8167</v>
      </c>
      <c r="E43" s="44">
        <v>5444</v>
      </c>
      <c r="F43" s="51">
        <f t="shared" si="5"/>
        <v>54.530064484356004</v>
      </c>
      <c r="G43" s="52">
        <f t="shared" si="5"/>
        <v>7.6832618348761939</v>
      </c>
      <c r="H43" s="53">
        <f t="shared" si="5"/>
        <v>66.658503734541455</v>
      </c>
    </row>
    <row r="44" spans="1:8" s="1" customFormat="1" ht="17.100000000000001" customHeight="1" x14ac:dyDescent="0.2">
      <c r="A44" s="32" t="s">
        <v>75</v>
      </c>
      <c r="B44" s="43">
        <v>32024</v>
      </c>
      <c r="C44" s="44">
        <v>32063</v>
      </c>
      <c r="D44" s="44">
        <v>32107</v>
      </c>
      <c r="E44" s="44">
        <v>32148</v>
      </c>
      <c r="F44" s="51">
        <f t="shared" si="5"/>
        <v>100.12178366225331</v>
      </c>
      <c r="G44" s="52">
        <f t="shared" si="5"/>
        <v>100.13722982877459</v>
      </c>
      <c r="H44" s="53">
        <f t="shared" si="5"/>
        <v>100.12769800977981</v>
      </c>
    </row>
    <row r="45" spans="1:8" s="1" customFormat="1" ht="16.5" customHeight="1" x14ac:dyDescent="0.2">
      <c r="A45" s="32" t="s">
        <v>299</v>
      </c>
      <c r="B45" s="43">
        <v>4000</v>
      </c>
      <c r="C45" s="44">
        <v>2000</v>
      </c>
      <c r="D45" s="44">
        <v>0</v>
      </c>
      <c r="E45" s="44">
        <v>0</v>
      </c>
      <c r="F45" s="51">
        <f t="shared" si="5"/>
        <v>50</v>
      </c>
      <c r="G45" s="52">
        <f t="shared" si="5"/>
        <v>0</v>
      </c>
      <c r="H45" s="77" t="s">
        <v>6</v>
      </c>
    </row>
    <row r="46" spans="1:8" s="1" customFormat="1" ht="17.100000000000001" customHeight="1" x14ac:dyDescent="0.2">
      <c r="A46" s="32" t="s">
        <v>17</v>
      </c>
      <c r="B46" s="43">
        <v>4400</v>
      </c>
      <c r="C46" s="44">
        <v>5000</v>
      </c>
      <c r="D46" s="44">
        <v>5100</v>
      </c>
      <c r="E46" s="44">
        <v>5100</v>
      </c>
      <c r="F46" s="51">
        <f t="shared" si="5"/>
        <v>113.63636363636364</v>
      </c>
      <c r="G46" s="52">
        <f t="shared" si="5"/>
        <v>102</v>
      </c>
      <c r="H46" s="53">
        <f t="shared" si="5"/>
        <v>100</v>
      </c>
    </row>
    <row r="47" spans="1:8" s="1" customFormat="1" ht="17.100000000000001" customHeight="1" x14ac:dyDescent="0.2">
      <c r="A47" s="32" t="s">
        <v>18</v>
      </c>
      <c r="B47" s="43">
        <v>15000</v>
      </c>
      <c r="C47" s="44">
        <v>15000</v>
      </c>
      <c r="D47" s="44">
        <v>15000</v>
      </c>
      <c r="E47" s="44">
        <v>15000</v>
      </c>
      <c r="F47" s="51">
        <f t="shared" si="5"/>
        <v>100</v>
      </c>
      <c r="G47" s="52">
        <f t="shared" si="5"/>
        <v>100</v>
      </c>
      <c r="H47" s="53">
        <f t="shared" si="5"/>
        <v>100</v>
      </c>
    </row>
    <row r="48" spans="1:8" s="1" customFormat="1" ht="17.100000000000001" customHeight="1" x14ac:dyDescent="0.2">
      <c r="A48" s="32" t="s">
        <v>19</v>
      </c>
      <c r="B48" s="43">
        <v>8954</v>
      </c>
      <c r="C48" s="44">
        <v>8954</v>
      </c>
      <c r="D48" s="44">
        <v>8954</v>
      </c>
      <c r="E48" s="44">
        <v>8954</v>
      </c>
      <c r="F48" s="51">
        <f t="shared" si="5"/>
        <v>100</v>
      </c>
      <c r="G48" s="52">
        <f t="shared" si="5"/>
        <v>100</v>
      </c>
      <c r="H48" s="53">
        <f t="shared" si="5"/>
        <v>100</v>
      </c>
    </row>
    <row r="49" spans="1:8" s="1" customFormat="1" ht="17.100000000000001" customHeight="1" x14ac:dyDescent="0.2">
      <c r="A49" s="32" t="s">
        <v>20</v>
      </c>
      <c r="B49" s="43">
        <v>17530</v>
      </c>
      <c r="C49" s="44">
        <v>17635</v>
      </c>
      <c r="D49" s="44">
        <v>17741</v>
      </c>
      <c r="E49" s="44">
        <v>17848</v>
      </c>
      <c r="F49" s="51">
        <f t="shared" si="5"/>
        <v>100.59897318881916</v>
      </c>
      <c r="G49" s="52">
        <f t="shared" si="5"/>
        <v>100.60107740289197</v>
      </c>
      <c r="H49" s="53">
        <f t="shared" si="5"/>
        <v>100.60312271010655</v>
      </c>
    </row>
    <row r="50" spans="1:8" s="1" customFormat="1" ht="17.100000000000001" customHeight="1" x14ac:dyDescent="0.2">
      <c r="A50" s="32" t="s">
        <v>21</v>
      </c>
      <c r="B50" s="43">
        <v>1569</v>
      </c>
      <c r="C50" s="44">
        <v>1569</v>
      </c>
      <c r="D50" s="44">
        <v>1569</v>
      </c>
      <c r="E50" s="44">
        <v>1569</v>
      </c>
      <c r="F50" s="51">
        <f t="shared" si="5"/>
        <v>100</v>
      </c>
      <c r="G50" s="52">
        <f t="shared" si="5"/>
        <v>100</v>
      </c>
      <c r="H50" s="53">
        <f t="shared" si="5"/>
        <v>100</v>
      </c>
    </row>
    <row r="51" spans="1:8" s="1" customFormat="1" ht="17.100000000000001" customHeight="1" x14ac:dyDescent="0.2">
      <c r="A51" s="32" t="s">
        <v>22</v>
      </c>
      <c r="B51" s="43">
        <v>41</v>
      </c>
      <c r="C51" s="44">
        <v>41</v>
      </c>
      <c r="D51" s="44">
        <v>41</v>
      </c>
      <c r="E51" s="44">
        <v>41</v>
      </c>
      <c r="F51" s="51">
        <f t="shared" si="5"/>
        <v>100</v>
      </c>
      <c r="G51" s="52">
        <f t="shared" si="5"/>
        <v>100</v>
      </c>
      <c r="H51" s="53">
        <f t="shared" si="5"/>
        <v>100</v>
      </c>
    </row>
    <row r="52" spans="1:8" s="3" customFormat="1" ht="17.100000000000001" customHeight="1" x14ac:dyDescent="0.2">
      <c r="A52" s="32" t="s">
        <v>23</v>
      </c>
      <c r="B52" s="43">
        <v>3000</v>
      </c>
      <c r="C52" s="44">
        <v>3000</v>
      </c>
      <c r="D52" s="44">
        <v>3000</v>
      </c>
      <c r="E52" s="44">
        <v>3000</v>
      </c>
      <c r="F52" s="51">
        <f t="shared" si="5"/>
        <v>100</v>
      </c>
      <c r="G52" s="52">
        <f t="shared" si="5"/>
        <v>100</v>
      </c>
      <c r="H52" s="53">
        <f t="shared" si="5"/>
        <v>100</v>
      </c>
    </row>
    <row r="53" spans="1:8" s="1" customFormat="1" ht="17.100000000000001" customHeight="1" x14ac:dyDescent="0.2">
      <c r="A53" s="32" t="s">
        <v>24</v>
      </c>
      <c r="B53" s="43">
        <v>8879</v>
      </c>
      <c r="C53" s="44">
        <v>8999</v>
      </c>
      <c r="D53" s="44">
        <v>8634</v>
      </c>
      <c r="E53" s="44">
        <v>8499</v>
      </c>
      <c r="F53" s="51">
        <f t="shared" si="5"/>
        <v>101.35150354769682</v>
      </c>
      <c r="G53" s="52">
        <f t="shared" si="5"/>
        <v>95.943993777086348</v>
      </c>
      <c r="H53" s="53">
        <f t="shared" si="5"/>
        <v>98.436414176511462</v>
      </c>
    </row>
    <row r="54" spans="1:8" s="1" customFormat="1" ht="16.5" customHeight="1" x14ac:dyDescent="0.2">
      <c r="A54" s="90" t="s">
        <v>4</v>
      </c>
      <c r="B54" s="46">
        <f>SUM(B55,B56)</f>
        <v>41450</v>
      </c>
      <c r="C54" s="42">
        <f t="shared" ref="C54:E54" si="7">SUM(C55,C56)</f>
        <v>156000</v>
      </c>
      <c r="D54" s="42">
        <f t="shared" si="7"/>
        <v>36000</v>
      </c>
      <c r="E54" s="42">
        <f t="shared" si="7"/>
        <v>36000</v>
      </c>
      <c r="F54" s="48">
        <f t="shared" si="5"/>
        <v>376.35705669481302</v>
      </c>
      <c r="G54" s="49">
        <f t="shared" si="5"/>
        <v>23.076923076923077</v>
      </c>
      <c r="H54" s="50">
        <f t="shared" si="5"/>
        <v>100</v>
      </c>
    </row>
    <row r="55" spans="1:8" s="3" customFormat="1" ht="17.100000000000001" customHeight="1" x14ac:dyDescent="0.2">
      <c r="A55" s="32" t="s">
        <v>25</v>
      </c>
      <c r="B55" s="45">
        <v>25000</v>
      </c>
      <c r="C55" s="44">
        <v>140000</v>
      </c>
      <c r="D55" s="44">
        <v>20000</v>
      </c>
      <c r="E55" s="44">
        <v>20000</v>
      </c>
      <c r="F55" s="51">
        <f t="shared" si="5"/>
        <v>560</v>
      </c>
      <c r="G55" s="52">
        <f t="shared" si="5"/>
        <v>14.285714285714285</v>
      </c>
      <c r="H55" s="53">
        <f t="shared" si="5"/>
        <v>100</v>
      </c>
    </row>
    <row r="56" spans="1:8" s="1" customFormat="1" ht="16.5" customHeight="1" x14ac:dyDescent="0.2">
      <c r="A56" s="33" t="s">
        <v>17</v>
      </c>
      <c r="B56" s="45">
        <v>16450</v>
      </c>
      <c r="C56" s="44">
        <v>16000</v>
      </c>
      <c r="D56" s="44">
        <v>16000</v>
      </c>
      <c r="E56" s="44">
        <v>16000</v>
      </c>
      <c r="F56" s="51">
        <f t="shared" si="5"/>
        <v>97.264437689969611</v>
      </c>
      <c r="G56" s="52">
        <f t="shared" si="5"/>
        <v>100</v>
      </c>
      <c r="H56" s="53">
        <f t="shared" si="5"/>
        <v>100</v>
      </c>
    </row>
    <row r="57" spans="1:8" s="1" customFormat="1" ht="16.5" customHeight="1" x14ac:dyDescent="0.2">
      <c r="A57" s="91" t="s">
        <v>26</v>
      </c>
      <c r="B57" s="46">
        <f>SUM(B58:B60)</f>
        <v>1809816</v>
      </c>
      <c r="C57" s="42">
        <f>SUM(C58:C60)</f>
        <v>2472897</v>
      </c>
      <c r="D57" s="42">
        <f>SUM(D58:D60)</f>
        <v>2677830</v>
      </c>
      <c r="E57" s="42">
        <f>SUM(E58:E60)</f>
        <v>1897424</v>
      </c>
      <c r="F57" s="48">
        <f t="shared" si="5"/>
        <v>136.63803392168043</v>
      </c>
      <c r="G57" s="49">
        <f t="shared" si="5"/>
        <v>108.28716278923061</v>
      </c>
      <c r="H57" s="50">
        <f t="shared" si="5"/>
        <v>70.85677582221426</v>
      </c>
    </row>
    <row r="58" spans="1:8" ht="16.5" customHeight="1" x14ac:dyDescent="0.2">
      <c r="A58" s="89" t="s">
        <v>378</v>
      </c>
      <c r="B58" s="45">
        <v>380974</v>
      </c>
      <c r="C58" s="44">
        <v>904398</v>
      </c>
      <c r="D58" s="44">
        <v>1249416</v>
      </c>
      <c r="E58" s="44">
        <v>915350</v>
      </c>
      <c r="F58" s="51">
        <f t="shared" si="5"/>
        <v>237.39100306057631</v>
      </c>
      <c r="G58" s="52">
        <f t="shared" si="5"/>
        <v>138.1489123151533</v>
      </c>
      <c r="H58" s="53">
        <f t="shared" si="5"/>
        <v>73.262228112974384</v>
      </c>
    </row>
    <row r="59" spans="1:8" ht="16.5" customHeight="1" x14ac:dyDescent="0.2">
      <c r="A59" s="89" t="s">
        <v>379</v>
      </c>
      <c r="B59" s="45">
        <v>101135</v>
      </c>
      <c r="C59" s="44">
        <v>203906</v>
      </c>
      <c r="D59" s="44">
        <v>262559</v>
      </c>
      <c r="E59" s="44">
        <v>62559</v>
      </c>
      <c r="F59" s="51">
        <f t="shared" si="5"/>
        <v>201.61763978840165</v>
      </c>
      <c r="G59" s="52">
        <f t="shared" si="5"/>
        <v>128.7647249222681</v>
      </c>
      <c r="H59" s="53">
        <f t="shared" si="5"/>
        <v>23.826644677958097</v>
      </c>
    </row>
    <row r="60" spans="1:8" ht="16.5" customHeight="1" x14ac:dyDescent="0.2">
      <c r="A60" s="92" t="s">
        <v>52</v>
      </c>
      <c r="B60" s="45">
        <v>1327707</v>
      </c>
      <c r="C60" s="44">
        <v>1364593</v>
      </c>
      <c r="D60" s="44">
        <v>1165855</v>
      </c>
      <c r="E60" s="44">
        <v>919515</v>
      </c>
      <c r="F60" s="51">
        <f t="shared" si="5"/>
        <v>102.77817319634528</v>
      </c>
      <c r="G60" s="52">
        <f t="shared" si="5"/>
        <v>85.436097063373467</v>
      </c>
      <c r="H60" s="53">
        <f t="shared" si="5"/>
        <v>78.870442722293944</v>
      </c>
    </row>
    <row r="61" spans="1:8" s="3" customFormat="1" ht="17.100000000000001" customHeight="1" x14ac:dyDescent="0.2">
      <c r="A61" s="91" t="s">
        <v>81</v>
      </c>
      <c r="B61" s="46">
        <v>16405268.039000001</v>
      </c>
      <c r="C61" s="42">
        <v>16351024.039000001</v>
      </c>
      <c r="D61" s="42">
        <v>16348724.039000001</v>
      </c>
      <c r="E61" s="42">
        <v>16345824.039000001</v>
      </c>
      <c r="F61" s="48">
        <f t="shared" ref="F61:H63" si="8">C61/B61*100</f>
        <v>99.669350114420268</v>
      </c>
      <c r="G61" s="49">
        <f t="shared" si="8"/>
        <v>99.985933602724117</v>
      </c>
      <c r="H61" s="50">
        <f t="shared" si="8"/>
        <v>99.982261612630552</v>
      </c>
    </row>
    <row r="62" spans="1:8" ht="29.25" customHeight="1" thickBot="1" x14ac:dyDescent="0.25">
      <c r="A62" s="94" t="s">
        <v>300</v>
      </c>
      <c r="B62" s="78">
        <v>147713</v>
      </c>
      <c r="C62" s="79">
        <v>312326</v>
      </c>
      <c r="D62" s="79">
        <v>70314</v>
      </c>
      <c r="E62" s="79">
        <v>11144</v>
      </c>
      <c r="F62" s="80">
        <f t="shared" si="8"/>
        <v>211.44110538679737</v>
      </c>
      <c r="G62" s="81">
        <f t="shared" si="8"/>
        <v>22.513015246889466</v>
      </c>
      <c r="H62" s="82">
        <f t="shared" si="8"/>
        <v>15.848906334442642</v>
      </c>
    </row>
    <row r="63" spans="1:8" ht="16.5" customHeight="1" thickBot="1" x14ac:dyDescent="0.25">
      <c r="A63" s="95" t="s">
        <v>53</v>
      </c>
      <c r="B63" s="47">
        <f>B31+B36+B54+B57+B61+B62</f>
        <v>25997958.039000001</v>
      </c>
      <c r="C63" s="83">
        <f>C31+C36+C54+C57+C61+C62</f>
        <v>27152760.039000001</v>
      </c>
      <c r="D63" s="83">
        <f>D31+D36+D54+D57+D61+D62</f>
        <v>27110431.039000001</v>
      </c>
      <c r="E63" s="83">
        <f>E31+E36+E54+E57+E61+E62</f>
        <v>26453245.039000001</v>
      </c>
      <c r="F63" s="84">
        <f t="shared" si="8"/>
        <v>104.44189500678347</v>
      </c>
      <c r="G63" s="85">
        <f t="shared" si="8"/>
        <v>99.844107928847009</v>
      </c>
      <c r="H63" s="86">
        <f t="shared" si="8"/>
        <v>97.575892470855223</v>
      </c>
    </row>
    <row r="64" spans="1:8" x14ac:dyDescent="0.2">
      <c r="C64" s="24"/>
      <c r="D64" s="24"/>
      <c r="E64" s="24"/>
    </row>
    <row r="65" spans="3:5" x14ac:dyDescent="0.2">
      <c r="C65" s="24"/>
      <c r="D65" s="24"/>
      <c r="E65" s="24"/>
    </row>
    <row r="66" spans="3:5" x14ac:dyDescent="0.2">
      <c r="C66" s="24"/>
      <c r="D66" s="24"/>
      <c r="E66" s="24"/>
    </row>
    <row r="67" spans="3:5" x14ac:dyDescent="0.2">
      <c r="C67" s="24"/>
      <c r="D67" s="24"/>
      <c r="E67" s="24"/>
    </row>
    <row r="68" spans="3:5" x14ac:dyDescent="0.2">
      <c r="C68" s="24"/>
      <c r="D68" s="24"/>
      <c r="E68" s="24"/>
    </row>
    <row r="69" spans="3:5" x14ac:dyDescent="0.2">
      <c r="C69" s="24"/>
      <c r="D69" s="24"/>
      <c r="E69" s="24"/>
    </row>
    <row r="70" spans="3:5" x14ac:dyDescent="0.2">
      <c r="C70" s="24"/>
      <c r="D70" s="24"/>
      <c r="E70" s="24"/>
    </row>
    <row r="71" spans="3:5" x14ac:dyDescent="0.2">
      <c r="C71" s="24"/>
      <c r="D71" s="24"/>
      <c r="E71" s="24"/>
    </row>
    <row r="72" spans="3:5" x14ac:dyDescent="0.2">
      <c r="C72" s="24"/>
      <c r="D72" s="24"/>
      <c r="E72" s="24"/>
    </row>
    <row r="73" spans="3:5" x14ac:dyDescent="0.2">
      <c r="C73" s="24"/>
      <c r="D73" s="24"/>
      <c r="E73" s="24"/>
    </row>
    <row r="74" spans="3:5" x14ac:dyDescent="0.2">
      <c r="C74" s="24"/>
      <c r="D74" s="24"/>
      <c r="E74" s="24"/>
    </row>
    <row r="75" spans="3:5" x14ac:dyDescent="0.2">
      <c r="C75" s="24"/>
      <c r="D75" s="24"/>
      <c r="E75" s="24"/>
    </row>
    <row r="76" spans="3:5" x14ac:dyDescent="0.2">
      <c r="C76" s="24"/>
      <c r="D76" s="24"/>
      <c r="E76" s="24"/>
    </row>
    <row r="77" spans="3:5" x14ac:dyDescent="0.2">
      <c r="C77" s="24"/>
      <c r="D77" s="24"/>
      <c r="E77" s="24"/>
    </row>
    <row r="78" spans="3:5" x14ac:dyDescent="0.2">
      <c r="C78" s="24"/>
      <c r="D78" s="24"/>
      <c r="E78" s="24"/>
    </row>
    <row r="79" spans="3:5" x14ac:dyDescent="0.2">
      <c r="C79" s="24"/>
      <c r="D79" s="24"/>
      <c r="E79" s="24"/>
    </row>
    <row r="80" spans="3:5" x14ac:dyDescent="0.2">
      <c r="C80" s="24"/>
      <c r="D80" s="24"/>
      <c r="E80" s="24"/>
    </row>
  </sheetData>
  <mergeCells count="5">
    <mergeCell ref="A3:H3"/>
    <mergeCell ref="A29:A30"/>
    <mergeCell ref="F29:F30"/>
    <mergeCell ref="G29:G30"/>
    <mergeCell ref="H29:H30"/>
  </mergeCells>
  <printOptions horizontalCentered="1"/>
  <pageMargins left="0.31496062992125984" right="0.31496062992125984" top="0.59055118110236227" bottom="0.59055118110236227" header="0.19685039370078741" footer="0.31496062992125984"/>
  <pageSetup paperSize="9" scale="64" firstPageNumber="2" fitToHeight="0" orientation="portrait" useFirstPageNumber="1" r:id="rId1"/>
  <headerFooter>
    <oddHeader>&amp;L&amp;"Tahoma,Kurzíva"Střednědobý výhled rozpočtu kraje na léta 2020 - 2022
Příloha č. 13&amp;R&amp;"Tahoma,Kurzíva"Bilance příjmů a výdajů v letech 2020 - 2022</oddHeader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M143"/>
  <sheetViews>
    <sheetView zoomScaleNormal="100" zoomScaleSheetLayoutView="100" workbookViewId="0">
      <selection activeCell="I2" sqref="I2"/>
    </sheetView>
  </sheetViews>
  <sheetFormatPr defaultRowHeight="12.75" x14ac:dyDescent="0.2"/>
  <cols>
    <col min="1" max="1" width="50.7109375" style="2" customWidth="1"/>
    <col min="2" max="2" width="14.7109375" style="12" customWidth="1"/>
    <col min="3" max="5" width="12.85546875" style="13" customWidth="1"/>
    <col min="6" max="8" width="12" style="2" customWidth="1"/>
    <col min="9" max="12" width="14.7109375" style="2" customWidth="1"/>
    <col min="13" max="16384" width="9.140625" style="2"/>
  </cols>
  <sheetData>
    <row r="1" spans="1:30" s="1" customFormat="1" ht="16.5" customHeight="1" x14ac:dyDescent="0.2">
      <c r="A1" s="552" t="s">
        <v>27</v>
      </c>
      <c r="B1" s="35">
        <v>2019</v>
      </c>
      <c r="C1" s="36">
        <v>2020</v>
      </c>
      <c r="D1" s="37">
        <v>2021</v>
      </c>
      <c r="E1" s="36">
        <v>2022</v>
      </c>
      <c r="F1" s="546" t="s">
        <v>375</v>
      </c>
      <c r="G1" s="548" t="s">
        <v>61</v>
      </c>
      <c r="H1" s="550" t="s">
        <v>376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s="16" customFormat="1" ht="41.25" customHeight="1" thickBot="1" x14ac:dyDescent="0.25">
      <c r="A2" s="553"/>
      <c r="B2" s="38" t="s">
        <v>54</v>
      </c>
      <c r="C2" s="39" t="s">
        <v>55</v>
      </c>
      <c r="D2" s="40" t="s">
        <v>55</v>
      </c>
      <c r="E2" s="39" t="s">
        <v>55</v>
      </c>
      <c r="F2" s="547"/>
      <c r="G2" s="549"/>
      <c r="H2" s="551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s="3" customFormat="1" ht="16.5" customHeight="1" x14ac:dyDescent="0.2">
      <c r="A3" s="106" t="s">
        <v>8</v>
      </c>
      <c r="B3" s="105">
        <v>630528</v>
      </c>
      <c r="C3" s="42">
        <v>642529</v>
      </c>
      <c r="D3" s="42">
        <v>653703</v>
      </c>
      <c r="E3" s="42">
        <v>665346</v>
      </c>
      <c r="F3" s="97">
        <f t="shared" ref="F3:H18" si="0">C3/B3*100</f>
        <v>101.90332546691027</v>
      </c>
      <c r="G3" s="98">
        <f t="shared" si="0"/>
        <v>101.73906547408755</v>
      </c>
      <c r="H3" s="99">
        <f t="shared" si="0"/>
        <v>101.78108407028881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3" customFormat="1" ht="16.5" customHeight="1" x14ac:dyDescent="0.2">
      <c r="A4" s="106" t="s">
        <v>9</v>
      </c>
      <c r="B4" s="46">
        <f>SUM(B5,B6,B7,B8,B9,B10,B11,B12,B13)</f>
        <v>261042</v>
      </c>
      <c r="C4" s="42">
        <f>SUM(C5,C6,C7,C8,C9,C10,C11,C12,C13)</f>
        <v>260562</v>
      </c>
      <c r="D4" s="42">
        <f>SUM(D5,D6,D7,D8,D9,D10,D11,D12,D13)</f>
        <v>237412</v>
      </c>
      <c r="E4" s="42">
        <f>SUM(E5,E6,E7,E8,E9,E10,E11,E12,E13)</f>
        <v>224259</v>
      </c>
      <c r="F4" s="100">
        <f t="shared" si="0"/>
        <v>99.816121543659648</v>
      </c>
      <c r="G4" s="100">
        <f t="shared" si="0"/>
        <v>91.115358340817153</v>
      </c>
      <c r="H4" s="101">
        <f t="shared" si="0"/>
        <v>94.459841962495574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3" customFormat="1" ht="16.5" customHeight="1" x14ac:dyDescent="0.2">
      <c r="A5" s="107" t="s">
        <v>28</v>
      </c>
      <c r="B5" s="43">
        <v>37200</v>
      </c>
      <c r="C5" s="44">
        <v>37200</v>
      </c>
      <c r="D5" s="44">
        <v>37200</v>
      </c>
      <c r="E5" s="44">
        <v>37200</v>
      </c>
      <c r="F5" s="102">
        <f t="shared" si="0"/>
        <v>100</v>
      </c>
      <c r="G5" s="102">
        <f t="shared" si="0"/>
        <v>100</v>
      </c>
      <c r="H5" s="103">
        <f t="shared" si="0"/>
        <v>100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3" customFormat="1" ht="16.5" customHeight="1" x14ac:dyDescent="0.2">
      <c r="A6" s="107" t="s">
        <v>29</v>
      </c>
      <c r="B6" s="43">
        <v>55000</v>
      </c>
      <c r="C6" s="44">
        <v>50000</v>
      </c>
      <c r="D6" s="44">
        <v>35000</v>
      </c>
      <c r="E6" s="44">
        <v>28000</v>
      </c>
      <c r="F6" s="102">
        <f t="shared" si="0"/>
        <v>90.909090909090907</v>
      </c>
      <c r="G6" s="102">
        <f t="shared" si="0"/>
        <v>70</v>
      </c>
      <c r="H6" s="103">
        <f t="shared" si="0"/>
        <v>80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3" customFormat="1" ht="16.5" customHeight="1" x14ac:dyDescent="0.2">
      <c r="A7" s="107" t="s">
        <v>30</v>
      </c>
      <c r="B7" s="43">
        <v>500</v>
      </c>
      <c r="C7" s="44">
        <v>500</v>
      </c>
      <c r="D7" s="44">
        <v>500</v>
      </c>
      <c r="E7" s="44">
        <v>500</v>
      </c>
      <c r="F7" s="102">
        <f t="shared" si="0"/>
        <v>100</v>
      </c>
      <c r="G7" s="102">
        <f t="shared" si="0"/>
        <v>100</v>
      </c>
      <c r="H7" s="103">
        <f t="shared" si="0"/>
        <v>100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3" customFormat="1" ht="16.5" customHeight="1" x14ac:dyDescent="0.2">
      <c r="A8" s="107" t="s">
        <v>31</v>
      </c>
      <c r="B8" s="43">
        <v>650</v>
      </c>
      <c r="C8" s="44">
        <v>500</v>
      </c>
      <c r="D8" s="44">
        <v>400</v>
      </c>
      <c r="E8" s="44">
        <v>370</v>
      </c>
      <c r="F8" s="102">
        <f t="shared" si="0"/>
        <v>76.923076923076934</v>
      </c>
      <c r="G8" s="102">
        <f t="shared" si="0"/>
        <v>80</v>
      </c>
      <c r="H8" s="103">
        <f t="shared" si="0"/>
        <v>92.5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3" customFormat="1" ht="17.25" customHeight="1" x14ac:dyDescent="0.2">
      <c r="A9" s="107" t="s">
        <v>32</v>
      </c>
      <c r="B9" s="43">
        <v>38000</v>
      </c>
      <c r="C9" s="44">
        <v>37500</v>
      </c>
      <c r="D9" s="44">
        <v>37500</v>
      </c>
      <c r="E9" s="44">
        <v>37500</v>
      </c>
      <c r="F9" s="102">
        <f t="shared" si="0"/>
        <v>98.68421052631578</v>
      </c>
      <c r="G9" s="102">
        <f t="shared" si="0"/>
        <v>100</v>
      </c>
      <c r="H9" s="103">
        <f t="shared" si="0"/>
        <v>100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3" customFormat="1" ht="29.25" customHeight="1" x14ac:dyDescent="0.2">
      <c r="A10" s="107" t="s">
        <v>33</v>
      </c>
      <c r="B10" s="43">
        <v>87370</v>
      </c>
      <c r="C10" s="44">
        <v>87720</v>
      </c>
      <c r="D10" s="44">
        <v>87720</v>
      </c>
      <c r="E10" s="44">
        <v>87720</v>
      </c>
      <c r="F10" s="102">
        <f t="shared" si="0"/>
        <v>100.40059516996681</v>
      </c>
      <c r="G10" s="102">
        <f t="shared" si="0"/>
        <v>100</v>
      </c>
      <c r="H10" s="103">
        <f t="shared" si="0"/>
        <v>100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3" customFormat="1" ht="16.5" customHeight="1" x14ac:dyDescent="0.2">
      <c r="A11" s="107" t="s">
        <v>368</v>
      </c>
      <c r="B11" s="43">
        <v>20000</v>
      </c>
      <c r="C11" s="44">
        <v>20000</v>
      </c>
      <c r="D11" s="44">
        <v>20000</v>
      </c>
      <c r="E11" s="44">
        <v>20000</v>
      </c>
      <c r="F11" s="102">
        <f t="shared" si="0"/>
        <v>100</v>
      </c>
      <c r="G11" s="102">
        <f t="shared" si="0"/>
        <v>100</v>
      </c>
      <c r="H11" s="103">
        <f t="shared" si="0"/>
        <v>100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3" customFormat="1" ht="17.25" customHeight="1" x14ac:dyDescent="0.2">
      <c r="A12" s="108" t="s">
        <v>34</v>
      </c>
      <c r="B12" s="43">
        <v>10400</v>
      </c>
      <c r="C12" s="44">
        <v>19800</v>
      </c>
      <c r="D12" s="44">
        <v>11800</v>
      </c>
      <c r="E12" s="44">
        <v>5700</v>
      </c>
      <c r="F12" s="102">
        <f t="shared" si="0"/>
        <v>190.38461538461539</v>
      </c>
      <c r="G12" s="102">
        <f t="shared" si="0"/>
        <v>59.595959595959592</v>
      </c>
      <c r="H12" s="103">
        <f t="shared" si="0"/>
        <v>48.305084745762713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3" customFormat="1" ht="16.5" customHeight="1" x14ac:dyDescent="0.2">
      <c r="A13" s="108" t="s">
        <v>35</v>
      </c>
      <c r="B13" s="45">
        <v>11922</v>
      </c>
      <c r="C13" s="44">
        <v>7342</v>
      </c>
      <c r="D13" s="44">
        <v>7292</v>
      </c>
      <c r="E13" s="44">
        <v>7269</v>
      </c>
      <c r="F13" s="102">
        <f t="shared" si="0"/>
        <v>61.58362690823688</v>
      </c>
      <c r="G13" s="102">
        <f t="shared" si="0"/>
        <v>99.318986652138392</v>
      </c>
      <c r="H13" s="103">
        <f t="shared" si="0"/>
        <v>99.68458584750411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3" customFormat="1" ht="27.75" customHeight="1" collapsed="1" x14ac:dyDescent="0.2">
      <c r="A14" s="109" t="s">
        <v>62</v>
      </c>
      <c r="B14" s="46">
        <f>SUM(B15,B16,B17,B18,B19,B20,B21,B22,B23,B24,B25,B26,B27)</f>
        <v>3169508</v>
      </c>
      <c r="C14" s="42">
        <f t="shared" ref="C14:E14" si="1">SUM(C15,C16,C17,C18,C19,C20,C21,C22,C23,C24,C25,C26,C27)</f>
        <v>3178970</v>
      </c>
      <c r="D14" s="42">
        <f t="shared" si="1"/>
        <v>3354632</v>
      </c>
      <c r="E14" s="42">
        <f t="shared" si="1"/>
        <v>3466665</v>
      </c>
      <c r="F14" s="100">
        <f t="shared" si="0"/>
        <v>100.29853213811101</v>
      </c>
      <c r="G14" s="100">
        <f t="shared" si="0"/>
        <v>105.5257520517652</v>
      </c>
      <c r="H14" s="101">
        <f t="shared" si="0"/>
        <v>103.33965096618644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3" customFormat="1" ht="16.5" customHeight="1" x14ac:dyDescent="0.2">
      <c r="A15" s="108" t="s">
        <v>76</v>
      </c>
      <c r="B15" s="45">
        <v>934763</v>
      </c>
      <c r="C15" s="44">
        <v>1043065</v>
      </c>
      <c r="D15" s="44">
        <v>1069142</v>
      </c>
      <c r="E15" s="44">
        <v>1095871</v>
      </c>
      <c r="F15" s="102">
        <f t="shared" si="0"/>
        <v>111.58603838620056</v>
      </c>
      <c r="G15" s="102">
        <f t="shared" si="0"/>
        <v>102.50003595173838</v>
      </c>
      <c r="H15" s="103">
        <f t="shared" si="0"/>
        <v>102.5000420898253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3" customFormat="1" ht="16.5" customHeight="1" x14ac:dyDescent="0.2">
      <c r="A16" s="108" t="s">
        <v>77</v>
      </c>
      <c r="B16" s="45">
        <v>846000</v>
      </c>
      <c r="C16" s="44">
        <v>867150</v>
      </c>
      <c r="D16" s="44">
        <v>889829</v>
      </c>
      <c r="E16" s="44">
        <v>911049</v>
      </c>
      <c r="F16" s="102">
        <f t="shared" si="0"/>
        <v>102.49999999999999</v>
      </c>
      <c r="G16" s="102">
        <f t="shared" si="0"/>
        <v>102.61534913221473</v>
      </c>
      <c r="H16" s="103">
        <f t="shared" si="0"/>
        <v>102.38472785220532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65" s="3" customFormat="1" ht="16.5" customHeight="1" x14ac:dyDescent="0.2">
      <c r="A17" s="108" t="s">
        <v>78</v>
      </c>
      <c r="B17" s="45">
        <v>223634</v>
      </c>
      <c r="C17" s="44">
        <v>252444</v>
      </c>
      <c r="D17" s="44">
        <v>189690</v>
      </c>
      <c r="E17" s="44">
        <v>219214</v>
      </c>
      <c r="F17" s="102">
        <f t="shared" si="0"/>
        <v>112.8826564833612</v>
      </c>
      <c r="G17" s="102">
        <f t="shared" si="0"/>
        <v>75.141417502495599</v>
      </c>
      <c r="H17" s="103">
        <f t="shared" si="0"/>
        <v>115.56434182086561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65" s="3" customFormat="1" ht="16.5" customHeight="1" x14ac:dyDescent="0.2">
      <c r="A18" s="108" t="s">
        <v>36</v>
      </c>
      <c r="B18" s="45">
        <f>158723+4000</f>
        <v>162723</v>
      </c>
      <c r="C18" s="44">
        <f>117163+4000</f>
        <v>121163</v>
      </c>
      <c r="D18" s="44">
        <f>142153+4000</f>
        <v>146153</v>
      </c>
      <c r="E18" s="44">
        <f>142273+4000</f>
        <v>146273</v>
      </c>
      <c r="F18" s="102">
        <f t="shared" si="0"/>
        <v>74.459664583371747</v>
      </c>
      <c r="G18" s="102">
        <f t="shared" si="0"/>
        <v>120.62510832514877</v>
      </c>
      <c r="H18" s="103">
        <f t="shared" si="0"/>
        <v>100.08210573850691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65" s="3" customFormat="1" ht="16.5" customHeight="1" x14ac:dyDescent="0.2">
      <c r="A19" s="108" t="s">
        <v>37</v>
      </c>
      <c r="B19" s="45">
        <f>55659+24650</f>
        <v>80309</v>
      </c>
      <c r="C19" s="44">
        <f>55517+24650</f>
        <v>80167</v>
      </c>
      <c r="D19" s="44">
        <f>206417+24650</f>
        <v>231067</v>
      </c>
      <c r="E19" s="44">
        <f>206432+24650</f>
        <v>231082</v>
      </c>
      <c r="F19" s="102">
        <f t="shared" ref="F19:H34" si="2">C19/B19*100</f>
        <v>99.82318295583309</v>
      </c>
      <c r="G19" s="102">
        <f t="shared" si="2"/>
        <v>288.23206556313698</v>
      </c>
      <c r="H19" s="103">
        <f t="shared" si="2"/>
        <v>100.00649162364164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65" s="3" customFormat="1" ht="16.5" customHeight="1" x14ac:dyDescent="0.2">
      <c r="A20" s="108" t="s">
        <v>38</v>
      </c>
      <c r="B20" s="43">
        <v>50002</v>
      </c>
      <c r="C20" s="44">
        <v>51572</v>
      </c>
      <c r="D20" s="44">
        <v>50072</v>
      </c>
      <c r="E20" s="44">
        <v>50072</v>
      </c>
      <c r="F20" s="102">
        <f t="shared" si="2"/>
        <v>103.13987440502379</v>
      </c>
      <c r="G20" s="102">
        <f t="shared" si="2"/>
        <v>97.091444970138838</v>
      </c>
      <c r="H20" s="103">
        <f t="shared" si="2"/>
        <v>100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65" s="3" customFormat="1" ht="16.149999999999999" customHeight="1" x14ac:dyDescent="0.2">
      <c r="A21" s="108" t="s">
        <v>39</v>
      </c>
      <c r="B21" s="43">
        <f>101304+101788</f>
        <v>203092</v>
      </c>
      <c r="C21" s="44">
        <f>57089+76985</f>
        <v>134074</v>
      </c>
      <c r="D21" s="44">
        <f>55489+80017</f>
        <v>135506</v>
      </c>
      <c r="E21" s="44">
        <f>55489+77000</f>
        <v>132489</v>
      </c>
      <c r="F21" s="102">
        <f t="shared" si="2"/>
        <v>66.016386662202351</v>
      </c>
      <c r="G21" s="102">
        <f t="shared" si="2"/>
        <v>101.06806688843474</v>
      </c>
      <c r="H21" s="103">
        <f t="shared" si="2"/>
        <v>97.773530323380527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65" s="3" customFormat="1" ht="16.5" customHeight="1" x14ac:dyDescent="0.2">
      <c r="A22" s="108" t="s">
        <v>40</v>
      </c>
      <c r="B22" s="43">
        <f>44959+29796</f>
        <v>74755</v>
      </c>
      <c r="C22" s="44">
        <f>43880+20660</f>
        <v>64540</v>
      </c>
      <c r="D22" s="44">
        <f>43880+23636</f>
        <v>67516</v>
      </c>
      <c r="E22" s="44">
        <f>43880+20204</f>
        <v>64084</v>
      </c>
      <c r="F22" s="102">
        <f t="shared" si="2"/>
        <v>86.335362183131565</v>
      </c>
      <c r="G22" s="102">
        <f t="shared" si="2"/>
        <v>104.61109389525876</v>
      </c>
      <c r="H22" s="103">
        <f t="shared" si="2"/>
        <v>94.916760471591914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65" s="3" customFormat="1" ht="16.5" customHeight="1" x14ac:dyDescent="0.2">
      <c r="A23" s="108" t="s">
        <v>41</v>
      </c>
      <c r="B23" s="43">
        <f>9746+206729</f>
        <v>216475</v>
      </c>
      <c r="C23" s="44">
        <f>11680+250500</f>
        <v>262180</v>
      </c>
      <c r="D23" s="44">
        <f>11680+288500</f>
        <v>300180</v>
      </c>
      <c r="E23" s="44">
        <f>11724+326500</f>
        <v>338224</v>
      </c>
      <c r="F23" s="102">
        <f t="shared" si="2"/>
        <v>121.11329252800553</v>
      </c>
      <c r="G23" s="102">
        <f t="shared" si="2"/>
        <v>114.49385918071553</v>
      </c>
      <c r="H23" s="103">
        <f t="shared" si="2"/>
        <v>112.67372909587581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65" s="3" customFormat="1" ht="16.5" customHeight="1" x14ac:dyDescent="0.2">
      <c r="A24" s="108" t="s">
        <v>42</v>
      </c>
      <c r="B24" s="43">
        <f>165149+58846</f>
        <v>223995</v>
      </c>
      <c r="C24" s="44">
        <f>97142+58846</f>
        <v>155988</v>
      </c>
      <c r="D24" s="44">
        <f>98744+58846</f>
        <v>157590</v>
      </c>
      <c r="E24" s="44">
        <f>97828+58846</f>
        <v>156674</v>
      </c>
      <c r="F24" s="102">
        <f t="shared" si="2"/>
        <v>69.639054443179532</v>
      </c>
      <c r="G24" s="102">
        <f t="shared" si="2"/>
        <v>101.02700207708286</v>
      </c>
      <c r="H24" s="103">
        <f t="shared" si="2"/>
        <v>99.418744844216008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65" s="8" customFormat="1" ht="16.5" customHeight="1" x14ac:dyDescent="0.2">
      <c r="A25" s="108" t="s">
        <v>43</v>
      </c>
      <c r="B25" s="43">
        <v>3745</v>
      </c>
      <c r="C25" s="44">
        <v>4900</v>
      </c>
      <c r="D25" s="44">
        <v>2400</v>
      </c>
      <c r="E25" s="44">
        <v>6900</v>
      </c>
      <c r="F25" s="102">
        <f t="shared" si="2"/>
        <v>130.84112149532709</v>
      </c>
      <c r="G25" s="102">
        <f t="shared" si="2"/>
        <v>48.979591836734691</v>
      </c>
      <c r="H25" s="103">
        <f t="shared" si="2"/>
        <v>287.5</v>
      </c>
    </row>
    <row r="26" spans="1:65" s="3" customFormat="1" ht="16.5" customHeight="1" x14ac:dyDescent="0.2">
      <c r="A26" s="108" t="s">
        <v>44</v>
      </c>
      <c r="B26" s="43">
        <f>60522+5000</f>
        <v>65522</v>
      </c>
      <c r="C26" s="44">
        <f>76047+5000</f>
        <v>81047</v>
      </c>
      <c r="D26" s="44">
        <f>50507+5000</f>
        <v>55507</v>
      </c>
      <c r="E26" s="44">
        <f>50553+5000</f>
        <v>55553</v>
      </c>
      <c r="F26" s="102">
        <f t="shared" si="2"/>
        <v>123.69433167485731</v>
      </c>
      <c r="G26" s="102">
        <f t="shared" si="2"/>
        <v>68.487420879242904</v>
      </c>
      <c r="H26" s="103">
        <f t="shared" si="2"/>
        <v>100.08287243050427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65" s="3" customFormat="1" ht="16.5" customHeight="1" x14ac:dyDescent="0.2">
      <c r="A27" s="108" t="s">
        <v>45</v>
      </c>
      <c r="B27" s="45">
        <f>31493+53000</f>
        <v>84493</v>
      </c>
      <c r="C27" s="44">
        <f>30180+30500</f>
        <v>60680</v>
      </c>
      <c r="D27" s="44">
        <f>29480+30500</f>
        <v>59980</v>
      </c>
      <c r="E27" s="44">
        <f>28680+30500</f>
        <v>59180</v>
      </c>
      <c r="F27" s="102">
        <f t="shared" si="2"/>
        <v>71.816600191731865</v>
      </c>
      <c r="G27" s="102">
        <f t="shared" si="2"/>
        <v>98.846407382992751</v>
      </c>
      <c r="H27" s="103">
        <f t="shared" si="2"/>
        <v>98.666222074024674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65" s="3" customFormat="1" ht="16.5" customHeight="1" x14ac:dyDescent="0.2">
      <c r="A28" s="106" t="s">
        <v>10</v>
      </c>
      <c r="B28" s="46">
        <f>SUM(B29,B30,B31,B32,B33,B34)</f>
        <v>2746121</v>
      </c>
      <c r="C28" s="42">
        <f t="shared" ref="C28:E28" si="3">SUM(C29,C30,C31,C32,C33,C34)</f>
        <v>2783342</v>
      </c>
      <c r="D28" s="42">
        <f t="shared" si="3"/>
        <v>2803023</v>
      </c>
      <c r="E28" s="42">
        <f t="shared" si="3"/>
        <v>2826163</v>
      </c>
      <c r="F28" s="100">
        <f t="shared" si="2"/>
        <v>101.35540276630199</v>
      </c>
      <c r="G28" s="100">
        <f t="shared" si="2"/>
        <v>100.70709959465995</v>
      </c>
      <c r="H28" s="101">
        <f t="shared" si="2"/>
        <v>100.82553728599444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65" s="3" customFormat="1" ht="16.5" customHeight="1" x14ac:dyDescent="0.2">
      <c r="A29" s="108" t="s">
        <v>79</v>
      </c>
      <c r="B29" s="45">
        <v>678108</v>
      </c>
      <c r="C29" s="44">
        <v>689958</v>
      </c>
      <c r="D29" s="44">
        <v>701716</v>
      </c>
      <c r="E29" s="44">
        <v>713764</v>
      </c>
      <c r="F29" s="102">
        <f t="shared" si="2"/>
        <v>101.74750924631475</v>
      </c>
      <c r="G29" s="102">
        <f t="shared" si="2"/>
        <v>101.70416170259639</v>
      </c>
      <c r="H29" s="103">
        <f t="shared" si="2"/>
        <v>101.71693391628523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65" s="3" customFormat="1" ht="16.5" customHeight="1" x14ac:dyDescent="0.2">
      <c r="A30" s="108" t="s">
        <v>37</v>
      </c>
      <c r="B30" s="45">
        <v>265025</v>
      </c>
      <c r="C30" s="44">
        <v>274855</v>
      </c>
      <c r="D30" s="44">
        <v>274412</v>
      </c>
      <c r="E30" s="44">
        <v>274715</v>
      </c>
      <c r="F30" s="102">
        <f t="shared" si="2"/>
        <v>103.70908404867465</v>
      </c>
      <c r="G30" s="102">
        <f t="shared" si="2"/>
        <v>99.838824107256556</v>
      </c>
      <c r="H30" s="103">
        <f t="shared" si="2"/>
        <v>100.11041791175313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65" s="3" customFormat="1" ht="16.5" customHeight="1" x14ac:dyDescent="0.2">
      <c r="A31" s="108" t="s">
        <v>41</v>
      </c>
      <c r="B31" s="45">
        <v>333500</v>
      </c>
      <c r="C31" s="44">
        <v>361600</v>
      </c>
      <c r="D31" s="44">
        <v>369700</v>
      </c>
      <c r="E31" s="44">
        <v>373000</v>
      </c>
      <c r="F31" s="102">
        <f t="shared" si="2"/>
        <v>108.42578710644676</v>
      </c>
      <c r="G31" s="102">
        <f t="shared" si="2"/>
        <v>102.24004424778761</v>
      </c>
      <c r="H31" s="103">
        <f t="shared" si="2"/>
        <v>100.89261563429808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65" s="3" customFormat="1" ht="16.5" customHeight="1" x14ac:dyDescent="0.2">
      <c r="A32" s="108" t="s">
        <v>42</v>
      </c>
      <c r="B32" s="45">
        <v>811848</v>
      </c>
      <c r="C32" s="44">
        <v>816222</v>
      </c>
      <c r="D32" s="44">
        <v>821488</v>
      </c>
      <c r="E32" s="44">
        <v>828977</v>
      </c>
      <c r="F32" s="102">
        <f t="shared" si="2"/>
        <v>100.53877080438703</v>
      </c>
      <c r="G32" s="102">
        <f t="shared" si="2"/>
        <v>100.64516761371294</v>
      </c>
      <c r="H32" s="103">
        <f t="shared" si="2"/>
        <v>100.9116383927702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</row>
    <row r="33" spans="1:30" s="3" customFormat="1" ht="16.5" customHeight="1" x14ac:dyDescent="0.2">
      <c r="A33" s="108" t="s">
        <v>44</v>
      </c>
      <c r="B33" s="45">
        <v>656240</v>
      </c>
      <c r="C33" s="44">
        <v>639307</v>
      </c>
      <c r="D33" s="44">
        <v>634307</v>
      </c>
      <c r="E33" s="44">
        <v>634307</v>
      </c>
      <c r="F33" s="102">
        <f t="shared" si="2"/>
        <v>97.419694014384987</v>
      </c>
      <c r="G33" s="102">
        <f t="shared" si="2"/>
        <v>99.217903135739178</v>
      </c>
      <c r="H33" s="103">
        <f t="shared" si="2"/>
        <v>100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3" customFormat="1" ht="16.5" customHeight="1" x14ac:dyDescent="0.2">
      <c r="A34" s="108" t="s">
        <v>45</v>
      </c>
      <c r="B34" s="45">
        <v>1400</v>
      </c>
      <c r="C34" s="44">
        <v>1400</v>
      </c>
      <c r="D34" s="44">
        <v>1400</v>
      </c>
      <c r="E34" s="44">
        <v>1400</v>
      </c>
      <c r="F34" s="102">
        <f t="shared" si="2"/>
        <v>100</v>
      </c>
      <c r="G34" s="102">
        <f t="shared" si="2"/>
        <v>100</v>
      </c>
      <c r="H34" s="103">
        <f t="shared" si="2"/>
        <v>100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3" customFormat="1" ht="16.5" customHeight="1" x14ac:dyDescent="0.2">
      <c r="A35" s="106" t="s">
        <v>65</v>
      </c>
      <c r="B35" s="46">
        <f>SUM(B36:B38)</f>
        <v>223958</v>
      </c>
      <c r="C35" s="42">
        <f>SUM(C36:C38)</f>
        <v>104600</v>
      </c>
      <c r="D35" s="42">
        <f t="shared" ref="D35:E35" si="4">SUM(D36:D38)</f>
        <v>104600</v>
      </c>
      <c r="E35" s="42">
        <f t="shared" si="4"/>
        <v>104600</v>
      </c>
      <c r="F35" s="100">
        <f t="shared" ref="F35:H38" si="5">C35/B35*100</f>
        <v>46.705185793764905</v>
      </c>
      <c r="G35" s="100">
        <f t="shared" si="5"/>
        <v>100</v>
      </c>
      <c r="H35" s="101">
        <f t="shared" si="5"/>
        <v>100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3" customFormat="1" ht="16.5" customHeight="1" x14ac:dyDescent="0.2">
      <c r="A36" s="108" t="s">
        <v>37</v>
      </c>
      <c r="B36" s="43">
        <v>21229</v>
      </c>
      <c r="C36" s="44">
        <v>0</v>
      </c>
      <c r="D36" s="44">
        <v>0</v>
      </c>
      <c r="E36" s="44">
        <v>0</v>
      </c>
      <c r="F36" s="102">
        <f t="shared" si="5"/>
        <v>0</v>
      </c>
      <c r="G36" s="426" t="s">
        <v>6</v>
      </c>
      <c r="H36" s="427" t="s">
        <v>6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3" customFormat="1" ht="16.5" customHeight="1" x14ac:dyDescent="0.2">
      <c r="A37" s="108" t="s">
        <v>41</v>
      </c>
      <c r="B37" s="43">
        <v>104600</v>
      </c>
      <c r="C37" s="44">
        <v>104600</v>
      </c>
      <c r="D37" s="44">
        <v>104600</v>
      </c>
      <c r="E37" s="44">
        <v>104600</v>
      </c>
      <c r="F37" s="102">
        <f t="shared" si="5"/>
        <v>100</v>
      </c>
      <c r="G37" s="102">
        <f t="shared" si="5"/>
        <v>100</v>
      </c>
      <c r="H37" s="103">
        <f>E37/D37*100</f>
        <v>100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3" customFormat="1" ht="16.5" customHeight="1" x14ac:dyDescent="0.2">
      <c r="A38" s="108" t="s">
        <v>44</v>
      </c>
      <c r="B38" s="43">
        <v>98129</v>
      </c>
      <c r="C38" s="44">
        <v>0</v>
      </c>
      <c r="D38" s="44">
        <v>0</v>
      </c>
      <c r="E38" s="44">
        <v>0</v>
      </c>
      <c r="F38" s="102">
        <f t="shared" si="5"/>
        <v>0</v>
      </c>
      <c r="G38" s="426" t="s">
        <v>6</v>
      </c>
      <c r="H38" s="427" t="s">
        <v>6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3" customFormat="1" ht="6" customHeight="1" x14ac:dyDescent="0.2">
      <c r="A39" s="110"/>
      <c r="B39" s="43"/>
      <c r="C39" s="44"/>
      <c r="D39" s="44"/>
      <c r="E39" s="44"/>
      <c r="F39" s="104"/>
      <c r="G39" s="104"/>
      <c r="H39" s="114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3" customFormat="1" ht="29.25" customHeight="1" x14ac:dyDescent="0.2">
      <c r="A40" s="109" t="s">
        <v>82</v>
      </c>
      <c r="B40" s="46">
        <v>16405268.039000001</v>
      </c>
      <c r="C40" s="42">
        <v>16351024.039000001</v>
      </c>
      <c r="D40" s="42">
        <v>16348724.039000001</v>
      </c>
      <c r="E40" s="42">
        <v>16345824.039000001</v>
      </c>
      <c r="F40" s="100">
        <f t="shared" ref="F40:H40" si="6">C40/B40*100</f>
        <v>99.669350114420268</v>
      </c>
      <c r="G40" s="100">
        <f t="shared" si="6"/>
        <v>99.985933602724117</v>
      </c>
      <c r="H40" s="101">
        <f t="shared" si="6"/>
        <v>99.982261612630552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3" customFormat="1" ht="6" customHeight="1" x14ac:dyDescent="0.2">
      <c r="A41" s="111"/>
      <c r="B41" s="41"/>
      <c r="C41" s="42"/>
      <c r="D41" s="42"/>
      <c r="E41" s="42"/>
      <c r="F41" s="104"/>
      <c r="G41" s="104"/>
      <c r="H41" s="114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3" customFormat="1" ht="29.25" customHeight="1" x14ac:dyDescent="0.2">
      <c r="A42" s="109" t="s">
        <v>46</v>
      </c>
      <c r="B42" s="46">
        <f>SUM(B43,B44,B45,B46,B47,B48,B49,B50,B51,B52)</f>
        <v>1148153</v>
      </c>
      <c r="C42" s="42">
        <f t="shared" ref="C42:E42" si="7">SUM(C43,C44,C45,C46,C47,C48,C49,C50,C51,C52)</f>
        <v>1476963</v>
      </c>
      <c r="D42" s="42">
        <f t="shared" si="7"/>
        <v>1960832</v>
      </c>
      <c r="E42" s="42">
        <f t="shared" si="7"/>
        <v>1272223</v>
      </c>
      <c r="F42" s="100">
        <f t="shared" ref="F42:H52" si="8">C42/B42*100</f>
        <v>128.63816930322005</v>
      </c>
      <c r="G42" s="100">
        <f t="shared" si="8"/>
        <v>132.76107796877784</v>
      </c>
      <c r="H42" s="101">
        <f t="shared" si="8"/>
        <v>64.881795074743792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3" customFormat="1" ht="16.5" customHeight="1" x14ac:dyDescent="0.2">
      <c r="A43" s="108" t="s">
        <v>80</v>
      </c>
      <c r="B43" s="43">
        <f>31810+1750</f>
        <v>33560</v>
      </c>
      <c r="C43" s="44">
        <f>24460+250</f>
        <v>24710</v>
      </c>
      <c r="D43" s="44">
        <f>23310+3250</f>
        <v>26560</v>
      </c>
      <c r="E43" s="44">
        <f>24010+1250</f>
        <v>25260</v>
      </c>
      <c r="F43" s="102">
        <f t="shared" si="8"/>
        <v>73.62932061978546</v>
      </c>
      <c r="G43" s="102">
        <f t="shared" si="8"/>
        <v>107.48684743019021</v>
      </c>
      <c r="H43" s="103">
        <f t="shared" si="8"/>
        <v>95.105421686746979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1" customFormat="1" ht="16.5" customHeight="1" x14ac:dyDescent="0.2">
      <c r="A44" s="108" t="s">
        <v>47</v>
      </c>
      <c r="B44" s="45">
        <v>19507</v>
      </c>
      <c r="C44" s="44">
        <v>19507</v>
      </c>
      <c r="D44" s="44">
        <v>19507</v>
      </c>
      <c r="E44" s="44">
        <v>19507</v>
      </c>
      <c r="F44" s="102">
        <f t="shared" si="8"/>
        <v>100</v>
      </c>
      <c r="G44" s="102">
        <f t="shared" si="8"/>
        <v>100</v>
      </c>
      <c r="H44" s="103">
        <f t="shared" si="8"/>
        <v>100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s="3" customFormat="1" ht="16.5" customHeight="1" x14ac:dyDescent="0.2">
      <c r="A45" s="108" t="s">
        <v>79</v>
      </c>
      <c r="B45" s="45">
        <v>163199</v>
      </c>
      <c r="C45" s="44">
        <v>288954</v>
      </c>
      <c r="D45" s="44">
        <v>288954</v>
      </c>
      <c r="E45" s="44">
        <v>246954</v>
      </c>
      <c r="F45" s="102">
        <f t="shared" si="8"/>
        <v>177.05623196220566</v>
      </c>
      <c r="G45" s="102">
        <f t="shared" si="8"/>
        <v>100</v>
      </c>
      <c r="H45" s="103">
        <f t="shared" si="8"/>
        <v>85.464814468738965</v>
      </c>
      <c r="I45" s="1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3" customFormat="1" ht="16.5" customHeight="1" x14ac:dyDescent="0.2">
      <c r="A46" s="108" t="s">
        <v>36</v>
      </c>
      <c r="B46" s="43">
        <v>42603</v>
      </c>
      <c r="C46" s="44">
        <v>0</v>
      </c>
      <c r="D46" s="44">
        <v>0</v>
      </c>
      <c r="E46" s="44">
        <v>2000</v>
      </c>
      <c r="F46" s="102">
        <f t="shared" si="8"/>
        <v>0</v>
      </c>
      <c r="G46" s="426" t="s">
        <v>6</v>
      </c>
      <c r="H46" s="427" t="s">
        <v>6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3" customFormat="1" ht="16.5" customHeight="1" x14ac:dyDescent="0.2">
      <c r="A47" s="108" t="s">
        <v>37</v>
      </c>
      <c r="B47" s="45">
        <v>148025</v>
      </c>
      <c r="C47" s="44">
        <v>495110</v>
      </c>
      <c r="D47" s="44">
        <v>1123610</v>
      </c>
      <c r="E47" s="44">
        <v>432070</v>
      </c>
      <c r="F47" s="102">
        <f t="shared" si="8"/>
        <v>334.47728424252659</v>
      </c>
      <c r="G47" s="102">
        <f t="shared" si="8"/>
        <v>226.94148775019693</v>
      </c>
      <c r="H47" s="103">
        <f t="shared" si="8"/>
        <v>38.453733946832088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3" customFormat="1" ht="16.5" customHeight="1" x14ac:dyDescent="0.2">
      <c r="A48" s="108" t="s">
        <v>40</v>
      </c>
      <c r="B48" s="45">
        <v>2700</v>
      </c>
      <c r="C48" s="44">
        <v>0</v>
      </c>
      <c r="D48" s="44">
        <v>0</v>
      </c>
      <c r="E48" s="44">
        <v>0</v>
      </c>
      <c r="F48" s="102">
        <f t="shared" si="8"/>
        <v>0</v>
      </c>
      <c r="G48" s="426" t="s">
        <v>6</v>
      </c>
      <c r="H48" s="427" t="s">
        <v>6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3" customFormat="1" ht="16.5" customHeight="1" x14ac:dyDescent="0.2">
      <c r="A49" s="108" t="s">
        <v>41</v>
      </c>
      <c r="B49" s="45">
        <v>135975</v>
      </c>
      <c r="C49" s="44">
        <v>268650</v>
      </c>
      <c r="D49" s="44">
        <v>62700</v>
      </c>
      <c r="E49" s="44">
        <v>2000</v>
      </c>
      <c r="F49" s="102">
        <f t="shared" si="8"/>
        <v>197.573083287369</v>
      </c>
      <c r="G49" s="102">
        <f t="shared" si="8"/>
        <v>23.33891680625349</v>
      </c>
      <c r="H49" s="103">
        <f t="shared" si="8"/>
        <v>3.1897926634768736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3" customFormat="1" ht="16.5" customHeight="1" x14ac:dyDescent="0.2">
      <c r="A50" s="108" t="s">
        <v>42</v>
      </c>
      <c r="B50" s="45">
        <v>249910</v>
      </c>
      <c r="C50" s="44">
        <v>137900</v>
      </c>
      <c r="D50" s="44">
        <v>213700</v>
      </c>
      <c r="E50" s="44">
        <v>6500</v>
      </c>
      <c r="F50" s="102">
        <f t="shared" si="8"/>
        <v>55.179864751310468</v>
      </c>
      <c r="G50" s="102">
        <f t="shared" si="8"/>
        <v>154.96736765772297</v>
      </c>
      <c r="H50" s="103">
        <f t="shared" si="8"/>
        <v>3.0416471689284044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3" customFormat="1" ht="16.5" customHeight="1" x14ac:dyDescent="0.2">
      <c r="A51" s="108" t="s">
        <v>44</v>
      </c>
      <c r="B51" s="45">
        <v>352674</v>
      </c>
      <c r="C51" s="44">
        <v>242132</v>
      </c>
      <c r="D51" s="44">
        <v>187875</v>
      </c>
      <c r="E51" s="44">
        <v>80482</v>
      </c>
      <c r="F51" s="102">
        <f t="shared" si="8"/>
        <v>68.656039288407982</v>
      </c>
      <c r="G51" s="102">
        <f t="shared" si="8"/>
        <v>77.591974625410927</v>
      </c>
      <c r="H51" s="103">
        <f t="shared" si="8"/>
        <v>42.838057218895543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3" customFormat="1" ht="16.5" customHeight="1" x14ac:dyDescent="0.2">
      <c r="A52" s="108" t="s">
        <v>349</v>
      </c>
      <c r="B52" s="45">
        <v>0</v>
      </c>
      <c r="C52" s="120">
        <v>0</v>
      </c>
      <c r="D52" s="120">
        <v>37926</v>
      </c>
      <c r="E52" s="120">
        <v>457450</v>
      </c>
      <c r="F52" s="426" t="s">
        <v>6</v>
      </c>
      <c r="G52" s="426" t="s">
        <v>6</v>
      </c>
      <c r="H52" s="103">
        <f t="shared" si="8"/>
        <v>1206.1646363971945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3" customFormat="1" ht="6" customHeight="1" x14ac:dyDescent="0.2">
      <c r="A53" s="121"/>
      <c r="B53" s="43"/>
      <c r="C53" s="44"/>
      <c r="D53" s="44"/>
      <c r="E53" s="44"/>
      <c r="F53" s="104"/>
      <c r="G53" s="104"/>
      <c r="H53" s="11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19" customFormat="1" ht="16.5" customHeight="1" x14ac:dyDescent="0.2">
      <c r="A54" s="112" t="s">
        <v>66</v>
      </c>
      <c r="B54" s="41">
        <f>SUM(B55,B56,B57,B58,B59,B60,B61,B62,B63,B64,B65,B66)</f>
        <v>2105260</v>
      </c>
      <c r="C54" s="42">
        <f t="shared" ref="C54:E54" si="9">SUM(C55,C56,C57,C58,C59,C60,C61,C62,C63,C64,C65,C66)</f>
        <v>1461761</v>
      </c>
      <c r="D54" s="42">
        <f t="shared" si="9"/>
        <v>1441000</v>
      </c>
      <c r="E54" s="42">
        <f t="shared" si="9"/>
        <v>1349948</v>
      </c>
      <c r="F54" s="100">
        <f t="shared" ref="F54:H54" si="10">C54/B54*100</f>
        <v>69.433751650627471</v>
      </c>
      <c r="G54" s="100">
        <f t="shared" si="10"/>
        <v>98.579726781601096</v>
      </c>
      <c r="H54" s="101">
        <f t="shared" si="10"/>
        <v>93.681332408049968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s="19" customFormat="1" ht="16.5" customHeight="1" x14ac:dyDescent="0.2">
      <c r="A55" s="108" t="s">
        <v>80</v>
      </c>
      <c r="B55" s="45">
        <v>32580</v>
      </c>
      <c r="C55" s="44">
        <v>550</v>
      </c>
      <c r="D55" s="44">
        <v>250</v>
      </c>
      <c r="E55" s="44">
        <v>0</v>
      </c>
      <c r="F55" s="102">
        <f>C55/B55*100</f>
        <v>1.6881522406384284</v>
      </c>
      <c r="G55" s="102">
        <f>D55/C55*100</f>
        <v>45.454545454545453</v>
      </c>
      <c r="H55" s="103">
        <f>E55/D55*100</f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s="19" customFormat="1" ht="16.5" customHeight="1" x14ac:dyDescent="0.2">
      <c r="A56" s="108" t="s">
        <v>47</v>
      </c>
      <c r="B56" s="45">
        <v>52000</v>
      </c>
      <c r="C56" s="44">
        <v>82628</v>
      </c>
      <c r="D56" s="44">
        <v>0</v>
      </c>
      <c r="E56" s="44">
        <v>0</v>
      </c>
      <c r="F56" s="102">
        <f t="shared" ref="F56:H65" si="11">C56/B56*100</f>
        <v>158.9</v>
      </c>
      <c r="G56" s="102">
        <f t="shared" si="11"/>
        <v>0</v>
      </c>
      <c r="H56" s="427" t="s">
        <v>6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9" customFormat="1" ht="16.5" customHeight="1" x14ac:dyDescent="0.2">
      <c r="A57" s="108" t="s">
        <v>79</v>
      </c>
      <c r="B57" s="45">
        <v>706903</v>
      </c>
      <c r="C57" s="44">
        <v>392445</v>
      </c>
      <c r="D57" s="44">
        <v>221345</v>
      </c>
      <c r="E57" s="44">
        <v>361933</v>
      </c>
      <c r="F57" s="102">
        <f t="shared" si="11"/>
        <v>55.516103340910981</v>
      </c>
      <c r="G57" s="102">
        <f t="shared" si="11"/>
        <v>56.401533972913398</v>
      </c>
      <c r="H57" s="103">
        <f t="shared" si="11"/>
        <v>163.51532675235492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 s="19" customFormat="1" ht="16.5" customHeight="1" x14ac:dyDescent="0.2">
      <c r="A58" s="108" t="s">
        <v>36</v>
      </c>
      <c r="B58" s="43">
        <v>7532</v>
      </c>
      <c r="C58" s="44">
        <v>55500</v>
      </c>
      <c r="D58" s="44">
        <v>255130</v>
      </c>
      <c r="E58" s="44">
        <v>150000</v>
      </c>
      <c r="F58" s="102">
        <f t="shared" si="11"/>
        <v>736.8560807222517</v>
      </c>
      <c r="G58" s="102">
        <f t="shared" si="11"/>
        <v>459.69369369369372</v>
      </c>
      <c r="H58" s="103">
        <f t="shared" si="11"/>
        <v>58.793556226237612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pans="1:30" s="19" customFormat="1" ht="16.5" customHeight="1" x14ac:dyDescent="0.2">
      <c r="A59" s="108" t="s">
        <v>37</v>
      </c>
      <c r="B59" s="43">
        <v>309059</v>
      </c>
      <c r="C59" s="44">
        <v>139500</v>
      </c>
      <c r="D59" s="44">
        <v>26500</v>
      </c>
      <c r="E59" s="44">
        <v>13176</v>
      </c>
      <c r="F59" s="102">
        <f t="shared" si="11"/>
        <v>45.137012673955454</v>
      </c>
      <c r="G59" s="102">
        <f t="shared" si="11"/>
        <v>18.996415770609318</v>
      </c>
      <c r="H59" s="103">
        <f t="shared" si="11"/>
        <v>49.720754716981133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spans="1:30" s="19" customFormat="1" ht="16.5" customHeight="1" x14ac:dyDescent="0.2">
      <c r="A60" s="108" t="s">
        <v>39</v>
      </c>
      <c r="B60" s="45">
        <v>20720</v>
      </c>
      <c r="C60" s="44">
        <v>53814</v>
      </c>
      <c r="D60" s="44">
        <v>52850</v>
      </c>
      <c r="E60" s="44">
        <v>50000</v>
      </c>
      <c r="F60" s="102">
        <f t="shared" si="11"/>
        <v>259.7200772200772</v>
      </c>
      <c r="G60" s="102">
        <f t="shared" si="11"/>
        <v>98.208644590626974</v>
      </c>
      <c r="H60" s="103">
        <f t="shared" si="11"/>
        <v>94.607379375591293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pans="1:30" s="23" customFormat="1" ht="16.5" customHeight="1" x14ac:dyDescent="0.2">
      <c r="A61" s="108" t="s">
        <v>40</v>
      </c>
      <c r="B61" s="45">
        <v>2620</v>
      </c>
      <c r="C61" s="44">
        <v>12700</v>
      </c>
      <c r="D61" s="44">
        <v>15100</v>
      </c>
      <c r="E61" s="44">
        <v>12000</v>
      </c>
      <c r="F61" s="102">
        <f t="shared" si="11"/>
        <v>484.73282442748092</v>
      </c>
      <c r="G61" s="102">
        <f t="shared" si="11"/>
        <v>118.8976377952756</v>
      </c>
      <c r="H61" s="103">
        <f t="shared" si="11"/>
        <v>79.47019867549669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pans="1:30" s="19" customFormat="1" ht="16.5" customHeight="1" x14ac:dyDescent="0.2">
      <c r="A62" s="108" t="s">
        <v>41</v>
      </c>
      <c r="B62" s="43">
        <v>202028</v>
      </c>
      <c r="C62" s="44">
        <v>271264</v>
      </c>
      <c r="D62" s="44">
        <v>340723</v>
      </c>
      <c r="E62" s="44">
        <v>221639</v>
      </c>
      <c r="F62" s="102">
        <f t="shared" si="11"/>
        <v>134.27049715880969</v>
      </c>
      <c r="G62" s="102">
        <f t="shared" si="11"/>
        <v>125.60568302465495</v>
      </c>
      <c r="H62" s="103">
        <f t="shared" si="11"/>
        <v>65.04961508322009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pans="1:30" s="19" customFormat="1" ht="16.5" customHeight="1" x14ac:dyDescent="0.2">
      <c r="A63" s="108" t="s">
        <v>42</v>
      </c>
      <c r="B63" s="45">
        <v>202853</v>
      </c>
      <c r="C63" s="120">
        <v>128772</v>
      </c>
      <c r="D63" s="120">
        <v>391502</v>
      </c>
      <c r="E63" s="120">
        <v>0</v>
      </c>
      <c r="F63" s="102">
        <f t="shared" si="11"/>
        <v>63.480451361330616</v>
      </c>
      <c r="G63" s="102">
        <f t="shared" si="11"/>
        <v>304.02727300966046</v>
      </c>
      <c r="H63" s="103">
        <f t="shared" si="11"/>
        <v>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pans="1:30" s="19" customFormat="1" ht="16.5" customHeight="1" x14ac:dyDescent="0.2">
      <c r="A64" s="108" t="s">
        <v>44</v>
      </c>
      <c r="B64" s="45">
        <v>162298</v>
      </c>
      <c r="C64" s="44">
        <v>86075</v>
      </c>
      <c r="D64" s="44">
        <v>38400</v>
      </c>
      <c r="E64" s="44">
        <v>34000</v>
      </c>
      <c r="F64" s="102">
        <f t="shared" si="11"/>
        <v>53.035157549692535</v>
      </c>
      <c r="G64" s="102">
        <f t="shared" si="11"/>
        <v>44.612256752831833</v>
      </c>
      <c r="H64" s="103">
        <f t="shared" si="11"/>
        <v>88.541666666666657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 s="19" customFormat="1" ht="16.5" customHeight="1" x14ac:dyDescent="0.2">
      <c r="A65" s="108" t="s">
        <v>45</v>
      </c>
      <c r="B65" s="43">
        <v>406667</v>
      </c>
      <c r="C65" s="44">
        <v>238513</v>
      </c>
      <c r="D65" s="44">
        <v>99200</v>
      </c>
      <c r="E65" s="44">
        <v>7200</v>
      </c>
      <c r="F65" s="102">
        <f t="shared" si="11"/>
        <v>58.650689630582264</v>
      </c>
      <c r="G65" s="102">
        <f t="shared" si="11"/>
        <v>41.59102438860775</v>
      </c>
      <c r="H65" s="103">
        <f t="shared" si="11"/>
        <v>7.2580645161290329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pans="1:30" s="19" customFormat="1" ht="16.5" customHeight="1" x14ac:dyDescent="0.2">
      <c r="A66" s="108" t="s">
        <v>350</v>
      </c>
      <c r="B66" s="45">
        <v>0</v>
      </c>
      <c r="C66" s="44">
        <v>0</v>
      </c>
      <c r="D66" s="44">
        <v>0</v>
      </c>
      <c r="E66" s="44">
        <v>500000</v>
      </c>
      <c r="F66" s="76" t="s">
        <v>6</v>
      </c>
      <c r="G66" s="76" t="s">
        <v>6</v>
      </c>
      <c r="H66" s="77" t="s">
        <v>6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pans="1:30" s="3" customFormat="1" ht="6" customHeight="1" x14ac:dyDescent="0.2">
      <c r="A67" s="110"/>
      <c r="B67" s="43"/>
      <c r="C67" s="44"/>
      <c r="D67" s="44"/>
      <c r="E67" s="44"/>
      <c r="F67" s="104"/>
      <c r="G67" s="104"/>
      <c r="H67" s="114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3" customFormat="1" ht="29.25" customHeight="1" x14ac:dyDescent="0.2">
      <c r="A68" s="109" t="s">
        <v>56</v>
      </c>
      <c r="B68" s="78">
        <v>147713</v>
      </c>
      <c r="C68" s="79">
        <v>312326</v>
      </c>
      <c r="D68" s="79">
        <v>70314</v>
      </c>
      <c r="E68" s="79">
        <v>11144</v>
      </c>
      <c r="F68" s="100">
        <f t="shared" ref="F68:H68" si="12">C68/B68*100</f>
        <v>211.44110538679737</v>
      </c>
      <c r="G68" s="100">
        <f t="shared" si="12"/>
        <v>22.513015246889466</v>
      </c>
      <c r="H68" s="101">
        <f t="shared" si="12"/>
        <v>15.848906334442642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21" customFormat="1" ht="6" customHeight="1" thickBot="1" x14ac:dyDescent="0.25">
      <c r="A69" s="115"/>
      <c r="B69" s="96"/>
      <c r="C69" s="79"/>
      <c r="D69" s="79"/>
      <c r="E69" s="79"/>
      <c r="F69" s="116"/>
      <c r="G69" s="116"/>
      <c r="H69" s="117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19" customFormat="1" ht="16.5" customHeight="1" thickBot="1" x14ac:dyDescent="0.25">
      <c r="A70" s="113" t="s">
        <v>48</v>
      </c>
      <c r="B70" s="47">
        <f>B3+B4+B14+B28+B35+B40+B42+B54+B68</f>
        <v>26837551.039000001</v>
      </c>
      <c r="C70" s="83">
        <f>C3+C4+C14+C28+C35+C40+C42+C54+C68</f>
        <v>26572077.039000001</v>
      </c>
      <c r="D70" s="83">
        <f>D3+D4+D14+D28+D35+D40+D42+D54+D68</f>
        <v>26974240.039000001</v>
      </c>
      <c r="E70" s="83">
        <f>E3+E4+E14+E28+E35+E40+E42+E54+E68</f>
        <v>26266172.039000001</v>
      </c>
      <c r="F70" s="118">
        <f t="shared" ref="F70:H70" si="13">C70/B70*100</f>
        <v>99.010811382848544</v>
      </c>
      <c r="G70" s="118">
        <f t="shared" si="13"/>
        <v>101.51347973065765</v>
      </c>
      <c r="H70" s="119">
        <f t="shared" si="13"/>
        <v>97.375021505791238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</row>
    <row r="71" spans="1:30" x14ac:dyDescent="0.2">
      <c r="C71" s="24"/>
      <c r="D71" s="24"/>
      <c r="E71" s="24"/>
    </row>
    <row r="72" spans="1:30" ht="12.75" hidden="1" customHeight="1" x14ac:dyDescent="0.2">
      <c r="A72" s="2" t="s">
        <v>49</v>
      </c>
      <c r="C72" s="24"/>
      <c r="D72" s="24"/>
      <c r="E72" s="24"/>
    </row>
    <row r="73" spans="1:30" ht="14.25" hidden="1" customHeight="1" x14ac:dyDescent="0.2">
      <c r="A73" s="25" t="s">
        <v>50</v>
      </c>
      <c r="C73" s="24"/>
      <c r="D73" s="24"/>
      <c r="E73" s="24"/>
    </row>
    <row r="74" spans="1:30" ht="12.75" hidden="1" customHeight="1" x14ac:dyDescent="0.2">
      <c r="A74" s="26" t="s">
        <v>51</v>
      </c>
      <c r="C74" s="24"/>
      <c r="D74" s="24"/>
      <c r="E74" s="24"/>
    </row>
    <row r="75" spans="1:30" ht="12.75" hidden="1" customHeight="1" x14ac:dyDescent="0.2">
      <c r="C75" s="24"/>
      <c r="D75" s="24"/>
      <c r="E75" s="24"/>
    </row>
    <row r="76" spans="1:30" x14ac:dyDescent="0.2">
      <c r="C76" s="24"/>
      <c r="D76" s="24"/>
      <c r="E76" s="24"/>
    </row>
    <row r="77" spans="1:30" x14ac:dyDescent="0.2">
      <c r="C77" s="24"/>
      <c r="D77" s="24"/>
      <c r="E77" s="24"/>
    </row>
    <row r="78" spans="1:30" x14ac:dyDescent="0.2">
      <c r="C78" s="24"/>
      <c r="D78" s="24"/>
      <c r="E78" s="24"/>
    </row>
    <row r="79" spans="1:30" x14ac:dyDescent="0.2">
      <c r="C79" s="24"/>
      <c r="D79" s="24"/>
      <c r="E79" s="24"/>
    </row>
    <row r="80" spans="1:30" x14ac:dyDescent="0.2">
      <c r="C80" s="24"/>
      <c r="D80" s="24"/>
      <c r="E80" s="24"/>
    </row>
    <row r="81" spans="3:5" x14ac:dyDescent="0.2">
      <c r="C81" s="24"/>
      <c r="D81" s="24"/>
      <c r="E81" s="24"/>
    </row>
    <row r="82" spans="3:5" x14ac:dyDescent="0.2">
      <c r="C82" s="24"/>
      <c r="D82" s="24"/>
      <c r="E82" s="24"/>
    </row>
    <row r="83" spans="3:5" x14ac:dyDescent="0.2">
      <c r="C83" s="24"/>
      <c r="D83" s="24"/>
      <c r="E83" s="24"/>
    </row>
    <row r="84" spans="3:5" x14ac:dyDescent="0.2">
      <c r="C84" s="24"/>
      <c r="D84" s="24"/>
      <c r="E84" s="24"/>
    </row>
    <row r="85" spans="3:5" x14ac:dyDescent="0.2">
      <c r="C85" s="24"/>
      <c r="D85" s="24"/>
      <c r="E85" s="24"/>
    </row>
    <row r="86" spans="3:5" x14ac:dyDescent="0.2">
      <c r="C86" s="24"/>
      <c r="D86" s="24"/>
      <c r="E86" s="24"/>
    </row>
    <row r="87" spans="3:5" x14ac:dyDescent="0.2">
      <c r="C87" s="24"/>
      <c r="D87" s="24"/>
      <c r="E87" s="24"/>
    </row>
    <row r="88" spans="3:5" x14ac:dyDescent="0.2">
      <c r="C88" s="24"/>
      <c r="D88" s="24"/>
      <c r="E88" s="24"/>
    </row>
    <row r="89" spans="3:5" x14ac:dyDescent="0.2">
      <c r="C89" s="24"/>
      <c r="D89" s="24"/>
      <c r="E89" s="24"/>
    </row>
    <row r="90" spans="3:5" x14ac:dyDescent="0.2">
      <c r="C90" s="24"/>
      <c r="D90" s="24"/>
      <c r="E90" s="24"/>
    </row>
    <row r="91" spans="3:5" x14ac:dyDescent="0.2">
      <c r="C91" s="24"/>
      <c r="D91" s="24"/>
      <c r="E91" s="24"/>
    </row>
    <row r="92" spans="3:5" x14ac:dyDescent="0.2">
      <c r="C92" s="24"/>
      <c r="D92" s="24"/>
      <c r="E92" s="24"/>
    </row>
    <row r="93" spans="3:5" x14ac:dyDescent="0.2">
      <c r="C93" s="24"/>
      <c r="D93" s="24"/>
      <c r="E93" s="24"/>
    </row>
    <row r="94" spans="3:5" x14ac:dyDescent="0.2">
      <c r="C94" s="24"/>
      <c r="D94" s="24"/>
      <c r="E94" s="24"/>
    </row>
    <row r="95" spans="3:5" x14ac:dyDescent="0.2">
      <c r="C95" s="24"/>
      <c r="D95" s="24"/>
      <c r="E95" s="24"/>
    </row>
    <row r="96" spans="3:5" x14ac:dyDescent="0.2">
      <c r="C96" s="24"/>
      <c r="D96" s="24"/>
      <c r="E96" s="24"/>
    </row>
    <row r="97" spans="3:5" x14ac:dyDescent="0.2">
      <c r="C97" s="24"/>
      <c r="D97" s="24"/>
      <c r="E97" s="24"/>
    </row>
    <row r="98" spans="3:5" x14ac:dyDescent="0.2">
      <c r="C98" s="24"/>
      <c r="D98" s="24"/>
      <c r="E98" s="24"/>
    </row>
    <row r="99" spans="3:5" x14ac:dyDescent="0.2">
      <c r="C99" s="24"/>
      <c r="D99" s="24"/>
      <c r="E99" s="24"/>
    </row>
    <row r="100" spans="3:5" x14ac:dyDescent="0.2">
      <c r="C100" s="24"/>
      <c r="D100" s="24"/>
      <c r="E100" s="24"/>
    </row>
    <row r="101" spans="3:5" x14ac:dyDescent="0.2">
      <c r="C101" s="24"/>
      <c r="D101" s="24"/>
      <c r="E101" s="24"/>
    </row>
    <row r="102" spans="3:5" x14ac:dyDescent="0.2">
      <c r="C102" s="24"/>
      <c r="D102" s="24"/>
      <c r="E102" s="24"/>
    </row>
    <row r="103" spans="3:5" x14ac:dyDescent="0.2">
      <c r="C103" s="24"/>
      <c r="D103" s="24"/>
      <c r="E103" s="24"/>
    </row>
    <row r="104" spans="3:5" x14ac:dyDescent="0.2">
      <c r="C104" s="24"/>
      <c r="D104" s="24"/>
      <c r="E104" s="24"/>
    </row>
    <row r="105" spans="3:5" x14ac:dyDescent="0.2">
      <c r="C105" s="24"/>
      <c r="D105" s="24"/>
      <c r="E105" s="24"/>
    </row>
    <row r="106" spans="3:5" x14ac:dyDescent="0.2">
      <c r="C106" s="24"/>
      <c r="D106" s="24"/>
      <c r="E106" s="24"/>
    </row>
    <row r="107" spans="3:5" x14ac:dyDescent="0.2">
      <c r="C107" s="24"/>
      <c r="D107" s="24"/>
      <c r="E107" s="24"/>
    </row>
    <row r="108" spans="3:5" x14ac:dyDescent="0.2">
      <c r="C108" s="24"/>
      <c r="D108" s="24"/>
      <c r="E108" s="24"/>
    </row>
    <row r="109" spans="3:5" x14ac:dyDescent="0.2">
      <c r="C109" s="24"/>
      <c r="D109" s="24"/>
      <c r="E109" s="24"/>
    </row>
    <row r="110" spans="3:5" x14ac:dyDescent="0.2">
      <c r="C110" s="24"/>
      <c r="D110" s="24"/>
      <c r="E110" s="24"/>
    </row>
    <row r="111" spans="3:5" x14ac:dyDescent="0.2">
      <c r="C111" s="24"/>
      <c r="D111" s="24"/>
      <c r="E111" s="24"/>
    </row>
    <row r="112" spans="3:5" x14ac:dyDescent="0.2">
      <c r="C112" s="24"/>
      <c r="D112" s="24"/>
      <c r="E112" s="24"/>
    </row>
    <row r="113" spans="3:5" x14ac:dyDescent="0.2">
      <c r="C113" s="24"/>
      <c r="D113" s="24"/>
      <c r="E113" s="24"/>
    </row>
    <row r="114" spans="3:5" x14ac:dyDescent="0.2">
      <c r="C114" s="24"/>
      <c r="D114" s="24"/>
      <c r="E114" s="24"/>
    </row>
    <row r="115" spans="3:5" x14ac:dyDescent="0.2">
      <c r="C115" s="24"/>
      <c r="D115" s="24"/>
      <c r="E115" s="24"/>
    </row>
    <row r="116" spans="3:5" x14ac:dyDescent="0.2">
      <c r="C116" s="24"/>
      <c r="D116" s="24"/>
      <c r="E116" s="24"/>
    </row>
    <row r="117" spans="3:5" x14ac:dyDescent="0.2">
      <c r="C117" s="24"/>
      <c r="D117" s="24"/>
      <c r="E117" s="24"/>
    </row>
    <row r="118" spans="3:5" x14ac:dyDescent="0.2">
      <c r="C118" s="24"/>
      <c r="D118" s="24"/>
      <c r="E118" s="24"/>
    </row>
    <row r="119" spans="3:5" x14ac:dyDescent="0.2">
      <c r="C119" s="24"/>
      <c r="D119" s="24"/>
      <c r="E119" s="24"/>
    </row>
    <row r="120" spans="3:5" x14ac:dyDescent="0.2">
      <c r="C120" s="24"/>
      <c r="D120" s="24"/>
      <c r="E120" s="24"/>
    </row>
    <row r="121" spans="3:5" x14ac:dyDescent="0.2">
      <c r="C121" s="24"/>
      <c r="D121" s="24"/>
      <c r="E121" s="24"/>
    </row>
    <row r="122" spans="3:5" x14ac:dyDescent="0.2">
      <c r="C122" s="24"/>
      <c r="D122" s="24"/>
      <c r="E122" s="24"/>
    </row>
    <row r="123" spans="3:5" x14ac:dyDescent="0.2">
      <c r="C123" s="24"/>
      <c r="D123" s="24"/>
      <c r="E123" s="24"/>
    </row>
    <row r="124" spans="3:5" x14ac:dyDescent="0.2">
      <c r="C124" s="24"/>
      <c r="D124" s="24"/>
      <c r="E124" s="24"/>
    </row>
    <row r="125" spans="3:5" x14ac:dyDescent="0.2">
      <c r="C125" s="24"/>
      <c r="D125" s="24"/>
      <c r="E125" s="24"/>
    </row>
    <row r="126" spans="3:5" x14ac:dyDescent="0.2">
      <c r="C126" s="24"/>
      <c r="D126" s="24"/>
      <c r="E126" s="24"/>
    </row>
    <row r="127" spans="3:5" x14ac:dyDescent="0.2">
      <c r="C127" s="24"/>
      <c r="D127" s="24"/>
      <c r="E127" s="24"/>
    </row>
    <row r="128" spans="3:5" x14ac:dyDescent="0.2">
      <c r="C128" s="24"/>
      <c r="D128" s="24"/>
      <c r="E128" s="24"/>
    </row>
    <row r="129" spans="3:5" x14ac:dyDescent="0.2">
      <c r="C129" s="24"/>
      <c r="D129" s="24"/>
      <c r="E129" s="24"/>
    </row>
    <row r="130" spans="3:5" x14ac:dyDescent="0.2">
      <c r="C130" s="24"/>
      <c r="D130" s="24"/>
      <c r="E130" s="24"/>
    </row>
    <row r="131" spans="3:5" x14ac:dyDescent="0.2">
      <c r="C131" s="24"/>
      <c r="D131" s="24"/>
      <c r="E131" s="24"/>
    </row>
    <row r="132" spans="3:5" x14ac:dyDescent="0.2">
      <c r="C132" s="24"/>
      <c r="D132" s="24"/>
      <c r="E132" s="24"/>
    </row>
    <row r="133" spans="3:5" x14ac:dyDescent="0.2">
      <c r="C133" s="24"/>
      <c r="D133" s="24"/>
      <c r="E133" s="24"/>
    </row>
    <row r="134" spans="3:5" x14ac:dyDescent="0.2">
      <c r="C134" s="24"/>
      <c r="D134" s="24"/>
      <c r="E134" s="24"/>
    </row>
    <row r="135" spans="3:5" x14ac:dyDescent="0.2">
      <c r="C135" s="24"/>
      <c r="D135" s="24"/>
      <c r="E135" s="24"/>
    </row>
    <row r="136" spans="3:5" x14ac:dyDescent="0.2">
      <c r="C136" s="24"/>
      <c r="D136" s="24"/>
      <c r="E136" s="24"/>
    </row>
    <row r="137" spans="3:5" x14ac:dyDescent="0.2">
      <c r="C137" s="24"/>
      <c r="D137" s="24"/>
      <c r="E137" s="24"/>
    </row>
    <row r="138" spans="3:5" x14ac:dyDescent="0.2">
      <c r="C138" s="24"/>
      <c r="D138" s="24"/>
      <c r="E138" s="24"/>
    </row>
    <row r="139" spans="3:5" x14ac:dyDescent="0.2">
      <c r="C139" s="24"/>
      <c r="D139" s="24"/>
      <c r="E139" s="24"/>
    </row>
    <row r="140" spans="3:5" x14ac:dyDescent="0.2">
      <c r="C140" s="24"/>
      <c r="D140" s="24"/>
      <c r="E140" s="24"/>
    </row>
    <row r="141" spans="3:5" x14ac:dyDescent="0.2">
      <c r="C141" s="24"/>
      <c r="D141" s="24"/>
      <c r="E141" s="24"/>
    </row>
    <row r="142" spans="3:5" x14ac:dyDescent="0.2">
      <c r="C142" s="24"/>
      <c r="D142" s="24"/>
      <c r="E142" s="24"/>
    </row>
    <row r="143" spans="3:5" x14ac:dyDescent="0.2">
      <c r="C143" s="24"/>
      <c r="D143" s="24"/>
      <c r="E143" s="24"/>
    </row>
  </sheetData>
  <mergeCells count="4">
    <mergeCell ref="A1:A2"/>
    <mergeCell ref="F1:F2"/>
    <mergeCell ref="G1:G2"/>
    <mergeCell ref="H1:H2"/>
  </mergeCells>
  <printOptions horizontalCentered="1"/>
  <pageMargins left="0.31496062992125984" right="0.31496062992125984" top="0.59055118110236227" bottom="0.59055118110236227" header="0.19685039370078741" footer="0.31496062992125984"/>
  <pageSetup paperSize="9" scale="71" firstPageNumber="3" fitToHeight="0" orientation="portrait" useFirstPageNumber="1" r:id="rId1"/>
  <headerFooter>
    <oddHeader>&amp;L&amp;"Tahoma,Kurzíva"Střednědobý výhled rozpočtu kraje na léta 2020 - 2022
Příloha č. 13&amp;R&amp;"Tahoma,Kurzíva"Bilance příjmů a výdajů v letech 2020 - 2022</oddHeader>
    <oddFooter>&amp;C&amp;"Tahoma,Obyčejné"&amp;P</oddFooter>
  </headerFooter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zoomScaleNormal="100" zoomScaleSheetLayoutView="110" workbookViewId="0">
      <selection activeCell="H3" sqref="H3"/>
    </sheetView>
  </sheetViews>
  <sheetFormatPr defaultColWidth="9" defaultRowHeight="12.75" x14ac:dyDescent="0.2"/>
  <cols>
    <col min="1" max="1" width="57.42578125" style="127" customWidth="1"/>
    <col min="2" max="2" width="10.85546875" style="127" hidden="1" customWidth="1"/>
    <col min="3" max="6" width="11.28515625" style="127" customWidth="1"/>
    <col min="7" max="16384" width="9" style="127"/>
  </cols>
  <sheetData>
    <row r="1" spans="1:14" x14ac:dyDescent="0.2">
      <c r="A1" s="65" t="s">
        <v>84</v>
      </c>
    </row>
    <row r="2" spans="1:14" ht="27.75" customHeight="1" thickBot="1" x14ac:dyDescent="0.25">
      <c r="A2" s="554" t="s">
        <v>380</v>
      </c>
      <c r="B2" s="554"/>
      <c r="C2" s="554"/>
      <c r="D2" s="554"/>
      <c r="E2" s="554"/>
      <c r="F2" s="554"/>
    </row>
    <row r="3" spans="1:14" s="128" customFormat="1" ht="27.75" customHeight="1" x14ac:dyDescent="0.2">
      <c r="A3" s="555" t="s">
        <v>96</v>
      </c>
      <c r="B3" s="557" t="s">
        <v>97</v>
      </c>
      <c r="C3" s="559" t="s">
        <v>98</v>
      </c>
      <c r="D3" s="560"/>
      <c r="E3" s="560"/>
      <c r="F3" s="561"/>
    </row>
    <row r="4" spans="1:14" s="128" customFormat="1" ht="18" customHeight="1" thickBot="1" x14ac:dyDescent="0.25">
      <c r="A4" s="556"/>
      <c r="B4" s="558"/>
      <c r="C4" s="129">
        <v>2019</v>
      </c>
      <c r="D4" s="129">
        <v>2020</v>
      </c>
      <c r="E4" s="428">
        <v>2021</v>
      </c>
      <c r="F4" s="130">
        <v>2022</v>
      </c>
    </row>
    <row r="5" spans="1:14" s="128" customFormat="1" ht="15.75" customHeight="1" x14ac:dyDescent="0.2">
      <c r="A5" s="131" t="s">
        <v>99</v>
      </c>
      <c r="B5" s="132"/>
      <c r="C5" s="133">
        <f>C7+C13+C20</f>
        <v>1809816</v>
      </c>
      <c r="D5" s="133">
        <f>D7+D13+D20</f>
        <v>2472897</v>
      </c>
      <c r="E5" s="133">
        <f>E7+E13+E20</f>
        <v>2677830</v>
      </c>
      <c r="F5" s="134">
        <f>F7+F13+F20</f>
        <v>1897424</v>
      </c>
      <c r="K5" s="429"/>
      <c r="L5" s="429"/>
      <c r="M5" s="429"/>
      <c r="N5" s="429"/>
    </row>
    <row r="6" spans="1:14" s="139" customFormat="1" ht="15" customHeight="1" x14ac:dyDescent="0.2">
      <c r="A6" s="135" t="s">
        <v>100</v>
      </c>
      <c r="B6" s="136"/>
      <c r="C6" s="137"/>
      <c r="D6" s="137"/>
      <c r="E6" s="137"/>
      <c r="F6" s="138"/>
    </row>
    <row r="7" spans="1:14" s="128" customFormat="1" ht="15.75" customHeight="1" x14ac:dyDescent="0.2">
      <c r="A7" s="149" t="s">
        <v>381</v>
      </c>
      <c r="B7" s="147"/>
      <c r="C7" s="137">
        <f>SUM(C8:C12)</f>
        <v>380974</v>
      </c>
      <c r="D7" s="137">
        <f t="shared" ref="D7:F7" si="0">SUM(D8:D12)</f>
        <v>904398</v>
      </c>
      <c r="E7" s="137">
        <f t="shared" si="0"/>
        <v>1249416</v>
      </c>
      <c r="F7" s="157">
        <f t="shared" si="0"/>
        <v>915350</v>
      </c>
    </row>
    <row r="8" spans="1:14" s="139" customFormat="1" ht="15" customHeight="1" x14ac:dyDescent="0.2">
      <c r="A8" s="140" t="s">
        <v>382</v>
      </c>
      <c r="B8" s="136"/>
      <c r="C8" s="141">
        <v>143207</v>
      </c>
      <c r="D8" s="141">
        <v>150367</v>
      </c>
      <c r="E8" s="141">
        <v>157885</v>
      </c>
      <c r="F8" s="142">
        <v>165780</v>
      </c>
    </row>
    <row r="9" spans="1:14" s="139" customFormat="1" ht="25.5" customHeight="1" x14ac:dyDescent="0.2">
      <c r="A9" s="140" t="s">
        <v>383</v>
      </c>
      <c r="B9" s="136">
        <v>27355</v>
      </c>
      <c r="C9" s="141">
        <v>216176</v>
      </c>
      <c r="D9" s="141">
        <v>313689</v>
      </c>
      <c r="E9" s="141">
        <v>321531</v>
      </c>
      <c r="F9" s="142">
        <v>329570</v>
      </c>
    </row>
    <row r="10" spans="1:14" s="139" customFormat="1" ht="25.5" customHeight="1" x14ac:dyDescent="0.2">
      <c r="A10" s="140" t="s">
        <v>384</v>
      </c>
      <c r="B10" s="136"/>
      <c r="C10" s="141">
        <v>0</v>
      </c>
      <c r="D10" s="141">
        <f>200000</f>
        <v>200000</v>
      </c>
      <c r="E10" s="141">
        <f>400000</f>
        <v>400000</v>
      </c>
      <c r="F10" s="142">
        <f>200000</f>
        <v>200000</v>
      </c>
    </row>
    <row r="11" spans="1:14" s="139" customFormat="1" ht="25.5" customHeight="1" x14ac:dyDescent="0.2">
      <c r="A11" s="140" t="s">
        <v>385</v>
      </c>
      <c r="B11" s="136"/>
      <c r="C11" s="141">
        <v>0</v>
      </c>
      <c r="D11" s="141">
        <f>50000</f>
        <v>50000</v>
      </c>
      <c r="E11" s="141">
        <f>200000</f>
        <v>200000</v>
      </c>
      <c r="F11" s="142">
        <f>50000</f>
        <v>50000</v>
      </c>
    </row>
    <row r="12" spans="1:14" s="139" customFormat="1" ht="15" customHeight="1" x14ac:dyDescent="0.2">
      <c r="A12" s="140" t="s">
        <v>617</v>
      </c>
      <c r="B12" s="136"/>
      <c r="C12" s="141">
        <v>21591</v>
      </c>
      <c r="D12" s="141">
        <v>190342</v>
      </c>
      <c r="E12" s="141">
        <v>170000</v>
      </c>
      <c r="F12" s="142">
        <v>170000</v>
      </c>
    </row>
    <row r="13" spans="1:14" s="128" customFormat="1" ht="15.75" customHeight="1" x14ac:dyDescent="0.2">
      <c r="A13" s="149" t="s">
        <v>386</v>
      </c>
      <c r="B13" s="147"/>
      <c r="C13" s="137">
        <f>SUM(C14:C19)</f>
        <v>101135</v>
      </c>
      <c r="D13" s="137">
        <f t="shared" ref="D13:F13" si="1">SUM(D14:D19)</f>
        <v>203906</v>
      </c>
      <c r="E13" s="137">
        <f t="shared" si="1"/>
        <v>262559</v>
      </c>
      <c r="F13" s="157">
        <f t="shared" si="1"/>
        <v>62559</v>
      </c>
    </row>
    <row r="14" spans="1:14" s="139" customFormat="1" ht="15" customHeight="1" x14ac:dyDescent="0.2">
      <c r="A14" s="140" t="s">
        <v>618</v>
      </c>
      <c r="B14" s="136"/>
      <c r="C14" s="141">
        <f>47000-7000+701</f>
        <v>40701</v>
      </c>
      <c r="D14" s="141">
        <v>47000</v>
      </c>
      <c r="E14" s="141">
        <v>47000</v>
      </c>
      <c r="F14" s="142">
        <v>47000</v>
      </c>
    </row>
    <row r="15" spans="1:14" s="139" customFormat="1" ht="15" customHeight="1" x14ac:dyDescent="0.2">
      <c r="A15" s="140" t="s">
        <v>387</v>
      </c>
      <c r="B15" s="136"/>
      <c r="C15" s="141">
        <f>15559-1008</f>
        <v>14551</v>
      </c>
      <c r="D15" s="141">
        <v>15559</v>
      </c>
      <c r="E15" s="141">
        <v>15559</v>
      </c>
      <c r="F15" s="142">
        <v>15559</v>
      </c>
    </row>
    <row r="16" spans="1:14" s="139" customFormat="1" ht="15" customHeight="1" x14ac:dyDescent="0.2">
      <c r="A16" s="140" t="s">
        <v>619</v>
      </c>
      <c r="B16" s="136"/>
      <c r="C16" s="141">
        <v>25004</v>
      </c>
      <c r="D16" s="141">
        <v>6147</v>
      </c>
      <c r="E16" s="141">
        <v>0</v>
      </c>
      <c r="F16" s="142">
        <v>0</v>
      </c>
    </row>
    <row r="17" spans="1:6" s="139" customFormat="1" ht="25.5" customHeight="1" x14ac:dyDescent="0.2">
      <c r="A17" s="140" t="s">
        <v>616</v>
      </c>
      <c r="B17" s="136"/>
      <c r="C17" s="141">
        <v>0</v>
      </c>
      <c r="D17" s="141">
        <f>50000</f>
        <v>50000</v>
      </c>
      <c r="E17" s="141">
        <f>100000</f>
        <v>100000</v>
      </c>
      <c r="F17" s="142">
        <f>0</f>
        <v>0</v>
      </c>
    </row>
    <row r="18" spans="1:6" s="139" customFormat="1" ht="25.5" customHeight="1" x14ac:dyDescent="0.2">
      <c r="A18" s="140" t="s">
        <v>615</v>
      </c>
      <c r="B18" s="136"/>
      <c r="C18" s="141">
        <v>0</v>
      </c>
      <c r="D18" s="141">
        <f>50000</f>
        <v>50000</v>
      </c>
      <c r="E18" s="141">
        <f>100000</f>
        <v>100000</v>
      </c>
      <c r="F18" s="142">
        <f>0</f>
        <v>0</v>
      </c>
    </row>
    <row r="19" spans="1:6" s="139" customFormat="1" ht="15" customHeight="1" x14ac:dyDescent="0.2">
      <c r="A19" s="140" t="s">
        <v>620</v>
      </c>
      <c r="B19" s="136"/>
      <c r="C19" s="141">
        <v>20879</v>
      </c>
      <c r="D19" s="141">
        <v>35200</v>
      </c>
      <c r="E19" s="141">
        <v>0</v>
      </c>
      <c r="F19" s="430">
        <v>0</v>
      </c>
    </row>
    <row r="20" spans="1:6" s="128" customFormat="1" ht="27" customHeight="1" x14ac:dyDescent="0.2">
      <c r="A20" s="149" t="s">
        <v>388</v>
      </c>
      <c r="B20" s="147"/>
      <c r="C20" s="431">
        <v>1327707</v>
      </c>
      <c r="D20" s="431">
        <v>1364593</v>
      </c>
      <c r="E20" s="431">
        <v>1165855</v>
      </c>
      <c r="F20" s="432">
        <v>919515</v>
      </c>
    </row>
    <row r="21" spans="1:6" s="128" customFormat="1" ht="29.25" customHeight="1" x14ac:dyDescent="0.2">
      <c r="A21" s="145" t="s">
        <v>101</v>
      </c>
      <c r="B21" s="146"/>
      <c r="C21" s="161">
        <f>C23+C25+C29+C32+C54</f>
        <v>16405268.039000001</v>
      </c>
      <c r="D21" s="161">
        <f>D23+D25+D29+D32+D54</f>
        <v>16351024.039000001</v>
      </c>
      <c r="E21" s="433">
        <f>E23+E25+E29+E32+E54</f>
        <v>16348724.039000001</v>
      </c>
      <c r="F21" s="434">
        <f>F23+F25+F29+F32+F54</f>
        <v>16345824.039000001</v>
      </c>
    </row>
    <row r="22" spans="1:6" s="128" customFormat="1" ht="15" customHeight="1" x14ac:dyDescent="0.2">
      <c r="A22" s="135" t="s">
        <v>100</v>
      </c>
      <c r="B22" s="147"/>
      <c r="C22" s="137"/>
      <c r="D22" s="137"/>
      <c r="E22" s="435"/>
      <c r="F22" s="157"/>
    </row>
    <row r="23" spans="1:6" s="128" customFormat="1" ht="15.75" customHeight="1" x14ac:dyDescent="0.2">
      <c r="A23" s="149" t="s">
        <v>103</v>
      </c>
      <c r="B23" s="147"/>
      <c r="C23" s="137">
        <f>SUM(C24)</f>
        <v>415</v>
      </c>
      <c r="D23" s="137">
        <f>SUM(D24)</f>
        <v>415</v>
      </c>
      <c r="E23" s="435">
        <f>SUM(E24)</f>
        <v>415</v>
      </c>
      <c r="F23" s="157">
        <f>SUM(F24)</f>
        <v>415</v>
      </c>
    </row>
    <row r="24" spans="1:6" s="128" customFormat="1" ht="15" customHeight="1" x14ac:dyDescent="0.2">
      <c r="A24" s="148" t="s">
        <v>102</v>
      </c>
      <c r="B24" s="147">
        <v>4001</v>
      </c>
      <c r="C24" s="144">
        <v>415</v>
      </c>
      <c r="D24" s="144">
        <v>415</v>
      </c>
      <c r="E24" s="436">
        <v>415</v>
      </c>
      <c r="F24" s="150">
        <v>415</v>
      </c>
    </row>
    <row r="25" spans="1:6" s="128" customFormat="1" ht="15.75" customHeight="1" x14ac:dyDescent="0.2">
      <c r="A25" s="149" t="s">
        <v>106</v>
      </c>
      <c r="B25" s="147"/>
      <c r="C25" s="137">
        <f>SUM(C26:C28)</f>
        <v>1738816</v>
      </c>
      <c r="D25" s="137">
        <f>SUM(D26:D28)</f>
        <v>1734521</v>
      </c>
      <c r="E25" s="435">
        <f>SUM(E26:E28)</f>
        <v>1734521</v>
      </c>
      <c r="F25" s="157">
        <f>SUM(F26:F28)</f>
        <v>1734521</v>
      </c>
    </row>
    <row r="26" spans="1:6" s="128" customFormat="1" ht="25.5" customHeight="1" x14ac:dyDescent="0.2">
      <c r="A26" s="148" t="s">
        <v>104</v>
      </c>
      <c r="B26" s="147">
        <v>13305</v>
      </c>
      <c r="C26" s="144">
        <v>1717521</v>
      </c>
      <c r="D26" s="144">
        <v>1717521</v>
      </c>
      <c r="E26" s="144">
        <v>1717521</v>
      </c>
      <c r="F26" s="150">
        <v>1717521</v>
      </c>
    </row>
    <row r="27" spans="1:6" s="128" customFormat="1" ht="25.5" customHeight="1" x14ac:dyDescent="0.2">
      <c r="A27" s="148" t="s">
        <v>105</v>
      </c>
      <c r="B27" s="147">
        <v>13307</v>
      </c>
      <c r="C27" s="144">
        <v>17000</v>
      </c>
      <c r="D27" s="144">
        <v>17000</v>
      </c>
      <c r="E27" s="436">
        <v>17000</v>
      </c>
      <c r="F27" s="150">
        <v>17000</v>
      </c>
    </row>
    <row r="28" spans="1:6" s="128" customFormat="1" ht="15" customHeight="1" x14ac:dyDescent="0.2">
      <c r="A28" s="148" t="s">
        <v>389</v>
      </c>
      <c r="B28" s="147">
        <v>13013</v>
      </c>
      <c r="C28" s="144">
        <v>4295</v>
      </c>
      <c r="D28" s="144">
        <v>0</v>
      </c>
      <c r="E28" s="436">
        <v>0</v>
      </c>
      <c r="F28" s="150">
        <v>0</v>
      </c>
    </row>
    <row r="29" spans="1:6" s="128" customFormat="1" ht="18" customHeight="1" x14ac:dyDescent="0.2">
      <c r="A29" s="149" t="s">
        <v>110</v>
      </c>
      <c r="B29" s="147"/>
      <c r="C29" s="137">
        <f>SUM(C30:C31)</f>
        <v>21200</v>
      </c>
      <c r="D29" s="137">
        <f>SUM(D30:D31)</f>
        <v>19300</v>
      </c>
      <c r="E29" s="435">
        <f>SUM(E30:E31)</f>
        <v>17000</v>
      </c>
      <c r="F29" s="157">
        <f>SUM(F30:F31)</f>
        <v>14100</v>
      </c>
    </row>
    <row r="30" spans="1:6" s="128" customFormat="1" ht="25.5" customHeight="1" x14ac:dyDescent="0.2">
      <c r="A30" s="148" t="s">
        <v>107</v>
      </c>
      <c r="B30" s="147">
        <v>35018</v>
      </c>
      <c r="C30" s="144">
        <v>12000</v>
      </c>
      <c r="D30" s="144">
        <v>12000</v>
      </c>
      <c r="E30" s="437">
        <v>12000</v>
      </c>
      <c r="F30" s="150">
        <v>12000</v>
      </c>
    </row>
    <row r="31" spans="1:6" s="128" customFormat="1" ht="25.5" customHeight="1" x14ac:dyDescent="0.2">
      <c r="A31" s="148" t="s">
        <v>108</v>
      </c>
      <c r="B31" s="147" t="s">
        <v>109</v>
      </c>
      <c r="C31" s="144">
        <v>9200</v>
      </c>
      <c r="D31" s="144">
        <v>7300</v>
      </c>
      <c r="E31" s="437">
        <v>5000</v>
      </c>
      <c r="F31" s="150">
        <v>2100</v>
      </c>
    </row>
    <row r="32" spans="1:6" s="128" customFormat="1" ht="15.75" customHeight="1" x14ac:dyDescent="0.2">
      <c r="A32" s="155" t="s">
        <v>128</v>
      </c>
      <c r="B32" s="156"/>
      <c r="C32" s="137">
        <f>SUM(C33:C53)</f>
        <v>14636657.039000001</v>
      </c>
      <c r="D32" s="137">
        <f>SUM(D33:D53)</f>
        <v>14588608.039000001</v>
      </c>
      <c r="E32" s="137">
        <f>SUM(E33:E53)</f>
        <v>14588608.039000001</v>
      </c>
      <c r="F32" s="157">
        <f>SUM(F33:F53)</f>
        <v>14588608.039000001</v>
      </c>
    </row>
    <row r="33" spans="1:6" s="139" customFormat="1" ht="37.5" customHeight="1" x14ac:dyDescent="0.2">
      <c r="A33" s="148" t="s">
        <v>111</v>
      </c>
      <c r="B33" s="147">
        <v>33435</v>
      </c>
      <c r="C33" s="144">
        <v>302</v>
      </c>
      <c r="D33" s="144">
        <v>0</v>
      </c>
      <c r="E33" s="437">
        <v>0</v>
      </c>
      <c r="F33" s="150">
        <v>0</v>
      </c>
    </row>
    <row r="34" spans="1:6" s="139" customFormat="1" ht="15" customHeight="1" x14ac:dyDescent="0.2">
      <c r="A34" s="148" t="s">
        <v>112</v>
      </c>
      <c r="B34" s="147">
        <v>33155</v>
      </c>
      <c r="C34" s="144">
        <v>748688.03900000011</v>
      </c>
      <c r="D34" s="144">
        <v>748688.03900000011</v>
      </c>
      <c r="E34" s="437">
        <v>748688.03900000011</v>
      </c>
      <c r="F34" s="150">
        <v>748688.03900000011</v>
      </c>
    </row>
    <row r="35" spans="1:6" s="139" customFormat="1" ht="15" customHeight="1" x14ac:dyDescent="0.2">
      <c r="A35" s="148" t="s">
        <v>113</v>
      </c>
      <c r="B35" s="147">
        <v>33038</v>
      </c>
      <c r="C35" s="144">
        <v>2200</v>
      </c>
      <c r="D35" s="144">
        <v>2200</v>
      </c>
      <c r="E35" s="144">
        <v>2200</v>
      </c>
      <c r="F35" s="150">
        <v>2200</v>
      </c>
    </row>
    <row r="36" spans="1:6" s="139" customFormat="1" ht="15" customHeight="1" x14ac:dyDescent="0.2">
      <c r="A36" s="151" t="s">
        <v>114</v>
      </c>
      <c r="B36" s="152">
        <v>33063</v>
      </c>
      <c r="C36" s="153">
        <v>30000</v>
      </c>
      <c r="D36" s="153">
        <v>30000</v>
      </c>
      <c r="E36" s="153">
        <v>30000</v>
      </c>
      <c r="F36" s="154">
        <v>30000</v>
      </c>
    </row>
    <row r="37" spans="1:6" s="139" customFormat="1" ht="15" customHeight="1" x14ac:dyDescent="0.2">
      <c r="A37" s="148" t="s">
        <v>115</v>
      </c>
      <c r="B37" s="147">
        <v>33049</v>
      </c>
      <c r="C37" s="144">
        <v>9898</v>
      </c>
      <c r="D37" s="144">
        <v>0</v>
      </c>
      <c r="E37" s="437">
        <v>0</v>
      </c>
      <c r="F37" s="150">
        <v>0</v>
      </c>
    </row>
    <row r="38" spans="1:6" s="139" customFormat="1" ht="15" customHeight="1" x14ac:dyDescent="0.2">
      <c r="A38" s="148" t="s">
        <v>115</v>
      </c>
      <c r="B38" s="147">
        <v>33244</v>
      </c>
      <c r="C38" s="144">
        <v>50</v>
      </c>
      <c r="D38" s="144">
        <v>50</v>
      </c>
      <c r="E38" s="437">
        <v>50</v>
      </c>
      <c r="F38" s="150">
        <v>50</v>
      </c>
    </row>
    <row r="39" spans="1:6" s="139" customFormat="1" ht="25.5" customHeight="1" x14ac:dyDescent="0.2">
      <c r="A39" s="148" t="s">
        <v>116</v>
      </c>
      <c r="B39" s="147">
        <v>33034</v>
      </c>
      <c r="C39" s="144">
        <v>1520</v>
      </c>
      <c r="D39" s="144">
        <v>0</v>
      </c>
      <c r="E39" s="437">
        <v>0</v>
      </c>
      <c r="F39" s="150">
        <v>0</v>
      </c>
    </row>
    <row r="40" spans="1:6" s="139" customFormat="1" ht="15" customHeight="1" x14ac:dyDescent="0.2">
      <c r="A40" s="148" t="s">
        <v>390</v>
      </c>
      <c r="B40" s="147">
        <v>33040</v>
      </c>
      <c r="C40" s="144">
        <v>505</v>
      </c>
      <c r="D40" s="144">
        <v>505</v>
      </c>
      <c r="E40" s="437">
        <v>505</v>
      </c>
      <c r="F40" s="150">
        <v>505</v>
      </c>
    </row>
    <row r="41" spans="1:6" s="139" customFormat="1" ht="15" customHeight="1" x14ac:dyDescent="0.2">
      <c r="A41" s="148" t="s">
        <v>117</v>
      </c>
      <c r="B41" s="147">
        <v>33070</v>
      </c>
      <c r="C41" s="144">
        <v>3904</v>
      </c>
      <c r="D41" s="144">
        <v>0</v>
      </c>
      <c r="E41" s="437">
        <v>0</v>
      </c>
      <c r="F41" s="150">
        <v>0</v>
      </c>
    </row>
    <row r="42" spans="1:6" s="139" customFormat="1" ht="15" customHeight="1" x14ac:dyDescent="0.2">
      <c r="A42" s="148" t="s">
        <v>118</v>
      </c>
      <c r="B42" s="147">
        <v>33122</v>
      </c>
      <c r="C42" s="144">
        <v>50</v>
      </c>
      <c r="D42" s="144">
        <v>50</v>
      </c>
      <c r="E42" s="437">
        <v>50</v>
      </c>
      <c r="F42" s="150">
        <v>50</v>
      </c>
    </row>
    <row r="43" spans="1:6" s="139" customFormat="1" ht="15" customHeight="1" x14ac:dyDescent="0.2">
      <c r="A43" s="148" t="s">
        <v>119</v>
      </c>
      <c r="B43" s="147">
        <v>33160</v>
      </c>
      <c r="C43" s="144">
        <v>250</v>
      </c>
      <c r="D43" s="144">
        <v>250</v>
      </c>
      <c r="E43" s="437">
        <v>250</v>
      </c>
      <c r="F43" s="150">
        <v>250</v>
      </c>
    </row>
    <row r="44" spans="1:6" s="139" customFormat="1" ht="15" customHeight="1" x14ac:dyDescent="0.2">
      <c r="A44" s="148" t="s">
        <v>391</v>
      </c>
      <c r="B44" s="147">
        <v>33163</v>
      </c>
      <c r="C44" s="144">
        <v>50</v>
      </c>
      <c r="D44" s="144">
        <v>50</v>
      </c>
      <c r="E44" s="437">
        <v>50</v>
      </c>
      <c r="F44" s="150">
        <v>50</v>
      </c>
    </row>
    <row r="45" spans="1:6" s="139" customFormat="1" ht="15" customHeight="1" x14ac:dyDescent="0.2">
      <c r="A45" s="148" t="s">
        <v>120</v>
      </c>
      <c r="B45" s="147">
        <v>33353</v>
      </c>
      <c r="C45" s="144">
        <v>13797786</v>
      </c>
      <c r="D45" s="144">
        <f>13797786+1520</f>
        <v>13799306</v>
      </c>
      <c r="E45" s="437">
        <f>13797786+1520</f>
        <v>13799306</v>
      </c>
      <c r="F45" s="150">
        <f>13797786+1520</f>
        <v>13799306</v>
      </c>
    </row>
    <row r="46" spans="1:6" s="139" customFormat="1" ht="15" customHeight="1" x14ac:dyDescent="0.2">
      <c r="A46" s="148" t="s">
        <v>121</v>
      </c>
      <c r="B46" s="147">
        <v>33354</v>
      </c>
      <c r="C46" s="144">
        <v>16534</v>
      </c>
      <c r="D46" s="144">
        <v>0</v>
      </c>
      <c r="E46" s="437">
        <v>0</v>
      </c>
      <c r="F46" s="150">
        <v>0</v>
      </c>
    </row>
    <row r="47" spans="1:6" s="139" customFormat="1" ht="15" customHeight="1" x14ac:dyDescent="0.2">
      <c r="A47" s="148" t="s">
        <v>122</v>
      </c>
      <c r="B47" s="147">
        <v>33024</v>
      </c>
      <c r="C47" s="144">
        <v>474</v>
      </c>
      <c r="D47" s="144">
        <v>0</v>
      </c>
      <c r="E47" s="437">
        <v>0</v>
      </c>
      <c r="F47" s="150">
        <v>0</v>
      </c>
    </row>
    <row r="48" spans="1:6" s="139" customFormat="1" ht="15" customHeight="1" x14ac:dyDescent="0.2">
      <c r="A48" s="148" t="s">
        <v>123</v>
      </c>
      <c r="B48" s="147">
        <v>33064</v>
      </c>
      <c r="C48" s="144">
        <v>3456</v>
      </c>
      <c r="D48" s="144">
        <v>3456</v>
      </c>
      <c r="E48" s="437">
        <v>3456</v>
      </c>
      <c r="F48" s="150">
        <v>3456</v>
      </c>
    </row>
    <row r="49" spans="1:6" s="139" customFormat="1" ht="15" customHeight="1" x14ac:dyDescent="0.2">
      <c r="A49" s="148" t="s">
        <v>124</v>
      </c>
      <c r="B49" s="147">
        <v>33069</v>
      </c>
      <c r="C49" s="144">
        <v>16937</v>
      </c>
      <c r="D49" s="144">
        <v>0</v>
      </c>
      <c r="E49" s="437">
        <v>0</v>
      </c>
      <c r="F49" s="150">
        <v>0</v>
      </c>
    </row>
    <row r="50" spans="1:6" s="139" customFormat="1" ht="15" customHeight="1" x14ac:dyDescent="0.2">
      <c r="A50" s="148" t="s">
        <v>125</v>
      </c>
      <c r="B50" s="147">
        <v>33166</v>
      </c>
      <c r="C50" s="144">
        <v>1824</v>
      </c>
      <c r="D50" s="144">
        <v>1824</v>
      </c>
      <c r="E50" s="437">
        <v>1824</v>
      </c>
      <c r="F50" s="150">
        <v>1824</v>
      </c>
    </row>
    <row r="51" spans="1:6" s="139" customFormat="1" ht="15" customHeight="1" x14ac:dyDescent="0.2">
      <c r="A51" s="148" t="s">
        <v>126</v>
      </c>
      <c r="B51" s="147">
        <v>33192</v>
      </c>
      <c r="C51" s="144">
        <v>182</v>
      </c>
      <c r="D51" s="144">
        <v>182</v>
      </c>
      <c r="E51" s="437">
        <v>182</v>
      </c>
      <c r="F51" s="150">
        <v>182</v>
      </c>
    </row>
    <row r="52" spans="1:6" s="139" customFormat="1" ht="15" customHeight="1" x14ac:dyDescent="0.2">
      <c r="A52" s="148" t="s">
        <v>127</v>
      </c>
      <c r="B52" s="147">
        <v>33071</v>
      </c>
      <c r="C52" s="144">
        <v>1715</v>
      </c>
      <c r="D52" s="144">
        <v>1715</v>
      </c>
      <c r="E52" s="437">
        <v>1715</v>
      </c>
      <c r="F52" s="150">
        <v>1715</v>
      </c>
    </row>
    <row r="53" spans="1:6" s="139" customFormat="1" ht="15" customHeight="1" x14ac:dyDescent="0.2">
      <c r="A53" s="438" t="s">
        <v>392</v>
      </c>
      <c r="B53" s="156">
        <v>33068</v>
      </c>
      <c r="C53" s="144">
        <v>332</v>
      </c>
      <c r="D53" s="144">
        <v>332</v>
      </c>
      <c r="E53" s="437">
        <v>332</v>
      </c>
      <c r="F53" s="150">
        <v>332</v>
      </c>
    </row>
    <row r="54" spans="1:6" s="128" customFormat="1" ht="16.5" customHeight="1" x14ac:dyDescent="0.2">
      <c r="A54" s="149" t="s">
        <v>134</v>
      </c>
      <c r="B54" s="147"/>
      <c r="C54" s="137">
        <f>SUM(C55:C60)</f>
        <v>8180</v>
      </c>
      <c r="D54" s="137">
        <f>SUM(D55:D60)</f>
        <v>8180</v>
      </c>
      <c r="E54" s="137">
        <f>SUM(E55:E60)</f>
        <v>8180</v>
      </c>
      <c r="F54" s="157">
        <f>SUM(F55:F60)</f>
        <v>8180</v>
      </c>
    </row>
    <row r="55" spans="1:6" s="128" customFormat="1" ht="15" customHeight="1" x14ac:dyDescent="0.2">
      <c r="A55" s="438" t="s">
        <v>129</v>
      </c>
      <c r="B55" s="439">
        <v>34070</v>
      </c>
      <c r="C55" s="440">
        <f>1700+330</f>
        <v>2030</v>
      </c>
      <c r="D55" s="440">
        <f>1700+330</f>
        <v>2030</v>
      </c>
      <c r="E55" s="440">
        <f>1700+330</f>
        <v>2030</v>
      </c>
      <c r="F55" s="441">
        <f>1700+330</f>
        <v>2030</v>
      </c>
    </row>
    <row r="56" spans="1:6" s="128" customFormat="1" ht="15" customHeight="1" x14ac:dyDescent="0.2">
      <c r="A56" s="148" t="s">
        <v>393</v>
      </c>
      <c r="B56" s="147">
        <v>34013</v>
      </c>
      <c r="C56" s="158">
        <v>400</v>
      </c>
      <c r="D56" s="158">
        <v>400</v>
      </c>
      <c r="E56" s="158">
        <v>400</v>
      </c>
      <c r="F56" s="442">
        <v>400</v>
      </c>
    </row>
    <row r="57" spans="1:6" s="128" customFormat="1" ht="15.75" customHeight="1" x14ac:dyDescent="0.2">
      <c r="A57" s="148" t="s">
        <v>130</v>
      </c>
      <c r="B57" s="147" t="s">
        <v>131</v>
      </c>
      <c r="C57" s="159">
        <v>250</v>
      </c>
      <c r="D57" s="159">
        <v>250</v>
      </c>
      <c r="E57" s="159">
        <v>250</v>
      </c>
      <c r="F57" s="443">
        <v>250</v>
      </c>
    </row>
    <row r="58" spans="1:6" s="128" customFormat="1" ht="15" customHeight="1" x14ac:dyDescent="0.2">
      <c r="A58" s="148" t="s">
        <v>132</v>
      </c>
      <c r="B58" s="147">
        <v>34090</v>
      </c>
      <c r="C58" s="159">
        <v>500</v>
      </c>
      <c r="D58" s="159">
        <v>500</v>
      </c>
      <c r="E58" s="159">
        <v>500</v>
      </c>
      <c r="F58" s="443">
        <v>500</v>
      </c>
    </row>
    <row r="59" spans="1:6" s="128" customFormat="1" ht="25.5" customHeight="1" x14ac:dyDescent="0.2">
      <c r="A59" s="148" t="s">
        <v>133</v>
      </c>
      <c r="B59" s="147">
        <v>34352</v>
      </c>
      <c r="C59" s="159">
        <v>4000</v>
      </c>
      <c r="D59" s="159">
        <v>4000</v>
      </c>
      <c r="E59" s="159">
        <v>4000</v>
      </c>
      <c r="F59" s="443">
        <v>4000</v>
      </c>
    </row>
    <row r="60" spans="1:6" s="128" customFormat="1" ht="15" customHeight="1" x14ac:dyDescent="0.2">
      <c r="A60" s="148" t="s">
        <v>394</v>
      </c>
      <c r="B60" s="147">
        <v>34341</v>
      </c>
      <c r="C60" s="159">
        <v>1000</v>
      </c>
      <c r="D60" s="159">
        <v>1000</v>
      </c>
      <c r="E60" s="159">
        <v>1000</v>
      </c>
      <c r="F60" s="443">
        <v>1000</v>
      </c>
    </row>
    <row r="61" spans="1:6" s="128" customFormat="1" ht="6" customHeight="1" x14ac:dyDescent="0.2">
      <c r="A61" s="155"/>
      <c r="B61" s="156"/>
      <c r="C61" s="444"/>
      <c r="D61" s="444"/>
      <c r="E61" s="445"/>
      <c r="F61" s="446"/>
    </row>
    <row r="62" spans="1:6" s="128" customFormat="1" ht="29.25" customHeight="1" x14ac:dyDescent="0.2">
      <c r="A62" s="145" t="s">
        <v>395</v>
      </c>
      <c r="B62" s="146"/>
      <c r="C62" s="161">
        <v>147713</v>
      </c>
      <c r="D62" s="161">
        <v>312326</v>
      </c>
      <c r="E62" s="447">
        <v>70314</v>
      </c>
      <c r="F62" s="434">
        <v>11144</v>
      </c>
    </row>
    <row r="63" spans="1:6" s="128" customFormat="1" ht="6" customHeight="1" x14ac:dyDescent="0.2">
      <c r="A63" s="160"/>
      <c r="B63" s="143"/>
      <c r="C63" s="137"/>
      <c r="D63" s="137"/>
      <c r="E63" s="448"/>
      <c r="F63" s="449"/>
    </row>
    <row r="64" spans="1:6" s="128" customFormat="1" ht="16.5" customHeight="1" thickBot="1" x14ac:dyDescent="0.25">
      <c r="A64" s="162" t="s">
        <v>135</v>
      </c>
      <c r="B64" s="163"/>
      <c r="C64" s="164">
        <f>C5+C21+C62</f>
        <v>18362797.039000001</v>
      </c>
      <c r="D64" s="164">
        <f>D5+D21+D62</f>
        <v>19136247.039000001</v>
      </c>
      <c r="E64" s="164">
        <f>E5+E21+E62</f>
        <v>19096868.039000001</v>
      </c>
      <c r="F64" s="165">
        <f>F5+F21+F62</f>
        <v>18254392.039000001</v>
      </c>
    </row>
    <row r="65" spans="2:2" x14ac:dyDescent="0.2">
      <c r="B65" s="166"/>
    </row>
  </sheetData>
  <mergeCells count="4">
    <mergeCell ref="A2:F2"/>
    <mergeCell ref="A3:A4"/>
    <mergeCell ref="B3:B4"/>
    <mergeCell ref="C3:F3"/>
  </mergeCells>
  <printOptions horizontalCentered="1"/>
  <pageMargins left="0.39370078740157483" right="0.39370078740157483" top="0.98425196850393704" bottom="0.39370078740157483" header="0.51181102362204722" footer="0.31496062992125984"/>
  <pageSetup paperSize="9" scale="94" firstPageNumber="5" fitToHeight="0" orientation="portrait" useFirstPageNumber="1" r:id="rId1"/>
  <headerFooter scaleWithDoc="0">
    <oddHeader>&amp;L&amp;"Tahoma,Kurzíva"&amp;9Střednědobý výhled rozpočtu kraje na léta 2020 - 2022
Příloha č. 13&amp;R&amp;"Tahoma,Kurzíva"&amp;9Přehled očekávaných účelových dotací v letech 2020 – 2022</oddHeader>
    <oddFooter>&amp;C&amp;"Tahoma,Obyčejné"&amp;P</oddFooter>
  </headerFooter>
  <rowBreaks count="1" manualBreakCount="1">
    <brk id="41" max="5" man="1"/>
  </rowBreaks>
  <ignoredErrors>
    <ignoredError sqref="E10:E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G111"/>
  <sheetViews>
    <sheetView zoomScaleNormal="100" zoomScaleSheetLayoutView="100" workbookViewId="0">
      <selection activeCell="I3" sqref="I3"/>
    </sheetView>
  </sheetViews>
  <sheetFormatPr defaultRowHeight="12.75" x14ac:dyDescent="0.2"/>
  <cols>
    <col min="1" max="1" width="37.7109375" style="251" customWidth="1"/>
    <col min="2" max="6" width="10.7109375" style="251" customWidth="1"/>
    <col min="7" max="7" width="44.7109375" style="251" customWidth="1"/>
    <col min="8" max="243" width="9.140625" style="251"/>
    <col min="244" max="244" width="5.5703125" style="251" customWidth="1"/>
    <col min="245" max="245" width="32" style="251" customWidth="1"/>
    <col min="246" max="247" width="9.85546875" style="251" customWidth="1"/>
    <col min="248" max="249" width="9.42578125" style="251" customWidth="1"/>
    <col min="250" max="250" width="11.140625" style="251" customWidth="1"/>
    <col min="251" max="253" width="8.5703125" style="251" customWidth="1"/>
    <col min="254" max="254" width="32.140625" style="251" customWidth="1"/>
    <col min="255" max="255" width="8" style="251" hidden="1" customWidth="1"/>
    <col min="256" max="499" width="9.140625" style="251"/>
    <col min="500" max="500" width="5.5703125" style="251" customWidth="1"/>
    <col min="501" max="501" width="32" style="251" customWidth="1"/>
    <col min="502" max="503" width="9.85546875" style="251" customWidth="1"/>
    <col min="504" max="505" width="9.42578125" style="251" customWidth="1"/>
    <col min="506" max="506" width="11.140625" style="251" customWidth="1"/>
    <col min="507" max="509" width="8.5703125" style="251" customWidth="1"/>
    <col min="510" max="510" width="32.140625" style="251" customWidth="1"/>
    <col min="511" max="511" width="8" style="251" hidden="1" customWidth="1"/>
    <col min="512" max="755" width="9.140625" style="251"/>
    <col min="756" max="756" width="5.5703125" style="251" customWidth="1"/>
    <col min="757" max="757" width="32" style="251" customWidth="1"/>
    <col min="758" max="759" width="9.85546875" style="251" customWidth="1"/>
    <col min="760" max="761" width="9.42578125" style="251" customWidth="1"/>
    <col min="762" max="762" width="11.140625" style="251" customWidth="1"/>
    <col min="763" max="765" width="8.5703125" style="251" customWidth="1"/>
    <col min="766" max="766" width="32.140625" style="251" customWidth="1"/>
    <col min="767" max="767" width="8" style="251" hidden="1" customWidth="1"/>
    <col min="768" max="1011" width="9.140625" style="251"/>
    <col min="1012" max="1012" width="5.5703125" style="251" customWidth="1"/>
    <col min="1013" max="1013" width="32" style="251" customWidth="1"/>
    <col min="1014" max="1015" width="9.85546875" style="251" customWidth="1"/>
    <col min="1016" max="1017" width="9.42578125" style="251" customWidth="1"/>
    <col min="1018" max="1018" width="11.140625" style="251" customWidth="1"/>
    <col min="1019" max="1021" width="8.5703125" style="251" customWidth="1"/>
    <col min="1022" max="1022" width="32.140625" style="251" customWidth="1"/>
    <col min="1023" max="1023" width="8" style="251" hidden="1" customWidth="1"/>
    <col min="1024" max="1267" width="9.140625" style="251"/>
    <col min="1268" max="1268" width="5.5703125" style="251" customWidth="1"/>
    <col min="1269" max="1269" width="32" style="251" customWidth="1"/>
    <col min="1270" max="1271" width="9.85546875" style="251" customWidth="1"/>
    <col min="1272" max="1273" width="9.42578125" style="251" customWidth="1"/>
    <col min="1274" max="1274" width="11.140625" style="251" customWidth="1"/>
    <col min="1275" max="1277" width="8.5703125" style="251" customWidth="1"/>
    <col min="1278" max="1278" width="32.140625" style="251" customWidth="1"/>
    <col min="1279" max="1279" width="8" style="251" hidden="1" customWidth="1"/>
    <col min="1280" max="1523" width="9.140625" style="251"/>
    <col min="1524" max="1524" width="5.5703125" style="251" customWidth="1"/>
    <col min="1525" max="1525" width="32" style="251" customWidth="1"/>
    <col min="1526" max="1527" width="9.85546875" style="251" customWidth="1"/>
    <col min="1528" max="1529" width="9.42578125" style="251" customWidth="1"/>
    <col min="1530" max="1530" width="11.140625" style="251" customWidth="1"/>
    <col min="1531" max="1533" width="8.5703125" style="251" customWidth="1"/>
    <col min="1534" max="1534" width="32.140625" style="251" customWidth="1"/>
    <col min="1535" max="1535" width="8" style="251" hidden="1" customWidth="1"/>
    <col min="1536" max="1779" width="9.140625" style="251"/>
    <col min="1780" max="1780" width="5.5703125" style="251" customWidth="1"/>
    <col min="1781" max="1781" width="32" style="251" customWidth="1"/>
    <col min="1782" max="1783" width="9.85546875" style="251" customWidth="1"/>
    <col min="1784" max="1785" width="9.42578125" style="251" customWidth="1"/>
    <col min="1786" max="1786" width="11.140625" style="251" customWidth="1"/>
    <col min="1787" max="1789" width="8.5703125" style="251" customWidth="1"/>
    <col min="1790" max="1790" width="32.140625" style="251" customWidth="1"/>
    <col min="1791" max="1791" width="8" style="251" hidden="1" customWidth="1"/>
    <col min="1792" max="2035" width="9.140625" style="251"/>
    <col min="2036" max="2036" width="5.5703125" style="251" customWidth="1"/>
    <col min="2037" max="2037" width="32" style="251" customWidth="1"/>
    <col min="2038" max="2039" width="9.85546875" style="251" customWidth="1"/>
    <col min="2040" max="2041" width="9.42578125" style="251" customWidth="1"/>
    <col min="2042" max="2042" width="11.140625" style="251" customWidth="1"/>
    <col min="2043" max="2045" width="8.5703125" style="251" customWidth="1"/>
    <col min="2046" max="2046" width="32.140625" style="251" customWidth="1"/>
    <col min="2047" max="2047" width="8" style="251" hidden="1" customWidth="1"/>
    <col min="2048" max="2291" width="9.140625" style="251"/>
    <col min="2292" max="2292" width="5.5703125" style="251" customWidth="1"/>
    <col min="2293" max="2293" width="32" style="251" customWidth="1"/>
    <col min="2294" max="2295" width="9.85546875" style="251" customWidth="1"/>
    <col min="2296" max="2297" width="9.42578125" style="251" customWidth="1"/>
    <col min="2298" max="2298" width="11.140625" style="251" customWidth="1"/>
    <col min="2299" max="2301" width="8.5703125" style="251" customWidth="1"/>
    <col min="2302" max="2302" width="32.140625" style="251" customWidth="1"/>
    <col min="2303" max="2303" width="8" style="251" hidden="1" customWidth="1"/>
    <col min="2304" max="2547" width="9.140625" style="251"/>
    <col min="2548" max="2548" width="5.5703125" style="251" customWidth="1"/>
    <col min="2549" max="2549" width="32" style="251" customWidth="1"/>
    <col min="2550" max="2551" width="9.85546875" style="251" customWidth="1"/>
    <col min="2552" max="2553" width="9.42578125" style="251" customWidth="1"/>
    <col min="2554" max="2554" width="11.140625" style="251" customWidth="1"/>
    <col min="2555" max="2557" width="8.5703125" style="251" customWidth="1"/>
    <col min="2558" max="2558" width="32.140625" style="251" customWidth="1"/>
    <col min="2559" max="2559" width="8" style="251" hidden="1" customWidth="1"/>
    <col min="2560" max="2803" width="9.140625" style="251"/>
    <col min="2804" max="2804" width="5.5703125" style="251" customWidth="1"/>
    <col min="2805" max="2805" width="32" style="251" customWidth="1"/>
    <col min="2806" max="2807" width="9.85546875" style="251" customWidth="1"/>
    <col min="2808" max="2809" width="9.42578125" style="251" customWidth="1"/>
    <col min="2810" max="2810" width="11.140625" style="251" customWidth="1"/>
    <col min="2811" max="2813" width="8.5703125" style="251" customWidth="1"/>
    <col min="2814" max="2814" width="32.140625" style="251" customWidth="1"/>
    <col min="2815" max="2815" width="8" style="251" hidden="1" customWidth="1"/>
    <col min="2816" max="3059" width="9.140625" style="251"/>
    <col min="3060" max="3060" width="5.5703125" style="251" customWidth="1"/>
    <col min="3061" max="3061" width="32" style="251" customWidth="1"/>
    <col min="3062" max="3063" width="9.85546875" style="251" customWidth="1"/>
    <col min="3064" max="3065" width="9.42578125" style="251" customWidth="1"/>
    <col min="3066" max="3066" width="11.140625" style="251" customWidth="1"/>
    <col min="3067" max="3069" width="8.5703125" style="251" customWidth="1"/>
    <col min="3070" max="3070" width="32.140625" style="251" customWidth="1"/>
    <col min="3071" max="3071" width="8" style="251" hidden="1" customWidth="1"/>
    <col min="3072" max="3315" width="9.140625" style="251"/>
    <col min="3316" max="3316" width="5.5703125" style="251" customWidth="1"/>
    <col min="3317" max="3317" width="32" style="251" customWidth="1"/>
    <col min="3318" max="3319" width="9.85546875" style="251" customWidth="1"/>
    <col min="3320" max="3321" width="9.42578125" style="251" customWidth="1"/>
    <col min="3322" max="3322" width="11.140625" style="251" customWidth="1"/>
    <col min="3323" max="3325" width="8.5703125" style="251" customWidth="1"/>
    <col min="3326" max="3326" width="32.140625" style="251" customWidth="1"/>
    <col min="3327" max="3327" width="8" style="251" hidden="1" customWidth="1"/>
    <col min="3328" max="3571" width="9.140625" style="251"/>
    <col min="3572" max="3572" width="5.5703125" style="251" customWidth="1"/>
    <col min="3573" max="3573" width="32" style="251" customWidth="1"/>
    <col min="3574" max="3575" width="9.85546875" style="251" customWidth="1"/>
    <col min="3576" max="3577" width="9.42578125" style="251" customWidth="1"/>
    <col min="3578" max="3578" width="11.140625" style="251" customWidth="1"/>
    <col min="3579" max="3581" width="8.5703125" style="251" customWidth="1"/>
    <col min="3582" max="3582" width="32.140625" style="251" customWidth="1"/>
    <col min="3583" max="3583" width="8" style="251" hidden="1" customWidth="1"/>
    <col min="3584" max="3827" width="9.140625" style="251"/>
    <col min="3828" max="3828" width="5.5703125" style="251" customWidth="1"/>
    <col min="3829" max="3829" width="32" style="251" customWidth="1"/>
    <col min="3830" max="3831" width="9.85546875" style="251" customWidth="1"/>
    <col min="3832" max="3833" width="9.42578125" style="251" customWidth="1"/>
    <col min="3834" max="3834" width="11.140625" style="251" customWidth="1"/>
    <col min="3835" max="3837" width="8.5703125" style="251" customWidth="1"/>
    <col min="3838" max="3838" width="32.140625" style="251" customWidth="1"/>
    <col min="3839" max="3839" width="8" style="251" hidden="1" customWidth="1"/>
    <col min="3840" max="4083" width="9.140625" style="251"/>
    <col min="4084" max="4084" width="5.5703125" style="251" customWidth="1"/>
    <col min="4085" max="4085" width="32" style="251" customWidth="1"/>
    <col min="4086" max="4087" width="9.85546875" style="251" customWidth="1"/>
    <col min="4088" max="4089" width="9.42578125" style="251" customWidth="1"/>
    <col min="4090" max="4090" width="11.140625" style="251" customWidth="1"/>
    <col min="4091" max="4093" width="8.5703125" style="251" customWidth="1"/>
    <col min="4094" max="4094" width="32.140625" style="251" customWidth="1"/>
    <col min="4095" max="4095" width="8" style="251" hidden="1" customWidth="1"/>
    <col min="4096" max="4339" width="9.140625" style="251"/>
    <col min="4340" max="4340" width="5.5703125" style="251" customWidth="1"/>
    <col min="4341" max="4341" width="32" style="251" customWidth="1"/>
    <col min="4342" max="4343" width="9.85546875" style="251" customWidth="1"/>
    <col min="4344" max="4345" width="9.42578125" style="251" customWidth="1"/>
    <col min="4346" max="4346" width="11.140625" style="251" customWidth="1"/>
    <col min="4347" max="4349" width="8.5703125" style="251" customWidth="1"/>
    <col min="4350" max="4350" width="32.140625" style="251" customWidth="1"/>
    <col min="4351" max="4351" width="8" style="251" hidden="1" customWidth="1"/>
    <col min="4352" max="4595" width="9.140625" style="251"/>
    <col min="4596" max="4596" width="5.5703125" style="251" customWidth="1"/>
    <col min="4597" max="4597" width="32" style="251" customWidth="1"/>
    <col min="4598" max="4599" width="9.85546875" style="251" customWidth="1"/>
    <col min="4600" max="4601" width="9.42578125" style="251" customWidth="1"/>
    <col min="4602" max="4602" width="11.140625" style="251" customWidth="1"/>
    <col min="4603" max="4605" width="8.5703125" style="251" customWidth="1"/>
    <col min="4606" max="4606" width="32.140625" style="251" customWidth="1"/>
    <col min="4607" max="4607" width="8" style="251" hidden="1" customWidth="1"/>
    <col min="4608" max="4851" width="9.140625" style="251"/>
    <col min="4852" max="4852" width="5.5703125" style="251" customWidth="1"/>
    <col min="4853" max="4853" width="32" style="251" customWidth="1"/>
    <col min="4854" max="4855" width="9.85546875" style="251" customWidth="1"/>
    <col min="4856" max="4857" width="9.42578125" style="251" customWidth="1"/>
    <col min="4858" max="4858" width="11.140625" style="251" customWidth="1"/>
    <col min="4859" max="4861" width="8.5703125" style="251" customWidth="1"/>
    <col min="4862" max="4862" width="32.140625" style="251" customWidth="1"/>
    <col min="4863" max="4863" width="8" style="251" hidden="1" customWidth="1"/>
    <col min="4864" max="5107" width="9.140625" style="251"/>
    <col min="5108" max="5108" width="5.5703125" style="251" customWidth="1"/>
    <col min="5109" max="5109" width="32" style="251" customWidth="1"/>
    <col min="5110" max="5111" width="9.85546875" style="251" customWidth="1"/>
    <col min="5112" max="5113" width="9.42578125" style="251" customWidth="1"/>
    <col min="5114" max="5114" width="11.140625" style="251" customWidth="1"/>
    <col min="5115" max="5117" width="8.5703125" style="251" customWidth="1"/>
    <col min="5118" max="5118" width="32.140625" style="251" customWidth="1"/>
    <col min="5119" max="5119" width="8" style="251" hidden="1" customWidth="1"/>
    <col min="5120" max="5363" width="9.140625" style="251"/>
    <col min="5364" max="5364" width="5.5703125" style="251" customWidth="1"/>
    <col min="5365" max="5365" width="32" style="251" customWidth="1"/>
    <col min="5366" max="5367" width="9.85546875" style="251" customWidth="1"/>
    <col min="5368" max="5369" width="9.42578125" style="251" customWidth="1"/>
    <col min="5370" max="5370" width="11.140625" style="251" customWidth="1"/>
    <col min="5371" max="5373" width="8.5703125" style="251" customWidth="1"/>
    <col min="5374" max="5374" width="32.140625" style="251" customWidth="1"/>
    <col min="5375" max="5375" width="8" style="251" hidden="1" customWidth="1"/>
    <col min="5376" max="5619" width="9.140625" style="251"/>
    <col min="5620" max="5620" width="5.5703125" style="251" customWidth="1"/>
    <col min="5621" max="5621" width="32" style="251" customWidth="1"/>
    <col min="5622" max="5623" width="9.85546875" style="251" customWidth="1"/>
    <col min="5624" max="5625" width="9.42578125" style="251" customWidth="1"/>
    <col min="5626" max="5626" width="11.140625" style="251" customWidth="1"/>
    <col min="5627" max="5629" width="8.5703125" style="251" customWidth="1"/>
    <col min="5630" max="5630" width="32.140625" style="251" customWidth="1"/>
    <col min="5631" max="5631" width="8" style="251" hidden="1" customWidth="1"/>
    <col min="5632" max="5875" width="9.140625" style="251"/>
    <col min="5876" max="5876" width="5.5703125" style="251" customWidth="1"/>
    <col min="5877" max="5877" width="32" style="251" customWidth="1"/>
    <col min="5878" max="5879" width="9.85546875" style="251" customWidth="1"/>
    <col min="5880" max="5881" width="9.42578125" style="251" customWidth="1"/>
    <col min="5882" max="5882" width="11.140625" style="251" customWidth="1"/>
    <col min="5883" max="5885" width="8.5703125" style="251" customWidth="1"/>
    <col min="5886" max="5886" width="32.140625" style="251" customWidth="1"/>
    <col min="5887" max="5887" width="8" style="251" hidden="1" customWidth="1"/>
    <col min="5888" max="6131" width="9.140625" style="251"/>
    <col min="6132" max="6132" width="5.5703125" style="251" customWidth="1"/>
    <col min="6133" max="6133" width="32" style="251" customWidth="1"/>
    <col min="6134" max="6135" width="9.85546875" style="251" customWidth="1"/>
    <col min="6136" max="6137" width="9.42578125" style="251" customWidth="1"/>
    <col min="6138" max="6138" width="11.140625" style="251" customWidth="1"/>
    <col min="6139" max="6141" width="8.5703125" style="251" customWidth="1"/>
    <col min="6142" max="6142" width="32.140625" style="251" customWidth="1"/>
    <col min="6143" max="6143" width="8" style="251" hidden="1" customWidth="1"/>
    <col min="6144" max="6387" width="9.140625" style="251"/>
    <col min="6388" max="6388" width="5.5703125" style="251" customWidth="1"/>
    <col min="6389" max="6389" width="32" style="251" customWidth="1"/>
    <col min="6390" max="6391" width="9.85546875" style="251" customWidth="1"/>
    <col min="6392" max="6393" width="9.42578125" style="251" customWidth="1"/>
    <col min="6394" max="6394" width="11.140625" style="251" customWidth="1"/>
    <col min="6395" max="6397" width="8.5703125" style="251" customWidth="1"/>
    <col min="6398" max="6398" width="32.140625" style="251" customWidth="1"/>
    <col min="6399" max="6399" width="8" style="251" hidden="1" customWidth="1"/>
    <col min="6400" max="6643" width="9.140625" style="251"/>
    <col min="6644" max="6644" width="5.5703125" style="251" customWidth="1"/>
    <col min="6645" max="6645" width="32" style="251" customWidth="1"/>
    <col min="6646" max="6647" width="9.85546875" style="251" customWidth="1"/>
    <col min="6648" max="6649" width="9.42578125" style="251" customWidth="1"/>
    <col min="6650" max="6650" width="11.140625" style="251" customWidth="1"/>
    <col min="6651" max="6653" width="8.5703125" style="251" customWidth="1"/>
    <col min="6654" max="6654" width="32.140625" style="251" customWidth="1"/>
    <col min="6655" max="6655" width="8" style="251" hidden="1" customWidth="1"/>
    <col min="6656" max="6899" width="9.140625" style="251"/>
    <col min="6900" max="6900" width="5.5703125" style="251" customWidth="1"/>
    <col min="6901" max="6901" width="32" style="251" customWidth="1"/>
    <col min="6902" max="6903" width="9.85546875" style="251" customWidth="1"/>
    <col min="6904" max="6905" width="9.42578125" style="251" customWidth="1"/>
    <col min="6906" max="6906" width="11.140625" style="251" customWidth="1"/>
    <col min="6907" max="6909" width="8.5703125" style="251" customWidth="1"/>
    <col min="6910" max="6910" width="32.140625" style="251" customWidth="1"/>
    <col min="6911" max="6911" width="8" style="251" hidden="1" customWidth="1"/>
    <col min="6912" max="7155" width="9.140625" style="251"/>
    <col min="7156" max="7156" width="5.5703125" style="251" customWidth="1"/>
    <col min="7157" max="7157" width="32" style="251" customWidth="1"/>
    <col min="7158" max="7159" width="9.85546875" style="251" customWidth="1"/>
    <col min="7160" max="7161" width="9.42578125" style="251" customWidth="1"/>
    <col min="7162" max="7162" width="11.140625" style="251" customWidth="1"/>
    <col min="7163" max="7165" width="8.5703125" style="251" customWidth="1"/>
    <col min="7166" max="7166" width="32.140625" style="251" customWidth="1"/>
    <col min="7167" max="7167" width="8" style="251" hidden="1" customWidth="1"/>
    <col min="7168" max="7411" width="9.140625" style="251"/>
    <col min="7412" max="7412" width="5.5703125" style="251" customWidth="1"/>
    <col min="7413" max="7413" width="32" style="251" customWidth="1"/>
    <col min="7414" max="7415" width="9.85546875" style="251" customWidth="1"/>
    <col min="7416" max="7417" width="9.42578125" style="251" customWidth="1"/>
    <col min="7418" max="7418" width="11.140625" style="251" customWidth="1"/>
    <col min="7419" max="7421" width="8.5703125" style="251" customWidth="1"/>
    <col min="7422" max="7422" width="32.140625" style="251" customWidth="1"/>
    <col min="7423" max="7423" width="8" style="251" hidden="1" customWidth="1"/>
    <col min="7424" max="7667" width="9.140625" style="251"/>
    <col min="7668" max="7668" width="5.5703125" style="251" customWidth="1"/>
    <col min="7669" max="7669" width="32" style="251" customWidth="1"/>
    <col min="7670" max="7671" width="9.85546875" style="251" customWidth="1"/>
    <col min="7672" max="7673" width="9.42578125" style="251" customWidth="1"/>
    <col min="7674" max="7674" width="11.140625" style="251" customWidth="1"/>
    <col min="7675" max="7677" width="8.5703125" style="251" customWidth="1"/>
    <col min="7678" max="7678" width="32.140625" style="251" customWidth="1"/>
    <col min="7679" max="7679" width="8" style="251" hidden="1" customWidth="1"/>
    <col min="7680" max="7923" width="9.140625" style="251"/>
    <col min="7924" max="7924" width="5.5703125" style="251" customWidth="1"/>
    <col min="7925" max="7925" width="32" style="251" customWidth="1"/>
    <col min="7926" max="7927" width="9.85546875" style="251" customWidth="1"/>
    <col min="7928" max="7929" width="9.42578125" style="251" customWidth="1"/>
    <col min="7930" max="7930" width="11.140625" style="251" customWidth="1"/>
    <col min="7931" max="7933" width="8.5703125" style="251" customWidth="1"/>
    <col min="7934" max="7934" width="32.140625" style="251" customWidth="1"/>
    <col min="7935" max="7935" width="8" style="251" hidden="1" customWidth="1"/>
    <col min="7936" max="8179" width="9.140625" style="251"/>
    <col min="8180" max="8180" width="5.5703125" style="251" customWidth="1"/>
    <col min="8181" max="8181" width="32" style="251" customWidth="1"/>
    <col min="8182" max="8183" width="9.85546875" style="251" customWidth="1"/>
    <col min="8184" max="8185" width="9.42578125" style="251" customWidth="1"/>
    <col min="8186" max="8186" width="11.140625" style="251" customWidth="1"/>
    <col min="8187" max="8189" width="8.5703125" style="251" customWidth="1"/>
    <col min="8190" max="8190" width="32.140625" style="251" customWidth="1"/>
    <col min="8191" max="8191" width="8" style="251" hidden="1" customWidth="1"/>
    <col min="8192" max="8435" width="9.140625" style="251"/>
    <col min="8436" max="8436" width="5.5703125" style="251" customWidth="1"/>
    <col min="8437" max="8437" width="32" style="251" customWidth="1"/>
    <col min="8438" max="8439" width="9.85546875" style="251" customWidth="1"/>
    <col min="8440" max="8441" width="9.42578125" style="251" customWidth="1"/>
    <col min="8442" max="8442" width="11.140625" style="251" customWidth="1"/>
    <col min="8443" max="8445" width="8.5703125" style="251" customWidth="1"/>
    <col min="8446" max="8446" width="32.140625" style="251" customWidth="1"/>
    <col min="8447" max="8447" width="8" style="251" hidden="1" customWidth="1"/>
    <col min="8448" max="8691" width="9.140625" style="251"/>
    <col min="8692" max="8692" width="5.5703125" style="251" customWidth="1"/>
    <col min="8693" max="8693" width="32" style="251" customWidth="1"/>
    <col min="8694" max="8695" width="9.85546875" style="251" customWidth="1"/>
    <col min="8696" max="8697" width="9.42578125" style="251" customWidth="1"/>
    <col min="8698" max="8698" width="11.140625" style="251" customWidth="1"/>
    <col min="8699" max="8701" width="8.5703125" style="251" customWidth="1"/>
    <col min="8702" max="8702" width="32.140625" style="251" customWidth="1"/>
    <col min="8703" max="8703" width="8" style="251" hidden="1" customWidth="1"/>
    <col min="8704" max="8947" width="9.140625" style="251"/>
    <col min="8948" max="8948" width="5.5703125" style="251" customWidth="1"/>
    <col min="8949" max="8949" width="32" style="251" customWidth="1"/>
    <col min="8950" max="8951" width="9.85546875" style="251" customWidth="1"/>
    <col min="8952" max="8953" width="9.42578125" style="251" customWidth="1"/>
    <col min="8954" max="8954" width="11.140625" style="251" customWidth="1"/>
    <col min="8955" max="8957" width="8.5703125" style="251" customWidth="1"/>
    <col min="8958" max="8958" width="32.140625" style="251" customWidth="1"/>
    <col min="8959" max="8959" width="8" style="251" hidden="1" customWidth="1"/>
    <col min="8960" max="9203" width="9.140625" style="251"/>
    <col min="9204" max="9204" width="5.5703125" style="251" customWidth="1"/>
    <col min="9205" max="9205" width="32" style="251" customWidth="1"/>
    <col min="9206" max="9207" width="9.85546875" style="251" customWidth="1"/>
    <col min="9208" max="9209" width="9.42578125" style="251" customWidth="1"/>
    <col min="9210" max="9210" width="11.140625" style="251" customWidth="1"/>
    <col min="9211" max="9213" width="8.5703125" style="251" customWidth="1"/>
    <col min="9214" max="9214" width="32.140625" style="251" customWidth="1"/>
    <col min="9215" max="9215" width="8" style="251" hidden="1" customWidth="1"/>
    <col min="9216" max="9459" width="9.140625" style="251"/>
    <col min="9460" max="9460" width="5.5703125" style="251" customWidth="1"/>
    <col min="9461" max="9461" width="32" style="251" customWidth="1"/>
    <col min="9462" max="9463" width="9.85546875" style="251" customWidth="1"/>
    <col min="9464" max="9465" width="9.42578125" style="251" customWidth="1"/>
    <col min="9466" max="9466" width="11.140625" style="251" customWidth="1"/>
    <col min="9467" max="9469" width="8.5703125" style="251" customWidth="1"/>
    <col min="9470" max="9470" width="32.140625" style="251" customWidth="1"/>
    <col min="9471" max="9471" width="8" style="251" hidden="1" customWidth="1"/>
    <col min="9472" max="9715" width="9.140625" style="251"/>
    <col min="9716" max="9716" width="5.5703125" style="251" customWidth="1"/>
    <col min="9717" max="9717" width="32" style="251" customWidth="1"/>
    <col min="9718" max="9719" width="9.85546875" style="251" customWidth="1"/>
    <col min="9720" max="9721" width="9.42578125" style="251" customWidth="1"/>
    <col min="9722" max="9722" width="11.140625" style="251" customWidth="1"/>
    <col min="9723" max="9725" width="8.5703125" style="251" customWidth="1"/>
    <col min="9726" max="9726" width="32.140625" style="251" customWidth="1"/>
    <col min="9727" max="9727" width="8" style="251" hidden="1" customWidth="1"/>
    <col min="9728" max="9971" width="9.140625" style="251"/>
    <col min="9972" max="9972" width="5.5703125" style="251" customWidth="1"/>
    <col min="9973" max="9973" width="32" style="251" customWidth="1"/>
    <col min="9974" max="9975" width="9.85546875" style="251" customWidth="1"/>
    <col min="9976" max="9977" width="9.42578125" style="251" customWidth="1"/>
    <col min="9978" max="9978" width="11.140625" style="251" customWidth="1"/>
    <col min="9979" max="9981" width="8.5703125" style="251" customWidth="1"/>
    <col min="9982" max="9982" width="32.140625" style="251" customWidth="1"/>
    <col min="9983" max="9983" width="8" style="251" hidden="1" customWidth="1"/>
    <col min="9984" max="10227" width="9.140625" style="251"/>
    <col min="10228" max="10228" width="5.5703125" style="251" customWidth="1"/>
    <col min="10229" max="10229" width="32" style="251" customWidth="1"/>
    <col min="10230" max="10231" width="9.85546875" style="251" customWidth="1"/>
    <col min="10232" max="10233" width="9.42578125" style="251" customWidth="1"/>
    <col min="10234" max="10234" width="11.140625" style="251" customWidth="1"/>
    <col min="10235" max="10237" width="8.5703125" style="251" customWidth="1"/>
    <col min="10238" max="10238" width="32.140625" style="251" customWidth="1"/>
    <col min="10239" max="10239" width="8" style="251" hidden="1" customWidth="1"/>
    <col min="10240" max="10483" width="9.140625" style="251"/>
    <col min="10484" max="10484" width="5.5703125" style="251" customWidth="1"/>
    <col min="10485" max="10485" width="32" style="251" customWidth="1"/>
    <col min="10486" max="10487" width="9.85546875" style="251" customWidth="1"/>
    <col min="10488" max="10489" width="9.42578125" style="251" customWidth="1"/>
    <col min="10490" max="10490" width="11.140625" style="251" customWidth="1"/>
    <col min="10491" max="10493" width="8.5703125" style="251" customWidth="1"/>
    <col min="10494" max="10494" width="32.140625" style="251" customWidth="1"/>
    <col min="10495" max="10495" width="8" style="251" hidden="1" customWidth="1"/>
    <col min="10496" max="10739" width="9.140625" style="251"/>
    <col min="10740" max="10740" width="5.5703125" style="251" customWidth="1"/>
    <col min="10741" max="10741" width="32" style="251" customWidth="1"/>
    <col min="10742" max="10743" width="9.85546875" style="251" customWidth="1"/>
    <col min="10744" max="10745" width="9.42578125" style="251" customWidth="1"/>
    <col min="10746" max="10746" width="11.140625" style="251" customWidth="1"/>
    <col min="10747" max="10749" width="8.5703125" style="251" customWidth="1"/>
    <col min="10750" max="10750" width="32.140625" style="251" customWidth="1"/>
    <col min="10751" max="10751" width="8" style="251" hidden="1" customWidth="1"/>
    <col min="10752" max="10995" width="9.140625" style="251"/>
    <col min="10996" max="10996" width="5.5703125" style="251" customWidth="1"/>
    <col min="10997" max="10997" width="32" style="251" customWidth="1"/>
    <col min="10998" max="10999" width="9.85546875" style="251" customWidth="1"/>
    <col min="11000" max="11001" width="9.42578125" style="251" customWidth="1"/>
    <col min="11002" max="11002" width="11.140625" style="251" customWidth="1"/>
    <col min="11003" max="11005" width="8.5703125" style="251" customWidth="1"/>
    <col min="11006" max="11006" width="32.140625" style="251" customWidth="1"/>
    <col min="11007" max="11007" width="8" style="251" hidden="1" customWidth="1"/>
    <col min="11008" max="11251" width="9.140625" style="251"/>
    <col min="11252" max="11252" width="5.5703125" style="251" customWidth="1"/>
    <col min="11253" max="11253" width="32" style="251" customWidth="1"/>
    <col min="11254" max="11255" width="9.85546875" style="251" customWidth="1"/>
    <col min="11256" max="11257" width="9.42578125" style="251" customWidth="1"/>
    <col min="11258" max="11258" width="11.140625" style="251" customWidth="1"/>
    <col min="11259" max="11261" width="8.5703125" style="251" customWidth="1"/>
    <col min="11262" max="11262" width="32.140625" style="251" customWidth="1"/>
    <col min="11263" max="11263" width="8" style="251" hidden="1" customWidth="1"/>
    <col min="11264" max="11507" width="9.140625" style="251"/>
    <col min="11508" max="11508" width="5.5703125" style="251" customWidth="1"/>
    <col min="11509" max="11509" width="32" style="251" customWidth="1"/>
    <col min="11510" max="11511" width="9.85546875" style="251" customWidth="1"/>
    <col min="11512" max="11513" width="9.42578125" style="251" customWidth="1"/>
    <col min="11514" max="11514" width="11.140625" style="251" customWidth="1"/>
    <col min="11515" max="11517" width="8.5703125" style="251" customWidth="1"/>
    <col min="11518" max="11518" width="32.140625" style="251" customWidth="1"/>
    <col min="11519" max="11519" width="8" style="251" hidden="1" customWidth="1"/>
    <col min="11520" max="11763" width="9.140625" style="251"/>
    <col min="11764" max="11764" width="5.5703125" style="251" customWidth="1"/>
    <col min="11765" max="11765" width="32" style="251" customWidth="1"/>
    <col min="11766" max="11767" width="9.85546875" style="251" customWidth="1"/>
    <col min="11768" max="11769" width="9.42578125" style="251" customWidth="1"/>
    <col min="11770" max="11770" width="11.140625" style="251" customWidth="1"/>
    <col min="11771" max="11773" width="8.5703125" style="251" customWidth="1"/>
    <col min="11774" max="11774" width="32.140625" style="251" customWidth="1"/>
    <col min="11775" max="11775" width="8" style="251" hidden="1" customWidth="1"/>
    <col min="11776" max="12019" width="9.140625" style="251"/>
    <col min="12020" max="12020" width="5.5703125" style="251" customWidth="1"/>
    <col min="12021" max="12021" width="32" style="251" customWidth="1"/>
    <col min="12022" max="12023" width="9.85546875" style="251" customWidth="1"/>
    <col min="12024" max="12025" width="9.42578125" style="251" customWidth="1"/>
    <col min="12026" max="12026" width="11.140625" style="251" customWidth="1"/>
    <col min="12027" max="12029" width="8.5703125" style="251" customWidth="1"/>
    <col min="12030" max="12030" width="32.140625" style="251" customWidth="1"/>
    <col min="12031" max="12031" width="8" style="251" hidden="1" customWidth="1"/>
    <col min="12032" max="12275" width="9.140625" style="251"/>
    <col min="12276" max="12276" width="5.5703125" style="251" customWidth="1"/>
    <col min="12277" max="12277" width="32" style="251" customWidth="1"/>
    <col min="12278" max="12279" width="9.85546875" style="251" customWidth="1"/>
    <col min="12280" max="12281" width="9.42578125" style="251" customWidth="1"/>
    <col min="12282" max="12282" width="11.140625" style="251" customWidth="1"/>
    <col min="12283" max="12285" width="8.5703125" style="251" customWidth="1"/>
    <col min="12286" max="12286" width="32.140625" style="251" customWidth="1"/>
    <col min="12287" max="12287" width="8" style="251" hidden="1" customWidth="1"/>
    <col min="12288" max="12531" width="9.140625" style="251"/>
    <col min="12532" max="12532" width="5.5703125" style="251" customWidth="1"/>
    <col min="12533" max="12533" width="32" style="251" customWidth="1"/>
    <col min="12534" max="12535" width="9.85546875" style="251" customWidth="1"/>
    <col min="12536" max="12537" width="9.42578125" style="251" customWidth="1"/>
    <col min="12538" max="12538" width="11.140625" style="251" customWidth="1"/>
    <col min="12539" max="12541" width="8.5703125" style="251" customWidth="1"/>
    <col min="12542" max="12542" width="32.140625" style="251" customWidth="1"/>
    <col min="12543" max="12543" width="8" style="251" hidden="1" customWidth="1"/>
    <col min="12544" max="12787" width="9.140625" style="251"/>
    <col min="12788" max="12788" width="5.5703125" style="251" customWidth="1"/>
    <col min="12789" max="12789" width="32" style="251" customWidth="1"/>
    <col min="12790" max="12791" width="9.85546875" style="251" customWidth="1"/>
    <col min="12792" max="12793" width="9.42578125" style="251" customWidth="1"/>
    <col min="12794" max="12794" width="11.140625" style="251" customWidth="1"/>
    <col min="12795" max="12797" width="8.5703125" style="251" customWidth="1"/>
    <col min="12798" max="12798" width="32.140625" style="251" customWidth="1"/>
    <col min="12799" max="12799" width="8" style="251" hidden="1" customWidth="1"/>
    <col min="12800" max="13043" width="9.140625" style="251"/>
    <col min="13044" max="13044" width="5.5703125" style="251" customWidth="1"/>
    <col min="13045" max="13045" width="32" style="251" customWidth="1"/>
    <col min="13046" max="13047" width="9.85546875" style="251" customWidth="1"/>
    <col min="13048" max="13049" width="9.42578125" style="251" customWidth="1"/>
    <col min="13050" max="13050" width="11.140625" style="251" customWidth="1"/>
    <col min="13051" max="13053" width="8.5703125" style="251" customWidth="1"/>
    <col min="13054" max="13054" width="32.140625" style="251" customWidth="1"/>
    <col min="13055" max="13055" width="8" style="251" hidden="1" customWidth="1"/>
    <col min="13056" max="13299" width="9.140625" style="251"/>
    <col min="13300" max="13300" width="5.5703125" style="251" customWidth="1"/>
    <col min="13301" max="13301" width="32" style="251" customWidth="1"/>
    <col min="13302" max="13303" width="9.85546875" style="251" customWidth="1"/>
    <col min="13304" max="13305" width="9.42578125" style="251" customWidth="1"/>
    <col min="13306" max="13306" width="11.140625" style="251" customWidth="1"/>
    <col min="13307" max="13309" width="8.5703125" style="251" customWidth="1"/>
    <col min="13310" max="13310" width="32.140625" style="251" customWidth="1"/>
    <col min="13311" max="13311" width="8" style="251" hidden="1" customWidth="1"/>
    <col min="13312" max="13555" width="9.140625" style="251"/>
    <col min="13556" max="13556" width="5.5703125" style="251" customWidth="1"/>
    <col min="13557" max="13557" width="32" style="251" customWidth="1"/>
    <col min="13558" max="13559" width="9.85546875" style="251" customWidth="1"/>
    <col min="13560" max="13561" width="9.42578125" style="251" customWidth="1"/>
    <col min="13562" max="13562" width="11.140625" style="251" customWidth="1"/>
    <col min="13563" max="13565" width="8.5703125" style="251" customWidth="1"/>
    <col min="13566" max="13566" width="32.140625" style="251" customWidth="1"/>
    <col min="13567" max="13567" width="8" style="251" hidden="1" customWidth="1"/>
    <col min="13568" max="13811" width="9.140625" style="251"/>
    <col min="13812" max="13812" width="5.5703125" style="251" customWidth="1"/>
    <col min="13813" max="13813" width="32" style="251" customWidth="1"/>
    <col min="13814" max="13815" width="9.85546875" style="251" customWidth="1"/>
    <col min="13816" max="13817" width="9.42578125" style="251" customWidth="1"/>
    <col min="13818" max="13818" width="11.140625" style="251" customWidth="1"/>
    <col min="13819" max="13821" width="8.5703125" style="251" customWidth="1"/>
    <col min="13822" max="13822" width="32.140625" style="251" customWidth="1"/>
    <col min="13823" max="13823" width="8" style="251" hidden="1" customWidth="1"/>
    <col min="13824" max="14067" width="9.140625" style="251"/>
    <col min="14068" max="14068" width="5.5703125" style="251" customWidth="1"/>
    <col min="14069" max="14069" width="32" style="251" customWidth="1"/>
    <col min="14070" max="14071" width="9.85546875" style="251" customWidth="1"/>
    <col min="14072" max="14073" width="9.42578125" style="251" customWidth="1"/>
    <col min="14074" max="14074" width="11.140625" style="251" customWidth="1"/>
    <col min="14075" max="14077" width="8.5703125" style="251" customWidth="1"/>
    <col min="14078" max="14078" width="32.140625" style="251" customWidth="1"/>
    <col min="14079" max="14079" width="8" style="251" hidden="1" customWidth="1"/>
    <col min="14080" max="14323" width="9.140625" style="251"/>
    <col min="14324" max="14324" width="5.5703125" style="251" customWidth="1"/>
    <col min="14325" max="14325" width="32" style="251" customWidth="1"/>
    <col min="14326" max="14327" width="9.85546875" style="251" customWidth="1"/>
    <col min="14328" max="14329" width="9.42578125" style="251" customWidth="1"/>
    <col min="14330" max="14330" width="11.140625" style="251" customWidth="1"/>
    <col min="14331" max="14333" width="8.5703125" style="251" customWidth="1"/>
    <col min="14334" max="14334" width="32.140625" style="251" customWidth="1"/>
    <col min="14335" max="14335" width="8" style="251" hidden="1" customWidth="1"/>
    <col min="14336" max="14579" width="9.140625" style="251"/>
    <col min="14580" max="14580" width="5.5703125" style="251" customWidth="1"/>
    <col min="14581" max="14581" width="32" style="251" customWidth="1"/>
    <col min="14582" max="14583" width="9.85546875" style="251" customWidth="1"/>
    <col min="14584" max="14585" width="9.42578125" style="251" customWidth="1"/>
    <col min="14586" max="14586" width="11.140625" style="251" customWidth="1"/>
    <col min="14587" max="14589" width="8.5703125" style="251" customWidth="1"/>
    <col min="14590" max="14590" width="32.140625" style="251" customWidth="1"/>
    <col min="14591" max="14591" width="8" style="251" hidden="1" customWidth="1"/>
    <col min="14592" max="14835" width="9.140625" style="251"/>
    <col min="14836" max="14836" width="5.5703125" style="251" customWidth="1"/>
    <col min="14837" max="14837" width="32" style="251" customWidth="1"/>
    <col min="14838" max="14839" width="9.85546875" style="251" customWidth="1"/>
    <col min="14840" max="14841" width="9.42578125" style="251" customWidth="1"/>
    <col min="14842" max="14842" width="11.140625" style="251" customWidth="1"/>
    <col min="14843" max="14845" width="8.5703125" style="251" customWidth="1"/>
    <col min="14846" max="14846" width="32.140625" style="251" customWidth="1"/>
    <col min="14847" max="14847" width="8" style="251" hidden="1" customWidth="1"/>
    <col min="14848" max="15091" width="9.140625" style="251"/>
    <col min="15092" max="15092" width="5.5703125" style="251" customWidth="1"/>
    <col min="15093" max="15093" width="32" style="251" customWidth="1"/>
    <col min="15094" max="15095" width="9.85546875" style="251" customWidth="1"/>
    <col min="15096" max="15097" width="9.42578125" style="251" customWidth="1"/>
    <col min="15098" max="15098" width="11.140625" style="251" customWidth="1"/>
    <col min="15099" max="15101" width="8.5703125" style="251" customWidth="1"/>
    <col min="15102" max="15102" width="32.140625" style="251" customWidth="1"/>
    <col min="15103" max="15103" width="8" style="251" hidden="1" customWidth="1"/>
    <col min="15104" max="15347" width="9.140625" style="251"/>
    <col min="15348" max="15348" width="5.5703125" style="251" customWidth="1"/>
    <col min="15349" max="15349" width="32" style="251" customWidth="1"/>
    <col min="15350" max="15351" width="9.85546875" style="251" customWidth="1"/>
    <col min="15352" max="15353" width="9.42578125" style="251" customWidth="1"/>
    <col min="15354" max="15354" width="11.140625" style="251" customWidth="1"/>
    <col min="15355" max="15357" width="8.5703125" style="251" customWidth="1"/>
    <col min="15358" max="15358" width="32.140625" style="251" customWidth="1"/>
    <col min="15359" max="15359" width="8" style="251" hidden="1" customWidth="1"/>
    <col min="15360" max="15603" width="9.140625" style="251"/>
    <col min="15604" max="15604" width="5.5703125" style="251" customWidth="1"/>
    <col min="15605" max="15605" width="32" style="251" customWidth="1"/>
    <col min="15606" max="15607" width="9.85546875" style="251" customWidth="1"/>
    <col min="15608" max="15609" width="9.42578125" style="251" customWidth="1"/>
    <col min="15610" max="15610" width="11.140625" style="251" customWidth="1"/>
    <col min="15611" max="15613" width="8.5703125" style="251" customWidth="1"/>
    <col min="15614" max="15614" width="32.140625" style="251" customWidth="1"/>
    <col min="15615" max="15615" width="8" style="251" hidden="1" customWidth="1"/>
    <col min="15616" max="15859" width="9.140625" style="251"/>
    <col min="15860" max="15860" width="5.5703125" style="251" customWidth="1"/>
    <col min="15861" max="15861" width="32" style="251" customWidth="1"/>
    <col min="15862" max="15863" width="9.85546875" style="251" customWidth="1"/>
    <col min="15864" max="15865" width="9.42578125" style="251" customWidth="1"/>
    <col min="15866" max="15866" width="11.140625" style="251" customWidth="1"/>
    <col min="15867" max="15869" width="8.5703125" style="251" customWidth="1"/>
    <col min="15870" max="15870" width="32.140625" style="251" customWidth="1"/>
    <col min="15871" max="15871" width="8" style="251" hidden="1" customWidth="1"/>
    <col min="15872" max="16115" width="9.140625" style="251"/>
    <col min="16116" max="16116" width="5.5703125" style="251" customWidth="1"/>
    <col min="16117" max="16117" width="32" style="251" customWidth="1"/>
    <col min="16118" max="16119" width="9.85546875" style="251" customWidth="1"/>
    <col min="16120" max="16121" width="9.42578125" style="251" customWidth="1"/>
    <col min="16122" max="16122" width="11.140625" style="251" customWidth="1"/>
    <col min="16123" max="16125" width="8.5703125" style="251" customWidth="1"/>
    <col min="16126" max="16126" width="32.140625" style="251" customWidth="1"/>
    <col min="16127" max="16127" width="8" style="251" hidden="1" customWidth="1"/>
    <col min="16128" max="16384" width="9.140625" style="251"/>
  </cols>
  <sheetData>
    <row r="1" spans="1:7" x14ac:dyDescent="0.2">
      <c r="A1" s="65" t="s">
        <v>85</v>
      </c>
    </row>
    <row r="2" spans="1:7" ht="34.5" customHeight="1" x14ac:dyDescent="0.2">
      <c r="A2" s="562" t="s">
        <v>359</v>
      </c>
      <c r="B2" s="563"/>
      <c r="C2" s="563"/>
      <c r="D2" s="563"/>
      <c r="E2" s="563"/>
      <c r="F2" s="563"/>
      <c r="G2" s="563"/>
    </row>
    <row r="3" spans="1:7" ht="13.5" thickBot="1" x14ac:dyDescent="0.25">
      <c r="A3" s="252"/>
      <c r="B3" s="253"/>
      <c r="C3" s="450"/>
      <c r="D3" s="450"/>
      <c r="E3" s="450"/>
      <c r="F3" s="450"/>
      <c r="G3" s="253" t="s">
        <v>137</v>
      </c>
    </row>
    <row r="4" spans="1:7" ht="21" customHeight="1" x14ac:dyDescent="0.2">
      <c r="A4" s="564" t="s">
        <v>201</v>
      </c>
      <c r="B4" s="566" t="s">
        <v>203</v>
      </c>
      <c r="C4" s="568" t="s">
        <v>298</v>
      </c>
      <c r="D4" s="569"/>
      <c r="E4" s="570"/>
      <c r="F4" s="571"/>
      <c r="G4" s="572" t="s">
        <v>225</v>
      </c>
    </row>
    <row r="5" spans="1:7" ht="21" customHeight="1" thickBot="1" x14ac:dyDescent="0.25">
      <c r="A5" s="565"/>
      <c r="B5" s="567"/>
      <c r="C5" s="216" t="s">
        <v>205</v>
      </c>
      <c r="D5" s="216" t="s">
        <v>206</v>
      </c>
      <c r="E5" s="216" t="s">
        <v>396</v>
      </c>
      <c r="F5" s="216" t="s">
        <v>397</v>
      </c>
      <c r="G5" s="573"/>
    </row>
    <row r="6" spans="1:7" s="254" customFormat="1" ht="18" customHeight="1" x14ac:dyDescent="0.2">
      <c r="A6" s="577" t="s">
        <v>398</v>
      </c>
      <c r="B6" s="578"/>
      <c r="C6" s="578"/>
      <c r="D6" s="578"/>
      <c r="E6" s="578"/>
      <c r="F6" s="578"/>
      <c r="G6" s="579"/>
    </row>
    <row r="7" spans="1:7" s="254" customFormat="1" ht="35.25" customHeight="1" thickBot="1" x14ac:dyDescent="0.25">
      <c r="A7" s="255" t="s">
        <v>399</v>
      </c>
      <c r="B7" s="256">
        <f>SUM(C7:F7)</f>
        <v>10300</v>
      </c>
      <c r="C7" s="261">
        <v>5300</v>
      </c>
      <c r="D7" s="261">
        <v>5000</v>
      </c>
      <c r="E7" s="262">
        <v>0</v>
      </c>
      <c r="F7" s="290">
        <v>0</v>
      </c>
      <c r="G7" s="405" t="s">
        <v>400</v>
      </c>
    </row>
    <row r="8" spans="1:7" s="254" customFormat="1" ht="26.25" customHeight="1" thickBot="1" x14ac:dyDescent="0.25">
      <c r="A8" s="265" t="s">
        <v>227</v>
      </c>
      <c r="B8" s="273">
        <f>SUM(B7)</f>
        <v>10300</v>
      </c>
      <c r="C8" s="273">
        <f t="shared" ref="C8:F8" si="0">SUM(C7)</f>
        <v>5300</v>
      </c>
      <c r="D8" s="273">
        <f t="shared" si="0"/>
        <v>5000</v>
      </c>
      <c r="E8" s="273">
        <f t="shared" si="0"/>
        <v>0</v>
      </c>
      <c r="F8" s="273">
        <f t="shared" si="0"/>
        <v>0</v>
      </c>
      <c r="G8" s="403"/>
    </row>
    <row r="9" spans="1:7" s="254" customFormat="1" ht="18" customHeight="1" x14ac:dyDescent="0.2">
      <c r="A9" s="577" t="s">
        <v>146</v>
      </c>
      <c r="B9" s="578"/>
      <c r="C9" s="578"/>
      <c r="D9" s="578"/>
      <c r="E9" s="578"/>
      <c r="F9" s="578"/>
      <c r="G9" s="579"/>
    </row>
    <row r="10" spans="1:7" s="254" customFormat="1" ht="24" customHeight="1" x14ac:dyDescent="0.2">
      <c r="A10" s="255" t="s">
        <v>148</v>
      </c>
      <c r="B10" s="256">
        <f>SUM(C10:F10)</f>
        <v>32628</v>
      </c>
      <c r="C10" s="261">
        <v>32628</v>
      </c>
      <c r="D10" s="261">
        <v>0</v>
      </c>
      <c r="E10" s="262">
        <v>0</v>
      </c>
      <c r="F10" s="290">
        <v>0</v>
      </c>
      <c r="G10" s="405" t="s">
        <v>401</v>
      </c>
    </row>
    <row r="11" spans="1:7" s="254" customFormat="1" ht="45.75" customHeight="1" thickBot="1" x14ac:dyDescent="0.25">
      <c r="A11" s="255" t="s">
        <v>402</v>
      </c>
      <c r="B11" s="256">
        <f>SUM(C11:F11)</f>
        <v>50000</v>
      </c>
      <c r="C11" s="261">
        <v>50000</v>
      </c>
      <c r="D11" s="261">
        <v>0</v>
      </c>
      <c r="E11" s="262">
        <v>0</v>
      </c>
      <c r="F11" s="290">
        <v>0</v>
      </c>
      <c r="G11" s="405" t="s">
        <v>403</v>
      </c>
    </row>
    <row r="12" spans="1:7" s="254" customFormat="1" ht="15.75" customHeight="1" thickBot="1" x14ac:dyDescent="0.25">
      <c r="A12" s="265" t="s">
        <v>149</v>
      </c>
      <c r="B12" s="273">
        <f>SUM(B10:B11)</f>
        <v>82628</v>
      </c>
      <c r="C12" s="273">
        <f t="shared" ref="C12:F12" si="1">SUM(C10:C11)</f>
        <v>82628</v>
      </c>
      <c r="D12" s="273">
        <f t="shared" si="1"/>
        <v>0</v>
      </c>
      <c r="E12" s="273">
        <f t="shared" si="1"/>
        <v>0</v>
      </c>
      <c r="F12" s="273">
        <f t="shared" si="1"/>
        <v>0</v>
      </c>
      <c r="G12" s="403"/>
    </row>
    <row r="13" spans="1:7" s="254" customFormat="1" ht="18" customHeight="1" x14ac:dyDescent="0.2">
      <c r="A13" s="580" t="s">
        <v>228</v>
      </c>
      <c r="B13" s="581"/>
      <c r="C13" s="581"/>
      <c r="D13" s="581"/>
      <c r="E13" s="581"/>
      <c r="F13" s="581"/>
      <c r="G13" s="582"/>
    </row>
    <row r="14" spans="1:7" s="254" customFormat="1" ht="24" customHeight="1" x14ac:dyDescent="0.2">
      <c r="A14" s="255" t="s">
        <v>404</v>
      </c>
      <c r="B14" s="256">
        <f t="shared" ref="B14:B28" si="2">SUM(C14:F14)</f>
        <v>69689</v>
      </c>
      <c r="C14" s="261">
        <v>35000</v>
      </c>
      <c r="D14" s="261">
        <v>34689</v>
      </c>
      <c r="E14" s="262">
        <v>0</v>
      </c>
      <c r="F14" s="290">
        <v>0</v>
      </c>
      <c r="G14" s="405" t="s">
        <v>405</v>
      </c>
    </row>
    <row r="15" spans="1:7" s="254" customFormat="1" ht="24" customHeight="1" x14ac:dyDescent="0.2">
      <c r="A15" s="255" t="s">
        <v>406</v>
      </c>
      <c r="B15" s="256">
        <f t="shared" si="2"/>
        <v>59953</v>
      </c>
      <c r="C15" s="261">
        <v>59953</v>
      </c>
      <c r="D15" s="261">
        <v>0</v>
      </c>
      <c r="E15" s="262">
        <v>0</v>
      </c>
      <c r="F15" s="290">
        <v>0</v>
      </c>
      <c r="G15" s="405" t="s">
        <v>407</v>
      </c>
    </row>
    <row r="16" spans="1:7" s="254" customFormat="1" ht="24" customHeight="1" x14ac:dyDescent="0.2">
      <c r="A16" s="255" t="s">
        <v>408</v>
      </c>
      <c r="B16" s="256">
        <f t="shared" si="2"/>
        <v>106376</v>
      </c>
      <c r="C16" s="261">
        <v>80000</v>
      </c>
      <c r="D16" s="261">
        <v>26376</v>
      </c>
      <c r="E16" s="262">
        <v>0</v>
      </c>
      <c r="F16" s="290">
        <v>0</v>
      </c>
      <c r="G16" s="405" t="s">
        <v>405</v>
      </c>
    </row>
    <row r="17" spans="1:7" s="254" customFormat="1" ht="24" customHeight="1" x14ac:dyDescent="0.2">
      <c r="A17" s="255" t="s">
        <v>229</v>
      </c>
      <c r="B17" s="256">
        <f t="shared" si="2"/>
        <v>31780</v>
      </c>
      <c r="C17" s="261">
        <v>0</v>
      </c>
      <c r="D17" s="261">
        <v>31780</v>
      </c>
      <c r="E17" s="262">
        <v>0</v>
      </c>
      <c r="F17" s="290">
        <v>0</v>
      </c>
      <c r="G17" s="405" t="s">
        <v>230</v>
      </c>
    </row>
    <row r="18" spans="1:7" s="254" customFormat="1" ht="34.5" customHeight="1" x14ac:dyDescent="0.2">
      <c r="A18" s="452" t="s">
        <v>409</v>
      </c>
      <c r="B18" s="256">
        <f t="shared" si="2"/>
        <v>41000</v>
      </c>
      <c r="C18" s="261">
        <v>0</v>
      </c>
      <c r="D18" s="261">
        <v>0</v>
      </c>
      <c r="E18" s="261">
        <v>41000</v>
      </c>
      <c r="F18" s="290">
        <v>0</v>
      </c>
      <c r="G18" s="405" t="s">
        <v>410</v>
      </c>
    </row>
    <row r="19" spans="1:7" s="254" customFormat="1" ht="34.5" customHeight="1" x14ac:dyDescent="0.2">
      <c r="A19" s="452" t="s">
        <v>411</v>
      </c>
      <c r="B19" s="256">
        <f t="shared" si="2"/>
        <v>101000</v>
      </c>
      <c r="C19" s="261">
        <v>0</v>
      </c>
      <c r="D19" s="261">
        <v>0</v>
      </c>
      <c r="E19" s="261">
        <v>101000</v>
      </c>
      <c r="F19" s="290">
        <v>0</v>
      </c>
      <c r="G19" s="405" t="s">
        <v>410</v>
      </c>
    </row>
    <row r="20" spans="1:7" s="254" customFormat="1" ht="34.5" customHeight="1" x14ac:dyDescent="0.2">
      <c r="A20" s="452" t="s">
        <v>412</v>
      </c>
      <c r="B20" s="256">
        <f t="shared" si="2"/>
        <v>88000</v>
      </c>
      <c r="C20" s="261">
        <v>0</v>
      </c>
      <c r="D20" s="261">
        <v>0</v>
      </c>
      <c r="E20" s="261">
        <v>88000</v>
      </c>
      <c r="F20" s="290">
        <v>0</v>
      </c>
      <c r="G20" s="404" t="s">
        <v>410</v>
      </c>
    </row>
    <row r="21" spans="1:7" s="254" customFormat="1" ht="34.5" customHeight="1" x14ac:dyDescent="0.2">
      <c r="A21" s="452" t="s">
        <v>413</v>
      </c>
      <c r="B21" s="256">
        <f t="shared" si="2"/>
        <v>101933</v>
      </c>
      <c r="C21" s="261">
        <v>0</v>
      </c>
      <c r="D21" s="261">
        <v>0</v>
      </c>
      <c r="E21" s="261">
        <v>101933</v>
      </c>
      <c r="F21" s="290">
        <v>0</v>
      </c>
      <c r="G21" s="405" t="s">
        <v>410</v>
      </c>
    </row>
    <row r="22" spans="1:7" s="254" customFormat="1" ht="24" customHeight="1" x14ac:dyDescent="0.2">
      <c r="A22" s="255" t="s">
        <v>231</v>
      </c>
      <c r="B22" s="256">
        <f t="shared" si="2"/>
        <v>11720</v>
      </c>
      <c r="C22" s="261">
        <v>11720</v>
      </c>
      <c r="D22" s="261">
        <v>0</v>
      </c>
      <c r="E22" s="262">
        <v>0</v>
      </c>
      <c r="F22" s="290">
        <v>0</v>
      </c>
      <c r="G22" s="405" t="s">
        <v>407</v>
      </c>
    </row>
    <row r="23" spans="1:7" s="254" customFormat="1" ht="24" customHeight="1" x14ac:dyDescent="0.2">
      <c r="A23" s="255" t="s">
        <v>232</v>
      </c>
      <c r="B23" s="256">
        <f t="shared" si="2"/>
        <v>20000</v>
      </c>
      <c r="C23" s="261">
        <v>20000</v>
      </c>
      <c r="D23" s="261">
        <v>0</v>
      </c>
      <c r="E23" s="262">
        <v>0</v>
      </c>
      <c r="F23" s="290">
        <v>0</v>
      </c>
      <c r="G23" s="405" t="s">
        <v>233</v>
      </c>
    </row>
    <row r="24" spans="1:7" s="254" customFormat="1" ht="45" customHeight="1" x14ac:dyDescent="0.2">
      <c r="A24" s="255" t="s">
        <v>414</v>
      </c>
      <c r="B24" s="256">
        <f t="shared" si="2"/>
        <v>99000</v>
      </c>
      <c r="C24" s="261">
        <v>49500</v>
      </c>
      <c r="D24" s="261">
        <v>49500</v>
      </c>
      <c r="E24" s="262">
        <v>0</v>
      </c>
      <c r="F24" s="290">
        <v>0</v>
      </c>
      <c r="G24" s="405" t="s">
        <v>415</v>
      </c>
    </row>
    <row r="25" spans="1:7" s="254" customFormat="1" ht="54.75" customHeight="1" x14ac:dyDescent="0.2">
      <c r="A25" s="452" t="s">
        <v>416</v>
      </c>
      <c r="B25" s="256">
        <f t="shared" si="2"/>
        <v>3593</v>
      </c>
      <c r="C25" s="261">
        <v>1537</v>
      </c>
      <c r="D25" s="261">
        <v>2056</v>
      </c>
      <c r="E25" s="262">
        <v>0</v>
      </c>
      <c r="F25" s="290">
        <v>0</v>
      </c>
      <c r="G25" s="405" t="s">
        <v>417</v>
      </c>
    </row>
    <row r="26" spans="1:7" s="254" customFormat="1" ht="24" customHeight="1" x14ac:dyDescent="0.2">
      <c r="A26" s="255" t="s">
        <v>234</v>
      </c>
      <c r="B26" s="256">
        <f t="shared" si="2"/>
        <v>92000</v>
      </c>
      <c r="C26" s="261">
        <v>46000</v>
      </c>
      <c r="D26" s="261">
        <v>46000</v>
      </c>
      <c r="E26" s="262">
        <v>0</v>
      </c>
      <c r="F26" s="290">
        <v>0</v>
      </c>
      <c r="G26" s="405" t="s">
        <v>235</v>
      </c>
    </row>
    <row r="27" spans="1:7" s="254" customFormat="1" ht="24" customHeight="1" x14ac:dyDescent="0.2">
      <c r="A27" s="452" t="s">
        <v>486</v>
      </c>
      <c r="B27" s="256">
        <f t="shared" si="2"/>
        <v>2079</v>
      </c>
      <c r="C27" s="261">
        <v>1135</v>
      </c>
      <c r="D27" s="261">
        <v>944</v>
      </c>
      <c r="E27" s="262">
        <v>0</v>
      </c>
      <c r="F27" s="290">
        <v>0</v>
      </c>
      <c r="G27" s="405" t="s">
        <v>236</v>
      </c>
    </row>
    <row r="28" spans="1:7" s="254" customFormat="1" ht="45.75" customHeight="1" thickBot="1" x14ac:dyDescent="0.25">
      <c r="A28" s="255" t="s">
        <v>418</v>
      </c>
      <c r="B28" s="256">
        <f t="shared" si="2"/>
        <v>57600</v>
      </c>
      <c r="C28" s="261">
        <v>57600</v>
      </c>
      <c r="D28" s="261">
        <v>0</v>
      </c>
      <c r="E28" s="262">
        <v>0</v>
      </c>
      <c r="F28" s="290">
        <v>0</v>
      </c>
      <c r="G28" s="405" t="s">
        <v>419</v>
      </c>
    </row>
    <row r="29" spans="1:7" s="254" customFormat="1" ht="26.25" customHeight="1" thickBot="1" x14ac:dyDescent="0.25">
      <c r="A29" s="265" t="s">
        <v>212</v>
      </c>
      <c r="B29" s="259">
        <f>SUM(B14:B28)</f>
        <v>885723</v>
      </c>
      <c r="C29" s="259">
        <f>SUM(C14:C28)</f>
        <v>362445</v>
      </c>
      <c r="D29" s="259">
        <f>SUM(D14:D28)</f>
        <v>191345</v>
      </c>
      <c r="E29" s="259">
        <f>SUM(E14:E28)</f>
        <v>331933</v>
      </c>
      <c r="F29" s="259">
        <f>SUM(F14:F28)</f>
        <v>0</v>
      </c>
      <c r="G29" s="260"/>
    </row>
    <row r="30" spans="1:7" s="254" customFormat="1" ht="18" customHeight="1" x14ac:dyDescent="0.2">
      <c r="A30" s="583" t="s">
        <v>213</v>
      </c>
      <c r="B30" s="584"/>
      <c r="C30" s="584"/>
      <c r="D30" s="584"/>
      <c r="E30" s="584"/>
      <c r="F30" s="584"/>
      <c r="G30" s="585"/>
    </row>
    <row r="31" spans="1:7" s="254" customFormat="1" ht="45" customHeight="1" x14ac:dyDescent="0.2">
      <c r="A31" s="255" t="s">
        <v>420</v>
      </c>
      <c r="B31" s="256">
        <f>SUM(C31:F31)</f>
        <v>66000</v>
      </c>
      <c r="C31" s="261">
        <v>54000</v>
      </c>
      <c r="D31" s="261">
        <v>12000</v>
      </c>
      <c r="E31" s="262">
        <v>0</v>
      </c>
      <c r="F31" s="290">
        <v>0</v>
      </c>
      <c r="G31" s="405" t="s">
        <v>421</v>
      </c>
    </row>
    <row r="32" spans="1:7" s="254" customFormat="1" ht="45" customHeight="1" x14ac:dyDescent="0.2">
      <c r="A32" s="255" t="s">
        <v>237</v>
      </c>
      <c r="B32" s="256">
        <f>SUM(C32:F32)</f>
        <v>199930</v>
      </c>
      <c r="C32" s="261">
        <v>0</v>
      </c>
      <c r="D32" s="261">
        <v>49930</v>
      </c>
      <c r="E32" s="256">
        <v>150000</v>
      </c>
      <c r="F32" s="290">
        <v>0</v>
      </c>
      <c r="G32" s="405" t="s">
        <v>422</v>
      </c>
    </row>
    <row r="33" spans="1:7" s="254" customFormat="1" ht="24" customHeight="1" x14ac:dyDescent="0.2">
      <c r="A33" s="255" t="s">
        <v>238</v>
      </c>
      <c r="B33" s="256">
        <f>SUM(C33:F33)</f>
        <v>94850</v>
      </c>
      <c r="C33" s="261">
        <v>1000</v>
      </c>
      <c r="D33" s="261">
        <v>93850</v>
      </c>
      <c r="E33" s="262">
        <v>0</v>
      </c>
      <c r="F33" s="290">
        <v>0</v>
      </c>
      <c r="G33" s="404" t="s">
        <v>239</v>
      </c>
    </row>
    <row r="34" spans="1:7" s="254" customFormat="1" ht="24.75" customHeight="1" thickBot="1" x14ac:dyDescent="0.25">
      <c r="A34" s="255" t="s">
        <v>240</v>
      </c>
      <c r="B34" s="256">
        <f>SUM(C34:F34)</f>
        <v>99850</v>
      </c>
      <c r="C34" s="261">
        <v>500</v>
      </c>
      <c r="D34" s="261">
        <v>99350</v>
      </c>
      <c r="E34" s="262">
        <v>0</v>
      </c>
      <c r="F34" s="290">
        <v>0</v>
      </c>
      <c r="G34" s="405" t="s">
        <v>239</v>
      </c>
    </row>
    <row r="35" spans="1:7" s="254" customFormat="1" ht="15.75" customHeight="1" thickBot="1" x14ac:dyDescent="0.25">
      <c r="A35" s="265" t="s">
        <v>214</v>
      </c>
      <c r="B35" s="259">
        <f>SUM(B31:B34)</f>
        <v>460630</v>
      </c>
      <c r="C35" s="259">
        <f t="shared" ref="C35:F35" si="3">SUM(C31:C34)</f>
        <v>55500</v>
      </c>
      <c r="D35" s="259">
        <f t="shared" si="3"/>
        <v>255130</v>
      </c>
      <c r="E35" s="259">
        <f t="shared" si="3"/>
        <v>150000</v>
      </c>
      <c r="F35" s="259">
        <f t="shared" si="3"/>
        <v>0</v>
      </c>
      <c r="G35" s="260"/>
    </row>
    <row r="36" spans="1:7" s="254" customFormat="1" ht="18" customHeight="1" x14ac:dyDescent="0.2">
      <c r="A36" s="583" t="s">
        <v>150</v>
      </c>
      <c r="B36" s="584"/>
      <c r="C36" s="584"/>
      <c r="D36" s="584"/>
      <c r="E36" s="584"/>
      <c r="F36" s="584"/>
      <c r="G36" s="585"/>
    </row>
    <row r="37" spans="1:7" s="254" customFormat="1" ht="24" customHeight="1" x14ac:dyDescent="0.2">
      <c r="A37" s="255" t="s">
        <v>151</v>
      </c>
      <c r="B37" s="256">
        <f>SUM(C37:F37)</f>
        <v>72500</v>
      </c>
      <c r="C37" s="261">
        <v>72500</v>
      </c>
      <c r="D37" s="261">
        <v>0</v>
      </c>
      <c r="E37" s="262">
        <v>0</v>
      </c>
      <c r="F37" s="290">
        <v>0</v>
      </c>
      <c r="G37" s="405" t="s">
        <v>423</v>
      </c>
    </row>
    <row r="38" spans="1:7" s="254" customFormat="1" ht="24" customHeight="1" x14ac:dyDescent="0.2">
      <c r="A38" s="255" t="s">
        <v>424</v>
      </c>
      <c r="B38" s="256">
        <f>SUM(C38:F38)</f>
        <v>10000</v>
      </c>
      <c r="C38" s="261">
        <v>10000</v>
      </c>
      <c r="D38" s="261">
        <v>0</v>
      </c>
      <c r="E38" s="262">
        <v>0</v>
      </c>
      <c r="F38" s="290">
        <v>0</v>
      </c>
      <c r="G38" s="405" t="s">
        <v>425</v>
      </c>
    </row>
    <row r="39" spans="1:7" s="254" customFormat="1" ht="24" customHeight="1" x14ac:dyDescent="0.2">
      <c r="A39" s="255" t="s">
        <v>241</v>
      </c>
      <c r="B39" s="256">
        <f>SUM(C39:F39)</f>
        <v>35000</v>
      </c>
      <c r="C39" s="261">
        <v>35000</v>
      </c>
      <c r="D39" s="261">
        <v>0</v>
      </c>
      <c r="E39" s="262">
        <v>0</v>
      </c>
      <c r="F39" s="290">
        <v>0</v>
      </c>
      <c r="G39" s="405" t="s">
        <v>426</v>
      </c>
    </row>
    <row r="40" spans="1:7" s="254" customFormat="1" ht="24" customHeight="1" x14ac:dyDescent="0.2">
      <c r="A40" s="255" t="s">
        <v>427</v>
      </c>
      <c r="B40" s="256">
        <f>SUM(C40:F40)</f>
        <v>39676</v>
      </c>
      <c r="C40" s="261">
        <v>0</v>
      </c>
      <c r="D40" s="261">
        <v>26500</v>
      </c>
      <c r="E40" s="261">
        <v>13176</v>
      </c>
      <c r="F40" s="290">
        <v>0</v>
      </c>
      <c r="G40" s="405" t="s">
        <v>426</v>
      </c>
    </row>
    <row r="41" spans="1:7" s="254" customFormat="1" ht="45.75" customHeight="1" thickBot="1" x14ac:dyDescent="0.25">
      <c r="A41" s="255" t="s">
        <v>428</v>
      </c>
      <c r="B41" s="256">
        <f>SUM(C41:F41)</f>
        <v>22000</v>
      </c>
      <c r="C41" s="261">
        <v>22000</v>
      </c>
      <c r="D41" s="261">
        <v>0</v>
      </c>
      <c r="E41" s="262">
        <v>0</v>
      </c>
      <c r="F41" s="290">
        <v>0</v>
      </c>
      <c r="G41" s="405" t="s">
        <v>429</v>
      </c>
    </row>
    <row r="42" spans="1:7" s="254" customFormat="1" ht="15.75" customHeight="1" thickBot="1" x14ac:dyDescent="0.25">
      <c r="A42" s="265" t="s">
        <v>159</v>
      </c>
      <c r="B42" s="259">
        <f>SUM(B37:B41)</f>
        <v>179176</v>
      </c>
      <c r="C42" s="259">
        <f t="shared" ref="C42:F42" si="4">SUM(C37:C41)</f>
        <v>139500</v>
      </c>
      <c r="D42" s="259">
        <f t="shared" si="4"/>
        <v>26500</v>
      </c>
      <c r="E42" s="259">
        <f t="shared" si="4"/>
        <v>13176</v>
      </c>
      <c r="F42" s="259">
        <f t="shared" si="4"/>
        <v>0</v>
      </c>
      <c r="G42" s="270"/>
    </row>
    <row r="43" spans="1:7" s="453" customFormat="1" ht="18" customHeight="1" x14ac:dyDescent="0.2">
      <c r="A43" s="577" t="s">
        <v>164</v>
      </c>
      <c r="B43" s="578"/>
      <c r="C43" s="578"/>
      <c r="D43" s="578"/>
      <c r="E43" s="578"/>
      <c r="F43" s="578"/>
      <c r="G43" s="579"/>
    </row>
    <row r="44" spans="1:7" s="254" customFormat="1" ht="24" customHeight="1" x14ac:dyDescent="0.2">
      <c r="A44" s="255" t="s">
        <v>242</v>
      </c>
      <c r="B44" s="256">
        <f>SUM(C44:F44)</f>
        <v>1050</v>
      </c>
      <c r="C44" s="261">
        <v>700</v>
      </c>
      <c r="D44" s="261">
        <v>350</v>
      </c>
      <c r="E44" s="262">
        <v>0</v>
      </c>
      <c r="F44" s="290">
        <v>0</v>
      </c>
      <c r="G44" s="405" t="s">
        <v>243</v>
      </c>
    </row>
    <row r="45" spans="1:7" s="254" customFormat="1" ht="45" customHeight="1" x14ac:dyDescent="0.2">
      <c r="A45" s="255" t="s">
        <v>430</v>
      </c>
      <c r="B45" s="256">
        <f>SUM(C45:F45)</f>
        <v>5000</v>
      </c>
      <c r="C45" s="261">
        <v>2500</v>
      </c>
      <c r="D45" s="261">
        <v>2500</v>
      </c>
      <c r="E45" s="262">
        <v>0</v>
      </c>
      <c r="F45" s="290">
        <v>0</v>
      </c>
      <c r="G45" s="405" t="s">
        <v>431</v>
      </c>
    </row>
    <row r="46" spans="1:7" s="254" customFormat="1" ht="24.75" customHeight="1" thickBot="1" x14ac:dyDescent="0.25">
      <c r="A46" s="255" t="s">
        <v>244</v>
      </c>
      <c r="B46" s="256">
        <f>SUM(C46:F46)</f>
        <v>614</v>
      </c>
      <c r="C46" s="261">
        <v>614</v>
      </c>
      <c r="D46" s="261">
        <v>0</v>
      </c>
      <c r="E46" s="262">
        <v>0</v>
      </c>
      <c r="F46" s="290">
        <v>0</v>
      </c>
      <c r="G46" s="405" t="s">
        <v>432</v>
      </c>
    </row>
    <row r="47" spans="1:7" s="453" customFormat="1" ht="15.75" customHeight="1" thickBot="1" x14ac:dyDescent="0.25">
      <c r="A47" s="265" t="s">
        <v>166</v>
      </c>
      <c r="B47" s="273">
        <f>SUM(B44:B46)</f>
        <v>6664</v>
      </c>
      <c r="C47" s="273">
        <f t="shared" ref="C47:F47" si="5">SUM(C44:C46)</f>
        <v>3814</v>
      </c>
      <c r="D47" s="273">
        <f t="shared" si="5"/>
        <v>2850</v>
      </c>
      <c r="E47" s="273">
        <f t="shared" si="5"/>
        <v>0</v>
      </c>
      <c r="F47" s="273">
        <f t="shared" si="5"/>
        <v>0</v>
      </c>
      <c r="G47" s="270"/>
    </row>
    <row r="48" spans="1:7" s="254" customFormat="1" ht="18" customHeight="1" x14ac:dyDescent="0.2">
      <c r="A48" s="274" t="s">
        <v>160</v>
      </c>
      <c r="B48" s="275"/>
      <c r="C48" s="275"/>
      <c r="D48" s="275"/>
      <c r="E48" s="275"/>
      <c r="F48" s="275"/>
      <c r="G48" s="276"/>
    </row>
    <row r="49" spans="1:7" s="254" customFormat="1" ht="24" customHeight="1" x14ac:dyDescent="0.2">
      <c r="A49" s="255" t="s">
        <v>161</v>
      </c>
      <c r="B49" s="256">
        <f>SUM(C49:F49)</f>
        <v>20100</v>
      </c>
      <c r="C49" s="261">
        <v>6200</v>
      </c>
      <c r="D49" s="261">
        <v>7400</v>
      </c>
      <c r="E49" s="256">
        <v>6500</v>
      </c>
      <c r="F49" s="288">
        <v>0</v>
      </c>
      <c r="G49" s="405" t="s">
        <v>243</v>
      </c>
    </row>
    <row r="50" spans="1:7" s="254" customFormat="1" ht="24" customHeight="1" x14ac:dyDescent="0.2">
      <c r="A50" s="255" t="s">
        <v>245</v>
      </c>
      <c r="B50" s="256">
        <f>SUM(C50:F50)</f>
        <v>10500</v>
      </c>
      <c r="C50" s="261">
        <v>2000</v>
      </c>
      <c r="D50" s="261">
        <v>4200</v>
      </c>
      <c r="E50" s="256">
        <v>3000</v>
      </c>
      <c r="F50" s="288">
        <v>1300</v>
      </c>
      <c r="G50" s="404" t="s">
        <v>433</v>
      </c>
    </row>
    <row r="51" spans="1:7" s="254" customFormat="1" ht="45.75" customHeight="1" thickBot="1" x14ac:dyDescent="0.25">
      <c r="A51" s="255" t="s">
        <v>434</v>
      </c>
      <c r="B51" s="256">
        <f>SUM(C51:F51)</f>
        <v>10500</v>
      </c>
      <c r="C51" s="261">
        <v>4500</v>
      </c>
      <c r="D51" s="261">
        <v>3500</v>
      </c>
      <c r="E51" s="256">
        <v>2500</v>
      </c>
      <c r="F51" s="288">
        <v>0</v>
      </c>
      <c r="G51" s="405" t="s">
        <v>435</v>
      </c>
    </row>
    <row r="52" spans="1:7" s="254" customFormat="1" ht="15.75" customHeight="1" thickBot="1" x14ac:dyDescent="0.25">
      <c r="A52" s="258" t="s">
        <v>163</v>
      </c>
      <c r="B52" s="259">
        <f>SUM(B49:B51)</f>
        <v>41100</v>
      </c>
      <c r="C52" s="259">
        <f>SUM(C49:C51)</f>
        <v>12700</v>
      </c>
      <c r="D52" s="259">
        <f>SUM(D49:D51)</f>
        <v>15100</v>
      </c>
      <c r="E52" s="259">
        <f>SUM(E49:E51)</f>
        <v>12000</v>
      </c>
      <c r="F52" s="259">
        <f>SUM(F49:F51)</f>
        <v>1300</v>
      </c>
      <c r="G52" s="260"/>
    </row>
    <row r="53" spans="1:7" s="254" customFormat="1" ht="18" customHeight="1" x14ac:dyDescent="0.2">
      <c r="A53" s="277" t="s">
        <v>167</v>
      </c>
      <c r="B53" s="278"/>
      <c r="C53" s="278"/>
      <c r="D53" s="278"/>
      <c r="E53" s="278"/>
      <c r="F53" s="278"/>
      <c r="G53" s="279"/>
    </row>
    <row r="54" spans="1:7" s="254" customFormat="1" ht="24" customHeight="1" x14ac:dyDescent="0.2">
      <c r="A54" s="255" t="s">
        <v>168</v>
      </c>
      <c r="B54" s="256">
        <f t="shared" ref="B54:B72" si="6">SUM(C54:F54)</f>
        <v>13000</v>
      </c>
      <c r="C54" s="261">
        <v>13000</v>
      </c>
      <c r="D54" s="261">
        <v>0</v>
      </c>
      <c r="E54" s="262">
        <v>0</v>
      </c>
      <c r="F54" s="290">
        <v>0</v>
      </c>
      <c r="G54" s="405" t="s">
        <v>436</v>
      </c>
    </row>
    <row r="55" spans="1:7" s="254" customFormat="1" ht="24" customHeight="1" x14ac:dyDescent="0.2">
      <c r="A55" s="255" t="s">
        <v>169</v>
      </c>
      <c r="B55" s="256">
        <f t="shared" si="6"/>
        <v>28000</v>
      </c>
      <c r="C55" s="261">
        <v>28000</v>
      </c>
      <c r="D55" s="261">
        <v>0</v>
      </c>
      <c r="E55" s="262">
        <v>0</v>
      </c>
      <c r="F55" s="290">
        <v>0</v>
      </c>
      <c r="G55" s="405" t="s">
        <v>437</v>
      </c>
    </row>
    <row r="56" spans="1:7" s="254" customFormat="1" ht="24" customHeight="1" x14ac:dyDescent="0.2">
      <c r="A56" s="255" t="s">
        <v>173</v>
      </c>
      <c r="B56" s="256">
        <f t="shared" si="6"/>
        <v>7850</v>
      </c>
      <c r="C56" s="261">
        <v>7850</v>
      </c>
      <c r="D56" s="261">
        <v>0</v>
      </c>
      <c r="E56" s="262">
        <v>0</v>
      </c>
      <c r="F56" s="290">
        <v>0</v>
      </c>
      <c r="G56" s="405" t="s">
        <v>437</v>
      </c>
    </row>
    <row r="57" spans="1:7" s="254" customFormat="1" ht="24" customHeight="1" x14ac:dyDescent="0.2">
      <c r="A57" s="255" t="s">
        <v>171</v>
      </c>
      <c r="B57" s="256">
        <f t="shared" si="6"/>
        <v>21000</v>
      </c>
      <c r="C57" s="261">
        <v>21000</v>
      </c>
      <c r="D57" s="261">
        <v>0</v>
      </c>
      <c r="E57" s="262">
        <v>0</v>
      </c>
      <c r="F57" s="290">
        <v>0</v>
      </c>
      <c r="G57" s="405" t="s">
        <v>437</v>
      </c>
    </row>
    <row r="58" spans="1:7" s="254" customFormat="1" ht="24" customHeight="1" x14ac:dyDescent="0.2">
      <c r="A58" s="255" t="s">
        <v>172</v>
      </c>
      <c r="B58" s="256">
        <f t="shared" si="6"/>
        <v>31634</v>
      </c>
      <c r="C58" s="261">
        <v>31634</v>
      </c>
      <c r="D58" s="261">
        <v>0</v>
      </c>
      <c r="E58" s="262">
        <v>0</v>
      </c>
      <c r="F58" s="290">
        <v>0</v>
      </c>
      <c r="G58" s="405" t="s">
        <v>437</v>
      </c>
    </row>
    <row r="59" spans="1:7" s="254" customFormat="1" ht="24" customHeight="1" x14ac:dyDescent="0.2">
      <c r="A59" s="255" t="s">
        <v>438</v>
      </c>
      <c r="B59" s="256">
        <f t="shared" si="6"/>
        <v>176780</v>
      </c>
      <c r="C59" s="261">
        <v>70000</v>
      </c>
      <c r="D59" s="261">
        <v>106780</v>
      </c>
      <c r="E59" s="262">
        <v>0</v>
      </c>
      <c r="F59" s="290">
        <v>0</v>
      </c>
      <c r="G59" s="405" t="s">
        <v>439</v>
      </c>
    </row>
    <row r="60" spans="1:7" s="254" customFormat="1" ht="24" customHeight="1" x14ac:dyDescent="0.2">
      <c r="A60" s="255" t="s">
        <v>621</v>
      </c>
      <c r="B60" s="256">
        <f t="shared" si="6"/>
        <v>41000</v>
      </c>
      <c r="C60" s="261">
        <v>29000</v>
      </c>
      <c r="D60" s="261">
        <v>12000</v>
      </c>
      <c r="E60" s="262">
        <v>0</v>
      </c>
      <c r="F60" s="290">
        <v>0</v>
      </c>
      <c r="G60" s="405" t="s">
        <v>440</v>
      </c>
    </row>
    <row r="61" spans="1:7" s="254" customFormat="1" ht="34.5" customHeight="1" x14ac:dyDescent="0.2">
      <c r="A61" s="255" t="s">
        <v>247</v>
      </c>
      <c r="B61" s="256">
        <f t="shared" si="6"/>
        <v>530</v>
      </c>
      <c r="C61" s="261">
        <v>530</v>
      </c>
      <c r="D61" s="261">
        <v>0</v>
      </c>
      <c r="E61" s="262">
        <v>0</v>
      </c>
      <c r="F61" s="290">
        <v>0</v>
      </c>
      <c r="G61" s="405" t="s">
        <v>441</v>
      </c>
    </row>
    <row r="62" spans="1:7" s="254" customFormat="1" ht="45" customHeight="1" x14ac:dyDescent="0.2">
      <c r="A62" s="255" t="s">
        <v>442</v>
      </c>
      <c r="B62" s="256">
        <f t="shared" si="6"/>
        <v>11000</v>
      </c>
      <c r="C62" s="261">
        <v>11000</v>
      </c>
      <c r="D62" s="261">
        <v>0</v>
      </c>
      <c r="E62" s="262">
        <v>0</v>
      </c>
      <c r="F62" s="290">
        <v>0</v>
      </c>
      <c r="G62" s="405" t="s">
        <v>443</v>
      </c>
    </row>
    <row r="63" spans="1:7" s="254" customFormat="1" ht="34.5" customHeight="1" x14ac:dyDescent="0.2">
      <c r="A63" s="255" t="s">
        <v>444</v>
      </c>
      <c r="B63" s="256">
        <f t="shared" si="6"/>
        <v>6200</v>
      </c>
      <c r="C63" s="261">
        <v>6200</v>
      </c>
      <c r="D63" s="261">
        <v>0</v>
      </c>
      <c r="E63" s="262">
        <v>0</v>
      </c>
      <c r="F63" s="290">
        <v>0</v>
      </c>
      <c r="G63" s="405" t="s">
        <v>445</v>
      </c>
    </row>
    <row r="64" spans="1:7" s="254" customFormat="1" ht="34.5" customHeight="1" x14ac:dyDescent="0.2">
      <c r="A64" s="255" t="s">
        <v>446</v>
      </c>
      <c r="B64" s="256">
        <f t="shared" si="6"/>
        <v>19200</v>
      </c>
      <c r="C64" s="261">
        <v>8500</v>
      </c>
      <c r="D64" s="261">
        <v>8500</v>
      </c>
      <c r="E64" s="256">
        <v>2200</v>
      </c>
      <c r="F64" s="290">
        <v>0</v>
      </c>
      <c r="G64" s="405" t="s">
        <v>447</v>
      </c>
    </row>
    <row r="65" spans="1:7" s="254" customFormat="1" ht="34.5" customHeight="1" x14ac:dyDescent="0.2">
      <c r="A65" s="255" t="s">
        <v>448</v>
      </c>
      <c r="B65" s="256">
        <f t="shared" si="6"/>
        <v>9000</v>
      </c>
      <c r="C65" s="261">
        <v>5000</v>
      </c>
      <c r="D65" s="261">
        <v>4000</v>
      </c>
      <c r="E65" s="262">
        <v>0</v>
      </c>
      <c r="F65" s="290">
        <v>0</v>
      </c>
      <c r="G65" s="404" t="s">
        <v>449</v>
      </c>
    </row>
    <row r="66" spans="1:7" s="254" customFormat="1" ht="24" customHeight="1" x14ac:dyDescent="0.2">
      <c r="A66" s="255" t="s">
        <v>248</v>
      </c>
      <c r="B66" s="256">
        <f t="shared" si="6"/>
        <v>1795</v>
      </c>
      <c r="C66" s="261">
        <v>1795</v>
      </c>
      <c r="D66" s="261">
        <v>0</v>
      </c>
      <c r="E66" s="262">
        <v>0</v>
      </c>
      <c r="F66" s="290">
        <v>0</v>
      </c>
      <c r="G66" s="404" t="s">
        <v>249</v>
      </c>
    </row>
    <row r="67" spans="1:7" s="254" customFormat="1" ht="24" customHeight="1" x14ac:dyDescent="0.2">
      <c r="A67" s="255" t="s">
        <v>450</v>
      </c>
      <c r="B67" s="256">
        <f t="shared" si="6"/>
        <v>661583</v>
      </c>
      <c r="C67" s="261">
        <v>220000</v>
      </c>
      <c r="D67" s="261">
        <v>220000</v>
      </c>
      <c r="E67" s="256">
        <v>221583</v>
      </c>
      <c r="F67" s="290">
        <v>0</v>
      </c>
      <c r="G67" s="405" t="s">
        <v>451</v>
      </c>
    </row>
    <row r="68" spans="1:7" s="254" customFormat="1" ht="34.5" customHeight="1" x14ac:dyDescent="0.2">
      <c r="A68" s="255" t="s">
        <v>250</v>
      </c>
      <c r="B68" s="256">
        <f t="shared" si="6"/>
        <v>48150</v>
      </c>
      <c r="C68" s="261">
        <v>48150</v>
      </c>
      <c r="D68" s="261">
        <v>0</v>
      </c>
      <c r="E68" s="256">
        <v>0</v>
      </c>
      <c r="F68" s="290">
        <v>0</v>
      </c>
      <c r="G68" s="405" t="s">
        <v>452</v>
      </c>
    </row>
    <row r="69" spans="1:7" s="254" customFormat="1" ht="34.5" customHeight="1" x14ac:dyDescent="0.2">
      <c r="A69" s="255" t="s">
        <v>453</v>
      </c>
      <c r="B69" s="256">
        <f t="shared" si="6"/>
        <v>15000</v>
      </c>
      <c r="C69" s="261">
        <v>5400</v>
      </c>
      <c r="D69" s="261">
        <v>7600</v>
      </c>
      <c r="E69" s="256">
        <v>2000</v>
      </c>
      <c r="F69" s="290">
        <v>0</v>
      </c>
      <c r="G69" s="405" t="s">
        <v>447</v>
      </c>
    </row>
    <row r="70" spans="1:7" s="254" customFormat="1" ht="34.5" customHeight="1" x14ac:dyDescent="0.2">
      <c r="A70" s="255" t="s">
        <v>302</v>
      </c>
      <c r="B70" s="256">
        <f t="shared" si="6"/>
        <v>13597</v>
      </c>
      <c r="C70" s="261">
        <v>8100</v>
      </c>
      <c r="D70" s="261">
        <v>5497</v>
      </c>
      <c r="E70" s="262">
        <v>0</v>
      </c>
      <c r="F70" s="290">
        <v>0</v>
      </c>
      <c r="G70" s="405" t="s">
        <v>454</v>
      </c>
    </row>
    <row r="71" spans="1:7" s="254" customFormat="1" ht="45" customHeight="1" x14ac:dyDescent="0.2">
      <c r="A71" s="255" t="s">
        <v>455</v>
      </c>
      <c r="B71" s="256">
        <f t="shared" si="6"/>
        <v>27500</v>
      </c>
      <c r="C71" s="261">
        <v>10500</v>
      </c>
      <c r="D71" s="261">
        <v>10000</v>
      </c>
      <c r="E71" s="256">
        <v>7000</v>
      </c>
      <c r="F71" s="290">
        <v>0</v>
      </c>
      <c r="G71" s="405" t="s">
        <v>443</v>
      </c>
    </row>
    <row r="72" spans="1:7" s="254" customFormat="1" ht="35.25" customHeight="1" thickBot="1" x14ac:dyDescent="0.25">
      <c r="A72" s="255" t="s">
        <v>456</v>
      </c>
      <c r="B72" s="256">
        <f t="shared" si="6"/>
        <v>9151</v>
      </c>
      <c r="C72" s="261">
        <v>5900</v>
      </c>
      <c r="D72" s="261">
        <v>3251</v>
      </c>
      <c r="E72" s="262">
        <v>0</v>
      </c>
      <c r="F72" s="290">
        <v>0</v>
      </c>
      <c r="G72" s="405" t="s">
        <v>457</v>
      </c>
    </row>
    <row r="73" spans="1:7" s="254" customFormat="1" ht="15.75" customHeight="1" thickBot="1" x14ac:dyDescent="0.25">
      <c r="A73" s="265" t="s">
        <v>175</v>
      </c>
      <c r="B73" s="259">
        <f>SUM(B54:B72)</f>
        <v>1141970</v>
      </c>
      <c r="C73" s="259">
        <f t="shared" ref="C73:F73" si="7">SUM(C54:C72)</f>
        <v>531559</v>
      </c>
      <c r="D73" s="259">
        <f t="shared" si="7"/>
        <v>377628</v>
      </c>
      <c r="E73" s="259">
        <f t="shared" si="7"/>
        <v>232783</v>
      </c>
      <c r="F73" s="259">
        <f t="shared" si="7"/>
        <v>0</v>
      </c>
      <c r="G73" s="260"/>
    </row>
    <row r="74" spans="1:7" s="254" customFormat="1" ht="18" customHeight="1" x14ac:dyDescent="0.2">
      <c r="A74" s="277" t="s">
        <v>176</v>
      </c>
      <c r="B74" s="278"/>
      <c r="C74" s="278"/>
      <c r="D74" s="278"/>
      <c r="E74" s="278"/>
      <c r="F74" s="278"/>
      <c r="G74" s="279"/>
    </row>
    <row r="75" spans="1:7" s="254" customFormat="1" ht="24" customHeight="1" x14ac:dyDescent="0.2">
      <c r="A75" s="255" t="s">
        <v>251</v>
      </c>
      <c r="B75" s="256">
        <f t="shared" ref="B75:B86" si="8">SUM(C75:F75)</f>
        <v>70379</v>
      </c>
      <c r="C75" s="261">
        <v>0</v>
      </c>
      <c r="D75" s="261">
        <v>70379</v>
      </c>
      <c r="E75" s="262">
        <v>0</v>
      </c>
      <c r="F75" s="290">
        <v>0</v>
      </c>
      <c r="G75" s="405" t="s">
        <v>252</v>
      </c>
    </row>
    <row r="76" spans="1:7" s="254" customFormat="1" ht="24" customHeight="1" x14ac:dyDescent="0.2">
      <c r="A76" s="255" t="s">
        <v>253</v>
      </c>
      <c r="B76" s="256">
        <f t="shared" si="8"/>
        <v>104044</v>
      </c>
      <c r="C76" s="261">
        <v>0</v>
      </c>
      <c r="D76" s="261">
        <v>104044</v>
      </c>
      <c r="E76" s="262">
        <v>0</v>
      </c>
      <c r="F76" s="290">
        <v>0</v>
      </c>
      <c r="G76" s="405" t="s">
        <v>252</v>
      </c>
    </row>
    <row r="77" spans="1:7" s="254" customFormat="1" ht="34.5" customHeight="1" x14ac:dyDescent="0.2">
      <c r="A77" s="255" t="s">
        <v>254</v>
      </c>
      <c r="B77" s="256">
        <f t="shared" si="8"/>
        <v>201803</v>
      </c>
      <c r="C77" s="261">
        <v>0</v>
      </c>
      <c r="D77" s="261">
        <v>201803</v>
      </c>
      <c r="E77" s="262">
        <v>0</v>
      </c>
      <c r="F77" s="290">
        <v>0</v>
      </c>
      <c r="G77" s="405" t="s">
        <v>252</v>
      </c>
    </row>
    <row r="78" spans="1:7" s="254" customFormat="1" ht="34.5" customHeight="1" x14ac:dyDescent="0.2">
      <c r="A78" s="255" t="s">
        <v>458</v>
      </c>
      <c r="B78" s="256">
        <f>SUM(C78:F78)</f>
        <v>59000</v>
      </c>
      <c r="C78" s="261">
        <v>59000</v>
      </c>
      <c r="D78" s="261">
        <v>0</v>
      </c>
      <c r="E78" s="262">
        <v>0</v>
      </c>
      <c r="F78" s="290">
        <v>0</v>
      </c>
      <c r="G78" s="405" t="s">
        <v>410</v>
      </c>
    </row>
    <row r="79" spans="1:7" s="254" customFormat="1" ht="45" customHeight="1" x14ac:dyDescent="0.2">
      <c r="A79" s="255" t="s">
        <v>459</v>
      </c>
      <c r="B79" s="256">
        <f t="shared" si="8"/>
        <v>19700</v>
      </c>
      <c r="C79" s="261">
        <v>9700</v>
      </c>
      <c r="D79" s="261">
        <v>10000</v>
      </c>
      <c r="E79" s="262">
        <v>0</v>
      </c>
      <c r="F79" s="290">
        <v>0</v>
      </c>
      <c r="G79" s="404" t="s">
        <v>460</v>
      </c>
    </row>
    <row r="80" spans="1:7" s="254" customFormat="1" ht="34.5" customHeight="1" x14ac:dyDescent="0.2">
      <c r="A80" s="255" t="s">
        <v>255</v>
      </c>
      <c r="B80" s="256">
        <f t="shared" si="8"/>
        <v>12881</v>
      </c>
      <c r="C80" s="261">
        <v>4058</v>
      </c>
      <c r="D80" s="261">
        <v>8823</v>
      </c>
      <c r="E80" s="262">
        <v>0</v>
      </c>
      <c r="F80" s="290">
        <v>0</v>
      </c>
      <c r="G80" s="404" t="s">
        <v>461</v>
      </c>
    </row>
    <row r="81" spans="1:7" s="254" customFormat="1" ht="24" customHeight="1" x14ac:dyDescent="0.2">
      <c r="A81" s="255" t="s">
        <v>462</v>
      </c>
      <c r="B81" s="256">
        <f t="shared" si="8"/>
        <v>6800</v>
      </c>
      <c r="C81" s="261">
        <v>5800</v>
      </c>
      <c r="D81" s="261">
        <v>1000</v>
      </c>
      <c r="E81" s="262">
        <v>0</v>
      </c>
      <c r="F81" s="290">
        <v>0</v>
      </c>
      <c r="G81" s="405" t="s">
        <v>463</v>
      </c>
    </row>
    <row r="82" spans="1:7" s="254" customFormat="1" ht="34.5" customHeight="1" x14ac:dyDescent="0.2">
      <c r="A82" s="255" t="s">
        <v>464</v>
      </c>
      <c r="B82" s="256">
        <f t="shared" si="8"/>
        <v>69254</v>
      </c>
      <c r="C82" s="261">
        <v>46346</v>
      </c>
      <c r="D82" s="261">
        <v>22908</v>
      </c>
      <c r="E82" s="262">
        <v>0</v>
      </c>
      <c r="F82" s="290">
        <v>0</v>
      </c>
      <c r="G82" s="405" t="s">
        <v>465</v>
      </c>
    </row>
    <row r="83" spans="1:7" s="254" customFormat="1" ht="24" customHeight="1" x14ac:dyDescent="0.2">
      <c r="A83" s="255" t="s">
        <v>466</v>
      </c>
      <c r="B83" s="256">
        <f t="shared" si="8"/>
        <v>31400</v>
      </c>
      <c r="C83" s="261">
        <v>31400</v>
      </c>
      <c r="D83" s="261">
        <v>0</v>
      </c>
      <c r="E83" s="262">
        <v>0</v>
      </c>
      <c r="F83" s="290">
        <v>0</v>
      </c>
      <c r="G83" s="405" t="s">
        <v>467</v>
      </c>
    </row>
    <row r="84" spans="1:7" s="254" customFormat="1" ht="24" customHeight="1" x14ac:dyDescent="0.2">
      <c r="A84" s="255" t="s">
        <v>468</v>
      </c>
      <c r="B84" s="256">
        <f t="shared" si="8"/>
        <v>9300</v>
      </c>
      <c r="C84" s="261">
        <v>9300</v>
      </c>
      <c r="D84" s="261">
        <v>0</v>
      </c>
      <c r="E84" s="262">
        <v>0</v>
      </c>
      <c r="F84" s="290">
        <v>0</v>
      </c>
      <c r="G84" s="405" t="s">
        <v>469</v>
      </c>
    </row>
    <row r="85" spans="1:7" s="254" customFormat="1" ht="24" customHeight="1" x14ac:dyDescent="0.2">
      <c r="A85" s="255" t="s">
        <v>177</v>
      </c>
      <c r="B85" s="256">
        <f t="shared" si="8"/>
        <v>2350</v>
      </c>
      <c r="C85" s="261">
        <v>1150</v>
      </c>
      <c r="D85" s="261">
        <v>1200</v>
      </c>
      <c r="E85" s="262">
        <v>0</v>
      </c>
      <c r="F85" s="290">
        <v>0</v>
      </c>
      <c r="G85" s="405" t="s">
        <v>243</v>
      </c>
    </row>
    <row r="86" spans="1:7" s="254" customFormat="1" ht="24.75" customHeight="1" thickBot="1" x14ac:dyDescent="0.25">
      <c r="A86" s="255" t="s">
        <v>470</v>
      </c>
      <c r="B86" s="256">
        <f t="shared" si="8"/>
        <v>9300</v>
      </c>
      <c r="C86" s="261">
        <v>9300</v>
      </c>
      <c r="D86" s="261">
        <v>0</v>
      </c>
      <c r="E86" s="262">
        <v>0</v>
      </c>
      <c r="F86" s="290">
        <v>0</v>
      </c>
      <c r="G86" s="405" t="s">
        <v>469</v>
      </c>
    </row>
    <row r="87" spans="1:7" s="254" customFormat="1" ht="15.75" customHeight="1" thickBot="1" x14ac:dyDescent="0.25">
      <c r="A87" s="265" t="s">
        <v>178</v>
      </c>
      <c r="B87" s="259">
        <f>SUM(B75:B86)</f>
        <v>596211</v>
      </c>
      <c r="C87" s="259">
        <f>SUM(C75:C86)</f>
        <v>176054</v>
      </c>
      <c r="D87" s="259">
        <f>SUM(D75:D86)</f>
        <v>420157</v>
      </c>
      <c r="E87" s="259">
        <f>SUM(E75:E86)</f>
        <v>0</v>
      </c>
      <c r="F87" s="259">
        <f>SUM(F75:F86)</f>
        <v>0</v>
      </c>
      <c r="G87" s="260"/>
    </row>
    <row r="88" spans="1:7" s="254" customFormat="1" ht="18" customHeight="1" x14ac:dyDescent="0.2">
      <c r="A88" s="389" t="s">
        <v>179</v>
      </c>
      <c r="B88" s="390"/>
      <c r="C88" s="390"/>
      <c r="D88" s="390"/>
      <c r="E88" s="390"/>
      <c r="F88" s="390"/>
      <c r="G88" s="391"/>
    </row>
    <row r="89" spans="1:7" s="254" customFormat="1" ht="24" customHeight="1" x14ac:dyDescent="0.2">
      <c r="A89" s="255" t="s">
        <v>471</v>
      </c>
      <c r="B89" s="256">
        <f>SUM(C89:F89)</f>
        <v>26575</v>
      </c>
      <c r="C89" s="261">
        <v>26575</v>
      </c>
      <c r="D89" s="261">
        <v>0</v>
      </c>
      <c r="E89" s="262">
        <v>0</v>
      </c>
      <c r="F89" s="290">
        <v>0</v>
      </c>
      <c r="G89" s="405" t="s">
        <v>472</v>
      </c>
    </row>
    <row r="90" spans="1:7" s="254" customFormat="1" ht="24" customHeight="1" x14ac:dyDescent="0.2">
      <c r="A90" s="255" t="s">
        <v>355</v>
      </c>
      <c r="B90" s="256">
        <f>SUM(C90:F90)</f>
        <v>72400</v>
      </c>
      <c r="C90" s="261">
        <v>0</v>
      </c>
      <c r="D90" s="261">
        <v>38400</v>
      </c>
      <c r="E90" s="256">
        <v>34000</v>
      </c>
      <c r="F90" s="290">
        <v>0</v>
      </c>
      <c r="G90" s="405" t="s">
        <v>473</v>
      </c>
    </row>
    <row r="91" spans="1:7" s="254" customFormat="1" ht="45.75" customHeight="1" thickBot="1" x14ac:dyDescent="0.25">
      <c r="A91" s="255" t="s">
        <v>474</v>
      </c>
      <c r="B91" s="256">
        <f>SUM(C91:F91)</f>
        <v>59500</v>
      </c>
      <c r="C91" s="261">
        <v>59500</v>
      </c>
      <c r="D91" s="261">
        <v>0</v>
      </c>
      <c r="E91" s="262">
        <v>0</v>
      </c>
      <c r="F91" s="290">
        <v>0</v>
      </c>
      <c r="G91" s="405" t="s">
        <v>475</v>
      </c>
    </row>
    <row r="92" spans="1:7" s="254" customFormat="1" ht="15.75" customHeight="1" thickBot="1" x14ac:dyDescent="0.25">
      <c r="A92" s="258" t="s">
        <v>181</v>
      </c>
      <c r="B92" s="259">
        <f>SUM(B89:B91)</f>
        <v>158475</v>
      </c>
      <c r="C92" s="259">
        <f>SUM(C89:C91)</f>
        <v>86075</v>
      </c>
      <c r="D92" s="259">
        <f>SUM(D89:D91)</f>
        <v>38400</v>
      </c>
      <c r="E92" s="259">
        <f>SUM(E89:E91)</f>
        <v>34000</v>
      </c>
      <c r="F92" s="259">
        <f>SUM(F89:F91)</f>
        <v>0</v>
      </c>
      <c r="G92" s="260"/>
    </row>
    <row r="93" spans="1:7" s="254" customFormat="1" ht="18" customHeight="1" x14ac:dyDescent="0.2">
      <c r="A93" s="574" t="s">
        <v>256</v>
      </c>
      <c r="B93" s="575"/>
      <c r="C93" s="575"/>
      <c r="D93" s="575"/>
      <c r="E93" s="575"/>
      <c r="F93" s="575"/>
      <c r="G93" s="576"/>
    </row>
    <row r="94" spans="1:7" s="254" customFormat="1" ht="35.25" customHeight="1" x14ac:dyDescent="0.2">
      <c r="A94" s="255" t="s">
        <v>476</v>
      </c>
      <c r="B94" s="256">
        <f t="shared" ref="B94:B103" si="9">SUM(C94:F94)</f>
        <v>3500</v>
      </c>
      <c r="C94" s="261">
        <v>1500</v>
      </c>
      <c r="D94" s="261">
        <v>2000</v>
      </c>
      <c r="E94" s="262">
        <v>0</v>
      </c>
      <c r="F94" s="290">
        <v>0</v>
      </c>
      <c r="G94" s="405" t="s">
        <v>477</v>
      </c>
    </row>
    <row r="95" spans="1:7" s="254" customFormat="1" ht="24" customHeight="1" x14ac:dyDescent="0.2">
      <c r="A95" s="255" t="s">
        <v>182</v>
      </c>
      <c r="B95" s="256">
        <f t="shared" si="9"/>
        <v>15</v>
      </c>
      <c r="C95" s="261">
        <v>15</v>
      </c>
      <c r="D95" s="261">
        <v>0</v>
      </c>
      <c r="E95" s="262">
        <v>0</v>
      </c>
      <c r="F95" s="290">
        <v>0</v>
      </c>
      <c r="G95" s="405" t="s">
        <v>257</v>
      </c>
    </row>
    <row r="96" spans="1:7" s="254" customFormat="1" ht="24" customHeight="1" x14ac:dyDescent="0.2">
      <c r="A96" s="255" t="s">
        <v>186</v>
      </c>
      <c r="B96" s="256">
        <f t="shared" si="9"/>
        <v>1041</v>
      </c>
      <c r="C96" s="261">
        <v>801</v>
      </c>
      <c r="D96" s="261">
        <v>240</v>
      </c>
      <c r="E96" s="262">
        <v>0</v>
      </c>
      <c r="F96" s="290">
        <v>0</v>
      </c>
      <c r="G96" s="404" t="s">
        <v>257</v>
      </c>
    </row>
    <row r="97" spans="1:7" s="254" customFormat="1" ht="24" customHeight="1" x14ac:dyDescent="0.2">
      <c r="A97" s="255" t="s">
        <v>183</v>
      </c>
      <c r="B97" s="256">
        <f t="shared" si="9"/>
        <v>170</v>
      </c>
      <c r="C97" s="261">
        <v>170</v>
      </c>
      <c r="D97" s="261">
        <v>0</v>
      </c>
      <c r="E97" s="262">
        <v>0</v>
      </c>
      <c r="F97" s="290">
        <v>0</v>
      </c>
      <c r="G97" s="405" t="s">
        <v>257</v>
      </c>
    </row>
    <row r="98" spans="1:7" s="254" customFormat="1" ht="24" customHeight="1" x14ac:dyDescent="0.2">
      <c r="A98" s="255" t="s">
        <v>184</v>
      </c>
      <c r="B98" s="256">
        <f t="shared" si="9"/>
        <v>5320</v>
      </c>
      <c r="C98" s="261">
        <v>4610</v>
      </c>
      <c r="D98" s="261">
        <v>710</v>
      </c>
      <c r="E98" s="262">
        <v>0</v>
      </c>
      <c r="F98" s="290">
        <v>0</v>
      </c>
      <c r="G98" s="404" t="s">
        <v>257</v>
      </c>
    </row>
    <row r="99" spans="1:7" s="254" customFormat="1" ht="35.25" customHeight="1" x14ac:dyDescent="0.2">
      <c r="A99" s="255" t="s">
        <v>185</v>
      </c>
      <c r="B99" s="256">
        <f t="shared" si="9"/>
        <v>450</v>
      </c>
      <c r="C99" s="261">
        <v>450</v>
      </c>
      <c r="D99" s="261">
        <v>0</v>
      </c>
      <c r="E99" s="262">
        <v>0</v>
      </c>
      <c r="F99" s="290">
        <v>0</v>
      </c>
      <c r="G99" s="405" t="s">
        <v>258</v>
      </c>
    </row>
    <row r="100" spans="1:7" s="254" customFormat="1" ht="24" customHeight="1" x14ac:dyDescent="0.2">
      <c r="A100" s="255" t="s">
        <v>478</v>
      </c>
      <c r="B100" s="256">
        <f t="shared" si="9"/>
        <v>10500</v>
      </c>
      <c r="C100" s="261">
        <v>3000</v>
      </c>
      <c r="D100" s="261">
        <v>6000</v>
      </c>
      <c r="E100" s="256">
        <v>1500</v>
      </c>
      <c r="F100" s="290">
        <v>0</v>
      </c>
      <c r="G100" s="405" t="s">
        <v>479</v>
      </c>
    </row>
    <row r="101" spans="1:7" s="254" customFormat="1" ht="24" customHeight="1" x14ac:dyDescent="0.2">
      <c r="A101" s="255" t="s">
        <v>480</v>
      </c>
      <c r="B101" s="256">
        <f t="shared" si="9"/>
        <v>26100</v>
      </c>
      <c r="C101" s="261">
        <v>26100</v>
      </c>
      <c r="D101" s="261">
        <v>0</v>
      </c>
      <c r="E101" s="262">
        <v>0</v>
      </c>
      <c r="F101" s="290">
        <v>0</v>
      </c>
      <c r="G101" s="405" t="s">
        <v>481</v>
      </c>
    </row>
    <row r="102" spans="1:7" s="254" customFormat="1" ht="24" customHeight="1" x14ac:dyDescent="0.2">
      <c r="A102" s="255" t="s">
        <v>482</v>
      </c>
      <c r="B102" s="256">
        <f t="shared" si="9"/>
        <v>500</v>
      </c>
      <c r="C102" s="261">
        <v>500</v>
      </c>
      <c r="D102" s="261">
        <v>0</v>
      </c>
      <c r="E102" s="262">
        <v>0</v>
      </c>
      <c r="F102" s="290">
        <v>0</v>
      </c>
      <c r="G102" s="405" t="s">
        <v>483</v>
      </c>
    </row>
    <row r="103" spans="1:7" s="254" customFormat="1" ht="54.75" customHeight="1" thickBot="1" x14ac:dyDescent="0.25">
      <c r="A103" s="255" t="s">
        <v>484</v>
      </c>
      <c r="B103" s="256">
        <f t="shared" si="9"/>
        <v>2817</v>
      </c>
      <c r="C103" s="261">
        <v>2817</v>
      </c>
      <c r="D103" s="261">
        <v>0</v>
      </c>
      <c r="E103" s="262">
        <v>0</v>
      </c>
      <c r="F103" s="290">
        <v>0</v>
      </c>
      <c r="G103" s="405" t="s">
        <v>485</v>
      </c>
    </row>
    <row r="104" spans="1:7" s="254" customFormat="1" ht="15.75" customHeight="1" thickBot="1" x14ac:dyDescent="0.25">
      <c r="A104" s="265" t="s">
        <v>187</v>
      </c>
      <c r="B104" s="259">
        <f>SUM(B94:B103)</f>
        <v>50413</v>
      </c>
      <c r="C104" s="259">
        <f>SUM(C94:C103)</f>
        <v>39963</v>
      </c>
      <c r="D104" s="259">
        <f>SUM(D94:D103)</f>
        <v>8950</v>
      </c>
      <c r="E104" s="259">
        <f>SUM(E94:E103)</f>
        <v>1500</v>
      </c>
      <c r="F104" s="259">
        <f>SUM(F94:F103)</f>
        <v>0</v>
      </c>
      <c r="G104" s="260"/>
    </row>
    <row r="105" spans="1:7" s="254" customFormat="1" ht="9" customHeight="1" thickBot="1" x14ac:dyDescent="0.25">
      <c r="A105" s="402"/>
      <c r="B105" s="281"/>
      <c r="C105" s="282"/>
      <c r="D105" s="282"/>
      <c r="E105" s="282"/>
      <c r="F105" s="282"/>
      <c r="G105" s="283"/>
    </row>
    <row r="106" spans="1:7" s="254" customFormat="1" ht="18" customHeight="1" thickBot="1" x14ac:dyDescent="0.25">
      <c r="A106" s="284" t="s">
        <v>190</v>
      </c>
      <c r="B106" s="259">
        <f>B104+B92+B87+B73+B52+B47+B42+B35+B29+B12+B8</f>
        <v>3613290</v>
      </c>
      <c r="C106" s="259">
        <f>C104+C92+C87+C73+C52+C47+C42+C35+C29+C12+C8</f>
        <v>1495538</v>
      </c>
      <c r="D106" s="259">
        <f>D104+D92+D87+D73+D52+D47+D42+D35+D29+D12+D8</f>
        <v>1341060</v>
      </c>
      <c r="E106" s="259">
        <f>E104+E92+E87+E73+E52+E47+E42+E35+E29+E12+E8</f>
        <v>775392</v>
      </c>
      <c r="F106" s="259">
        <f>F104+F92+F87+F73+F52+F47+F42+F35+F29+F12+F8</f>
        <v>1300</v>
      </c>
      <c r="G106" s="285"/>
    </row>
    <row r="108" spans="1:7" s="286" customFormat="1" x14ac:dyDescent="0.2"/>
    <row r="109" spans="1:7" x14ac:dyDescent="0.2">
      <c r="A109" s="286"/>
      <c r="B109" s="286"/>
    </row>
    <row r="111" spans="1:7" ht="14.25" x14ac:dyDescent="0.2">
      <c r="A111" s="287"/>
    </row>
  </sheetData>
  <mergeCells count="12">
    <mergeCell ref="A93:G93"/>
    <mergeCell ref="A6:G6"/>
    <mergeCell ref="A9:G9"/>
    <mergeCell ref="A13:G13"/>
    <mergeCell ref="A30:G30"/>
    <mergeCell ref="A36:G36"/>
    <mergeCell ref="A43:G43"/>
    <mergeCell ref="A2:G2"/>
    <mergeCell ref="A4:A5"/>
    <mergeCell ref="B4:B5"/>
    <mergeCell ref="C4:F4"/>
    <mergeCell ref="G4:G5"/>
  </mergeCells>
  <pageMargins left="0.59055118110236227" right="0.59055118110236227" top="0.78740157480314965" bottom="0.59055118110236227" header="0.31496062992125984" footer="0.31496062992125984"/>
  <pageSetup paperSize="9" firstPageNumber="7" fitToHeight="0" orientation="landscape" useFirstPageNumber="1" r:id="rId1"/>
  <headerFooter>
    <oddHeader xml:space="preserve">&amp;L&amp;"Tahoma,Kurzíva"&amp;9Střednědobý výhled rozpočtu kraje na léta 2020 - 2022
Příloha č. 13&amp;R&amp;"Tahoma,Kurzíva"&amp;9Přehled závazků kraje u akcí spolufinancovaných z evropských finančních zdrojů </oddHeader>
    <oddFooter>&amp;C&amp;"Tahoma,Obyčejné"&amp;P</oddFooter>
  </headerFooter>
  <rowBreaks count="1" manualBreakCount="1">
    <brk id="2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zoomScaleNormal="100" zoomScaleSheetLayoutView="100" workbookViewId="0">
      <selection activeCell="J3" sqref="J3"/>
    </sheetView>
  </sheetViews>
  <sheetFormatPr defaultRowHeight="11.25" x14ac:dyDescent="0.2"/>
  <cols>
    <col min="1" max="1" width="37.7109375" style="213" customWidth="1"/>
    <col min="2" max="2" width="6.7109375" style="214" hidden="1" customWidth="1"/>
    <col min="3" max="7" width="10.7109375" style="213" customWidth="1"/>
    <col min="8" max="8" width="44.7109375" style="250" customWidth="1"/>
    <col min="9" max="16384" width="9.140625" style="213"/>
  </cols>
  <sheetData>
    <row r="1" spans="1:10" ht="12.75" x14ac:dyDescent="0.2">
      <c r="A1" s="65" t="s">
        <v>86</v>
      </c>
    </row>
    <row r="2" spans="1:10" ht="34.5" customHeight="1" x14ac:dyDescent="0.2">
      <c r="A2" s="586" t="s">
        <v>369</v>
      </c>
      <c r="B2" s="586"/>
      <c r="C2" s="586"/>
      <c r="D2" s="586"/>
      <c r="E2" s="586"/>
      <c r="F2" s="586"/>
      <c r="G2" s="586"/>
      <c r="H2" s="586"/>
      <c r="I2" s="212"/>
      <c r="J2" s="212"/>
    </row>
    <row r="3" spans="1:10" ht="13.5" customHeight="1" thickBot="1" x14ac:dyDescent="0.25">
      <c r="H3" s="215" t="s">
        <v>137</v>
      </c>
    </row>
    <row r="4" spans="1:10" ht="21" customHeight="1" x14ac:dyDescent="0.2">
      <c r="A4" s="564" t="s">
        <v>201</v>
      </c>
      <c r="B4" s="587" t="s">
        <v>202</v>
      </c>
      <c r="C4" s="566" t="s">
        <v>203</v>
      </c>
      <c r="D4" s="568" t="s">
        <v>298</v>
      </c>
      <c r="E4" s="569"/>
      <c r="F4" s="570"/>
      <c r="G4" s="589"/>
      <c r="H4" s="572" t="s">
        <v>204</v>
      </c>
    </row>
    <row r="5" spans="1:10" ht="21" customHeight="1" thickBot="1" x14ac:dyDescent="0.25">
      <c r="A5" s="565"/>
      <c r="B5" s="588"/>
      <c r="C5" s="567"/>
      <c r="D5" s="216" t="s">
        <v>205</v>
      </c>
      <c r="E5" s="216" t="s">
        <v>206</v>
      </c>
      <c r="F5" s="216" t="s">
        <v>396</v>
      </c>
      <c r="G5" s="216" t="s">
        <v>397</v>
      </c>
      <c r="H5" s="590"/>
    </row>
    <row r="6" spans="1:10" s="217" customFormat="1" ht="18" customHeight="1" x14ac:dyDescent="0.2">
      <c r="A6" s="595" t="s">
        <v>146</v>
      </c>
      <c r="B6" s="596"/>
      <c r="C6" s="596"/>
      <c r="D6" s="596"/>
      <c r="E6" s="596"/>
      <c r="F6" s="596"/>
      <c r="G6" s="596"/>
      <c r="H6" s="597"/>
      <c r="I6" s="213"/>
    </row>
    <row r="7" spans="1:10" ht="55.5" customHeight="1" thickBot="1" x14ac:dyDescent="0.25">
      <c r="A7" s="218" t="s">
        <v>207</v>
      </c>
      <c r="B7" s="219">
        <v>5057</v>
      </c>
      <c r="C7" s="220">
        <f>D7+E7+F7+G7</f>
        <v>59408</v>
      </c>
      <c r="D7" s="231">
        <v>19507</v>
      </c>
      <c r="E7" s="231">
        <v>19507</v>
      </c>
      <c r="F7" s="231">
        <v>19507</v>
      </c>
      <c r="G7" s="239">
        <v>887</v>
      </c>
      <c r="H7" s="222" t="s">
        <v>303</v>
      </c>
    </row>
    <row r="8" spans="1:10" s="217" customFormat="1" ht="15.75" customHeight="1" thickBot="1" x14ac:dyDescent="0.25">
      <c r="A8" s="223" t="s">
        <v>149</v>
      </c>
      <c r="B8" s="224"/>
      <c r="C8" s="225">
        <f>SUM(C7)</f>
        <v>59408</v>
      </c>
      <c r="D8" s="226">
        <f t="shared" ref="D8:G8" si="0">SUM(D7:D7)</f>
        <v>19507</v>
      </c>
      <c r="E8" s="226">
        <f t="shared" si="0"/>
        <v>19507</v>
      </c>
      <c r="F8" s="226">
        <f t="shared" si="0"/>
        <v>19507</v>
      </c>
      <c r="G8" s="226">
        <f t="shared" si="0"/>
        <v>887</v>
      </c>
      <c r="H8" s="227"/>
      <c r="I8" s="213"/>
    </row>
    <row r="9" spans="1:10" s="217" customFormat="1" ht="18" customHeight="1" x14ac:dyDescent="0.2">
      <c r="A9" s="595" t="s">
        <v>208</v>
      </c>
      <c r="B9" s="596"/>
      <c r="C9" s="596"/>
      <c r="D9" s="596"/>
      <c r="E9" s="596"/>
      <c r="F9" s="596"/>
      <c r="G9" s="596"/>
      <c r="H9" s="597"/>
      <c r="I9" s="213"/>
    </row>
    <row r="10" spans="1:10" ht="54.75" customHeight="1" x14ac:dyDescent="0.2">
      <c r="A10" s="228" t="s">
        <v>209</v>
      </c>
      <c r="B10" s="229">
        <v>4788</v>
      </c>
      <c r="C10" s="230">
        <f>D10+E10+F10+G10</f>
        <v>15000</v>
      </c>
      <c r="D10" s="231">
        <v>5000</v>
      </c>
      <c r="E10" s="231">
        <v>5000</v>
      </c>
      <c r="F10" s="231">
        <v>5000</v>
      </c>
      <c r="G10" s="232">
        <v>0</v>
      </c>
      <c r="H10" s="233" t="s">
        <v>487</v>
      </c>
    </row>
    <row r="11" spans="1:10" ht="34.5" customHeight="1" x14ac:dyDescent="0.2">
      <c r="A11" s="228" t="s">
        <v>488</v>
      </c>
      <c r="B11" s="229">
        <v>5878</v>
      </c>
      <c r="C11" s="230">
        <f>D11+E11+F11+G11</f>
        <v>624000</v>
      </c>
      <c r="D11" s="231">
        <v>222000</v>
      </c>
      <c r="E11" s="231">
        <v>222000</v>
      </c>
      <c r="F11" s="231">
        <v>180000</v>
      </c>
      <c r="G11" s="454">
        <v>0</v>
      </c>
      <c r="H11" s="222" t="s">
        <v>489</v>
      </c>
    </row>
    <row r="12" spans="1:10" ht="45" customHeight="1" x14ac:dyDescent="0.2">
      <c r="A12" s="228" t="s">
        <v>210</v>
      </c>
      <c r="B12" s="229"/>
      <c r="C12" s="230">
        <f>D12+E12+F12+G12</f>
        <v>217000</v>
      </c>
      <c r="D12" s="231">
        <v>80000</v>
      </c>
      <c r="E12" s="231">
        <v>137000</v>
      </c>
      <c r="F12" s="231">
        <v>0</v>
      </c>
      <c r="G12" s="221">
        <v>0</v>
      </c>
      <c r="H12" s="598" t="s">
        <v>614</v>
      </c>
      <c r="I12" s="455"/>
      <c r="J12" s="455"/>
    </row>
    <row r="13" spans="1:10" ht="45" customHeight="1" thickBot="1" x14ac:dyDescent="0.25">
      <c r="A13" s="228" t="s">
        <v>211</v>
      </c>
      <c r="B13" s="229"/>
      <c r="C13" s="230">
        <f>D13+E13+F13+G13</f>
        <v>58000</v>
      </c>
      <c r="D13" s="231">
        <v>20000</v>
      </c>
      <c r="E13" s="231">
        <v>38000</v>
      </c>
      <c r="F13" s="231">
        <v>0</v>
      </c>
      <c r="G13" s="221">
        <v>0</v>
      </c>
      <c r="H13" s="599"/>
      <c r="I13" s="455"/>
      <c r="J13" s="455"/>
    </row>
    <row r="14" spans="1:10" s="234" customFormat="1" ht="26.25" customHeight="1" thickBot="1" x14ac:dyDescent="0.25">
      <c r="A14" s="410" t="s">
        <v>212</v>
      </c>
      <c r="B14" s="224"/>
      <c r="C14" s="225">
        <f>SUM(C10:C13)</f>
        <v>914000</v>
      </c>
      <c r="D14" s="225">
        <f t="shared" ref="D14:G14" si="1">SUM(D10:D13)</f>
        <v>327000</v>
      </c>
      <c r="E14" s="225">
        <f t="shared" si="1"/>
        <v>402000</v>
      </c>
      <c r="F14" s="225">
        <f t="shared" si="1"/>
        <v>185000</v>
      </c>
      <c r="G14" s="225">
        <f t="shared" si="1"/>
        <v>0</v>
      </c>
      <c r="H14" s="227"/>
      <c r="I14" s="213"/>
    </row>
    <row r="15" spans="1:10" s="217" customFormat="1" ht="18" customHeight="1" x14ac:dyDescent="0.2">
      <c r="A15" s="591" t="s">
        <v>150</v>
      </c>
      <c r="B15" s="592"/>
      <c r="C15" s="592"/>
      <c r="D15" s="592"/>
      <c r="E15" s="592"/>
      <c r="F15" s="592"/>
      <c r="G15" s="592"/>
      <c r="H15" s="593"/>
      <c r="I15" s="213"/>
    </row>
    <row r="16" spans="1:10" ht="67.5" customHeight="1" x14ac:dyDescent="0.2">
      <c r="A16" s="228" t="s">
        <v>362</v>
      </c>
      <c r="B16" s="456">
        <v>5635</v>
      </c>
      <c r="C16" s="230">
        <f t="shared" ref="C16:C23" si="2">D16+E16+F16+G16</f>
        <v>368970</v>
      </c>
      <c r="D16" s="237">
        <v>30000</v>
      </c>
      <c r="E16" s="237">
        <v>230000</v>
      </c>
      <c r="F16" s="238">
        <v>108970</v>
      </c>
      <c r="G16" s="239">
        <v>0</v>
      </c>
      <c r="H16" s="240" t="s">
        <v>490</v>
      </c>
    </row>
    <row r="17" spans="1:9" ht="67.5" customHeight="1" x14ac:dyDescent="0.2">
      <c r="A17" s="228" t="s">
        <v>363</v>
      </c>
      <c r="B17" s="456">
        <v>4724</v>
      </c>
      <c r="C17" s="243">
        <f t="shared" si="2"/>
        <v>133190</v>
      </c>
      <c r="D17" s="237">
        <v>50000</v>
      </c>
      <c r="E17" s="237">
        <v>50000</v>
      </c>
      <c r="F17" s="238">
        <v>33190</v>
      </c>
      <c r="G17" s="239">
        <v>0</v>
      </c>
      <c r="H17" s="240" t="s">
        <v>514</v>
      </c>
    </row>
    <row r="18" spans="1:9" ht="34.5" customHeight="1" x14ac:dyDescent="0.2">
      <c r="A18" s="228" t="s">
        <v>491</v>
      </c>
      <c r="B18" s="456">
        <v>5843</v>
      </c>
      <c r="C18" s="243">
        <f t="shared" si="2"/>
        <v>6200</v>
      </c>
      <c r="D18" s="237">
        <v>5500</v>
      </c>
      <c r="E18" s="237">
        <v>700</v>
      </c>
      <c r="F18" s="238">
        <v>0</v>
      </c>
      <c r="G18" s="239">
        <v>0</v>
      </c>
      <c r="H18" s="222" t="s">
        <v>489</v>
      </c>
    </row>
    <row r="19" spans="1:9" ht="34.5" customHeight="1" x14ac:dyDescent="0.2">
      <c r="A19" s="228" t="s">
        <v>492</v>
      </c>
      <c r="B19" s="456">
        <v>5844</v>
      </c>
      <c r="C19" s="243">
        <f t="shared" si="2"/>
        <v>700</v>
      </c>
      <c r="D19" s="237">
        <v>700</v>
      </c>
      <c r="E19" s="237">
        <v>0</v>
      </c>
      <c r="F19" s="238">
        <v>0</v>
      </c>
      <c r="G19" s="239">
        <v>0</v>
      </c>
      <c r="H19" s="222" t="s">
        <v>489</v>
      </c>
    </row>
    <row r="20" spans="1:9" ht="34.5" customHeight="1" x14ac:dyDescent="0.2">
      <c r="A20" s="228" t="s">
        <v>493</v>
      </c>
      <c r="B20" s="456">
        <v>5845</v>
      </c>
      <c r="C20" s="243">
        <f t="shared" si="2"/>
        <v>26000</v>
      </c>
      <c r="D20" s="237">
        <v>26000</v>
      </c>
      <c r="E20" s="237">
        <v>0</v>
      </c>
      <c r="F20" s="238">
        <v>0</v>
      </c>
      <c r="G20" s="239">
        <v>0</v>
      </c>
      <c r="H20" s="222" t="s">
        <v>489</v>
      </c>
    </row>
    <row r="21" spans="1:9" ht="34.5" customHeight="1" x14ac:dyDescent="0.2">
      <c r="A21" s="228" t="s">
        <v>494</v>
      </c>
      <c r="B21" s="456">
        <v>5848</v>
      </c>
      <c r="C21" s="243">
        <f t="shared" si="2"/>
        <v>97000</v>
      </c>
      <c r="D21" s="237">
        <v>20000</v>
      </c>
      <c r="E21" s="237">
        <v>40000</v>
      </c>
      <c r="F21" s="238">
        <v>37000</v>
      </c>
      <c r="G21" s="239">
        <v>0</v>
      </c>
      <c r="H21" s="222" t="s">
        <v>489</v>
      </c>
    </row>
    <row r="22" spans="1:9" ht="67.5" customHeight="1" x14ac:dyDescent="0.2">
      <c r="A22" s="228" t="s">
        <v>495</v>
      </c>
      <c r="B22" s="456">
        <v>5254</v>
      </c>
      <c r="C22" s="243">
        <f t="shared" si="2"/>
        <v>8730</v>
      </c>
      <c r="D22" s="237">
        <v>2910</v>
      </c>
      <c r="E22" s="237">
        <v>2910</v>
      </c>
      <c r="F22" s="238">
        <v>2910</v>
      </c>
      <c r="G22" s="239">
        <v>0</v>
      </c>
      <c r="H22" s="240" t="s">
        <v>496</v>
      </c>
    </row>
    <row r="23" spans="1:9" ht="35.25" customHeight="1" thickBot="1" x14ac:dyDescent="0.25">
      <c r="A23" s="228" t="s">
        <v>497</v>
      </c>
      <c r="B23" s="456">
        <v>5849</v>
      </c>
      <c r="C23" s="243">
        <f t="shared" si="2"/>
        <v>10000</v>
      </c>
      <c r="D23" s="237">
        <v>10000</v>
      </c>
      <c r="E23" s="237">
        <v>0</v>
      </c>
      <c r="F23" s="238">
        <v>0</v>
      </c>
      <c r="G23" s="239">
        <v>0</v>
      </c>
      <c r="H23" s="222" t="s">
        <v>489</v>
      </c>
    </row>
    <row r="24" spans="1:9" s="217" customFormat="1" ht="15.75" customHeight="1" thickBot="1" x14ac:dyDescent="0.25">
      <c r="A24" s="223" t="s">
        <v>159</v>
      </c>
      <c r="B24" s="224"/>
      <c r="C24" s="225">
        <f>SUM(C16:C23)</f>
        <v>650790</v>
      </c>
      <c r="D24" s="225">
        <f t="shared" ref="D24:G24" si="3">SUM(D16:D23)</f>
        <v>145110</v>
      </c>
      <c r="E24" s="225">
        <f t="shared" si="3"/>
        <v>323610</v>
      </c>
      <c r="F24" s="225">
        <f t="shared" si="3"/>
        <v>182070</v>
      </c>
      <c r="G24" s="225">
        <f t="shared" si="3"/>
        <v>0</v>
      </c>
      <c r="H24" s="236"/>
      <c r="I24" s="213"/>
    </row>
    <row r="25" spans="1:9" s="217" customFormat="1" ht="18" customHeight="1" x14ac:dyDescent="0.2">
      <c r="A25" s="591" t="s">
        <v>167</v>
      </c>
      <c r="B25" s="592"/>
      <c r="C25" s="592"/>
      <c r="D25" s="592"/>
      <c r="E25" s="592"/>
      <c r="F25" s="592"/>
      <c r="G25" s="592"/>
      <c r="H25" s="593"/>
      <c r="I25" s="213"/>
    </row>
    <row r="26" spans="1:9" s="217" customFormat="1" ht="45" customHeight="1" x14ac:dyDescent="0.2">
      <c r="A26" s="241" t="s">
        <v>215</v>
      </c>
      <c r="B26" s="242">
        <v>5418</v>
      </c>
      <c r="C26" s="230">
        <f>D26+E26+F26+G26</f>
        <v>27650</v>
      </c>
      <c r="D26" s="237">
        <v>27650</v>
      </c>
      <c r="E26" s="237">
        <v>0</v>
      </c>
      <c r="F26" s="238">
        <v>0</v>
      </c>
      <c r="G26" s="239">
        <v>0</v>
      </c>
      <c r="H26" s="240" t="s">
        <v>498</v>
      </c>
      <c r="I26" s="213"/>
    </row>
    <row r="27" spans="1:9" s="217" customFormat="1" ht="24" customHeight="1" x14ac:dyDescent="0.2">
      <c r="A27" s="228" t="s">
        <v>216</v>
      </c>
      <c r="B27" s="229">
        <v>5758</v>
      </c>
      <c r="C27" s="230">
        <f t="shared" ref="C27:C28" si="4">D27+E27+F27+G27</f>
        <v>62000</v>
      </c>
      <c r="D27" s="237">
        <v>30000</v>
      </c>
      <c r="E27" s="237">
        <v>32000</v>
      </c>
      <c r="F27" s="238">
        <v>0</v>
      </c>
      <c r="G27" s="239">
        <v>0</v>
      </c>
      <c r="H27" s="240" t="s">
        <v>499</v>
      </c>
      <c r="I27" s="213"/>
    </row>
    <row r="28" spans="1:9" s="217" customFormat="1" ht="35.25" customHeight="1" thickBot="1" x14ac:dyDescent="0.25">
      <c r="A28" s="241" t="s">
        <v>217</v>
      </c>
      <c r="B28" s="242">
        <v>5737</v>
      </c>
      <c r="C28" s="243">
        <f t="shared" si="4"/>
        <v>237700</v>
      </c>
      <c r="D28" s="237">
        <v>209000</v>
      </c>
      <c r="E28" s="237">
        <v>28700</v>
      </c>
      <c r="F28" s="235">
        <v>0</v>
      </c>
      <c r="G28" s="221">
        <v>0</v>
      </c>
      <c r="H28" s="240" t="s">
        <v>500</v>
      </c>
      <c r="I28" s="213"/>
    </row>
    <row r="29" spans="1:9" s="217" customFormat="1" ht="15.75" customHeight="1" thickBot="1" x14ac:dyDescent="0.25">
      <c r="A29" s="223" t="s">
        <v>175</v>
      </c>
      <c r="B29" s="224"/>
      <c r="C29" s="225">
        <f>SUM(C26:C28)</f>
        <v>327350</v>
      </c>
      <c r="D29" s="226">
        <f>SUM(D26:D28)</f>
        <v>266650</v>
      </c>
      <c r="E29" s="226">
        <f>SUM(E26:E28)</f>
        <v>60700</v>
      </c>
      <c r="F29" s="226">
        <f>SUM(F26:F28)</f>
        <v>0</v>
      </c>
      <c r="G29" s="226">
        <f>SUM(G26:G28)</f>
        <v>0</v>
      </c>
      <c r="H29" s="236"/>
      <c r="I29" s="213"/>
    </row>
    <row r="30" spans="1:9" s="217" customFormat="1" ht="18" customHeight="1" x14ac:dyDescent="0.2">
      <c r="A30" s="591" t="s">
        <v>176</v>
      </c>
      <c r="B30" s="592"/>
      <c r="C30" s="592"/>
      <c r="D30" s="592"/>
      <c r="E30" s="592"/>
      <c r="F30" s="592"/>
      <c r="G30" s="592"/>
      <c r="H30" s="593"/>
      <c r="I30" s="213"/>
    </row>
    <row r="31" spans="1:9" s="217" customFormat="1" ht="45" customHeight="1" x14ac:dyDescent="0.2">
      <c r="A31" s="459" t="s">
        <v>501</v>
      </c>
      <c r="B31" s="242">
        <v>5730</v>
      </c>
      <c r="C31" s="243">
        <f>D31+E31+F31+G31</f>
        <v>163000</v>
      </c>
      <c r="D31" s="245">
        <v>40000</v>
      </c>
      <c r="E31" s="245">
        <v>123000</v>
      </c>
      <c r="F31" s="246">
        <v>0</v>
      </c>
      <c r="G31" s="406">
        <v>0</v>
      </c>
      <c r="H31" s="222" t="s">
        <v>502</v>
      </c>
      <c r="I31" s="213"/>
    </row>
    <row r="32" spans="1:9" s="217" customFormat="1" ht="34.5" customHeight="1" x14ac:dyDescent="0.2">
      <c r="A32" s="241" t="s">
        <v>503</v>
      </c>
      <c r="B32" s="457">
        <v>5750</v>
      </c>
      <c r="C32" s="243">
        <f t="shared" ref="C32:C35" si="5">D32+E32+F32+G32</f>
        <v>52000</v>
      </c>
      <c r="D32" s="244">
        <v>25000</v>
      </c>
      <c r="E32" s="244">
        <v>27000</v>
      </c>
      <c r="F32" s="244">
        <v>0</v>
      </c>
      <c r="G32" s="244">
        <v>0</v>
      </c>
      <c r="H32" s="222" t="s">
        <v>504</v>
      </c>
      <c r="I32" s="213"/>
    </row>
    <row r="33" spans="1:9" s="217" customFormat="1" ht="34.5" customHeight="1" x14ac:dyDescent="0.2">
      <c r="A33" s="241" t="s">
        <v>505</v>
      </c>
      <c r="B33" s="457">
        <v>5856</v>
      </c>
      <c r="C33" s="243">
        <f t="shared" si="5"/>
        <v>7600</v>
      </c>
      <c r="D33" s="244">
        <v>4400</v>
      </c>
      <c r="E33" s="244">
        <v>3200</v>
      </c>
      <c r="F33" s="244">
        <v>0</v>
      </c>
      <c r="G33" s="244">
        <v>0</v>
      </c>
      <c r="H33" s="222" t="s">
        <v>489</v>
      </c>
      <c r="I33" s="213"/>
    </row>
    <row r="34" spans="1:9" s="217" customFormat="1" ht="34.5" customHeight="1" x14ac:dyDescent="0.2">
      <c r="A34" s="228" t="s">
        <v>506</v>
      </c>
      <c r="B34" s="457">
        <v>5866</v>
      </c>
      <c r="C34" s="243">
        <f t="shared" si="5"/>
        <v>21000</v>
      </c>
      <c r="D34" s="244">
        <v>12000</v>
      </c>
      <c r="E34" s="244">
        <v>9000</v>
      </c>
      <c r="F34" s="244">
        <v>0</v>
      </c>
      <c r="G34" s="244">
        <v>0</v>
      </c>
      <c r="H34" s="222" t="s">
        <v>489</v>
      </c>
      <c r="I34" s="213"/>
    </row>
    <row r="35" spans="1:9" s="217" customFormat="1" ht="34.5" customHeight="1" x14ac:dyDescent="0.2">
      <c r="A35" s="228" t="s">
        <v>507</v>
      </c>
      <c r="B35" s="457">
        <v>5867</v>
      </c>
      <c r="C35" s="243">
        <f t="shared" si="5"/>
        <v>50000</v>
      </c>
      <c r="D35" s="244">
        <v>25000</v>
      </c>
      <c r="E35" s="244">
        <v>25000</v>
      </c>
      <c r="F35" s="244">
        <v>0</v>
      </c>
      <c r="G35" s="244">
        <v>0</v>
      </c>
      <c r="H35" s="222" t="s">
        <v>489</v>
      </c>
      <c r="I35" s="213"/>
    </row>
    <row r="36" spans="1:9" ht="45.75" customHeight="1" thickBot="1" x14ac:dyDescent="0.25">
      <c r="A36" s="241" t="s">
        <v>508</v>
      </c>
      <c r="B36" s="242">
        <v>5868</v>
      </c>
      <c r="C36" s="243">
        <f>D36+E36+F36+G36</f>
        <v>45000</v>
      </c>
      <c r="D36" s="244">
        <v>25000</v>
      </c>
      <c r="E36" s="244">
        <v>20000</v>
      </c>
      <c r="F36" s="244">
        <v>0</v>
      </c>
      <c r="G36" s="244">
        <v>0</v>
      </c>
      <c r="H36" s="222" t="s">
        <v>489</v>
      </c>
    </row>
    <row r="37" spans="1:9" s="217" customFormat="1" ht="15.75" customHeight="1" thickBot="1" x14ac:dyDescent="0.25">
      <c r="A37" s="223" t="s">
        <v>178</v>
      </c>
      <c r="B37" s="224"/>
      <c r="C37" s="226">
        <f>SUM(C31:C36)</f>
        <v>338600</v>
      </c>
      <c r="D37" s="226">
        <f>SUM(D31:D36)</f>
        <v>131400</v>
      </c>
      <c r="E37" s="226">
        <f t="shared" ref="E37:G37" si="6">SUM(E31:E36)</f>
        <v>207200</v>
      </c>
      <c r="F37" s="226">
        <f t="shared" si="6"/>
        <v>0</v>
      </c>
      <c r="G37" s="226">
        <f t="shared" si="6"/>
        <v>0</v>
      </c>
      <c r="H37" s="236"/>
      <c r="I37" s="213"/>
    </row>
    <row r="38" spans="1:9" s="217" customFormat="1" ht="18" customHeight="1" x14ac:dyDescent="0.2">
      <c r="A38" s="591" t="s">
        <v>179</v>
      </c>
      <c r="B38" s="592"/>
      <c r="C38" s="592"/>
      <c r="D38" s="592"/>
      <c r="E38" s="592"/>
      <c r="F38" s="592"/>
      <c r="G38" s="592"/>
      <c r="H38" s="593"/>
      <c r="I38" s="213"/>
    </row>
    <row r="39" spans="1:9" s="217" customFormat="1" ht="34.5" customHeight="1" x14ac:dyDescent="0.2">
      <c r="A39" s="228" t="s">
        <v>219</v>
      </c>
      <c r="B39" s="229">
        <v>5100</v>
      </c>
      <c r="C39" s="230">
        <f>D39+E39+F39+G39</f>
        <v>223812</v>
      </c>
      <c r="D39" s="245">
        <v>16807</v>
      </c>
      <c r="E39" s="245">
        <v>16875</v>
      </c>
      <c r="F39" s="245">
        <v>16942</v>
      </c>
      <c r="G39" s="245">
        <v>173188</v>
      </c>
      <c r="H39" s="458" t="s">
        <v>304</v>
      </c>
      <c r="I39" s="213"/>
    </row>
    <row r="40" spans="1:9" s="217" customFormat="1" ht="24" customHeight="1" x14ac:dyDescent="0.2">
      <c r="A40" s="228" t="s">
        <v>220</v>
      </c>
      <c r="B40" s="229">
        <v>5482</v>
      </c>
      <c r="C40" s="230">
        <f t="shared" ref="C40:C46" si="7">D40+E40+F40+G40</f>
        <v>4200</v>
      </c>
      <c r="D40" s="246">
        <v>4200</v>
      </c>
      <c r="E40" s="246">
        <v>0</v>
      </c>
      <c r="F40" s="246">
        <v>0</v>
      </c>
      <c r="G40" s="246">
        <v>0</v>
      </c>
      <c r="H40" s="222" t="s">
        <v>221</v>
      </c>
      <c r="I40" s="213"/>
    </row>
    <row r="41" spans="1:9" s="217" customFormat="1" ht="24" customHeight="1" x14ac:dyDescent="0.2">
      <c r="A41" s="228" t="s">
        <v>222</v>
      </c>
      <c r="B41" s="229">
        <v>5761</v>
      </c>
      <c r="C41" s="230">
        <f t="shared" si="7"/>
        <v>42750</v>
      </c>
      <c r="D41" s="246">
        <v>22000</v>
      </c>
      <c r="E41" s="246">
        <v>20750</v>
      </c>
      <c r="F41" s="246">
        <v>0</v>
      </c>
      <c r="G41" s="246">
        <v>0</v>
      </c>
      <c r="H41" s="240" t="s">
        <v>504</v>
      </c>
      <c r="I41" s="213"/>
    </row>
    <row r="42" spans="1:9" s="217" customFormat="1" ht="24" customHeight="1" x14ac:dyDescent="0.2">
      <c r="A42" s="228" t="s">
        <v>223</v>
      </c>
      <c r="B42" s="229">
        <v>5762</v>
      </c>
      <c r="C42" s="230">
        <f>D42+E42+F42+G42</f>
        <v>15375</v>
      </c>
      <c r="D42" s="246">
        <v>5125</v>
      </c>
      <c r="E42" s="246">
        <v>10250</v>
      </c>
      <c r="F42" s="246">
        <v>0</v>
      </c>
      <c r="G42" s="246">
        <v>0</v>
      </c>
      <c r="H42" s="240" t="s">
        <v>504</v>
      </c>
      <c r="I42" s="213"/>
    </row>
    <row r="43" spans="1:9" s="217" customFormat="1" ht="45" customHeight="1" x14ac:dyDescent="0.2">
      <c r="A43" s="228" t="s">
        <v>509</v>
      </c>
      <c r="B43" s="229">
        <v>5594</v>
      </c>
      <c r="C43" s="230">
        <f>D43+E43+F43+G43</f>
        <v>54000</v>
      </c>
      <c r="D43" s="246">
        <v>54000</v>
      </c>
      <c r="E43" s="246">
        <v>0</v>
      </c>
      <c r="F43" s="246">
        <v>0</v>
      </c>
      <c r="G43" s="246">
        <v>0</v>
      </c>
      <c r="H43" s="222" t="s">
        <v>510</v>
      </c>
      <c r="I43" s="213"/>
    </row>
    <row r="44" spans="1:9" s="217" customFormat="1" ht="34.5" customHeight="1" x14ac:dyDescent="0.2">
      <c r="A44" s="228" t="s">
        <v>511</v>
      </c>
      <c r="B44" s="229">
        <v>5765</v>
      </c>
      <c r="C44" s="230">
        <f>D44+E44+F44+G44</f>
        <v>40000</v>
      </c>
      <c r="D44" s="246">
        <v>20000</v>
      </c>
      <c r="E44" s="246">
        <v>20000</v>
      </c>
      <c r="F44" s="246">
        <v>0</v>
      </c>
      <c r="G44" s="246">
        <v>0</v>
      </c>
      <c r="H44" s="222" t="s">
        <v>504</v>
      </c>
      <c r="I44" s="213"/>
    </row>
    <row r="45" spans="1:9" s="217" customFormat="1" ht="24" customHeight="1" x14ac:dyDescent="0.2">
      <c r="A45" s="228" t="s">
        <v>512</v>
      </c>
      <c r="B45" s="229">
        <v>5689</v>
      </c>
      <c r="C45" s="230">
        <f>D45+E45+F45+G45</f>
        <v>30000</v>
      </c>
      <c r="D45" s="246">
        <v>30000</v>
      </c>
      <c r="E45" s="246">
        <v>0</v>
      </c>
      <c r="F45" s="246">
        <v>0</v>
      </c>
      <c r="G45" s="246">
        <v>0</v>
      </c>
      <c r="H45" s="240" t="s">
        <v>513</v>
      </c>
      <c r="I45" s="213"/>
    </row>
    <row r="46" spans="1:9" s="217" customFormat="1" ht="25.5" customHeight="1" thickBot="1" x14ac:dyDescent="0.25">
      <c r="A46" s="228" t="s">
        <v>224</v>
      </c>
      <c r="B46" s="242">
        <v>5690</v>
      </c>
      <c r="C46" s="230">
        <f t="shared" si="7"/>
        <v>183540</v>
      </c>
      <c r="D46" s="246">
        <v>60000</v>
      </c>
      <c r="E46" s="246">
        <v>90000</v>
      </c>
      <c r="F46" s="246">
        <v>33540</v>
      </c>
      <c r="G46" s="246">
        <v>0</v>
      </c>
      <c r="H46" s="222" t="s">
        <v>218</v>
      </c>
      <c r="I46" s="213"/>
    </row>
    <row r="47" spans="1:9" s="217" customFormat="1" ht="15.75" customHeight="1" thickBot="1" x14ac:dyDescent="0.25">
      <c r="A47" s="223" t="s">
        <v>181</v>
      </c>
      <c r="B47" s="224"/>
      <c r="C47" s="225">
        <f>SUM(C39:C46)</f>
        <v>593677</v>
      </c>
      <c r="D47" s="226">
        <f>SUM(D39:D46)</f>
        <v>212132</v>
      </c>
      <c r="E47" s="226">
        <f>SUM(E39:E46)</f>
        <v>157875</v>
      </c>
      <c r="F47" s="226">
        <f>SUM(F39:F46)</f>
        <v>50482</v>
      </c>
      <c r="G47" s="226">
        <f>SUM(G39:G46)</f>
        <v>173188</v>
      </c>
      <c r="H47" s="227"/>
    </row>
    <row r="48" spans="1:9" s="217" customFormat="1" ht="9" customHeight="1" thickBot="1" x14ac:dyDescent="0.25">
      <c r="A48" s="460"/>
      <c r="B48" s="248"/>
      <c r="C48" s="247"/>
      <c r="D48" s="247"/>
      <c r="E48" s="247"/>
      <c r="F48" s="247"/>
      <c r="G48" s="247"/>
      <c r="H48" s="249"/>
    </row>
    <row r="49" spans="1:8" s="217" customFormat="1" ht="16.5" customHeight="1" thickBot="1" x14ac:dyDescent="0.25">
      <c r="A49" s="223" t="s">
        <v>190</v>
      </c>
      <c r="B49" s="224"/>
      <c r="C49" s="225">
        <f>SUM(C47,C37,C29,C24,C14,C8)</f>
        <v>2883825</v>
      </c>
      <c r="D49" s="225">
        <f t="shared" ref="D49:G49" si="8">SUM(D47,D37,D29,D24,D14,D8)</f>
        <v>1101799</v>
      </c>
      <c r="E49" s="225">
        <f t="shared" si="8"/>
        <v>1170892</v>
      </c>
      <c r="F49" s="225">
        <f t="shared" si="8"/>
        <v>437059</v>
      </c>
      <c r="G49" s="225">
        <f t="shared" si="8"/>
        <v>174075</v>
      </c>
      <c r="H49" s="236"/>
    </row>
    <row r="50" spans="1:8" x14ac:dyDescent="0.15">
      <c r="A50" s="594"/>
      <c r="B50" s="594"/>
      <c r="C50" s="594"/>
      <c r="D50" s="594"/>
      <c r="E50" s="594"/>
      <c r="F50" s="594"/>
      <c r="G50" s="594"/>
      <c r="H50" s="594"/>
    </row>
  </sheetData>
  <mergeCells count="14">
    <mergeCell ref="A38:H38"/>
    <mergeCell ref="A50:H50"/>
    <mergeCell ref="A6:H6"/>
    <mergeCell ref="A9:H9"/>
    <mergeCell ref="H12:H13"/>
    <mergeCell ref="A15:H15"/>
    <mergeCell ref="A25:H25"/>
    <mergeCell ref="A30:H30"/>
    <mergeCell ref="A2:H2"/>
    <mergeCell ref="A4:A5"/>
    <mergeCell ref="B4:B5"/>
    <mergeCell ref="C4:C5"/>
    <mergeCell ref="D4:G4"/>
    <mergeCell ref="H4:H5"/>
  </mergeCells>
  <pageMargins left="0.59055118110236227" right="0.59055118110236227" top="0.78740157480314965" bottom="0.59055118110236227" header="0.31496062992125984" footer="0.31496062992125984"/>
  <pageSetup paperSize="9" firstPageNumber="14" fitToHeight="0" orientation="landscape" useFirstPageNumber="1" r:id="rId1"/>
  <headerFooter>
    <oddHeader xml:space="preserve">&amp;L&amp;"Tahoma,Kurzíva"&amp;9Střednědobý výhled rozpočtu kraje na léta 2020 - 2022
Příloha č. 13&amp;R&amp;"Tahoma,Kurzíva"&amp;9Přehled závazků kraje u akcí reprodukce majetku kraje </oddHeader>
    <oddFooter>&amp;C&amp;"Tahoma,Obyčejné"&amp;P</oddFooter>
  </headerFooter>
  <rowBreaks count="1" manualBreakCount="1">
    <brk id="27" max="7" man="1"/>
  </rowBreaks>
  <ignoredErrors>
    <ignoredError sqref="D5:G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N111"/>
  <sheetViews>
    <sheetView zoomScaleNormal="100" zoomScaleSheetLayoutView="100" workbookViewId="0">
      <selection activeCell="H3" sqref="H3"/>
    </sheetView>
  </sheetViews>
  <sheetFormatPr defaultRowHeight="12.75" x14ac:dyDescent="0.2"/>
  <cols>
    <col min="1" max="1" width="37.7109375" style="251" customWidth="1"/>
    <col min="2" max="6" width="10.7109375" style="251" customWidth="1"/>
    <col min="7" max="7" width="44.7109375" style="251" customWidth="1"/>
    <col min="8" max="8" width="23.7109375" style="251" bestFit="1" customWidth="1"/>
    <col min="9" max="9" width="9.140625" style="251" hidden="1" customWidth="1"/>
    <col min="10" max="112" width="9.140625" style="286"/>
    <col min="113" max="250" width="9.140625" style="251"/>
    <col min="251" max="251" width="5.5703125" style="251" customWidth="1"/>
    <col min="252" max="252" width="32" style="251" customWidth="1"/>
    <col min="253" max="254" width="9.85546875" style="251" customWidth="1"/>
    <col min="255" max="256" width="9.42578125" style="251" customWidth="1"/>
    <col min="257" max="257" width="11.140625" style="251" customWidth="1"/>
    <col min="258" max="260" width="8.5703125" style="251" customWidth="1"/>
    <col min="261" max="261" width="32.140625" style="251" customWidth="1"/>
    <col min="262" max="262" width="8" style="251" hidden="1" customWidth="1"/>
    <col min="263" max="506" width="9.140625" style="251"/>
    <col min="507" max="507" width="5.5703125" style="251" customWidth="1"/>
    <col min="508" max="508" width="32" style="251" customWidth="1"/>
    <col min="509" max="510" width="9.85546875" style="251" customWidth="1"/>
    <col min="511" max="512" width="9.42578125" style="251" customWidth="1"/>
    <col min="513" max="513" width="11.140625" style="251" customWidth="1"/>
    <col min="514" max="516" width="8.5703125" style="251" customWidth="1"/>
    <col min="517" max="517" width="32.140625" style="251" customWidth="1"/>
    <col min="518" max="518" width="8" style="251" hidden="1" customWidth="1"/>
    <col min="519" max="762" width="9.140625" style="251"/>
    <col min="763" max="763" width="5.5703125" style="251" customWidth="1"/>
    <col min="764" max="764" width="32" style="251" customWidth="1"/>
    <col min="765" max="766" width="9.85546875" style="251" customWidth="1"/>
    <col min="767" max="768" width="9.42578125" style="251" customWidth="1"/>
    <col min="769" max="769" width="11.140625" style="251" customWidth="1"/>
    <col min="770" max="772" width="8.5703125" style="251" customWidth="1"/>
    <col min="773" max="773" width="32.140625" style="251" customWidth="1"/>
    <col min="774" max="774" width="8" style="251" hidden="1" customWidth="1"/>
    <col min="775" max="1018" width="9.140625" style="251"/>
    <col min="1019" max="1019" width="5.5703125" style="251" customWidth="1"/>
    <col min="1020" max="1020" width="32" style="251" customWidth="1"/>
    <col min="1021" max="1022" width="9.85546875" style="251" customWidth="1"/>
    <col min="1023" max="1024" width="9.42578125" style="251" customWidth="1"/>
    <col min="1025" max="1025" width="11.140625" style="251" customWidth="1"/>
    <col min="1026" max="1028" width="8.5703125" style="251" customWidth="1"/>
    <col min="1029" max="1029" width="32.140625" style="251" customWidth="1"/>
    <col min="1030" max="1030" width="8" style="251" hidden="1" customWidth="1"/>
    <col min="1031" max="1274" width="9.140625" style="251"/>
    <col min="1275" max="1275" width="5.5703125" style="251" customWidth="1"/>
    <col min="1276" max="1276" width="32" style="251" customWidth="1"/>
    <col min="1277" max="1278" width="9.85546875" style="251" customWidth="1"/>
    <col min="1279" max="1280" width="9.42578125" style="251" customWidth="1"/>
    <col min="1281" max="1281" width="11.140625" style="251" customWidth="1"/>
    <col min="1282" max="1284" width="8.5703125" style="251" customWidth="1"/>
    <col min="1285" max="1285" width="32.140625" style="251" customWidth="1"/>
    <col min="1286" max="1286" width="8" style="251" hidden="1" customWidth="1"/>
    <col min="1287" max="1530" width="9.140625" style="251"/>
    <col min="1531" max="1531" width="5.5703125" style="251" customWidth="1"/>
    <col min="1532" max="1532" width="32" style="251" customWidth="1"/>
    <col min="1533" max="1534" width="9.85546875" style="251" customWidth="1"/>
    <col min="1535" max="1536" width="9.42578125" style="251" customWidth="1"/>
    <col min="1537" max="1537" width="11.140625" style="251" customWidth="1"/>
    <col min="1538" max="1540" width="8.5703125" style="251" customWidth="1"/>
    <col min="1541" max="1541" width="32.140625" style="251" customWidth="1"/>
    <col min="1542" max="1542" width="8" style="251" hidden="1" customWidth="1"/>
    <col min="1543" max="1786" width="9.140625" style="251"/>
    <col min="1787" max="1787" width="5.5703125" style="251" customWidth="1"/>
    <col min="1788" max="1788" width="32" style="251" customWidth="1"/>
    <col min="1789" max="1790" width="9.85546875" style="251" customWidth="1"/>
    <col min="1791" max="1792" width="9.42578125" style="251" customWidth="1"/>
    <col min="1793" max="1793" width="11.140625" style="251" customWidth="1"/>
    <col min="1794" max="1796" width="8.5703125" style="251" customWidth="1"/>
    <col min="1797" max="1797" width="32.140625" style="251" customWidth="1"/>
    <col min="1798" max="1798" width="8" style="251" hidden="1" customWidth="1"/>
    <col min="1799" max="2042" width="9.140625" style="251"/>
    <col min="2043" max="2043" width="5.5703125" style="251" customWidth="1"/>
    <col min="2044" max="2044" width="32" style="251" customWidth="1"/>
    <col min="2045" max="2046" width="9.85546875" style="251" customWidth="1"/>
    <col min="2047" max="2048" width="9.42578125" style="251" customWidth="1"/>
    <col min="2049" max="2049" width="11.140625" style="251" customWidth="1"/>
    <col min="2050" max="2052" width="8.5703125" style="251" customWidth="1"/>
    <col min="2053" max="2053" width="32.140625" style="251" customWidth="1"/>
    <col min="2054" max="2054" width="8" style="251" hidden="1" customWidth="1"/>
    <col min="2055" max="2298" width="9.140625" style="251"/>
    <col min="2299" max="2299" width="5.5703125" style="251" customWidth="1"/>
    <col min="2300" max="2300" width="32" style="251" customWidth="1"/>
    <col min="2301" max="2302" width="9.85546875" style="251" customWidth="1"/>
    <col min="2303" max="2304" width="9.42578125" style="251" customWidth="1"/>
    <col min="2305" max="2305" width="11.140625" style="251" customWidth="1"/>
    <col min="2306" max="2308" width="8.5703125" style="251" customWidth="1"/>
    <col min="2309" max="2309" width="32.140625" style="251" customWidth="1"/>
    <col min="2310" max="2310" width="8" style="251" hidden="1" customWidth="1"/>
    <col min="2311" max="2554" width="9.140625" style="251"/>
    <col min="2555" max="2555" width="5.5703125" style="251" customWidth="1"/>
    <col min="2556" max="2556" width="32" style="251" customWidth="1"/>
    <col min="2557" max="2558" width="9.85546875" style="251" customWidth="1"/>
    <col min="2559" max="2560" width="9.42578125" style="251" customWidth="1"/>
    <col min="2561" max="2561" width="11.140625" style="251" customWidth="1"/>
    <col min="2562" max="2564" width="8.5703125" style="251" customWidth="1"/>
    <col min="2565" max="2565" width="32.140625" style="251" customWidth="1"/>
    <col min="2566" max="2566" width="8" style="251" hidden="1" customWidth="1"/>
    <col min="2567" max="2810" width="9.140625" style="251"/>
    <col min="2811" max="2811" width="5.5703125" style="251" customWidth="1"/>
    <col min="2812" max="2812" width="32" style="251" customWidth="1"/>
    <col min="2813" max="2814" width="9.85546875" style="251" customWidth="1"/>
    <col min="2815" max="2816" width="9.42578125" style="251" customWidth="1"/>
    <col min="2817" max="2817" width="11.140625" style="251" customWidth="1"/>
    <col min="2818" max="2820" width="8.5703125" style="251" customWidth="1"/>
    <col min="2821" max="2821" width="32.140625" style="251" customWidth="1"/>
    <col min="2822" max="2822" width="8" style="251" hidden="1" customWidth="1"/>
    <col min="2823" max="3066" width="9.140625" style="251"/>
    <col min="3067" max="3067" width="5.5703125" style="251" customWidth="1"/>
    <col min="3068" max="3068" width="32" style="251" customWidth="1"/>
    <col min="3069" max="3070" width="9.85546875" style="251" customWidth="1"/>
    <col min="3071" max="3072" width="9.42578125" style="251" customWidth="1"/>
    <col min="3073" max="3073" width="11.140625" style="251" customWidth="1"/>
    <col min="3074" max="3076" width="8.5703125" style="251" customWidth="1"/>
    <col min="3077" max="3077" width="32.140625" style="251" customWidth="1"/>
    <col min="3078" max="3078" width="8" style="251" hidden="1" customWidth="1"/>
    <col min="3079" max="3322" width="9.140625" style="251"/>
    <col min="3323" max="3323" width="5.5703125" style="251" customWidth="1"/>
    <col min="3324" max="3324" width="32" style="251" customWidth="1"/>
    <col min="3325" max="3326" width="9.85546875" style="251" customWidth="1"/>
    <col min="3327" max="3328" width="9.42578125" style="251" customWidth="1"/>
    <col min="3329" max="3329" width="11.140625" style="251" customWidth="1"/>
    <col min="3330" max="3332" width="8.5703125" style="251" customWidth="1"/>
    <col min="3333" max="3333" width="32.140625" style="251" customWidth="1"/>
    <col min="3334" max="3334" width="8" style="251" hidden="1" customWidth="1"/>
    <col min="3335" max="3578" width="9.140625" style="251"/>
    <col min="3579" max="3579" width="5.5703125" style="251" customWidth="1"/>
    <col min="3580" max="3580" width="32" style="251" customWidth="1"/>
    <col min="3581" max="3582" width="9.85546875" style="251" customWidth="1"/>
    <col min="3583" max="3584" width="9.42578125" style="251" customWidth="1"/>
    <col min="3585" max="3585" width="11.140625" style="251" customWidth="1"/>
    <col min="3586" max="3588" width="8.5703125" style="251" customWidth="1"/>
    <col min="3589" max="3589" width="32.140625" style="251" customWidth="1"/>
    <col min="3590" max="3590" width="8" style="251" hidden="1" customWidth="1"/>
    <col min="3591" max="3834" width="9.140625" style="251"/>
    <col min="3835" max="3835" width="5.5703125" style="251" customWidth="1"/>
    <col min="3836" max="3836" width="32" style="251" customWidth="1"/>
    <col min="3837" max="3838" width="9.85546875" style="251" customWidth="1"/>
    <col min="3839" max="3840" width="9.42578125" style="251" customWidth="1"/>
    <col min="3841" max="3841" width="11.140625" style="251" customWidth="1"/>
    <col min="3842" max="3844" width="8.5703125" style="251" customWidth="1"/>
    <col min="3845" max="3845" width="32.140625" style="251" customWidth="1"/>
    <col min="3846" max="3846" width="8" style="251" hidden="1" customWidth="1"/>
    <col min="3847" max="4090" width="9.140625" style="251"/>
    <col min="4091" max="4091" width="5.5703125" style="251" customWidth="1"/>
    <col min="4092" max="4092" width="32" style="251" customWidth="1"/>
    <col min="4093" max="4094" width="9.85546875" style="251" customWidth="1"/>
    <col min="4095" max="4096" width="9.42578125" style="251" customWidth="1"/>
    <col min="4097" max="4097" width="11.140625" style="251" customWidth="1"/>
    <col min="4098" max="4100" width="8.5703125" style="251" customWidth="1"/>
    <col min="4101" max="4101" width="32.140625" style="251" customWidth="1"/>
    <col min="4102" max="4102" width="8" style="251" hidden="1" customWidth="1"/>
    <col min="4103" max="4346" width="9.140625" style="251"/>
    <col min="4347" max="4347" width="5.5703125" style="251" customWidth="1"/>
    <col min="4348" max="4348" width="32" style="251" customWidth="1"/>
    <col min="4349" max="4350" width="9.85546875" style="251" customWidth="1"/>
    <col min="4351" max="4352" width="9.42578125" style="251" customWidth="1"/>
    <col min="4353" max="4353" width="11.140625" style="251" customWidth="1"/>
    <col min="4354" max="4356" width="8.5703125" style="251" customWidth="1"/>
    <col min="4357" max="4357" width="32.140625" style="251" customWidth="1"/>
    <col min="4358" max="4358" width="8" style="251" hidden="1" customWidth="1"/>
    <col min="4359" max="4602" width="9.140625" style="251"/>
    <col min="4603" max="4603" width="5.5703125" style="251" customWidth="1"/>
    <col min="4604" max="4604" width="32" style="251" customWidth="1"/>
    <col min="4605" max="4606" width="9.85546875" style="251" customWidth="1"/>
    <col min="4607" max="4608" width="9.42578125" style="251" customWidth="1"/>
    <col min="4609" max="4609" width="11.140625" style="251" customWidth="1"/>
    <col min="4610" max="4612" width="8.5703125" style="251" customWidth="1"/>
    <col min="4613" max="4613" width="32.140625" style="251" customWidth="1"/>
    <col min="4614" max="4614" width="8" style="251" hidden="1" customWidth="1"/>
    <col min="4615" max="4858" width="9.140625" style="251"/>
    <col min="4859" max="4859" width="5.5703125" style="251" customWidth="1"/>
    <col min="4860" max="4860" width="32" style="251" customWidth="1"/>
    <col min="4861" max="4862" width="9.85546875" style="251" customWidth="1"/>
    <col min="4863" max="4864" width="9.42578125" style="251" customWidth="1"/>
    <col min="4865" max="4865" width="11.140625" style="251" customWidth="1"/>
    <col min="4866" max="4868" width="8.5703125" style="251" customWidth="1"/>
    <col min="4869" max="4869" width="32.140625" style="251" customWidth="1"/>
    <col min="4870" max="4870" width="8" style="251" hidden="1" customWidth="1"/>
    <col min="4871" max="5114" width="9.140625" style="251"/>
    <col min="5115" max="5115" width="5.5703125" style="251" customWidth="1"/>
    <col min="5116" max="5116" width="32" style="251" customWidth="1"/>
    <col min="5117" max="5118" width="9.85546875" style="251" customWidth="1"/>
    <col min="5119" max="5120" width="9.42578125" style="251" customWidth="1"/>
    <col min="5121" max="5121" width="11.140625" style="251" customWidth="1"/>
    <col min="5122" max="5124" width="8.5703125" style="251" customWidth="1"/>
    <col min="5125" max="5125" width="32.140625" style="251" customWidth="1"/>
    <col min="5126" max="5126" width="8" style="251" hidden="1" customWidth="1"/>
    <col min="5127" max="5370" width="9.140625" style="251"/>
    <col min="5371" max="5371" width="5.5703125" style="251" customWidth="1"/>
    <col min="5372" max="5372" width="32" style="251" customWidth="1"/>
    <col min="5373" max="5374" width="9.85546875" style="251" customWidth="1"/>
    <col min="5375" max="5376" width="9.42578125" style="251" customWidth="1"/>
    <col min="5377" max="5377" width="11.140625" style="251" customWidth="1"/>
    <col min="5378" max="5380" width="8.5703125" style="251" customWidth="1"/>
    <col min="5381" max="5381" width="32.140625" style="251" customWidth="1"/>
    <col min="5382" max="5382" width="8" style="251" hidden="1" customWidth="1"/>
    <col min="5383" max="5626" width="9.140625" style="251"/>
    <col min="5627" max="5627" width="5.5703125" style="251" customWidth="1"/>
    <col min="5628" max="5628" width="32" style="251" customWidth="1"/>
    <col min="5629" max="5630" width="9.85546875" style="251" customWidth="1"/>
    <col min="5631" max="5632" width="9.42578125" style="251" customWidth="1"/>
    <col min="5633" max="5633" width="11.140625" style="251" customWidth="1"/>
    <col min="5634" max="5636" width="8.5703125" style="251" customWidth="1"/>
    <col min="5637" max="5637" width="32.140625" style="251" customWidth="1"/>
    <col min="5638" max="5638" width="8" style="251" hidden="1" customWidth="1"/>
    <col min="5639" max="5882" width="9.140625" style="251"/>
    <col min="5883" max="5883" width="5.5703125" style="251" customWidth="1"/>
    <col min="5884" max="5884" width="32" style="251" customWidth="1"/>
    <col min="5885" max="5886" width="9.85546875" style="251" customWidth="1"/>
    <col min="5887" max="5888" width="9.42578125" style="251" customWidth="1"/>
    <col min="5889" max="5889" width="11.140625" style="251" customWidth="1"/>
    <col min="5890" max="5892" width="8.5703125" style="251" customWidth="1"/>
    <col min="5893" max="5893" width="32.140625" style="251" customWidth="1"/>
    <col min="5894" max="5894" width="8" style="251" hidden="1" customWidth="1"/>
    <col min="5895" max="6138" width="9.140625" style="251"/>
    <col min="6139" max="6139" width="5.5703125" style="251" customWidth="1"/>
    <col min="6140" max="6140" width="32" style="251" customWidth="1"/>
    <col min="6141" max="6142" width="9.85546875" style="251" customWidth="1"/>
    <col min="6143" max="6144" width="9.42578125" style="251" customWidth="1"/>
    <col min="6145" max="6145" width="11.140625" style="251" customWidth="1"/>
    <col min="6146" max="6148" width="8.5703125" style="251" customWidth="1"/>
    <col min="6149" max="6149" width="32.140625" style="251" customWidth="1"/>
    <col min="6150" max="6150" width="8" style="251" hidden="1" customWidth="1"/>
    <col min="6151" max="6394" width="9.140625" style="251"/>
    <col min="6395" max="6395" width="5.5703125" style="251" customWidth="1"/>
    <col min="6396" max="6396" width="32" style="251" customWidth="1"/>
    <col min="6397" max="6398" width="9.85546875" style="251" customWidth="1"/>
    <col min="6399" max="6400" width="9.42578125" style="251" customWidth="1"/>
    <col min="6401" max="6401" width="11.140625" style="251" customWidth="1"/>
    <col min="6402" max="6404" width="8.5703125" style="251" customWidth="1"/>
    <col min="6405" max="6405" width="32.140625" style="251" customWidth="1"/>
    <col min="6406" max="6406" width="8" style="251" hidden="1" customWidth="1"/>
    <col min="6407" max="6650" width="9.140625" style="251"/>
    <col min="6651" max="6651" width="5.5703125" style="251" customWidth="1"/>
    <col min="6652" max="6652" width="32" style="251" customWidth="1"/>
    <col min="6653" max="6654" width="9.85546875" style="251" customWidth="1"/>
    <col min="6655" max="6656" width="9.42578125" style="251" customWidth="1"/>
    <col min="6657" max="6657" width="11.140625" style="251" customWidth="1"/>
    <col min="6658" max="6660" width="8.5703125" style="251" customWidth="1"/>
    <col min="6661" max="6661" width="32.140625" style="251" customWidth="1"/>
    <col min="6662" max="6662" width="8" style="251" hidden="1" customWidth="1"/>
    <col min="6663" max="6906" width="9.140625" style="251"/>
    <col min="6907" max="6907" width="5.5703125" style="251" customWidth="1"/>
    <col min="6908" max="6908" width="32" style="251" customWidth="1"/>
    <col min="6909" max="6910" width="9.85546875" style="251" customWidth="1"/>
    <col min="6911" max="6912" width="9.42578125" style="251" customWidth="1"/>
    <col min="6913" max="6913" width="11.140625" style="251" customWidth="1"/>
    <col min="6914" max="6916" width="8.5703125" style="251" customWidth="1"/>
    <col min="6917" max="6917" width="32.140625" style="251" customWidth="1"/>
    <col min="6918" max="6918" width="8" style="251" hidden="1" customWidth="1"/>
    <col min="6919" max="7162" width="9.140625" style="251"/>
    <col min="7163" max="7163" width="5.5703125" style="251" customWidth="1"/>
    <col min="7164" max="7164" width="32" style="251" customWidth="1"/>
    <col min="7165" max="7166" width="9.85546875" style="251" customWidth="1"/>
    <col min="7167" max="7168" width="9.42578125" style="251" customWidth="1"/>
    <col min="7169" max="7169" width="11.140625" style="251" customWidth="1"/>
    <col min="7170" max="7172" width="8.5703125" style="251" customWidth="1"/>
    <col min="7173" max="7173" width="32.140625" style="251" customWidth="1"/>
    <col min="7174" max="7174" width="8" style="251" hidden="1" customWidth="1"/>
    <col min="7175" max="7418" width="9.140625" style="251"/>
    <col min="7419" max="7419" width="5.5703125" style="251" customWidth="1"/>
    <col min="7420" max="7420" width="32" style="251" customWidth="1"/>
    <col min="7421" max="7422" width="9.85546875" style="251" customWidth="1"/>
    <col min="7423" max="7424" width="9.42578125" style="251" customWidth="1"/>
    <col min="7425" max="7425" width="11.140625" style="251" customWidth="1"/>
    <col min="7426" max="7428" width="8.5703125" style="251" customWidth="1"/>
    <col min="7429" max="7429" width="32.140625" style="251" customWidth="1"/>
    <col min="7430" max="7430" width="8" style="251" hidden="1" customWidth="1"/>
    <col min="7431" max="7674" width="9.140625" style="251"/>
    <col min="7675" max="7675" width="5.5703125" style="251" customWidth="1"/>
    <col min="7676" max="7676" width="32" style="251" customWidth="1"/>
    <col min="7677" max="7678" width="9.85546875" style="251" customWidth="1"/>
    <col min="7679" max="7680" width="9.42578125" style="251" customWidth="1"/>
    <col min="7681" max="7681" width="11.140625" style="251" customWidth="1"/>
    <col min="7682" max="7684" width="8.5703125" style="251" customWidth="1"/>
    <col min="7685" max="7685" width="32.140625" style="251" customWidth="1"/>
    <col min="7686" max="7686" width="8" style="251" hidden="1" customWidth="1"/>
    <col min="7687" max="7930" width="9.140625" style="251"/>
    <col min="7931" max="7931" width="5.5703125" style="251" customWidth="1"/>
    <col min="7932" max="7932" width="32" style="251" customWidth="1"/>
    <col min="7933" max="7934" width="9.85546875" style="251" customWidth="1"/>
    <col min="7935" max="7936" width="9.42578125" style="251" customWidth="1"/>
    <col min="7937" max="7937" width="11.140625" style="251" customWidth="1"/>
    <col min="7938" max="7940" width="8.5703125" style="251" customWidth="1"/>
    <col min="7941" max="7941" width="32.140625" style="251" customWidth="1"/>
    <col min="7942" max="7942" width="8" style="251" hidden="1" customWidth="1"/>
    <col min="7943" max="8186" width="9.140625" style="251"/>
    <col min="8187" max="8187" width="5.5703125" style="251" customWidth="1"/>
    <col min="8188" max="8188" width="32" style="251" customWidth="1"/>
    <col min="8189" max="8190" width="9.85546875" style="251" customWidth="1"/>
    <col min="8191" max="8192" width="9.42578125" style="251" customWidth="1"/>
    <col min="8193" max="8193" width="11.140625" style="251" customWidth="1"/>
    <col min="8194" max="8196" width="8.5703125" style="251" customWidth="1"/>
    <col min="8197" max="8197" width="32.140625" style="251" customWidth="1"/>
    <col min="8198" max="8198" width="8" style="251" hidden="1" customWidth="1"/>
    <col min="8199" max="8442" width="9.140625" style="251"/>
    <col min="8443" max="8443" width="5.5703125" style="251" customWidth="1"/>
    <col min="8444" max="8444" width="32" style="251" customWidth="1"/>
    <col min="8445" max="8446" width="9.85546875" style="251" customWidth="1"/>
    <col min="8447" max="8448" width="9.42578125" style="251" customWidth="1"/>
    <col min="8449" max="8449" width="11.140625" style="251" customWidth="1"/>
    <col min="8450" max="8452" width="8.5703125" style="251" customWidth="1"/>
    <col min="8453" max="8453" width="32.140625" style="251" customWidth="1"/>
    <col min="8454" max="8454" width="8" style="251" hidden="1" customWidth="1"/>
    <col min="8455" max="8698" width="9.140625" style="251"/>
    <col min="8699" max="8699" width="5.5703125" style="251" customWidth="1"/>
    <col min="8700" max="8700" width="32" style="251" customWidth="1"/>
    <col min="8701" max="8702" width="9.85546875" style="251" customWidth="1"/>
    <col min="8703" max="8704" width="9.42578125" style="251" customWidth="1"/>
    <col min="8705" max="8705" width="11.140625" style="251" customWidth="1"/>
    <col min="8706" max="8708" width="8.5703125" style="251" customWidth="1"/>
    <col min="8709" max="8709" width="32.140625" style="251" customWidth="1"/>
    <col min="8710" max="8710" width="8" style="251" hidden="1" customWidth="1"/>
    <col min="8711" max="8954" width="9.140625" style="251"/>
    <col min="8955" max="8955" width="5.5703125" style="251" customWidth="1"/>
    <col min="8956" max="8956" width="32" style="251" customWidth="1"/>
    <col min="8957" max="8958" width="9.85546875" style="251" customWidth="1"/>
    <col min="8959" max="8960" width="9.42578125" style="251" customWidth="1"/>
    <col min="8961" max="8961" width="11.140625" style="251" customWidth="1"/>
    <col min="8962" max="8964" width="8.5703125" style="251" customWidth="1"/>
    <col min="8965" max="8965" width="32.140625" style="251" customWidth="1"/>
    <col min="8966" max="8966" width="8" style="251" hidden="1" customWidth="1"/>
    <col min="8967" max="9210" width="9.140625" style="251"/>
    <col min="9211" max="9211" width="5.5703125" style="251" customWidth="1"/>
    <col min="9212" max="9212" width="32" style="251" customWidth="1"/>
    <col min="9213" max="9214" width="9.85546875" style="251" customWidth="1"/>
    <col min="9215" max="9216" width="9.42578125" style="251" customWidth="1"/>
    <col min="9217" max="9217" width="11.140625" style="251" customWidth="1"/>
    <col min="9218" max="9220" width="8.5703125" style="251" customWidth="1"/>
    <col min="9221" max="9221" width="32.140625" style="251" customWidth="1"/>
    <col min="9222" max="9222" width="8" style="251" hidden="1" customWidth="1"/>
    <col min="9223" max="9466" width="9.140625" style="251"/>
    <col min="9467" max="9467" width="5.5703125" style="251" customWidth="1"/>
    <col min="9468" max="9468" width="32" style="251" customWidth="1"/>
    <col min="9469" max="9470" width="9.85546875" style="251" customWidth="1"/>
    <col min="9471" max="9472" width="9.42578125" style="251" customWidth="1"/>
    <col min="9473" max="9473" width="11.140625" style="251" customWidth="1"/>
    <col min="9474" max="9476" width="8.5703125" style="251" customWidth="1"/>
    <col min="9477" max="9477" width="32.140625" style="251" customWidth="1"/>
    <col min="9478" max="9478" width="8" style="251" hidden="1" customWidth="1"/>
    <col min="9479" max="9722" width="9.140625" style="251"/>
    <col min="9723" max="9723" width="5.5703125" style="251" customWidth="1"/>
    <col min="9724" max="9724" width="32" style="251" customWidth="1"/>
    <col min="9725" max="9726" width="9.85546875" style="251" customWidth="1"/>
    <col min="9727" max="9728" width="9.42578125" style="251" customWidth="1"/>
    <col min="9729" max="9729" width="11.140625" style="251" customWidth="1"/>
    <col min="9730" max="9732" width="8.5703125" style="251" customWidth="1"/>
    <col min="9733" max="9733" width="32.140625" style="251" customWidth="1"/>
    <col min="9734" max="9734" width="8" style="251" hidden="1" customWidth="1"/>
    <col min="9735" max="9978" width="9.140625" style="251"/>
    <col min="9979" max="9979" width="5.5703125" style="251" customWidth="1"/>
    <col min="9980" max="9980" width="32" style="251" customWidth="1"/>
    <col min="9981" max="9982" width="9.85546875" style="251" customWidth="1"/>
    <col min="9983" max="9984" width="9.42578125" style="251" customWidth="1"/>
    <col min="9985" max="9985" width="11.140625" style="251" customWidth="1"/>
    <col min="9986" max="9988" width="8.5703125" style="251" customWidth="1"/>
    <col min="9989" max="9989" width="32.140625" style="251" customWidth="1"/>
    <col min="9990" max="9990" width="8" style="251" hidden="1" customWidth="1"/>
    <col min="9991" max="10234" width="9.140625" style="251"/>
    <col min="10235" max="10235" width="5.5703125" style="251" customWidth="1"/>
    <col min="10236" max="10236" width="32" style="251" customWidth="1"/>
    <col min="10237" max="10238" width="9.85546875" style="251" customWidth="1"/>
    <col min="10239" max="10240" width="9.42578125" style="251" customWidth="1"/>
    <col min="10241" max="10241" width="11.140625" style="251" customWidth="1"/>
    <col min="10242" max="10244" width="8.5703125" style="251" customWidth="1"/>
    <col min="10245" max="10245" width="32.140625" style="251" customWidth="1"/>
    <col min="10246" max="10246" width="8" style="251" hidden="1" customWidth="1"/>
    <col min="10247" max="10490" width="9.140625" style="251"/>
    <col min="10491" max="10491" width="5.5703125" style="251" customWidth="1"/>
    <col min="10492" max="10492" width="32" style="251" customWidth="1"/>
    <col min="10493" max="10494" width="9.85546875" style="251" customWidth="1"/>
    <col min="10495" max="10496" width="9.42578125" style="251" customWidth="1"/>
    <col min="10497" max="10497" width="11.140625" style="251" customWidth="1"/>
    <col min="10498" max="10500" width="8.5703125" style="251" customWidth="1"/>
    <col min="10501" max="10501" width="32.140625" style="251" customWidth="1"/>
    <col min="10502" max="10502" width="8" style="251" hidden="1" customWidth="1"/>
    <col min="10503" max="10746" width="9.140625" style="251"/>
    <col min="10747" max="10747" width="5.5703125" style="251" customWidth="1"/>
    <col min="10748" max="10748" width="32" style="251" customWidth="1"/>
    <col min="10749" max="10750" width="9.85546875" style="251" customWidth="1"/>
    <col min="10751" max="10752" width="9.42578125" style="251" customWidth="1"/>
    <col min="10753" max="10753" width="11.140625" style="251" customWidth="1"/>
    <col min="10754" max="10756" width="8.5703125" style="251" customWidth="1"/>
    <col min="10757" max="10757" width="32.140625" style="251" customWidth="1"/>
    <col min="10758" max="10758" width="8" style="251" hidden="1" customWidth="1"/>
    <col min="10759" max="11002" width="9.140625" style="251"/>
    <col min="11003" max="11003" width="5.5703125" style="251" customWidth="1"/>
    <col min="11004" max="11004" width="32" style="251" customWidth="1"/>
    <col min="11005" max="11006" width="9.85546875" style="251" customWidth="1"/>
    <col min="11007" max="11008" width="9.42578125" style="251" customWidth="1"/>
    <col min="11009" max="11009" width="11.140625" style="251" customWidth="1"/>
    <col min="11010" max="11012" width="8.5703125" style="251" customWidth="1"/>
    <col min="11013" max="11013" width="32.140625" style="251" customWidth="1"/>
    <col min="11014" max="11014" width="8" style="251" hidden="1" customWidth="1"/>
    <col min="11015" max="11258" width="9.140625" style="251"/>
    <col min="11259" max="11259" width="5.5703125" style="251" customWidth="1"/>
    <col min="11260" max="11260" width="32" style="251" customWidth="1"/>
    <col min="11261" max="11262" width="9.85546875" style="251" customWidth="1"/>
    <col min="11263" max="11264" width="9.42578125" style="251" customWidth="1"/>
    <col min="11265" max="11265" width="11.140625" style="251" customWidth="1"/>
    <col min="11266" max="11268" width="8.5703125" style="251" customWidth="1"/>
    <col min="11269" max="11269" width="32.140625" style="251" customWidth="1"/>
    <col min="11270" max="11270" width="8" style="251" hidden="1" customWidth="1"/>
    <col min="11271" max="11514" width="9.140625" style="251"/>
    <col min="11515" max="11515" width="5.5703125" style="251" customWidth="1"/>
    <col min="11516" max="11516" width="32" style="251" customWidth="1"/>
    <col min="11517" max="11518" width="9.85546875" style="251" customWidth="1"/>
    <col min="11519" max="11520" width="9.42578125" style="251" customWidth="1"/>
    <col min="11521" max="11521" width="11.140625" style="251" customWidth="1"/>
    <col min="11522" max="11524" width="8.5703125" style="251" customWidth="1"/>
    <col min="11525" max="11525" width="32.140625" style="251" customWidth="1"/>
    <col min="11526" max="11526" width="8" style="251" hidden="1" customWidth="1"/>
    <col min="11527" max="11770" width="9.140625" style="251"/>
    <col min="11771" max="11771" width="5.5703125" style="251" customWidth="1"/>
    <col min="11772" max="11772" width="32" style="251" customWidth="1"/>
    <col min="11773" max="11774" width="9.85546875" style="251" customWidth="1"/>
    <col min="11775" max="11776" width="9.42578125" style="251" customWidth="1"/>
    <col min="11777" max="11777" width="11.140625" style="251" customWidth="1"/>
    <col min="11778" max="11780" width="8.5703125" style="251" customWidth="1"/>
    <col min="11781" max="11781" width="32.140625" style="251" customWidth="1"/>
    <col min="11782" max="11782" width="8" style="251" hidden="1" customWidth="1"/>
    <col min="11783" max="12026" width="9.140625" style="251"/>
    <col min="12027" max="12027" width="5.5703125" style="251" customWidth="1"/>
    <col min="12028" max="12028" width="32" style="251" customWidth="1"/>
    <col min="12029" max="12030" width="9.85546875" style="251" customWidth="1"/>
    <col min="12031" max="12032" width="9.42578125" style="251" customWidth="1"/>
    <col min="12033" max="12033" width="11.140625" style="251" customWidth="1"/>
    <col min="12034" max="12036" width="8.5703125" style="251" customWidth="1"/>
    <col min="12037" max="12037" width="32.140625" style="251" customWidth="1"/>
    <col min="12038" max="12038" width="8" style="251" hidden="1" customWidth="1"/>
    <col min="12039" max="12282" width="9.140625" style="251"/>
    <col min="12283" max="12283" width="5.5703125" style="251" customWidth="1"/>
    <col min="12284" max="12284" width="32" style="251" customWidth="1"/>
    <col min="12285" max="12286" width="9.85546875" style="251" customWidth="1"/>
    <col min="12287" max="12288" width="9.42578125" style="251" customWidth="1"/>
    <col min="12289" max="12289" width="11.140625" style="251" customWidth="1"/>
    <col min="12290" max="12292" width="8.5703125" style="251" customWidth="1"/>
    <col min="12293" max="12293" width="32.140625" style="251" customWidth="1"/>
    <col min="12294" max="12294" width="8" style="251" hidden="1" customWidth="1"/>
    <col min="12295" max="12538" width="9.140625" style="251"/>
    <col min="12539" max="12539" width="5.5703125" style="251" customWidth="1"/>
    <col min="12540" max="12540" width="32" style="251" customWidth="1"/>
    <col min="12541" max="12542" width="9.85546875" style="251" customWidth="1"/>
    <col min="12543" max="12544" width="9.42578125" style="251" customWidth="1"/>
    <col min="12545" max="12545" width="11.140625" style="251" customWidth="1"/>
    <col min="12546" max="12548" width="8.5703125" style="251" customWidth="1"/>
    <col min="12549" max="12549" width="32.140625" style="251" customWidth="1"/>
    <col min="12550" max="12550" width="8" style="251" hidden="1" customWidth="1"/>
    <col min="12551" max="12794" width="9.140625" style="251"/>
    <col min="12795" max="12795" width="5.5703125" style="251" customWidth="1"/>
    <col min="12796" max="12796" width="32" style="251" customWidth="1"/>
    <col min="12797" max="12798" width="9.85546875" style="251" customWidth="1"/>
    <col min="12799" max="12800" width="9.42578125" style="251" customWidth="1"/>
    <col min="12801" max="12801" width="11.140625" style="251" customWidth="1"/>
    <col min="12802" max="12804" width="8.5703125" style="251" customWidth="1"/>
    <col min="12805" max="12805" width="32.140625" style="251" customWidth="1"/>
    <col min="12806" max="12806" width="8" style="251" hidden="1" customWidth="1"/>
    <col min="12807" max="13050" width="9.140625" style="251"/>
    <col min="13051" max="13051" width="5.5703125" style="251" customWidth="1"/>
    <col min="13052" max="13052" width="32" style="251" customWidth="1"/>
    <col min="13053" max="13054" width="9.85546875" style="251" customWidth="1"/>
    <col min="13055" max="13056" width="9.42578125" style="251" customWidth="1"/>
    <col min="13057" max="13057" width="11.140625" style="251" customWidth="1"/>
    <col min="13058" max="13060" width="8.5703125" style="251" customWidth="1"/>
    <col min="13061" max="13061" width="32.140625" style="251" customWidth="1"/>
    <col min="13062" max="13062" width="8" style="251" hidden="1" customWidth="1"/>
    <col min="13063" max="13306" width="9.140625" style="251"/>
    <col min="13307" max="13307" width="5.5703125" style="251" customWidth="1"/>
    <col min="13308" max="13308" width="32" style="251" customWidth="1"/>
    <col min="13309" max="13310" width="9.85546875" style="251" customWidth="1"/>
    <col min="13311" max="13312" width="9.42578125" style="251" customWidth="1"/>
    <col min="13313" max="13313" width="11.140625" style="251" customWidth="1"/>
    <col min="13314" max="13316" width="8.5703125" style="251" customWidth="1"/>
    <col min="13317" max="13317" width="32.140625" style="251" customWidth="1"/>
    <col min="13318" max="13318" width="8" style="251" hidden="1" customWidth="1"/>
    <col min="13319" max="13562" width="9.140625" style="251"/>
    <col min="13563" max="13563" width="5.5703125" style="251" customWidth="1"/>
    <col min="13564" max="13564" width="32" style="251" customWidth="1"/>
    <col min="13565" max="13566" width="9.85546875" style="251" customWidth="1"/>
    <col min="13567" max="13568" width="9.42578125" style="251" customWidth="1"/>
    <col min="13569" max="13569" width="11.140625" style="251" customWidth="1"/>
    <col min="13570" max="13572" width="8.5703125" style="251" customWidth="1"/>
    <col min="13573" max="13573" width="32.140625" style="251" customWidth="1"/>
    <col min="13574" max="13574" width="8" style="251" hidden="1" customWidth="1"/>
    <col min="13575" max="13818" width="9.140625" style="251"/>
    <col min="13819" max="13819" width="5.5703125" style="251" customWidth="1"/>
    <col min="13820" max="13820" width="32" style="251" customWidth="1"/>
    <col min="13821" max="13822" width="9.85546875" style="251" customWidth="1"/>
    <col min="13823" max="13824" width="9.42578125" style="251" customWidth="1"/>
    <col min="13825" max="13825" width="11.140625" style="251" customWidth="1"/>
    <col min="13826" max="13828" width="8.5703125" style="251" customWidth="1"/>
    <col min="13829" max="13829" width="32.140625" style="251" customWidth="1"/>
    <col min="13830" max="13830" width="8" style="251" hidden="1" customWidth="1"/>
    <col min="13831" max="14074" width="9.140625" style="251"/>
    <col min="14075" max="14075" width="5.5703125" style="251" customWidth="1"/>
    <col min="14076" max="14076" width="32" style="251" customWidth="1"/>
    <col min="14077" max="14078" width="9.85546875" style="251" customWidth="1"/>
    <col min="14079" max="14080" width="9.42578125" style="251" customWidth="1"/>
    <col min="14081" max="14081" width="11.140625" style="251" customWidth="1"/>
    <col min="14082" max="14084" width="8.5703125" style="251" customWidth="1"/>
    <col min="14085" max="14085" width="32.140625" style="251" customWidth="1"/>
    <col min="14086" max="14086" width="8" style="251" hidden="1" customWidth="1"/>
    <col min="14087" max="14330" width="9.140625" style="251"/>
    <col min="14331" max="14331" width="5.5703125" style="251" customWidth="1"/>
    <col min="14332" max="14332" width="32" style="251" customWidth="1"/>
    <col min="14333" max="14334" width="9.85546875" style="251" customWidth="1"/>
    <col min="14335" max="14336" width="9.42578125" style="251" customWidth="1"/>
    <col min="14337" max="14337" width="11.140625" style="251" customWidth="1"/>
    <col min="14338" max="14340" width="8.5703125" style="251" customWidth="1"/>
    <col min="14341" max="14341" width="32.140625" style="251" customWidth="1"/>
    <col min="14342" max="14342" width="8" style="251" hidden="1" customWidth="1"/>
    <col min="14343" max="14586" width="9.140625" style="251"/>
    <col min="14587" max="14587" width="5.5703125" style="251" customWidth="1"/>
    <col min="14588" max="14588" width="32" style="251" customWidth="1"/>
    <col min="14589" max="14590" width="9.85546875" style="251" customWidth="1"/>
    <col min="14591" max="14592" width="9.42578125" style="251" customWidth="1"/>
    <col min="14593" max="14593" width="11.140625" style="251" customWidth="1"/>
    <col min="14594" max="14596" width="8.5703125" style="251" customWidth="1"/>
    <col min="14597" max="14597" width="32.140625" style="251" customWidth="1"/>
    <col min="14598" max="14598" width="8" style="251" hidden="1" customWidth="1"/>
    <col min="14599" max="14842" width="9.140625" style="251"/>
    <col min="14843" max="14843" width="5.5703125" style="251" customWidth="1"/>
    <col min="14844" max="14844" width="32" style="251" customWidth="1"/>
    <col min="14845" max="14846" width="9.85546875" style="251" customWidth="1"/>
    <col min="14847" max="14848" width="9.42578125" style="251" customWidth="1"/>
    <col min="14849" max="14849" width="11.140625" style="251" customWidth="1"/>
    <col min="14850" max="14852" width="8.5703125" style="251" customWidth="1"/>
    <col min="14853" max="14853" width="32.140625" style="251" customWidth="1"/>
    <col min="14854" max="14854" width="8" style="251" hidden="1" customWidth="1"/>
    <col min="14855" max="15098" width="9.140625" style="251"/>
    <col min="15099" max="15099" width="5.5703125" style="251" customWidth="1"/>
    <col min="15100" max="15100" width="32" style="251" customWidth="1"/>
    <col min="15101" max="15102" width="9.85546875" style="251" customWidth="1"/>
    <col min="15103" max="15104" width="9.42578125" style="251" customWidth="1"/>
    <col min="15105" max="15105" width="11.140625" style="251" customWidth="1"/>
    <col min="15106" max="15108" width="8.5703125" style="251" customWidth="1"/>
    <col min="15109" max="15109" width="32.140625" style="251" customWidth="1"/>
    <col min="15110" max="15110" width="8" style="251" hidden="1" customWidth="1"/>
    <col min="15111" max="15354" width="9.140625" style="251"/>
    <col min="15355" max="15355" width="5.5703125" style="251" customWidth="1"/>
    <col min="15356" max="15356" width="32" style="251" customWidth="1"/>
    <col min="15357" max="15358" width="9.85546875" style="251" customWidth="1"/>
    <col min="15359" max="15360" width="9.42578125" style="251" customWidth="1"/>
    <col min="15361" max="15361" width="11.140625" style="251" customWidth="1"/>
    <col min="15362" max="15364" width="8.5703125" style="251" customWidth="1"/>
    <col min="15365" max="15365" width="32.140625" style="251" customWidth="1"/>
    <col min="15366" max="15366" width="8" style="251" hidden="1" customWidth="1"/>
    <col min="15367" max="15610" width="9.140625" style="251"/>
    <col min="15611" max="15611" width="5.5703125" style="251" customWidth="1"/>
    <col min="15612" max="15612" width="32" style="251" customWidth="1"/>
    <col min="15613" max="15614" width="9.85546875" style="251" customWidth="1"/>
    <col min="15615" max="15616" width="9.42578125" style="251" customWidth="1"/>
    <col min="15617" max="15617" width="11.140625" style="251" customWidth="1"/>
    <col min="15618" max="15620" width="8.5703125" style="251" customWidth="1"/>
    <col min="15621" max="15621" width="32.140625" style="251" customWidth="1"/>
    <col min="15622" max="15622" width="8" style="251" hidden="1" customWidth="1"/>
    <col min="15623" max="15866" width="9.140625" style="251"/>
    <col min="15867" max="15867" width="5.5703125" style="251" customWidth="1"/>
    <col min="15868" max="15868" width="32" style="251" customWidth="1"/>
    <col min="15869" max="15870" width="9.85546875" style="251" customWidth="1"/>
    <col min="15871" max="15872" width="9.42578125" style="251" customWidth="1"/>
    <col min="15873" max="15873" width="11.140625" style="251" customWidth="1"/>
    <col min="15874" max="15876" width="8.5703125" style="251" customWidth="1"/>
    <col min="15877" max="15877" width="32.140625" style="251" customWidth="1"/>
    <col min="15878" max="15878" width="8" style="251" hidden="1" customWidth="1"/>
    <col min="15879" max="16122" width="9.140625" style="251"/>
    <col min="16123" max="16123" width="5.5703125" style="251" customWidth="1"/>
    <col min="16124" max="16124" width="32" style="251" customWidth="1"/>
    <col min="16125" max="16126" width="9.85546875" style="251" customWidth="1"/>
    <col min="16127" max="16128" width="9.42578125" style="251" customWidth="1"/>
    <col min="16129" max="16129" width="11.140625" style="251" customWidth="1"/>
    <col min="16130" max="16132" width="8.5703125" style="251" customWidth="1"/>
    <col min="16133" max="16133" width="32.140625" style="251" customWidth="1"/>
    <col min="16134" max="16134" width="8" style="251" hidden="1" customWidth="1"/>
    <col min="16135" max="16384" width="9.140625" style="251"/>
  </cols>
  <sheetData>
    <row r="1" spans="1:112" x14ac:dyDescent="0.2">
      <c r="A1" s="65" t="s">
        <v>87</v>
      </c>
    </row>
    <row r="2" spans="1:112" ht="34.5" customHeight="1" x14ac:dyDescent="0.2">
      <c r="A2" s="562" t="s">
        <v>297</v>
      </c>
      <c r="B2" s="600"/>
      <c r="C2" s="600"/>
      <c r="D2" s="600"/>
      <c r="E2" s="600"/>
      <c r="F2" s="600"/>
      <c r="G2" s="600"/>
    </row>
    <row r="3" spans="1:112" ht="13.5" thickBot="1" x14ac:dyDescent="0.25">
      <c r="A3" s="461"/>
      <c r="B3" s="462"/>
      <c r="C3" s="463"/>
      <c r="D3" s="463"/>
      <c r="E3" s="463"/>
      <c r="F3" s="463"/>
      <c r="G3" s="253" t="s">
        <v>137</v>
      </c>
    </row>
    <row r="4" spans="1:112" s="254" customFormat="1" ht="21" customHeight="1" x14ac:dyDescent="0.2">
      <c r="A4" s="564" t="s">
        <v>201</v>
      </c>
      <c r="B4" s="566" t="s">
        <v>515</v>
      </c>
      <c r="C4" s="601" t="s">
        <v>516</v>
      </c>
      <c r="D4" s="602"/>
      <c r="E4" s="602"/>
      <c r="F4" s="603"/>
      <c r="G4" s="572" t="s">
        <v>259</v>
      </c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  <c r="AV4" s="384"/>
      <c r="AW4" s="384"/>
      <c r="AX4" s="384"/>
      <c r="AY4" s="384"/>
      <c r="AZ4" s="384"/>
      <c r="BA4" s="384"/>
      <c r="BB4" s="384"/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384"/>
      <c r="BS4" s="384"/>
      <c r="BT4" s="384"/>
      <c r="BU4" s="384"/>
      <c r="BV4" s="384"/>
      <c r="BW4" s="384"/>
      <c r="BX4" s="384"/>
      <c r="BY4" s="384"/>
      <c r="BZ4" s="384"/>
      <c r="CA4" s="384"/>
      <c r="CB4" s="384"/>
      <c r="CC4" s="384"/>
      <c r="CD4" s="384"/>
      <c r="CE4" s="384"/>
      <c r="CF4" s="384"/>
      <c r="CG4" s="384"/>
      <c r="CH4" s="384"/>
      <c r="CI4" s="384"/>
      <c r="CJ4" s="384"/>
      <c r="CK4" s="384"/>
      <c r="CL4" s="384"/>
      <c r="CM4" s="384"/>
      <c r="CN4" s="384"/>
      <c r="CO4" s="384"/>
      <c r="CP4" s="384"/>
      <c r="CQ4" s="384"/>
      <c r="CR4" s="384"/>
      <c r="CS4" s="384"/>
      <c r="CT4" s="384"/>
      <c r="CU4" s="384"/>
      <c r="CV4" s="384"/>
      <c r="CW4" s="384"/>
      <c r="CX4" s="384"/>
      <c r="CY4" s="384"/>
      <c r="CZ4" s="384"/>
      <c r="DA4" s="384"/>
      <c r="DB4" s="384"/>
      <c r="DC4" s="384"/>
      <c r="DD4" s="384"/>
      <c r="DE4" s="384"/>
      <c r="DF4" s="384"/>
      <c r="DG4" s="384"/>
      <c r="DH4" s="384"/>
    </row>
    <row r="5" spans="1:112" s="254" customFormat="1" ht="21" customHeight="1" thickBot="1" x14ac:dyDescent="0.25">
      <c r="A5" s="565"/>
      <c r="B5" s="567"/>
      <c r="C5" s="509" t="s">
        <v>205</v>
      </c>
      <c r="D5" s="509" t="s">
        <v>206</v>
      </c>
      <c r="E5" s="509" t="s">
        <v>396</v>
      </c>
      <c r="F5" s="509" t="s">
        <v>397</v>
      </c>
      <c r="G5" s="60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4"/>
      <c r="AS5" s="384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  <c r="BF5" s="384"/>
      <c r="BG5" s="384"/>
      <c r="BH5" s="384"/>
      <c r="BI5" s="384"/>
      <c r="BJ5" s="384"/>
      <c r="BK5" s="384"/>
      <c r="BL5" s="384"/>
      <c r="BM5" s="384"/>
      <c r="BN5" s="384"/>
      <c r="BO5" s="384"/>
      <c r="BP5" s="384"/>
      <c r="BQ5" s="384"/>
      <c r="BR5" s="384"/>
      <c r="BS5" s="384"/>
      <c r="BT5" s="384"/>
      <c r="BU5" s="384"/>
      <c r="BV5" s="384"/>
      <c r="BW5" s="384"/>
      <c r="BX5" s="384"/>
      <c r="BY5" s="384"/>
      <c r="BZ5" s="384"/>
      <c r="CA5" s="384"/>
      <c r="CB5" s="384"/>
      <c r="CC5" s="384"/>
      <c r="CD5" s="384"/>
      <c r="CE5" s="384"/>
      <c r="CF5" s="384"/>
      <c r="CG5" s="384"/>
      <c r="CH5" s="384"/>
      <c r="CI5" s="384"/>
      <c r="CJ5" s="384"/>
      <c r="CK5" s="384"/>
      <c r="CL5" s="384"/>
      <c r="CM5" s="384"/>
      <c r="CN5" s="384"/>
      <c r="CO5" s="384"/>
      <c r="CP5" s="384"/>
      <c r="CQ5" s="384"/>
      <c r="CR5" s="384"/>
      <c r="CS5" s="384"/>
      <c r="CT5" s="384"/>
      <c r="CU5" s="384"/>
      <c r="CV5" s="384"/>
      <c r="CW5" s="384"/>
      <c r="CX5" s="384"/>
      <c r="CY5" s="384"/>
      <c r="CZ5" s="384"/>
      <c r="DA5" s="384"/>
      <c r="DB5" s="384"/>
      <c r="DC5" s="384"/>
      <c r="DD5" s="384"/>
      <c r="DE5" s="384"/>
      <c r="DF5" s="384"/>
      <c r="DG5" s="384"/>
      <c r="DH5" s="384"/>
    </row>
    <row r="6" spans="1:112" s="254" customFormat="1" ht="18" customHeight="1" x14ac:dyDescent="0.2">
      <c r="A6" s="577" t="s">
        <v>226</v>
      </c>
      <c r="B6" s="578"/>
      <c r="C6" s="578"/>
      <c r="D6" s="578"/>
      <c r="E6" s="578"/>
      <c r="F6" s="578"/>
      <c r="G6" s="579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  <c r="BP6" s="384"/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</row>
    <row r="7" spans="1:112" s="384" customFormat="1" ht="45" customHeight="1" x14ac:dyDescent="0.2">
      <c r="A7" s="255" t="s">
        <v>517</v>
      </c>
      <c r="B7" s="256">
        <f>C7+D7+E7+F7</f>
        <v>2400</v>
      </c>
      <c r="C7" s="257">
        <v>800</v>
      </c>
      <c r="D7" s="257">
        <v>800</v>
      </c>
      <c r="E7" s="257">
        <v>800</v>
      </c>
      <c r="F7" s="257">
        <v>0</v>
      </c>
      <c r="G7" s="404" t="s">
        <v>518</v>
      </c>
    </row>
    <row r="8" spans="1:112" s="384" customFormat="1" ht="45" customHeight="1" x14ac:dyDescent="0.2">
      <c r="A8" s="465" t="s">
        <v>519</v>
      </c>
      <c r="B8" s="466">
        <f t="shared" ref="B8:B10" si="0">C8+D8+E8+F8</f>
        <v>2850</v>
      </c>
      <c r="C8" s="467">
        <v>1900</v>
      </c>
      <c r="D8" s="467">
        <v>950</v>
      </c>
      <c r="E8" s="467">
        <v>0</v>
      </c>
      <c r="F8" s="468">
        <v>0</v>
      </c>
      <c r="G8" s="469" t="s">
        <v>520</v>
      </c>
    </row>
    <row r="9" spans="1:112" s="384" customFormat="1" ht="54.75" customHeight="1" x14ac:dyDescent="0.2">
      <c r="A9" s="465" t="s">
        <v>521</v>
      </c>
      <c r="B9" s="466">
        <f t="shared" si="0"/>
        <v>88500</v>
      </c>
      <c r="C9" s="467">
        <v>29500</v>
      </c>
      <c r="D9" s="467">
        <v>29500</v>
      </c>
      <c r="E9" s="467">
        <v>29500</v>
      </c>
      <c r="F9" s="468">
        <v>0</v>
      </c>
      <c r="G9" s="469" t="s">
        <v>522</v>
      </c>
    </row>
    <row r="10" spans="1:112" s="384" customFormat="1" ht="55.5" customHeight="1" thickBot="1" x14ac:dyDescent="0.25">
      <c r="A10" s="470" t="s">
        <v>523</v>
      </c>
      <c r="B10" s="471">
        <f t="shared" si="0"/>
        <v>3360.4169999999999</v>
      </c>
      <c r="C10" s="472">
        <v>1400</v>
      </c>
      <c r="D10" s="472">
        <v>980.41700000000003</v>
      </c>
      <c r="E10" s="472">
        <v>980</v>
      </c>
      <c r="F10" s="473">
        <v>0</v>
      </c>
      <c r="G10" s="474" t="s">
        <v>524</v>
      </c>
    </row>
    <row r="11" spans="1:112" s="254" customFormat="1" ht="26.25" customHeight="1" thickBot="1" x14ac:dyDescent="0.25">
      <c r="A11" s="258" t="s">
        <v>227</v>
      </c>
      <c r="B11" s="259">
        <f>SUM(B7:B10)</f>
        <v>97110.417000000001</v>
      </c>
      <c r="C11" s="259">
        <f>SUM(C7:C10)</f>
        <v>33600</v>
      </c>
      <c r="D11" s="259">
        <f>SUM(D7:D10)</f>
        <v>32230.417000000001</v>
      </c>
      <c r="E11" s="259">
        <f>SUM(E7:E10)</f>
        <v>31280</v>
      </c>
      <c r="F11" s="259">
        <f t="shared" ref="F11" si="1">SUM(F7:F10)</f>
        <v>0</v>
      </c>
      <c r="G11" s="26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84"/>
      <c r="AX11" s="384"/>
      <c r="AY11" s="384"/>
      <c r="AZ11" s="384"/>
      <c r="BA11" s="384"/>
      <c r="BB11" s="384"/>
      <c r="BC11" s="384"/>
      <c r="BD11" s="384"/>
      <c r="BE11" s="384"/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  <c r="BP11" s="384"/>
      <c r="BQ11" s="384"/>
      <c r="BR11" s="384"/>
      <c r="BS11" s="384"/>
      <c r="BT11" s="384"/>
      <c r="BU11" s="384"/>
      <c r="BV11" s="384"/>
      <c r="BW11" s="384"/>
      <c r="BX11" s="384"/>
      <c r="BY11" s="384"/>
      <c r="BZ11" s="384"/>
      <c r="CA11" s="384"/>
      <c r="CB11" s="384"/>
      <c r="CC11" s="384"/>
      <c r="CD11" s="384"/>
      <c r="CE11" s="384"/>
      <c r="CF11" s="384"/>
      <c r="CG11" s="384"/>
      <c r="CH11" s="384"/>
      <c r="CI11" s="384"/>
      <c r="CJ11" s="384"/>
      <c r="CK11" s="384"/>
      <c r="CL11" s="384"/>
      <c r="CM11" s="384"/>
      <c r="CN11" s="384"/>
      <c r="CO11" s="384"/>
      <c r="CP11" s="384"/>
      <c r="CQ11" s="384"/>
      <c r="CR11" s="384"/>
      <c r="CS11" s="384"/>
      <c r="CT11" s="384"/>
      <c r="CU11" s="384"/>
      <c r="CV11" s="384"/>
      <c r="CW11" s="384"/>
      <c r="CX11" s="384"/>
      <c r="CY11" s="384"/>
      <c r="CZ11" s="384"/>
      <c r="DA11" s="384"/>
      <c r="DB11" s="384"/>
      <c r="DC11" s="384"/>
      <c r="DD11" s="384"/>
      <c r="DE11" s="384"/>
      <c r="DF11" s="384"/>
      <c r="DG11" s="384"/>
      <c r="DH11" s="384"/>
    </row>
    <row r="12" spans="1:112" s="254" customFormat="1" ht="18" customHeight="1" x14ac:dyDescent="0.2">
      <c r="A12" s="577" t="s">
        <v>146</v>
      </c>
      <c r="B12" s="578"/>
      <c r="C12" s="578"/>
      <c r="D12" s="578"/>
      <c r="E12" s="578"/>
      <c r="F12" s="578"/>
      <c r="G12" s="579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L12" s="384"/>
      <c r="AM12" s="384"/>
      <c r="AN12" s="384"/>
      <c r="AO12" s="384"/>
      <c r="AP12" s="384"/>
      <c r="AQ12" s="384"/>
      <c r="AR12" s="384"/>
      <c r="AS12" s="384"/>
      <c r="AT12" s="384"/>
      <c r="AU12" s="384"/>
      <c r="AV12" s="384"/>
      <c r="AW12" s="384"/>
      <c r="AX12" s="384"/>
      <c r="AY12" s="384"/>
      <c r="AZ12" s="384"/>
      <c r="BA12" s="384"/>
      <c r="BB12" s="384"/>
      <c r="BC12" s="384"/>
      <c r="BD12" s="384"/>
      <c r="BE12" s="384"/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  <c r="BP12" s="384"/>
      <c r="BQ12" s="384"/>
      <c r="BR12" s="384"/>
      <c r="BS12" s="384"/>
      <c r="BT12" s="384"/>
      <c r="BU12" s="384"/>
      <c r="BV12" s="384"/>
      <c r="BW12" s="384"/>
      <c r="BX12" s="384"/>
      <c r="BY12" s="384"/>
      <c r="BZ12" s="384"/>
      <c r="CA12" s="384"/>
      <c r="CB12" s="384"/>
      <c r="CC12" s="384"/>
      <c r="CD12" s="384"/>
      <c r="CE12" s="384"/>
      <c r="CF12" s="384"/>
      <c r="CG12" s="384"/>
      <c r="CH12" s="384"/>
      <c r="CI12" s="384"/>
      <c r="CJ12" s="384"/>
      <c r="CK12" s="384"/>
      <c r="CL12" s="384"/>
      <c r="CM12" s="384"/>
      <c r="CN12" s="384"/>
      <c r="CO12" s="384"/>
      <c r="CP12" s="384"/>
      <c r="CQ12" s="384"/>
      <c r="CR12" s="384"/>
      <c r="CS12" s="384"/>
      <c r="CT12" s="384"/>
      <c r="CU12" s="384"/>
      <c r="CV12" s="384"/>
      <c r="CW12" s="384"/>
      <c r="CX12" s="384"/>
      <c r="CY12" s="384"/>
      <c r="CZ12" s="384"/>
      <c r="DA12" s="384"/>
      <c r="DB12" s="384"/>
      <c r="DC12" s="384"/>
      <c r="DD12" s="384"/>
      <c r="DE12" s="384"/>
      <c r="DF12" s="384"/>
      <c r="DG12" s="384"/>
      <c r="DH12" s="384"/>
    </row>
    <row r="13" spans="1:112" s="384" customFormat="1" ht="34.5" customHeight="1" x14ac:dyDescent="0.2">
      <c r="A13" s="475" t="s">
        <v>261</v>
      </c>
      <c r="B13" s="288">
        <f>C13+D13+F13+E13</f>
        <v>56250</v>
      </c>
      <c r="C13" s="261">
        <v>37500</v>
      </c>
      <c r="D13" s="261">
        <v>18750</v>
      </c>
      <c r="E13" s="261">
        <v>0</v>
      </c>
      <c r="F13" s="261">
        <v>0</v>
      </c>
      <c r="G13" s="404" t="s">
        <v>262</v>
      </c>
    </row>
    <row r="14" spans="1:112" s="384" customFormat="1" ht="34.5" customHeight="1" x14ac:dyDescent="0.2">
      <c r="A14" s="465" t="s">
        <v>525</v>
      </c>
      <c r="B14" s="467">
        <f t="shared" ref="B14:B23" si="2">C14+D14+F14+E14</f>
        <v>558</v>
      </c>
      <c r="C14" s="476">
        <v>159</v>
      </c>
      <c r="D14" s="476">
        <v>159</v>
      </c>
      <c r="E14" s="476">
        <v>135</v>
      </c>
      <c r="F14" s="476">
        <v>105</v>
      </c>
      <c r="G14" s="469" t="s">
        <v>526</v>
      </c>
    </row>
    <row r="15" spans="1:112" s="477" customFormat="1" ht="34.5" customHeight="1" x14ac:dyDescent="0.2">
      <c r="A15" s="465" t="s">
        <v>527</v>
      </c>
      <c r="B15" s="467">
        <f t="shared" si="2"/>
        <v>60</v>
      </c>
      <c r="C15" s="476">
        <v>15</v>
      </c>
      <c r="D15" s="476">
        <v>15</v>
      </c>
      <c r="E15" s="476">
        <v>15</v>
      </c>
      <c r="F15" s="476">
        <v>15</v>
      </c>
      <c r="G15" s="469" t="s">
        <v>528</v>
      </c>
    </row>
    <row r="16" spans="1:112" s="384" customFormat="1" ht="67.5" customHeight="1" x14ac:dyDescent="0.2">
      <c r="A16" s="255" t="s">
        <v>260</v>
      </c>
      <c r="B16" s="288">
        <f t="shared" si="2"/>
        <v>3900</v>
      </c>
      <c r="C16" s="257">
        <v>650</v>
      </c>
      <c r="D16" s="257">
        <v>650</v>
      </c>
      <c r="E16" s="257">
        <v>650</v>
      </c>
      <c r="F16" s="257">
        <v>1950</v>
      </c>
      <c r="G16" s="404" t="s">
        <v>364</v>
      </c>
    </row>
    <row r="17" spans="1:112" s="384" customFormat="1" ht="34.5" customHeight="1" x14ac:dyDescent="0.2">
      <c r="A17" s="478" t="s">
        <v>263</v>
      </c>
      <c r="B17" s="288">
        <f t="shared" si="2"/>
        <v>1500</v>
      </c>
      <c r="C17" s="479">
        <v>500</v>
      </c>
      <c r="D17" s="479">
        <v>500</v>
      </c>
      <c r="E17" s="479">
        <v>500</v>
      </c>
      <c r="F17" s="261">
        <v>0</v>
      </c>
      <c r="G17" s="480" t="s">
        <v>351</v>
      </c>
    </row>
    <row r="18" spans="1:112" s="384" customFormat="1" ht="45" customHeight="1" x14ac:dyDescent="0.2">
      <c r="A18" s="478" t="s">
        <v>264</v>
      </c>
      <c r="B18" s="288">
        <f t="shared" si="2"/>
        <v>1470000</v>
      </c>
      <c r="C18" s="479">
        <v>245000</v>
      </c>
      <c r="D18" s="479">
        <v>245000</v>
      </c>
      <c r="E18" s="479">
        <v>245000</v>
      </c>
      <c r="F18" s="261">
        <v>735000</v>
      </c>
      <c r="G18" s="480" t="s">
        <v>352</v>
      </c>
    </row>
    <row r="19" spans="1:112" s="384" customFormat="1" ht="45" customHeight="1" x14ac:dyDescent="0.2">
      <c r="A19" s="478" t="s">
        <v>265</v>
      </c>
      <c r="B19" s="288">
        <f t="shared" si="2"/>
        <v>110000</v>
      </c>
      <c r="C19" s="479">
        <v>30000</v>
      </c>
      <c r="D19" s="479">
        <v>26000</v>
      </c>
      <c r="E19" s="479">
        <v>21000</v>
      </c>
      <c r="F19" s="261">
        <v>33000</v>
      </c>
      <c r="G19" s="480" t="s">
        <v>352</v>
      </c>
    </row>
    <row r="20" spans="1:112" s="384" customFormat="1" ht="45" customHeight="1" x14ac:dyDescent="0.2">
      <c r="A20" s="478" t="s">
        <v>266</v>
      </c>
      <c r="B20" s="288">
        <f t="shared" si="2"/>
        <v>823969</v>
      </c>
      <c r="C20" s="479">
        <v>823969</v>
      </c>
      <c r="D20" s="479">
        <v>0</v>
      </c>
      <c r="E20" s="479">
        <v>0</v>
      </c>
      <c r="F20" s="261">
        <v>0</v>
      </c>
      <c r="G20" s="480" t="s">
        <v>267</v>
      </c>
    </row>
    <row r="21" spans="1:112" s="384" customFormat="1" ht="45" customHeight="1" x14ac:dyDescent="0.2">
      <c r="A21" s="478" t="s">
        <v>268</v>
      </c>
      <c r="B21" s="288">
        <f t="shared" si="2"/>
        <v>15000</v>
      </c>
      <c r="C21" s="479">
        <v>15000</v>
      </c>
      <c r="D21" s="479">
        <v>0</v>
      </c>
      <c r="E21" s="479">
        <v>0</v>
      </c>
      <c r="F21" s="261">
        <v>0</v>
      </c>
      <c r="G21" s="480" t="s">
        <v>267</v>
      </c>
    </row>
    <row r="22" spans="1:112" s="384" customFormat="1" ht="67.5" customHeight="1" x14ac:dyDescent="0.2">
      <c r="A22" s="478" t="s">
        <v>529</v>
      </c>
      <c r="B22" s="288">
        <f t="shared" si="2"/>
        <v>581043</v>
      </c>
      <c r="C22" s="479">
        <v>3600</v>
      </c>
      <c r="D22" s="479">
        <v>333550</v>
      </c>
      <c r="E22" s="479">
        <v>102456</v>
      </c>
      <c r="F22" s="261">
        <v>141437</v>
      </c>
      <c r="G22" s="480" t="s">
        <v>530</v>
      </c>
    </row>
    <row r="23" spans="1:112" s="384" customFormat="1" ht="68.25" customHeight="1" thickBot="1" x14ac:dyDescent="0.25">
      <c r="A23" s="478" t="s">
        <v>531</v>
      </c>
      <c r="B23" s="288">
        <f t="shared" si="2"/>
        <v>29000</v>
      </c>
      <c r="C23" s="479">
        <v>5000</v>
      </c>
      <c r="D23" s="479">
        <v>9000</v>
      </c>
      <c r="E23" s="479">
        <v>7000</v>
      </c>
      <c r="F23" s="261">
        <v>8000</v>
      </c>
      <c r="G23" s="480" t="s">
        <v>530</v>
      </c>
    </row>
    <row r="24" spans="1:112" s="254" customFormat="1" ht="15.75" customHeight="1" thickBot="1" x14ac:dyDescent="0.25">
      <c r="A24" s="265" t="s">
        <v>149</v>
      </c>
      <c r="B24" s="273">
        <f>SUM(B13:B23)</f>
        <v>3091280</v>
      </c>
      <c r="C24" s="273">
        <f t="shared" ref="C24:F24" si="3">SUM(C13:C23)</f>
        <v>1161393</v>
      </c>
      <c r="D24" s="273">
        <f t="shared" si="3"/>
        <v>633624</v>
      </c>
      <c r="E24" s="273">
        <f t="shared" si="3"/>
        <v>376756</v>
      </c>
      <c r="F24" s="273">
        <f t="shared" si="3"/>
        <v>919507</v>
      </c>
      <c r="G24" s="270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  <c r="BG24" s="384"/>
      <c r="BH24" s="384"/>
      <c r="BI24" s="384"/>
      <c r="BJ24" s="384"/>
      <c r="BK24" s="384"/>
      <c r="BL24" s="384"/>
      <c r="BM24" s="384"/>
      <c r="BN24" s="384"/>
      <c r="BO24" s="384"/>
      <c r="BP24" s="384"/>
      <c r="BQ24" s="384"/>
      <c r="BR24" s="384"/>
      <c r="BS24" s="384"/>
      <c r="BT24" s="384"/>
      <c r="BU24" s="384"/>
      <c r="BV24" s="384"/>
      <c r="BW24" s="384"/>
      <c r="BX24" s="384"/>
      <c r="BY24" s="384"/>
      <c r="BZ24" s="384"/>
      <c r="CA24" s="384"/>
      <c r="CB24" s="384"/>
      <c r="CC24" s="384"/>
      <c r="CD24" s="384"/>
      <c r="CE24" s="384"/>
      <c r="CF24" s="384"/>
      <c r="CG24" s="384"/>
      <c r="CH24" s="384"/>
      <c r="CI24" s="384"/>
      <c r="CJ24" s="384"/>
      <c r="CK24" s="384"/>
      <c r="CL24" s="384"/>
      <c r="CM24" s="384"/>
      <c r="CN24" s="384"/>
      <c r="CO24" s="384"/>
      <c r="CP24" s="384"/>
      <c r="CQ24" s="384"/>
      <c r="CR24" s="384"/>
      <c r="CS24" s="384"/>
      <c r="CT24" s="384"/>
      <c r="CU24" s="384"/>
      <c r="CV24" s="384"/>
      <c r="CW24" s="384"/>
      <c r="CX24" s="384"/>
      <c r="CY24" s="384"/>
      <c r="CZ24" s="384"/>
      <c r="DA24" s="384"/>
      <c r="DB24" s="384"/>
      <c r="DC24" s="384"/>
      <c r="DD24" s="384"/>
      <c r="DE24" s="384"/>
      <c r="DF24" s="384"/>
      <c r="DG24" s="384"/>
      <c r="DH24" s="384"/>
    </row>
    <row r="25" spans="1:112" s="254" customFormat="1" ht="18" customHeight="1" x14ac:dyDescent="0.2">
      <c r="A25" s="574" t="s">
        <v>228</v>
      </c>
      <c r="B25" s="575"/>
      <c r="C25" s="575"/>
      <c r="D25" s="575"/>
      <c r="E25" s="575"/>
      <c r="F25" s="575"/>
      <c r="G25" s="576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</row>
    <row r="26" spans="1:112" s="384" customFormat="1" ht="67.5" customHeight="1" x14ac:dyDescent="0.2">
      <c r="A26" s="478" t="s">
        <v>532</v>
      </c>
      <c r="B26" s="481">
        <f t="shared" ref="B26:B55" si="4">C26+D26+E26+F26</f>
        <v>4338889</v>
      </c>
      <c r="C26" s="482">
        <v>733333</v>
      </c>
      <c r="D26" s="482">
        <v>733333</v>
      </c>
      <c r="E26" s="482">
        <v>733333</v>
      </c>
      <c r="F26" s="479">
        <v>2138890</v>
      </c>
      <c r="G26" s="480" t="s">
        <v>533</v>
      </c>
    </row>
    <row r="27" spans="1:112" s="384" customFormat="1" ht="67.5" customHeight="1" x14ac:dyDescent="0.2">
      <c r="A27" s="478" t="s">
        <v>271</v>
      </c>
      <c r="B27" s="481">
        <f t="shared" si="4"/>
        <v>439770</v>
      </c>
      <c r="C27" s="482">
        <v>112282</v>
      </c>
      <c r="D27" s="482">
        <v>112282</v>
      </c>
      <c r="E27" s="482">
        <v>112282</v>
      </c>
      <c r="F27" s="479">
        <v>102924</v>
      </c>
      <c r="G27" s="480" t="s">
        <v>534</v>
      </c>
    </row>
    <row r="28" spans="1:112" s="384" customFormat="1" ht="54.75" customHeight="1" x14ac:dyDescent="0.2">
      <c r="A28" s="478" t="s">
        <v>269</v>
      </c>
      <c r="B28" s="481">
        <f t="shared" si="4"/>
        <v>1038009</v>
      </c>
      <c r="C28" s="479">
        <v>17300</v>
      </c>
      <c r="D28" s="479">
        <v>207602</v>
      </c>
      <c r="E28" s="479">
        <v>207602</v>
      </c>
      <c r="F28" s="479">
        <v>605505</v>
      </c>
      <c r="G28" s="480" t="s">
        <v>535</v>
      </c>
    </row>
    <row r="29" spans="1:112" s="384" customFormat="1" ht="45" customHeight="1" x14ac:dyDescent="0.2">
      <c r="A29" s="478" t="s">
        <v>270</v>
      </c>
      <c r="B29" s="481">
        <f t="shared" si="4"/>
        <v>224029</v>
      </c>
      <c r="C29" s="479">
        <v>2668</v>
      </c>
      <c r="D29" s="479">
        <v>32004</v>
      </c>
      <c r="E29" s="479">
        <v>32004</v>
      </c>
      <c r="F29" s="479">
        <v>157353</v>
      </c>
      <c r="G29" s="480" t="s">
        <v>536</v>
      </c>
    </row>
    <row r="30" spans="1:112" s="384" customFormat="1" ht="54.75" customHeight="1" x14ac:dyDescent="0.2">
      <c r="A30" s="478" t="s">
        <v>537</v>
      </c>
      <c r="B30" s="481">
        <f t="shared" si="4"/>
        <v>24600</v>
      </c>
      <c r="C30" s="479">
        <v>8200</v>
      </c>
      <c r="D30" s="479">
        <v>8200</v>
      </c>
      <c r="E30" s="479">
        <v>8200</v>
      </c>
      <c r="F30" s="479">
        <v>0</v>
      </c>
      <c r="G30" s="480" t="s">
        <v>538</v>
      </c>
      <c r="H30" s="483"/>
    </row>
    <row r="31" spans="1:112" s="384" customFormat="1" ht="78" customHeight="1" x14ac:dyDescent="0.2">
      <c r="A31" s="478" t="s">
        <v>539</v>
      </c>
      <c r="B31" s="481">
        <f t="shared" si="4"/>
        <v>227531</v>
      </c>
      <c r="C31" s="479">
        <v>0</v>
      </c>
      <c r="D31" s="479">
        <v>0</v>
      </c>
      <c r="E31" s="479">
        <v>0</v>
      </c>
      <c r="F31" s="479">
        <v>227531</v>
      </c>
      <c r="G31" s="480" t="s">
        <v>540</v>
      </c>
      <c r="H31" s="483"/>
    </row>
    <row r="32" spans="1:112" s="384" customFormat="1" ht="34.5" customHeight="1" x14ac:dyDescent="0.2">
      <c r="A32" s="255" t="s">
        <v>272</v>
      </c>
      <c r="B32" s="481">
        <f t="shared" si="4"/>
        <v>17254</v>
      </c>
      <c r="C32" s="479">
        <v>17254</v>
      </c>
      <c r="D32" s="479">
        <v>0</v>
      </c>
      <c r="E32" s="479">
        <v>0</v>
      </c>
      <c r="F32" s="479">
        <v>0</v>
      </c>
      <c r="G32" s="407" t="s">
        <v>273</v>
      </c>
    </row>
    <row r="33" spans="1:112" s="484" customFormat="1" ht="24" customHeight="1" x14ac:dyDescent="0.2">
      <c r="A33" s="478" t="s">
        <v>541</v>
      </c>
      <c r="B33" s="481">
        <f t="shared" si="4"/>
        <v>14500</v>
      </c>
      <c r="C33" s="482">
        <v>14500</v>
      </c>
      <c r="D33" s="479">
        <v>0</v>
      </c>
      <c r="E33" s="479">
        <v>0</v>
      </c>
      <c r="F33" s="479">
        <v>0</v>
      </c>
      <c r="G33" s="480" t="s">
        <v>542</v>
      </c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5"/>
      <c r="Y33" s="485"/>
      <c r="Z33" s="485"/>
      <c r="AA33" s="485"/>
      <c r="AB33" s="485"/>
      <c r="AC33" s="485"/>
      <c r="AD33" s="485"/>
      <c r="AE33" s="485"/>
      <c r="AF33" s="485"/>
      <c r="AG33" s="485"/>
      <c r="AH33" s="485"/>
      <c r="AI33" s="485"/>
      <c r="AJ33" s="485"/>
      <c r="AK33" s="485"/>
      <c r="AL33" s="485"/>
      <c r="AM33" s="485"/>
      <c r="AN33" s="485"/>
      <c r="AO33" s="485"/>
      <c r="AP33" s="485"/>
      <c r="AQ33" s="485"/>
      <c r="AR33" s="485"/>
      <c r="AS33" s="485"/>
      <c r="AT33" s="485"/>
      <c r="AU33" s="485"/>
      <c r="AV33" s="485"/>
      <c r="AW33" s="485"/>
      <c r="AX33" s="485"/>
      <c r="AY33" s="485"/>
      <c r="AZ33" s="485"/>
      <c r="BA33" s="485"/>
      <c r="BB33" s="485"/>
      <c r="BC33" s="485"/>
      <c r="BD33" s="485"/>
      <c r="BE33" s="485"/>
      <c r="BF33" s="485"/>
      <c r="BG33" s="485"/>
      <c r="BH33" s="485"/>
      <c r="BI33" s="485"/>
      <c r="BJ33" s="485"/>
      <c r="BK33" s="485"/>
      <c r="BL33" s="485"/>
      <c r="BM33" s="485"/>
      <c r="BN33" s="485"/>
      <c r="BO33" s="485"/>
      <c r="BP33" s="485"/>
      <c r="BQ33" s="485"/>
      <c r="BR33" s="485"/>
      <c r="BS33" s="485"/>
      <c r="BT33" s="485"/>
      <c r="BU33" s="485"/>
      <c r="BV33" s="485"/>
      <c r="BW33" s="485"/>
      <c r="BX33" s="485"/>
      <c r="BY33" s="485"/>
      <c r="BZ33" s="485"/>
      <c r="CA33" s="485"/>
      <c r="CB33" s="485"/>
      <c r="CC33" s="485"/>
      <c r="CD33" s="485"/>
      <c r="CE33" s="485"/>
      <c r="CF33" s="485"/>
      <c r="CG33" s="485"/>
      <c r="CH33" s="485"/>
      <c r="CI33" s="485"/>
      <c r="CJ33" s="485"/>
      <c r="CK33" s="485"/>
      <c r="CL33" s="485"/>
      <c r="CM33" s="485"/>
      <c r="CN33" s="485"/>
      <c r="CO33" s="485"/>
      <c r="CP33" s="485"/>
      <c r="CQ33" s="485"/>
      <c r="CR33" s="485"/>
      <c r="CS33" s="485"/>
      <c r="CT33" s="485"/>
      <c r="CU33" s="485"/>
      <c r="CV33" s="485"/>
      <c r="CW33" s="485"/>
      <c r="CX33" s="485"/>
      <c r="CY33" s="485"/>
      <c r="CZ33" s="485"/>
      <c r="DA33" s="485"/>
      <c r="DB33" s="485"/>
      <c r="DC33" s="485"/>
      <c r="DD33" s="485"/>
      <c r="DE33" s="485"/>
      <c r="DF33" s="485"/>
      <c r="DG33" s="485"/>
      <c r="DH33" s="485"/>
    </row>
    <row r="34" spans="1:112" s="384" customFormat="1" ht="89.25" customHeight="1" x14ac:dyDescent="0.2">
      <c r="A34" s="478" t="s">
        <v>274</v>
      </c>
      <c r="B34" s="481">
        <f t="shared" si="4"/>
        <v>329991</v>
      </c>
      <c r="C34" s="479">
        <v>54999</v>
      </c>
      <c r="D34" s="479">
        <v>54999</v>
      </c>
      <c r="E34" s="479">
        <v>54999</v>
      </c>
      <c r="F34" s="479">
        <v>164994</v>
      </c>
      <c r="G34" s="480" t="s">
        <v>543</v>
      </c>
    </row>
    <row r="35" spans="1:112" s="384" customFormat="1" ht="89.25" customHeight="1" x14ac:dyDescent="0.2">
      <c r="A35" s="478" t="s">
        <v>275</v>
      </c>
      <c r="B35" s="481">
        <f t="shared" si="4"/>
        <v>557968</v>
      </c>
      <c r="C35" s="479">
        <v>79710</v>
      </c>
      <c r="D35" s="479">
        <v>79710</v>
      </c>
      <c r="E35" s="479">
        <v>79710</v>
      </c>
      <c r="F35" s="479">
        <v>318838</v>
      </c>
      <c r="G35" s="480" t="s">
        <v>544</v>
      </c>
    </row>
    <row r="36" spans="1:112" s="384" customFormat="1" ht="89.25" customHeight="1" x14ac:dyDescent="0.2">
      <c r="A36" s="478" t="s">
        <v>277</v>
      </c>
      <c r="B36" s="481">
        <f t="shared" si="4"/>
        <v>493983</v>
      </c>
      <c r="C36" s="479">
        <v>58116</v>
      </c>
      <c r="D36" s="479">
        <v>58116</v>
      </c>
      <c r="E36" s="479">
        <v>58116</v>
      </c>
      <c r="F36" s="479">
        <v>319635</v>
      </c>
      <c r="G36" s="480" t="s">
        <v>545</v>
      </c>
    </row>
    <row r="37" spans="1:112" s="384" customFormat="1" ht="89.25" customHeight="1" x14ac:dyDescent="0.2">
      <c r="A37" s="478" t="s">
        <v>278</v>
      </c>
      <c r="B37" s="481">
        <f t="shared" si="4"/>
        <v>675582</v>
      </c>
      <c r="C37" s="479">
        <v>79480</v>
      </c>
      <c r="D37" s="479">
        <v>79480</v>
      </c>
      <c r="E37" s="479">
        <v>79480</v>
      </c>
      <c r="F37" s="479">
        <v>437142</v>
      </c>
      <c r="G37" s="480" t="s">
        <v>546</v>
      </c>
    </row>
    <row r="38" spans="1:112" s="484" customFormat="1" ht="45" customHeight="1" x14ac:dyDescent="0.2">
      <c r="A38" s="478" t="s">
        <v>547</v>
      </c>
      <c r="B38" s="481">
        <f t="shared" si="4"/>
        <v>1968</v>
      </c>
      <c r="C38" s="482">
        <v>492</v>
      </c>
      <c r="D38" s="482">
        <v>492</v>
      </c>
      <c r="E38" s="482">
        <v>492</v>
      </c>
      <c r="F38" s="479">
        <v>492</v>
      </c>
      <c r="G38" s="480" t="s">
        <v>548</v>
      </c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485"/>
      <c r="U38" s="485"/>
      <c r="V38" s="485"/>
      <c r="W38" s="485"/>
      <c r="X38" s="485"/>
      <c r="Y38" s="485"/>
      <c r="Z38" s="485"/>
      <c r="AA38" s="485"/>
      <c r="AB38" s="485"/>
      <c r="AC38" s="485"/>
      <c r="AD38" s="485"/>
      <c r="AE38" s="485"/>
      <c r="AF38" s="485"/>
      <c r="AG38" s="485"/>
      <c r="AH38" s="485"/>
      <c r="AI38" s="485"/>
      <c r="AJ38" s="485"/>
      <c r="AK38" s="485"/>
      <c r="AL38" s="485"/>
      <c r="AM38" s="485"/>
      <c r="AN38" s="485"/>
      <c r="AO38" s="485"/>
      <c r="AP38" s="485"/>
      <c r="AQ38" s="485"/>
      <c r="AR38" s="485"/>
      <c r="AS38" s="485"/>
      <c r="AT38" s="485"/>
      <c r="AU38" s="485"/>
      <c r="AV38" s="485"/>
      <c r="AW38" s="485"/>
      <c r="AX38" s="485"/>
      <c r="AY38" s="485"/>
      <c r="AZ38" s="485"/>
      <c r="BA38" s="485"/>
      <c r="BB38" s="485"/>
      <c r="BC38" s="485"/>
      <c r="BD38" s="485"/>
      <c r="BE38" s="485"/>
      <c r="BF38" s="485"/>
      <c r="BG38" s="485"/>
      <c r="BH38" s="485"/>
      <c r="BI38" s="485"/>
      <c r="BJ38" s="485"/>
      <c r="BK38" s="485"/>
      <c r="BL38" s="485"/>
      <c r="BM38" s="485"/>
      <c r="BN38" s="485"/>
      <c r="BO38" s="485"/>
      <c r="BP38" s="485"/>
      <c r="BQ38" s="485"/>
      <c r="BR38" s="485"/>
      <c r="BS38" s="485"/>
      <c r="BT38" s="485"/>
      <c r="BU38" s="485"/>
      <c r="BV38" s="485"/>
      <c r="BW38" s="485"/>
      <c r="BX38" s="485"/>
      <c r="BY38" s="485"/>
      <c r="BZ38" s="485"/>
      <c r="CA38" s="485"/>
      <c r="CB38" s="485"/>
      <c r="CC38" s="485"/>
      <c r="CD38" s="485"/>
      <c r="CE38" s="485"/>
      <c r="CF38" s="485"/>
      <c r="CG38" s="485"/>
      <c r="CH38" s="485"/>
      <c r="CI38" s="485"/>
      <c r="CJ38" s="485"/>
      <c r="CK38" s="485"/>
      <c r="CL38" s="485"/>
      <c r="CM38" s="485"/>
      <c r="CN38" s="485"/>
      <c r="CO38" s="485"/>
      <c r="CP38" s="485"/>
      <c r="CQ38" s="485"/>
      <c r="CR38" s="485"/>
      <c r="CS38" s="485"/>
      <c r="CT38" s="485"/>
      <c r="CU38" s="485"/>
      <c r="CV38" s="485"/>
      <c r="CW38" s="485"/>
      <c r="CX38" s="485"/>
      <c r="CY38" s="485"/>
      <c r="CZ38" s="485"/>
      <c r="DA38" s="485"/>
      <c r="DB38" s="485"/>
      <c r="DC38" s="485"/>
      <c r="DD38" s="485"/>
      <c r="DE38" s="485"/>
      <c r="DF38" s="485"/>
      <c r="DG38" s="485"/>
      <c r="DH38" s="485"/>
    </row>
    <row r="39" spans="1:112" s="484" customFormat="1" ht="45" customHeight="1" x14ac:dyDescent="0.2">
      <c r="A39" s="478" t="s">
        <v>549</v>
      </c>
      <c r="B39" s="481">
        <f t="shared" si="4"/>
        <v>492</v>
      </c>
      <c r="C39" s="482">
        <v>123</v>
      </c>
      <c r="D39" s="482">
        <v>123</v>
      </c>
      <c r="E39" s="482">
        <v>123</v>
      </c>
      <c r="F39" s="479">
        <v>123</v>
      </c>
      <c r="G39" s="480" t="s">
        <v>548</v>
      </c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85"/>
      <c r="U39" s="485"/>
      <c r="V39" s="485"/>
      <c r="W39" s="485"/>
      <c r="X39" s="485"/>
      <c r="Y39" s="485"/>
      <c r="Z39" s="485"/>
      <c r="AA39" s="485"/>
      <c r="AB39" s="485"/>
      <c r="AC39" s="485"/>
      <c r="AD39" s="485"/>
      <c r="AE39" s="485"/>
      <c r="AF39" s="485"/>
      <c r="AG39" s="485"/>
      <c r="AH39" s="485"/>
      <c r="AI39" s="485"/>
      <c r="AJ39" s="485"/>
      <c r="AK39" s="485"/>
      <c r="AL39" s="485"/>
      <c r="AM39" s="485"/>
      <c r="AN39" s="485"/>
      <c r="AO39" s="485"/>
      <c r="AP39" s="485"/>
      <c r="AQ39" s="485"/>
      <c r="AR39" s="485"/>
      <c r="AS39" s="485"/>
      <c r="AT39" s="485"/>
      <c r="AU39" s="485"/>
      <c r="AV39" s="485"/>
      <c r="AW39" s="485"/>
      <c r="AX39" s="485"/>
      <c r="AY39" s="485"/>
      <c r="AZ39" s="485"/>
      <c r="BA39" s="485"/>
      <c r="BB39" s="485"/>
      <c r="BC39" s="485"/>
      <c r="BD39" s="485"/>
      <c r="BE39" s="485"/>
      <c r="BF39" s="485"/>
      <c r="BG39" s="485"/>
      <c r="BH39" s="485"/>
      <c r="BI39" s="485"/>
      <c r="BJ39" s="485"/>
      <c r="BK39" s="485"/>
      <c r="BL39" s="485"/>
      <c r="BM39" s="485"/>
      <c r="BN39" s="485"/>
      <c r="BO39" s="485"/>
      <c r="BP39" s="485"/>
      <c r="BQ39" s="485"/>
      <c r="BR39" s="485"/>
      <c r="BS39" s="485"/>
      <c r="BT39" s="485"/>
      <c r="BU39" s="485"/>
      <c r="BV39" s="485"/>
      <c r="BW39" s="485"/>
      <c r="BX39" s="485"/>
      <c r="BY39" s="485"/>
      <c r="BZ39" s="485"/>
      <c r="CA39" s="485"/>
      <c r="CB39" s="485"/>
      <c r="CC39" s="485"/>
      <c r="CD39" s="485"/>
      <c r="CE39" s="485"/>
      <c r="CF39" s="485"/>
      <c r="CG39" s="485"/>
      <c r="CH39" s="485"/>
      <c r="CI39" s="485"/>
      <c r="CJ39" s="485"/>
      <c r="CK39" s="485"/>
      <c r="CL39" s="485"/>
      <c r="CM39" s="485"/>
      <c r="CN39" s="485"/>
      <c r="CO39" s="485"/>
      <c r="CP39" s="485"/>
      <c r="CQ39" s="485"/>
      <c r="CR39" s="485"/>
      <c r="CS39" s="485"/>
      <c r="CT39" s="485"/>
      <c r="CU39" s="485"/>
      <c r="CV39" s="485"/>
      <c r="CW39" s="485"/>
      <c r="CX39" s="485"/>
      <c r="CY39" s="485"/>
      <c r="CZ39" s="485"/>
      <c r="DA39" s="485"/>
      <c r="DB39" s="485"/>
      <c r="DC39" s="485"/>
      <c r="DD39" s="485"/>
      <c r="DE39" s="485"/>
      <c r="DF39" s="485"/>
      <c r="DG39" s="485"/>
      <c r="DH39" s="485"/>
    </row>
    <row r="40" spans="1:112" s="484" customFormat="1" ht="45" customHeight="1" x14ac:dyDescent="0.2">
      <c r="A40" s="478" t="s">
        <v>550</v>
      </c>
      <c r="B40" s="481">
        <f t="shared" si="4"/>
        <v>181971</v>
      </c>
      <c r="C40" s="482">
        <v>20219</v>
      </c>
      <c r="D40" s="482">
        <v>20219</v>
      </c>
      <c r="E40" s="482">
        <v>20219</v>
      </c>
      <c r="F40" s="479">
        <v>121314</v>
      </c>
      <c r="G40" s="480" t="s">
        <v>551</v>
      </c>
      <c r="J40" s="485"/>
      <c r="K40" s="485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5"/>
      <c r="AB40" s="485"/>
      <c r="AC40" s="485"/>
      <c r="AD40" s="485"/>
      <c r="AE40" s="485"/>
      <c r="AF40" s="485"/>
      <c r="AG40" s="485"/>
      <c r="AH40" s="485"/>
      <c r="AI40" s="485"/>
      <c r="AJ40" s="485"/>
      <c r="AK40" s="485"/>
      <c r="AL40" s="485"/>
      <c r="AM40" s="485"/>
      <c r="AN40" s="485"/>
      <c r="AO40" s="485"/>
      <c r="AP40" s="485"/>
      <c r="AQ40" s="485"/>
      <c r="AR40" s="485"/>
      <c r="AS40" s="485"/>
      <c r="AT40" s="485"/>
      <c r="AU40" s="485"/>
      <c r="AV40" s="485"/>
      <c r="AW40" s="485"/>
      <c r="AX40" s="485"/>
      <c r="AY40" s="485"/>
      <c r="AZ40" s="485"/>
      <c r="BA40" s="485"/>
      <c r="BB40" s="485"/>
      <c r="BC40" s="485"/>
      <c r="BD40" s="485"/>
      <c r="BE40" s="485"/>
      <c r="BF40" s="485"/>
      <c r="BG40" s="485"/>
      <c r="BH40" s="485"/>
      <c r="BI40" s="485"/>
      <c r="BJ40" s="485"/>
      <c r="BK40" s="485"/>
      <c r="BL40" s="485"/>
      <c r="BM40" s="485"/>
      <c r="BN40" s="485"/>
      <c r="BO40" s="485"/>
      <c r="BP40" s="485"/>
      <c r="BQ40" s="485"/>
      <c r="BR40" s="485"/>
      <c r="BS40" s="485"/>
      <c r="BT40" s="485"/>
      <c r="BU40" s="485"/>
      <c r="BV40" s="485"/>
      <c r="BW40" s="485"/>
      <c r="BX40" s="485"/>
      <c r="BY40" s="485"/>
      <c r="BZ40" s="485"/>
      <c r="CA40" s="485"/>
      <c r="CB40" s="485"/>
      <c r="CC40" s="485"/>
      <c r="CD40" s="485"/>
      <c r="CE40" s="485"/>
      <c r="CF40" s="485"/>
      <c r="CG40" s="485"/>
      <c r="CH40" s="485"/>
      <c r="CI40" s="485"/>
      <c r="CJ40" s="485"/>
      <c r="CK40" s="485"/>
      <c r="CL40" s="485"/>
      <c r="CM40" s="485"/>
      <c r="CN40" s="485"/>
      <c r="CO40" s="485"/>
      <c r="CP40" s="485"/>
      <c r="CQ40" s="485"/>
      <c r="CR40" s="485"/>
      <c r="CS40" s="485"/>
      <c r="CT40" s="485"/>
      <c r="CU40" s="485"/>
      <c r="CV40" s="485"/>
      <c r="CW40" s="485"/>
      <c r="CX40" s="485"/>
      <c r="CY40" s="485"/>
      <c r="CZ40" s="485"/>
      <c r="DA40" s="485"/>
      <c r="DB40" s="485"/>
      <c r="DC40" s="485"/>
      <c r="DD40" s="485"/>
      <c r="DE40" s="485"/>
      <c r="DF40" s="485"/>
      <c r="DG40" s="485"/>
      <c r="DH40" s="485"/>
    </row>
    <row r="41" spans="1:112" s="484" customFormat="1" ht="45" customHeight="1" x14ac:dyDescent="0.2">
      <c r="A41" s="478" t="s">
        <v>552</v>
      </c>
      <c r="B41" s="481">
        <f t="shared" si="4"/>
        <v>17804</v>
      </c>
      <c r="C41" s="482">
        <v>1979</v>
      </c>
      <c r="D41" s="482">
        <v>1979</v>
      </c>
      <c r="E41" s="482">
        <v>1979</v>
      </c>
      <c r="F41" s="482">
        <v>11867</v>
      </c>
      <c r="G41" s="480" t="s">
        <v>553</v>
      </c>
      <c r="J41" s="485"/>
      <c r="K41" s="485"/>
      <c r="L41" s="485"/>
      <c r="M41" s="485"/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  <c r="Y41" s="485"/>
      <c r="Z41" s="485"/>
      <c r="AA41" s="485"/>
      <c r="AB41" s="485"/>
      <c r="AC41" s="485"/>
      <c r="AD41" s="485"/>
      <c r="AE41" s="485"/>
      <c r="AF41" s="485"/>
      <c r="AG41" s="485"/>
      <c r="AH41" s="485"/>
      <c r="AI41" s="485"/>
      <c r="AJ41" s="485"/>
      <c r="AK41" s="485"/>
      <c r="AL41" s="485"/>
      <c r="AM41" s="485"/>
      <c r="AN41" s="485"/>
      <c r="AO41" s="485"/>
      <c r="AP41" s="485"/>
      <c r="AQ41" s="485"/>
      <c r="AR41" s="485"/>
      <c r="AS41" s="485"/>
      <c r="AT41" s="485"/>
      <c r="AU41" s="485"/>
      <c r="AV41" s="485"/>
      <c r="AW41" s="485"/>
      <c r="AX41" s="485"/>
      <c r="AY41" s="485"/>
      <c r="AZ41" s="485"/>
      <c r="BA41" s="485"/>
      <c r="BB41" s="485"/>
      <c r="BC41" s="485"/>
      <c r="BD41" s="485"/>
      <c r="BE41" s="485"/>
      <c r="BF41" s="485"/>
      <c r="BG41" s="485"/>
      <c r="BH41" s="485"/>
      <c r="BI41" s="485"/>
      <c r="BJ41" s="485"/>
      <c r="BK41" s="485"/>
      <c r="BL41" s="485"/>
      <c r="BM41" s="485"/>
      <c r="BN41" s="485"/>
      <c r="BO41" s="485"/>
      <c r="BP41" s="485"/>
      <c r="BQ41" s="485"/>
      <c r="BR41" s="485"/>
      <c r="BS41" s="485"/>
      <c r="BT41" s="485"/>
      <c r="BU41" s="485"/>
      <c r="BV41" s="485"/>
      <c r="BW41" s="485"/>
      <c r="BX41" s="485"/>
      <c r="BY41" s="485"/>
      <c r="BZ41" s="485"/>
      <c r="CA41" s="485"/>
      <c r="CB41" s="485"/>
      <c r="CC41" s="485"/>
      <c r="CD41" s="485"/>
      <c r="CE41" s="485"/>
      <c r="CF41" s="485"/>
      <c r="CG41" s="485"/>
      <c r="CH41" s="485"/>
      <c r="CI41" s="485"/>
      <c r="CJ41" s="485"/>
      <c r="CK41" s="485"/>
      <c r="CL41" s="485"/>
      <c r="CM41" s="485"/>
      <c r="CN41" s="485"/>
      <c r="CO41" s="485"/>
      <c r="CP41" s="485"/>
      <c r="CQ41" s="485"/>
      <c r="CR41" s="485"/>
      <c r="CS41" s="485"/>
      <c r="CT41" s="485"/>
      <c r="CU41" s="485"/>
      <c r="CV41" s="485"/>
      <c r="CW41" s="485"/>
      <c r="CX41" s="485"/>
      <c r="CY41" s="485"/>
      <c r="CZ41" s="485"/>
      <c r="DA41" s="485"/>
      <c r="DB41" s="485"/>
      <c r="DC41" s="485"/>
      <c r="DD41" s="485"/>
      <c r="DE41" s="485"/>
      <c r="DF41" s="485"/>
      <c r="DG41" s="485"/>
      <c r="DH41" s="485"/>
    </row>
    <row r="42" spans="1:112" s="484" customFormat="1" ht="45" customHeight="1" x14ac:dyDescent="0.2">
      <c r="A42" s="478" t="s">
        <v>554</v>
      </c>
      <c r="B42" s="481">
        <f t="shared" si="4"/>
        <v>88923</v>
      </c>
      <c r="C42" s="482">
        <v>17785</v>
      </c>
      <c r="D42" s="482">
        <v>17785</v>
      </c>
      <c r="E42" s="482">
        <v>17785</v>
      </c>
      <c r="F42" s="482">
        <v>35568</v>
      </c>
      <c r="G42" s="480" t="s">
        <v>555</v>
      </c>
      <c r="J42" s="485"/>
      <c r="K42" s="485"/>
      <c r="L42" s="485"/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5"/>
      <c r="AD42" s="485"/>
      <c r="AE42" s="485"/>
      <c r="AF42" s="485"/>
      <c r="AG42" s="485"/>
      <c r="AH42" s="485"/>
      <c r="AI42" s="485"/>
      <c r="AJ42" s="485"/>
      <c r="AK42" s="485"/>
      <c r="AL42" s="485"/>
      <c r="AM42" s="485"/>
      <c r="AN42" s="485"/>
      <c r="AO42" s="485"/>
      <c r="AP42" s="485"/>
      <c r="AQ42" s="485"/>
      <c r="AR42" s="485"/>
      <c r="AS42" s="485"/>
      <c r="AT42" s="485"/>
      <c r="AU42" s="485"/>
      <c r="AV42" s="485"/>
      <c r="AW42" s="485"/>
      <c r="AX42" s="485"/>
      <c r="AY42" s="485"/>
      <c r="AZ42" s="485"/>
      <c r="BA42" s="485"/>
      <c r="BB42" s="485"/>
      <c r="BC42" s="485"/>
      <c r="BD42" s="485"/>
      <c r="BE42" s="485"/>
      <c r="BF42" s="485"/>
      <c r="BG42" s="485"/>
      <c r="BH42" s="485"/>
      <c r="BI42" s="485"/>
      <c r="BJ42" s="485"/>
      <c r="BK42" s="485"/>
      <c r="BL42" s="485"/>
      <c r="BM42" s="485"/>
      <c r="BN42" s="485"/>
      <c r="BO42" s="485"/>
      <c r="BP42" s="485"/>
      <c r="BQ42" s="485"/>
      <c r="BR42" s="485"/>
      <c r="BS42" s="485"/>
      <c r="BT42" s="485"/>
      <c r="BU42" s="485"/>
      <c r="BV42" s="485"/>
      <c r="BW42" s="485"/>
      <c r="BX42" s="485"/>
      <c r="BY42" s="485"/>
      <c r="BZ42" s="485"/>
      <c r="CA42" s="485"/>
      <c r="CB42" s="485"/>
      <c r="CC42" s="485"/>
      <c r="CD42" s="485"/>
      <c r="CE42" s="485"/>
      <c r="CF42" s="485"/>
      <c r="CG42" s="485"/>
      <c r="CH42" s="485"/>
      <c r="CI42" s="485"/>
      <c r="CJ42" s="485"/>
      <c r="CK42" s="485"/>
      <c r="CL42" s="485"/>
      <c r="CM42" s="485"/>
      <c r="CN42" s="485"/>
      <c r="CO42" s="485"/>
      <c r="CP42" s="485"/>
      <c r="CQ42" s="485"/>
      <c r="CR42" s="485"/>
      <c r="CS42" s="485"/>
      <c r="CT42" s="485"/>
      <c r="CU42" s="485"/>
      <c r="CV42" s="485"/>
      <c r="CW42" s="485"/>
      <c r="CX42" s="485"/>
      <c r="CY42" s="485"/>
      <c r="CZ42" s="485"/>
      <c r="DA42" s="485"/>
      <c r="DB42" s="485"/>
      <c r="DC42" s="485"/>
      <c r="DD42" s="485"/>
      <c r="DE42" s="485"/>
      <c r="DF42" s="485"/>
      <c r="DG42" s="485"/>
      <c r="DH42" s="485"/>
    </row>
    <row r="43" spans="1:112" s="384" customFormat="1" ht="67.5" customHeight="1" x14ac:dyDescent="0.2">
      <c r="A43" s="255" t="s">
        <v>276</v>
      </c>
      <c r="B43" s="481">
        <f t="shared" si="4"/>
        <v>44800</v>
      </c>
      <c r="C43" s="479">
        <v>5600</v>
      </c>
      <c r="D43" s="479">
        <v>5600</v>
      </c>
      <c r="E43" s="479">
        <v>5600</v>
      </c>
      <c r="F43" s="479">
        <v>28000</v>
      </c>
      <c r="G43" s="407" t="s">
        <v>556</v>
      </c>
    </row>
    <row r="44" spans="1:112" s="483" customFormat="1" ht="67.5" customHeight="1" x14ac:dyDescent="0.2">
      <c r="A44" s="255" t="s">
        <v>557</v>
      </c>
      <c r="B44" s="481">
        <f t="shared" si="4"/>
        <v>21600</v>
      </c>
      <c r="C44" s="479">
        <v>2400</v>
      </c>
      <c r="D44" s="479">
        <v>2400</v>
      </c>
      <c r="E44" s="479">
        <v>2400</v>
      </c>
      <c r="F44" s="479">
        <v>14400</v>
      </c>
      <c r="G44" s="407" t="s">
        <v>558</v>
      </c>
    </row>
    <row r="45" spans="1:112" s="384" customFormat="1" ht="109.5" customHeight="1" x14ac:dyDescent="0.2">
      <c r="A45" s="478" t="s">
        <v>279</v>
      </c>
      <c r="B45" s="481">
        <f t="shared" si="4"/>
        <v>280938</v>
      </c>
      <c r="C45" s="479">
        <v>31216</v>
      </c>
      <c r="D45" s="479">
        <v>31216</v>
      </c>
      <c r="E45" s="479">
        <v>31216</v>
      </c>
      <c r="F45" s="479">
        <v>187290</v>
      </c>
      <c r="G45" s="480" t="s">
        <v>559</v>
      </c>
    </row>
    <row r="46" spans="1:112" s="384" customFormat="1" ht="109.5" customHeight="1" x14ac:dyDescent="0.2">
      <c r="A46" s="478" t="s">
        <v>280</v>
      </c>
      <c r="B46" s="481">
        <f t="shared" si="4"/>
        <v>1341963</v>
      </c>
      <c r="C46" s="479">
        <v>149107</v>
      </c>
      <c r="D46" s="479">
        <v>149107</v>
      </c>
      <c r="E46" s="479">
        <v>149107</v>
      </c>
      <c r="F46" s="479">
        <v>894642</v>
      </c>
      <c r="G46" s="480" t="s">
        <v>559</v>
      </c>
    </row>
    <row r="47" spans="1:112" s="384" customFormat="1" ht="109.5" customHeight="1" x14ac:dyDescent="0.2">
      <c r="A47" s="478" t="s">
        <v>281</v>
      </c>
      <c r="B47" s="481">
        <f t="shared" si="4"/>
        <v>1045042</v>
      </c>
      <c r="C47" s="479">
        <v>116116</v>
      </c>
      <c r="D47" s="479">
        <v>116116</v>
      </c>
      <c r="E47" s="479">
        <v>116116</v>
      </c>
      <c r="F47" s="479">
        <v>696694</v>
      </c>
      <c r="G47" s="480" t="s">
        <v>559</v>
      </c>
    </row>
    <row r="48" spans="1:112" s="384" customFormat="1" ht="109.5" customHeight="1" x14ac:dyDescent="0.2">
      <c r="A48" s="478" t="s">
        <v>282</v>
      </c>
      <c r="B48" s="481">
        <f t="shared" si="4"/>
        <v>864637</v>
      </c>
      <c r="C48" s="479">
        <v>91015</v>
      </c>
      <c r="D48" s="479">
        <v>91015</v>
      </c>
      <c r="E48" s="479">
        <v>91015</v>
      </c>
      <c r="F48" s="479">
        <v>591592</v>
      </c>
      <c r="G48" s="480" t="s">
        <v>560</v>
      </c>
    </row>
    <row r="49" spans="1:112" s="384" customFormat="1" ht="109.5" customHeight="1" x14ac:dyDescent="0.2">
      <c r="A49" s="478" t="s">
        <v>287</v>
      </c>
      <c r="B49" s="481">
        <f t="shared" si="4"/>
        <v>519828</v>
      </c>
      <c r="C49" s="479">
        <v>54719</v>
      </c>
      <c r="D49" s="479">
        <v>54719</v>
      </c>
      <c r="E49" s="479">
        <v>54719</v>
      </c>
      <c r="F49" s="479">
        <v>355671</v>
      </c>
      <c r="G49" s="408" t="s">
        <v>560</v>
      </c>
    </row>
    <row r="50" spans="1:112" s="384" customFormat="1" ht="109.5" customHeight="1" x14ac:dyDescent="0.2">
      <c r="A50" s="478" t="s">
        <v>285</v>
      </c>
      <c r="B50" s="481">
        <f t="shared" si="4"/>
        <v>1250022</v>
      </c>
      <c r="C50" s="479">
        <v>131582</v>
      </c>
      <c r="D50" s="479">
        <v>131582</v>
      </c>
      <c r="E50" s="479">
        <v>131582</v>
      </c>
      <c r="F50" s="479">
        <v>855276</v>
      </c>
      <c r="G50" s="408" t="s">
        <v>560</v>
      </c>
    </row>
    <row r="51" spans="1:112" s="384" customFormat="1" ht="130.5" customHeight="1" x14ac:dyDescent="0.2">
      <c r="A51" s="478" t="s">
        <v>283</v>
      </c>
      <c r="B51" s="481">
        <f t="shared" si="4"/>
        <v>1146080</v>
      </c>
      <c r="C51" s="479">
        <v>118560</v>
      </c>
      <c r="D51" s="479">
        <v>118560</v>
      </c>
      <c r="E51" s="479">
        <v>118560</v>
      </c>
      <c r="F51" s="479">
        <v>790400</v>
      </c>
      <c r="G51" s="408" t="s">
        <v>561</v>
      </c>
    </row>
    <row r="52" spans="1:112" s="384" customFormat="1" ht="109.5" customHeight="1" x14ac:dyDescent="0.2">
      <c r="A52" s="478" t="s">
        <v>284</v>
      </c>
      <c r="B52" s="481">
        <f t="shared" si="4"/>
        <v>334263</v>
      </c>
      <c r="C52" s="479">
        <v>37140</v>
      </c>
      <c r="D52" s="479">
        <v>37140</v>
      </c>
      <c r="E52" s="479">
        <v>37140</v>
      </c>
      <c r="F52" s="479">
        <v>222843</v>
      </c>
      <c r="G52" s="408" t="s">
        <v>562</v>
      </c>
    </row>
    <row r="53" spans="1:112" s="384" customFormat="1" ht="109.5" customHeight="1" x14ac:dyDescent="0.2">
      <c r="A53" s="478" t="s">
        <v>288</v>
      </c>
      <c r="B53" s="481">
        <f t="shared" si="4"/>
        <v>621191</v>
      </c>
      <c r="C53" s="479">
        <v>69022</v>
      </c>
      <c r="D53" s="479">
        <v>69022</v>
      </c>
      <c r="E53" s="479">
        <v>69022</v>
      </c>
      <c r="F53" s="479">
        <v>414125</v>
      </c>
      <c r="G53" s="408" t="s">
        <v>562</v>
      </c>
    </row>
    <row r="54" spans="1:112" s="384" customFormat="1" ht="109.5" customHeight="1" x14ac:dyDescent="0.2">
      <c r="A54" s="478" t="s">
        <v>286</v>
      </c>
      <c r="B54" s="481">
        <f t="shared" si="4"/>
        <v>512091</v>
      </c>
      <c r="C54" s="479">
        <v>56899</v>
      </c>
      <c r="D54" s="479">
        <v>56899</v>
      </c>
      <c r="E54" s="479">
        <v>56899</v>
      </c>
      <c r="F54" s="479">
        <v>341394</v>
      </c>
      <c r="G54" s="408" t="s">
        <v>562</v>
      </c>
    </row>
    <row r="55" spans="1:112" s="384" customFormat="1" ht="99" customHeight="1" thickBot="1" x14ac:dyDescent="0.25">
      <c r="A55" s="475" t="s">
        <v>563</v>
      </c>
      <c r="B55" s="413">
        <f t="shared" si="4"/>
        <v>748786</v>
      </c>
      <c r="C55" s="486">
        <v>78820</v>
      </c>
      <c r="D55" s="486">
        <v>78820</v>
      </c>
      <c r="E55" s="486">
        <v>78820</v>
      </c>
      <c r="F55" s="486">
        <v>512326</v>
      </c>
      <c r="G55" s="487" t="s">
        <v>564</v>
      </c>
    </row>
    <row r="56" spans="1:112" s="254" customFormat="1" ht="24" customHeight="1" thickBot="1" x14ac:dyDescent="0.25">
      <c r="A56" s="265" t="s">
        <v>212</v>
      </c>
      <c r="B56" s="259">
        <f>SUM(B26:B55)</f>
        <v>17404505</v>
      </c>
      <c r="C56" s="259">
        <f>SUM(C26:C55)</f>
        <v>2160636</v>
      </c>
      <c r="D56" s="259">
        <f>SUM(D26:D55)</f>
        <v>2348520</v>
      </c>
      <c r="E56" s="259">
        <f>SUM(E26:E55)</f>
        <v>2348520</v>
      </c>
      <c r="F56" s="259">
        <f>SUM(F26:F55)</f>
        <v>10546829</v>
      </c>
      <c r="G56" s="260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4"/>
      <c r="AJ56" s="384"/>
      <c r="AK56" s="384"/>
      <c r="AL56" s="384"/>
      <c r="AM56" s="384"/>
      <c r="AN56" s="384"/>
      <c r="AO56" s="384"/>
      <c r="AP56" s="384"/>
      <c r="AQ56" s="384"/>
      <c r="AR56" s="384"/>
      <c r="AS56" s="384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384"/>
      <c r="BT56" s="384"/>
      <c r="BU56" s="384"/>
      <c r="BV56" s="384"/>
      <c r="BW56" s="384"/>
      <c r="BX56" s="384"/>
      <c r="BY56" s="384"/>
      <c r="BZ56" s="384"/>
      <c r="CA56" s="384"/>
      <c r="CB56" s="384"/>
      <c r="CC56" s="384"/>
      <c r="CD56" s="384"/>
      <c r="CE56" s="384"/>
      <c r="CF56" s="384"/>
      <c r="CG56" s="384"/>
      <c r="CH56" s="384"/>
      <c r="CI56" s="384"/>
      <c r="CJ56" s="384"/>
      <c r="CK56" s="384"/>
      <c r="CL56" s="384"/>
      <c r="CM56" s="384"/>
      <c r="CN56" s="384"/>
      <c r="CO56" s="384"/>
      <c r="CP56" s="384"/>
      <c r="CQ56" s="384"/>
      <c r="CR56" s="384"/>
      <c r="CS56" s="384"/>
      <c r="CT56" s="384"/>
      <c r="CU56" s="384"/>
      <c r="CV56" s="384"/>
      <c r="CW56" s="384"/>
      <c r="CX56" s="384"/>
      <c r="CY56" s="384"/>
      <c r="CZ56" s="384"/>
      <c r="DA56" s="384"/>
      <c r="DB56" s="384"/>
      <c r="DC56" s="384"/>
      <c r="DD56" s="384"/>
      <c r="DE56" s="384"/>
      <c r="DF56" s="384"/>
      <c r="DG56" s="384"/>
      <c r="DH56" s="384"/>
    </row>
    <row r="57" spans="1:112" s="254" customFormat="1" ht="18" customHeight="1" x14ac:dyDescent="0.2">
      <c r="A57" s="605" t="s">
        <v>213</v>
      </c>
      <c r="B57" s="606"/>
      <c r="C57" s="606"/>
      <c r="D57" s="606"/>
      <c r="E57" s="606"/>
      <c r="F57" s="606"/>
      <c r="G57" s="607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  <c r="BP57" s="384"/>
      <c r="BQ57" s="384"/>
      <c r="BR57" s="384"/>
      <c r="BS57" s="384"/>
      <c r="BT57" s="384"/>
      <c r="BU57" s="384"/>
      <c r="BV57" s="384"/>
      <c r="BW57" s="384"/>
      <c r="BX57" s="384"/>
      <c r="BY57" s="384"/>
      <c r="BZ57" s="384"/>
      <c r="CA57" s="384"/>
      <c r="CB57" s="384"/>
      <c r="CC57" s="384"/>
      <c r="CD57" s="384"/>
      <c r="CE57" s="384"/>
      <c r="CF57" s="384"/>
      <c r="CG57" s="384"/>
      <c r="CH57" s="384"/>
      <c r="CI57" s="384"/>
      <c r="CJ57" s="384"/>
      <c r="CK57" s="384"/>
      <c r="CL57" s="384"/>
      <c r="CM57" s="384"/>
      <c r="CN57" s="384"/>
      <c r="CO57" s="384"/>
      <c r="CP57" s="384"/>
      <c r="CQ57" s="384"/>
      <c r="CR57" s="384"/>
      <c r="CS57" s="384"/>
      <c r="CT57" s="384"/>
      <c r="CU57" s="384"/>
      <c r="CV57" s="384"/>
      <c r="CW57" s="384"/>
      <c r="CX57" s="384"/>
      <c r="CY57" s="384"/>
      <c r="CZ57" s="384"/>
      <c r="DA57" s="384"/>
      <c r="DB57" s="384"/>
      <c r="DC57" s="384"/>
      <c r="DD57" s="384"/>
      <c r="DE57" s="384"/>
      <c r="DF57" s="384"/>
      <c r="DG57" s="384"/>
      <c r="DH57" s="384"/>
    </row>
    <row r="58" spans="1:112" s="384" customFormat="1" ht="34.5" customHeight="1" x14ac:dyDescent="0.2">
      <c r="A58" s="478" t="s">
        <v>565</v>
      </c>
      <c r="B58" s="288">
        <f>C58+D58+E58+F58</f>
        <v>43.56</v>
      </c>
      <c r="C58" s="288">
        <v>14.52</v>
      </c>
      <c r="D58" s="288">
        <v>14.52</v>
      </c>
      <c r="E58" s="288">
        <v>14.52</v>
      </c>
      <c r="F58" s="257">
        <v>0</v>
      </c>
      <c r="G58" s="407" t="s">
        <v>566</v>
      </c>
    </row>
    <row r="59" spans="1:112" s="384" customFormat="1" ht="35.25" customHeight="1" thickBot="1" x14ac:dyDescent="0.25">
      <c r="A59" s="475" t="s">
        <v>567</v>
      </c>
      <c r="B59" s="288">
        <f>C59+D59+E59+F59</f>
        <v>127.05000000000001</v>
      </c>
      <c r="C59" s="411">
        <v>42.35</v>
      </c>
      <c r="D59" s="411">
        <v>42.35</v>
      </c>
      <c r="E59" s="411">
        <v>42.35</v>
      </c>
      <c r="F59" s="412">
        <v>0</v>
      </c>
      <c r="G59" s="414" t="s">
        <v>568</v>
      </c>
    </row>
    <row r="60" spans="1:112" s="254" customFormat="1" ht="15.75" customHeight="1" thickBot="1" x14ac:dyDescent="0.25">
      <c r="A60" s="265" t="s">
        <v>214</v>
      </c>
      <c r="B60" s="273">
        <f>SUM(B58:B59)</f>
        <v>170.61</v>
      </c>
      <c r="C60" s="273">
        <f t="shared" ref="C60:F60" si="5">SUM(C58:C59)</f>
        <v>56.870000000000005</v>
      </c>
      <c r="D60" s="273">
        <f t="shared" si="5"/>
        <v>56.870000000000005</v>
      </c>
      <c r="E60" s="273">
        <f t="shared" si="5"/>
        <v>56.870000000000005</v>
      </c>
      <c r="F60" s="273">
        <f t="shared" si="5"/>
        <v>0</v>
      </c>
      <c r="G60" s="260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84"/>
      <c r="AP60" s="384"/>
      <c r="AQ60" s="384"/>
      <c r="AR60" s="384"/>
      <c r="AS60" s="384"/>
      <c r="AT60" s="384"/>
      <c r="AU60" s="384"/>
      <c r="AV60" s="384"/>
      <c r="AW60" s="384"/>
      <c r="AX60" s="384"/>
      <c r="AY60" s="384"/>
      <c r="AZ60" s="384"/>
      <c r="BA60" s="384"/>
      <c r="BB60" s="384"/>
      <c r="BC60" s="384"/>
      <c r="BD60" s="384"/>
      <c r="BE60" s="384"/>
      <c r="BF60" s="384"/>
      <c r="BG60" s="384"/>
      <c r="BH60" s="384"/>
      <c r="BI60" s="384"/>
      <c r="BJ60" s="384"/>
      <c r="BK60" s="384"/>
      <c r="BL60" s="384"/>
      <c r="BM60" s="384"/>
      <c r="BN60" s="384"/>
      <c r="BO60" s="384"/>
      <c r="BP60" s="384"/>
      <c r="BQ60" s="384"/>
      <c r="BR60" s="384"/>
      <c r="BS60" s="384"/>
      <c r="BT60" s="384"/>
      <c r="BU60" s="384"/>
      <c r="BV60" s="384"/>
      <c r="BW60" s="384"/>
      <c r="BX60" s="384"/>
      <c r="BY60" s="384"/>
      <c r="BZ60" s="384"/>
      <c r="CA60" s="384"/>
      <c r="CB60" s="384"/>
      <c r="CC60" s="384"/>
      <c r="CD60" s="384"/>
      <c r="CE60" s="384"/>
      <c r="CF60" s="384"/>
      <c r="CG60" s="384"/>
      <c r="CH60" s="384"/>
      <c r="CI60" s="384"/>
      <c r="CJ60" s="384"/>
      <c r="CK60" s="384"/>
      <c r="CL60" s="384"/>
      <c r="CM60" s="384"/>
      <c r="CN60" s="384"/>
      <c r="CO60" s="384"/>
      <c r="CP60" s="384"/>
      <c r="CQ60" s="384"/>
      <c r="CR60" s="384"/>
      <c r="CS60" s="384"/>
      <c r="CT60" s="384"/>
      <c r="CU60" s="384"/>
      <c r="CV60" s="384"/>
      <c r="CW60" s="384"/>
      <c r="CX60" s="384"/>
      <c r="CY60" s="384"/>
      <c r="CZ60" s="384"/>
      <c r="DA60" s="384"/>
      <c r="DB60" s="384"/>
      <c r="DC60" s="384"/>
      <c r="DD60" s="384"/>
      <c r="DE60" s="384"/>
      <c r="DF60" s="384"/>
      <c r="DG60" s="384"/>
      <c r="DH60" s="384"/>
    </row>
    <row r="61" spans="1:112" s="254" customFormat="1" ht="15.75" customHeight="1" x14ac:dyDescent="0.2">
      <c r="A61" s="277" t="s">
        <v>150</v>
      </c>
      <c r="B61" s="278"/>
      <c r="C61" s="278"/>
      <c r="D61" s="278"/>
      <c r="E61" s="278"/>
      <c r="F61" s="278"/>
      <c r="G61" s="279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4"/>
      <c r="AL61" s="384"/>
      <c r="AM61" s="384"/>
      <c r="AN61" s="384"/>
      <c r="AO61" s="384"/>
      <c r="AP61" s="384"/>
      <c r="AQ61" s="384"/>
      <c r="AR61" s="384"/>
      <c r="AS61" s="384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4"/>
      <c r="BM61" s="384"/>
      <c r="BN61" s="384"/>
      <c r="BO61" s="384"/>
      <c r="BP61" s="384"/>
      <c r="BQ61" s="384"/>
      <c r="BR61" s="384"/>
      <c r="BS61" s="384"/>
      <c r="BT61" s="384"/>
      <c r="BU61" s="384"/>
      <c r="BV61" s="384"/>
      <c r="BW61" s="384"/>
      <c r="BX61" s="384"/>
      <c r="BY61" s="384"/>
      <c r="BZ61" s="384"/>
      <c r="CA61" s="384"/>
      <c r="CB61" s="384"/>
      <c r="CC61" s="384"/>
      <c r="CD61" s="384"/>
      <c r="CE61" s="384"/>
      <c r="CF61" s="384"/>
      <c r="CG61" s="384"/>
      <c r="CH61" s="384"/>
      <c r="CI61" s="384"/>
      <c r="CJ61" s="384"/>
      <c r="CK61" s="384"/>
      <c r="CL61" s="384"/>
      <c r="CM61" s="384"/>
      <c r="CN61" s="384"/>
      <c r="CO61" s="384"/>
      <c r="CP61" s="384"/>
      <c r="CQ61" s="384"/>
      <c r="CR61" s="384"/>
      <c r="CS61" s="384"/>
      <c r="CT61" s="384"/>
      <c r="CU61" s="384"/>
      <c r="CV61" s="384"/>
      <c r="CW61" s="384"/>
      <c r="CX61" s="384"/>
      <c r="CY61" s="384"/>
      <c r="CZ61" s="384"/>
      <c r="DA61" s="384"/>
      <c r="DB61" s="384"/>
      <c r="DC61" s="384"/>
      <c r="DD61" s="384"/>
      <c r="DE61" s="384"/>
      <c r="DF61" s="384"/>
      <c r="DG61" s="384"/>
      <c r="DH61" s="384"/>
    </row>
    <row r="62" spans="1:112" s="254" customFormat="1" ht="68.25" customHeight="1" thickBot="1" x14ac:dyDescent="0.25">
      <c r="A62" s="510" t="s">
        <v>586</v>
      </c>
      <c r="B62" s="511">
        <f t="shared" ref="B62" si="6">C62+D62+E62+F62</f>
        <v>300000</v>
      </c>
      <c r="C62" s="482">
        <v>0</v>
      </c>
      <c r="D62" s="499">
        <v>150000</v>
      </c>
      <c r="E62" s="499">
        <v>150000</v>
      </c>
      <c r="F62" s="499">
        <v>0</v>
      </c>
      <c r="G62" s="458" t="s">
        <v>587</v>
      </c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84"/>
      <c r="AG62" s="384"/>
      <c r="AH62" s="384"/>
      <c r="AI62" s="384"/>
      <c r="AJ62" s="384"/>
      <c r="AK62" s="384"/>
      <c r="AL62" s="384"/>
      <c r="AM62" s="384"/>
      <c r="AN62" s="384"/>
      <c r="AO62" s="384"/>
      <c r="AP62" s="384"/>
      <c r="AQ62" s="384"/>
      <c r="AR62" s="384"/>
      <c r="AS62" s="384"/>
      <c r="AT62" s="384"/>
      <c r="AU62" s="384"/>
      <c r="AV62" s="384"/>
      <c r="AW62" s="384"/>
      <c r="AX62" s="384"/>
      <c r="AY62" s="384"/>
      <c r="AZ62" s="384"/>
      <c r="BA62" s="384"/>
      <c r="BB62" s="384"/>
      <c r="BC62" s="384"/>
      <c r="BD62" s="384"/>
      <c r="BE62" s="384"/>
      <c r="BF62" s="384"/>
      <c r="BG62" s="384"/>
      <c r="BH62" s="384"/>
      <c r="BI62" s="384"/>
      <c r="BJ62" s="384"/>
      <c r="BK62" s="384"/>
      <c r="BL62" s="384"/>
      <c r="BM62" s="384"/>
      <c r="BN62" s="384"/>
      <c r="BO62" s="384"/>
      <c r="BP62" s="384"/>
      <c r="BQ62" s="384"/>
      <c r="BR62" s="384"/>
      <c r="BS62" s="384"/>
      <c r="BT62" s="384"/>
      <c r="BU62" s="384"/>
      <c r="BV62" s="384"/>
      <c r="BW62" s="384"/>
      <c r="BX62" s="384"/>
      <c r="BY62" s="384"/>
      <c r="BZ62" s="384"/>
      <c r="CA62" s="384"/>
      <c r="CB62" s="384"/>
      <c r="CC62" s="384"/>
      <c r="CD62" s="384"/>
      <c r="CE62" s="384"/>
      <c r="CF62" s="384"/>
      <c r="CG62" s="384"/>
      <c r="CH62" s="384"/>
      <c r="CI62" s="384"/>
      <c r="CJ62" s="384"/>
      <c r="CK62" s="384"/>
      <c r="CL62" s="384"/>
      <c r="CM62" s="384"/>
      <c r="CN62" s="384"/>
      <c r="CO62" s="384"/>
      <c r="CP62" s="384"/>
      <c r="CQ62" s="384"/>
      <c r="CR62" s="384"/>
      <c r="CS62" s="384"/>
      <c r="CT62" s="384"/>
      <c r="CU62" s="384"/>
      <c r="CV62" s="384"/>
      <c r="CW62" s="384"/>
      <c r="CX62" s="384"/>
      <c r="CY62" s="384"/>
      <c r="CZ62" s="384"/>
      <c r="DA62" s="384"/>
      <c r="DB62" s="384"/>
      <c r="DC62" s="384"/>
      <c r="DD62" s="384"/>
      <c r="DE62" s="384"/>
      <c r="DF62" s="384"/>
      <c r="DG62" s="384"/>
      <c r="DH62" s="384"/>
    </row>
    <row r="63" spans="1:112" s="254" customFormat="1" ht="15.75" customHeight="1" thickBot="1" x14ac:dyDescent="0.25">
      <c r="A63" s="265" t="s">
        <v>159</v>
      </c>
      <c r="B63" s="259">
        <f>SUM(B62:B62)</f>
        <v>300000</v>
      </c>
      <c r="C63" s="259">
        <f>SUM(C62:C62)</f>
        <v>0</v>
      </c>
      <c r="D63" s="259">
        <f>SUM(D62:D62)</f>
        <v>150000</v>
      </c>
      <c r="E63" s="259">
        <f>SUM(E62:E62)</f>
        <v>150000</v>
      </c>
      <c r="F63" s="259">
        <f>SUM(F62:F62)</f>
        <v>0</v>
      </c>
      <c r="G63" s="260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84"/>
      <c r="AG63" s="384"/>
      <c r="AH63" s="384"/>
      <c r="AI63" s="384"/>
      <c r="AJ63" s="384"/>
      <c r="AK63" s="384"/>
      <c r="AL63" s="384"/>
      <c r="AM63" s="384"/>
      <c r="AN63" s="384"/>
      <c r="AO63" s="384"/>
      <c r="AP63" s="384"/>
      <c r="AQ63" s="384"/>
      <c r="AR63" s="384"/>
      <c r="AS63" s="384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4"/>
      <c r="BM63" s="384"/>
      <c r="BN63" s="384"/>
      <c r="BO63" s="384"/>
      <c r="BP63" s="384"/>
      <c r="BQ63" s="384"/>
      <c r="BR63" s="384"/>
      <c r="BS63" s="384"/>
      <c r="BT63" s="384"/>
      <c r="BU63" s="384"/>
      <c r="BV63" s="384"/>
      <c r="BW63" s="384"/>
      <c r="BX63" s="384"/>
      <c r="BY63" s="384"/>
      <c r="BZ63" s="384"/>
      <c r="CA63" s="384"/>
      <c r="CB63" s="384"/>
      <c r="CC63" s="384"/>
      <c r="CD63" s="384"/>
      <c r="CE63" s="384"/>
      <c r="CF63" s="384"/>
      <c r="CG63" s="384"/>
      <c r="CH63" s="384"/>
      <c r="CI63" s="384"/>
      <c r="CJ63" s="384"/>
      <c r="CK63" s="384"/>
      <c r="CL63" s="384"/>
      <c r="CM63" s="384"/>
      <c r="CN63" s="384"/>
      <c r="CO63" s="384"/>
      <c r="CP63" s="384"/>
      <c r="CQ63" s="384"/>
      <c r="CR63" s="384"/>
      <c r="CS63" s="384"/>
      <c r="CT63" s="384"/>
      <c r="CU63" s="384"/>
      <c r="CV63" s="384"/>
      <c r="CW63" s="384"/>
      <c r="CX63" s="384"/>
      <c r="CY63" s="384"/>
      <c r="CZ63" s="384"/>
      <c r="DA63" s="384"/>
      <c r="DB63" s="384"/>
      <c r="DC63" s="384"/>
      <c r="DD63" s="384"/>
      <c r="DE63" s="384"/>
      <c r="DF63" s="384"/>
      <c r="DG63" s="384"/>
      <c r="DH63" s="384"/>
    </row>
    <row r="64" spans="1:112" s="254" customFormat="1" ht="18" customHeight="1" x14ac:dyDescent="0.2">
      <c r="A64" s="605" t="s">
        <v>164</v>
      </c>
      <c r="B64" s="606"/>
      <c r="C64" s="606"/>
      <c r="D64" s="606"/>
      <c r="E64" s="606"/>
      <c r="F64" s="606"/>
      <c r="G64" s="607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</row>
    <row r="65" spans="1:112" s="384" customFormat="1" ht="54.75" customHeight="1" x14ac:dyDescent="0.2">
      <c r="A65" s="478" t="s">
        <v>306</v>
      </c>
      <c r="B65" s="288">
        <f>C65+D65+E65+F65</f>
        <v>15000</v>
      </c>
      <c r="C65" s="288">
        <v>5000</v>
      </c>
      <c r="D65" s="288">
        <v>5000</v>
      </c>
      <c r="E65" s="261">
        <v>5000</v>
      </c>
      <c r="F65" s="257">
        <v>0</v>
      </c>
      <c r="G65" s="407" t="s">
        <v>569</v>
      </c>
    </row>
    <row r="66" spans="1:112" s="384" customFormat="1" ht="54.75" customHeight="1" x14ac:dyDescent="0.2">
      <c r="A66" s="478" t="s">
        <v>307</v>
      </c>
      <c r="B66" s="288">
        <f t="shared" ref="B66:B70" si="7">C66+D66+E66+F66</f>
        <v>297</v>
      </c>
      <c r="C66" s="288">
        <v>99</v>
      </c>
      <c r="D66" s="288">
        <v>99</v>
      </c>
      <c r="E66" s="288">
        <v>99</v>
      </c>
      <c r="F66" s="257">
        <v>0</v>
      </c>
      <c r="G66" s="407" t="s">
        <v>601</v>
      </c>
    </row>
    <row r="67" spans="1:112" s="384" customFormat="1" ht="79.5" customHeight="1" x14ac:dyDescent="0.2">
      <c r="A67" s="478" t="s">
        <v>305</v>
      </c>
      <c r="B67" s="288">
        <f t="shared" si="7"/>
        <v>2592</v>
      </c>
      <c r="C67" s="288">
        <v>864</v>
      </c>
      <c r="D67" s="288">
        <v>864</v>
      </c>
      <c r="E67" s="288">
        <v>864</v>
      </c>
      <c r="F67" s="257">
        <v>0</v>
      </c>
      <c r="G67" s="407" t="s">
        <v>570</v>
      </c>
    </row>
    <row r="68" spans="1:112" s="384" customFormat="1" ht="79.5" customHeight="1" x14ac:dyDescent="0.2">
      <c r="A68" s="478" t="s">
        <v>571</v>
      </c>
      <c r="B68" s="288">
        <f t="shared" si="7"/>
        <v>2543</v>
      </c>
      <c r="C68" s="288">
        <v>2543</v>
      </c>
      <c r="D68" s="288">
        <v>0</v>
      </c>
      <c r="E68" s="288">
        <v>0</v>
      </c>
      <c r="F68" s="257">
        <v>0</v>
      </c>
      <c r="G68" s="407" t="s">
        <v>572</v>
      </c>
    </row>
    <row r="69" spans="1:112" s="384" customFormat="1" ht="89.25" customHeight="1" x14ac:dyDescent="0.15">
      <c r="A69" s="478" t="s">
        <v>573</v>
      </c>
      <c r="B69" s="288">
        <f t="shared" si="7"/>
        <v>10502</v>
      </c>
      <c r="C69" s="261">
        <v>7485</v>
      </c>
      <c r="D69" s="261">
        <v>3017</v>
      </c>
      <c r="E69" s="261">
        <v>0</v>
      </c>
      <c r="F69" s="257">
        <v>0</v>
      </c>
      <c r="G69" s="407" t="s">
        <v>574</v>
      </c>
      <c r="J69" s="488"/>
    </row>
    <row r="70" spans="1:112" s="384" customFormat="1" ht="90" customHeight="1" thickBot="1" x14ac:dyDescent="0.25">
      <c r="A70" s="489" t="s">
        <v>575</v>
      </c>
      <c r="B70" s="288">
        <f t="shared" si="7"/>
        <v>20000</v>
      </c>
      <c r="C70" s="261">
        <v>10000</v>
      </c>
      <c r="D70" s="261">
        <v>10000</v>
      </c>
      <c r="E70" s="261">
        <v>0</v>
      </c>
      <c r="F70" s="257">
        <v>0</v>
      </c>
      <c r="G70" s="407" t="s">
        <v>576</v>
      </c>
    </row>
    <row r="71" spans="1:112" s="254" customFormat="1" ht="15.75" customHeight="1" thickBot="1" x14ac:dyDescent="0.25">
      <c r="A71" s="265" t="s">
        <v>166</v>
      </c>
      <c r="B71" s="273">
        <f>SUM(B65:B70)</f>
        <v>50934</v>
      </c>
      <c r="C71" s="273">
        <f>SUM(C65:C70)</f>
        <v>25991</v>
      </c>
      <c r="D71" s="273">
        <f>SUM(D65:D70)</f>
        <v>18980</v>
      </c>
      <c r="E71" s="273">
        <f>SUM(E65:E70)</f>
        <v>5963</v>
      </c>
      <c r="F71" s="273">
        <f>SUM(F65:F70)</f>
        <v>0</v>
      </c>
      <c r="G71" s="260"/>
      <c r="J71" s="384"/>
      <c r="K71" s="384"/>
      <c r="L71" s="384"/>
      <c r="M71" s="384"/>
      <c r="N71" s="384"/>
      <c r="O71" s="384"/>
      <c r="P71" s="384"/>
      <c r="Q71" s="384"/>
      <c r="R71" s="384"/>
      <c r="S71" s="384"/>
      <c r="T71" s="384"/>
      <c r="U71" s="384"/>
      <c r="V71" s="384"/>
      <c r="W71" s="384"/>
      <c r="X71" s="384"/>
      <c r="Y71" s="384"/>
      <c r="Z71" s="384"/>
      <c r="AA71" s="384"/>
      <c r="AB71" s="384"/>
      <c r="AC71" s="384"/>
      <c r="AD71" s="384"/>
      <c r="AE71" s="384"/>
      <c r="AF71" s="384"/>
      <c r="AG71" s="384"/>
      <c r="AH71" s="384"/>
      <c r="AI71" s="384"/>
      <c r="AJ71" s="384"/>
      <c r="AK71" s="384"/>
      <c r="AL71" s="384"/>
      <c r="AM71" s="384"/>
      <c r="AN71" s="384"/>
      <c r="AO71" s="384"/>
      <c r="AP71" s="384"/>
      <c r="AQ71" s="384"/>
      <c r="AR71" s="384"/>
      <c r="AS71" s="384"/>
      <c r="AT71" s="384"/>
      <c r="AU71" s="384"/>
      <c r="AV71" s="384"/>
      <c r="AW71" s="384"/>
      <c r="AX71" s="384"/>
      <c r="AY71" s="384"/>
      <c r="AZ71" s="384"/>
      <c r="BA71" s="384"/>
      <c r="BB71" s="384"/>
      <c r="BC71" s="384"/>
      <c r="BD71" s="384"/>
      <c r="BE71" s="384"/>
      <c r="BF71" s="384"/>
      <c r="BG71" s="384"/>
      <c r="BH71" s="384"/>
      <c r="BI71" s="384"/>
      <c r="BJ71" s="384"/>
      <c r="BK71" s="384"/>
      <c r="BL71" s="384"/>
      <c r="BM71" s="384"/>
      <c r="BN71" s="384"/>
      <c r="BO71" s="384"/>
      <c r="BP71" s="384"/>
      <c r="BQ71" s="384"/>
      <c r="BR71" s="384"/>
      <c r="BS71" s="384"/>
      <c r="BT71" s="384"/>
      <c r="BU71" s="384"/>
      <c r="BV71" s="384"/>
      <c r="BW71" s="384"/>
      <c r="BX71" s="384"/>
      <c r="BY71" s="384"/>
      <c r="BZ71" s="384"/>
      <c r="CA71" s="384"/>
      <c r="CB71" s="384"/>
      <c r="CC71" s="384"/>
      <c r="CD71" s="384"/>
      <c r="CE71" s="384"/>
      <c r="CF71" s="384"/>
      <c r="CG71" s="384"/>
      <c r="CH71" s="384"/>
      <c r="CI71" s="384"/>
      <c r="CJ71" s="384"/>
      <c r="CK71" s="384"/>
      <c r="CL71" s="384"/>
      <c r="CM71" s="384"/>
      <c r="CN71" s="384"/>
      <c r="CO71" s="384"/>
      <c r="CP71" s="384"/>
      <c r="CQ71" s="384"/>
      <c r="CR71" s="384"/>
      <c r="CS71" s="384"/>
      <c r="CT71" s="384"/>
      <c r="CU71" s="384"/>
      <c r="CV71" s="384"/>
      <c r="CW71" s="384"/>
      <c r="CX71" s="384"/>
      <c r="CY71" s="384"/>
      <c r="CZ71" s="384"/>
      <c r="DA71" s="384"/>
      <c r="DB71" s="384"/>
      <c r="DC71" s="384"/>
      <c r="DD71" s="384"/>
      <c r="DE71" s="384"/>
      <c r="DF71" s="384"/>
      <c r="DG71" s="384"/>
      <c r="DH71" s="384"/>
    </row>
    <row r="72" spans="1:112" s="254" customFormat="1" ht="18" customHeight="1" x14ac:dyDescent="0.2">
      <c r="A72" s="490" t="s">
        <v>160</v>
      </c>
      <c r="B72" s="491"/>
      <c r="C72" s="491"/>
      <c r="D72" s="491"/>
      <c r="E72" s="491"/>
      <c r="F72" s="491"/>
      <c r="G72" s="492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84"/>
      <c r="BA72" s="384"/>
      <c r="BB72" s="384"/>
      <c r="BC72" s="384"/>
      <c r="BD72" s="384"/>
      <c r="BE72" s="384"/>
      <c r="BF72" s="384"/>
      <c r="BG72" s="384"/>
      <c r="BH72" s="384"/>
      <c r="BI72" s="384"/>
      <c r="BJ72" s="384"/>
      <c r="BK72" s="384"/>
      <c r="BL72" s="384"/>
      <c r="BM72" s="384"/>
      <c r="BN72" s="384"/>
      <c r="BO72" s="384"/>
      <c r="BP72" s="384"/>
      <c r="BQ72" s="384"/>
      <c r="BR72" s="384"/>
      <c r="BS72" s="384"/>
      <c r="BT72" s="384"/>
      <c r="BU72" s="384"/>
      <c r="BV72" s="384"/>
      <c r="BW72" s="384"/>
      <c r="BX72" s="384"/>
      <c r="BY72" s="384"/>
      <c r="BZ72" s="384"/>
      <c r="CA72" s="384"/>
      <c r="CB72" s="384"/>
      <c r="CC72" s="384"/>
      <c r="CD72" s="384"/>
      <c r="CE72" s="384"/>
      <c r="CF72" s="384"/>
      <c r="CG72" s="384"/>
      <c r="CH72" s="384"/>
      <c r="CI72" s="384"/>
      <c r="CJ72" s="384"/>
      <c r="CK72" s="384"/>
      <c r="CL72" s="384"/>
      <c r="CM72" s="384"/>
      <c r="CN72" s="384"/>
      <c r="CO72" s="384"/>
      <c r="CP72" s="384"/>
      <c r="CQ72" s="384"/>
      <c r="CR72" s="384"/>
      <c r="CS72" s="384"/>
      <c r="CT72" s="384"/>
      <c r="CU72" s="384"/>
      <c r="CV72" s="384"/>
      <c r="CW72" s="384"/>
      <c r="CX72" s="384"/>
      <c r="CY72" s="384"/>
      <c r="CZ72" s="384"/>
      <c r="DA72" s="384"/>
      <c r="DB72" s="384"/>
      <c r="DC72" s="384"/>
      <c r="DD72" s="384"/>
      <c r="DE72" s="384"/>
      <c r="DF72" s="384"/>
      <c r="DG72" s="384"/>
      <c r="DH72" s="384"/>
    </row>
    <row r="73" spans="1:112" s="384" customFormat="1" ht="67.5" customHeight="1" x14ac:dyDescent="0.2">
      <c r="A73" s="271" t="s">
        <v>308</v>
      </c>
      <c r="B73" s="256">
        <f>C73+D73+E73+F73</f>
        <v>5000</v>
      </c>
      <c r="C73" s="261">
        <v>2000</v>
      </c>
      <c r="D73" s="261">
        <v>2000</v>
      </c>
      <c r="E73" s="261">
        <v>500</v>
      </c>
      <c r="F73" s="261">
        <v>500</v>
      </c>
      <c r="G73" s="404" t="s">
        <v>577</v>
      </c>
    </row>
    <row r="74" spans="1:112" s="384" customFormat="1" ht="67.5" customHeight="1" x14ac:dyDescent="0.2">
      <c r="A74" s="271" t="s">
        <v>309</v>
      </c>
      <c r="B74" s="256">
        <f t="shared" ref="B74:B78" si="8">C74+D74+E74+F74</f>
        <v>420</v>
      </c>
      <c r="C74" s="261">
        <v>140</v>
      </c>
      <c r="D74" s="261">
        <v>140</v>
      </c>
      <c r="E74" s="261">
        <v>140</v>
      </c>
      <c r="F74" s="261">
        <v>0</v>
      </c>
      <c r="G74" s="407" t="s">
        <v>578</v>
      </c>
    </row>
    <row r="75" spans="1:112" s="384" customFormat="1" ht="45" customHeight="1" x14ac:dyDescent="0.2">
      <c r="A75" s="271" t="s">
        <v>579</v>
      </c>
      <c r="B75" s="256">
        <f t="shared" si="8"/>
        <v>16</v>
      </c>
      <c r="C75" s="261">
        <v>8</v>
      </c>
      <c r="D75" s="261">
        <v>8</v>
      </c>
      <c r="E75" s="261">
        <v>0</v>
      </c>
      <c r="F75" s="261">
        <v>0</v>
      </c>
      <c r="G75" s="407" t="s">
        <v>580</v>
      </c>
    </row>
    <row r="76" spans="1:112" s="384" customFormat="1" ht="34.5" customHeight="1" x14ac:dyDescent="0.2">
      <c r="A76" s="271" t="s">
        <v>289</v>
      </c>
      <c r="B76" s="256">
        <f t="shared" si="8"/>
        <v>400</v>
      </c>
      <c r="C76" s="261">
        <v>200</v>
      </c>
      <c r="D76" s="261">
        <v>200</v>
      </c>
      <c r="E76" s="261">
        <v>0</v>
      </c>
      <c r="F76" s="261">
        <v>0</v>
      </c>
      <c r="G76" s="407" t="s">
        <v>581</v>
      </c>
    </row>
    <row r="77" spans="1:112" s="384" customFormat="1" ht="34.5" customHeight="1" x14ac:dyDescent="0.2">
      <c r="A77" s="271" t="s">
        <v>582</v>
      </c>
      <c r="B77" s="256">
        <f t="shared" si="8"/>
        <v>300</v>
      </c>
      <c r="C77" s="261">
        <v>300</v>
      </c>
      <c r="D77" s="261">
        <v>0</v>
      </c>
      <c r="E77" s="261">
        <v>0</v>
      </c>
      <c r="F77" s="261">
        <v>0</v>
      </c>
      <c r="G77" s="407" t="s">
        <v>583</v>
      </c>
    </row>
    <row r="78" spans="1:112" s="384" customFormat="1" ht="35.25" customHeight="1" thickBot="1" x14ac:dyDescent="0.25">
      <c r="A78" s="493" t="s">
        <v>584</v>
      </c>
      <c r="B78" s="256">
        <f t="shared" si="8"/>
        <v>484</v>
      </c>
      <c r="C78" s="494">
        <v>242</v>
      </c>
      <c r="D78" s="494">
        <v>242</v>
      </c>
      <c r="E78" s="476">
        <v>0</v>
      </c>
      <c r="F78" s="476">
        <v>0</v>
      </c>
      <c r="G78" s="495" t="s">
        <v>585</v>
      </c>
    </row>
    <row r="79" spans="1:112" s="498" customFormat="1" ht="15.75" customHeight="1" thickBot="1" x14ac:dyDescent="0.25">
      <c r="A79" s="265" t="s">
        <v>163</v>
      </c>
      <c r="B79" s="259">
        <f>SUM(B73:B78)</f>
        <v>6620</v>
      </c>
      <c r="C79" s="259">
        <f>SUM(C73:C78)</f>
        <v>2890</v>
      </c>
      <c r="D79" s="259">
        <f>SUM(D73:D78)</f>
        <v>2590</v>
      </c>
      <c r="E79" s="259">
        <f>SUM(E73:E78)</f>
        <v>640</v>
      </c>
      <c r="F79" s="259">
        <f>SUM(F73:F78)</f>
        <v>500</v>
      </c>
      <c r="G79" s="496"/>
      <c r="H79" s="497"/>
      <c r="I79" s="497"/>
      <c r="J79" s="497"/>
      <c r="K79" s="497"/>
      <c r="L79" s="497"/>
      <c r="M79" s="497"/>
      <c r="N79" s="497"/>
      <c r="O79" s="497"/>
      <c r="P79" s="497"/>
      <c r="Q79" s="497"/>
      <c r="R79" s="497"/>
      <c r="S79" s="497"/>
      <c r="T79" s="497"/>
      <c r="U79" s="497"/>
      <c r="V79" s="497"/>
      <c r="W79" s="497"/>
      <c r="X79" s="497"/>
      <c r="Y79" s="497"/>
      <c r="Z79" s="497"/>
      <c r="AA79" s="497"/>
      <c r="AB79" s="497"/>
      <c r="AC79" s="497"/>
      <c r="AD79" s="497"/>
      <c r="AE79" s="497"/>
      <c r="AF79" s="497"/>
      <c r="AG79" s="497"/>
      <c r="AH79" s="497"/>
      <c r="AI79" s="497"/>
      <c r="AJ79" s="497"/>
      <c r="AK79" s="497"/>
      <c r="AL79" s="497"/>
      <c r="AM79" s="497"/>
      <c r="AN79" s="497"/>
      <c r="AO79" s="497"/>
      <c r="AP79" s="497"/>
      <c r="AQ79" s="497"/>
      <c r="AR79" s="497"/>
      <c r="AS79" s="497"/>
      <c r="AT79" s="497"/>
      <c r="AU79" s="497"/>
      <c r="AV79" s="497"/>
      <c r="AW79" s="497"/>
      <c r="AX79" s="497"/>
      <c r="AY79" s="497"/>
      <c r="AZ79" s="497"/>
      <c r="BA79" s="497"/>
      <c r="BB79" s="497"/>
      <c r="BC79" s="497"/>
      <c r="BD79" s="497"/>
      <c r="BE79" s="497"/>
      <c r="BF79" s="497"/>
      <c r="BG79" s="497"/>
      <c r="BH79" s="497"/>
      <c r="BI79" s="497"/>
      <c r="BJ79" s="497"/>
      <c r="BK79" s="497"/>
      <c r="BL79" s="497"/>
      <c r="BM79" s="497"/>
      <c r="BN79" s="497"/>
      <c r="BO79" s="497"/>
      <c r="BP79" s="497"/>
      <c r="BQ79" s="497"/>
      <c r="BR79" s="497"/>
      <c r="BS79" s="497"/>
      <c r="BT79" s="497"/>
      <c r="BU79" s="497"/>
      <c r="BV79" s="497"/>
      <c r="BW79" s="497"/>
      <c r="BX79" s="497"/>
      <c r="BY79" s="497"/>
      <c r="BZ79" s="497"/>
      <c r="CA79" s="497"/>
      <c r="CB79" s="497"/>
      <c r="CC79" s="497"/>
      <c r="CD79" s="497"/>
      <c r="CE79" s="497"/>
      <c r="CF79" s="497"/>
      <c r="CG79" s="497"/>
      <c r="CH79" s="497"/>
      <c r="CI79" s="497"/>
      <c r="CJ79" s="497"/>
      <c r="CK79" s="497"/>
      <c r="CL79" s="497"/>
      <c r="CM79" s="497"/>
      <c r="CN79" s="497"/>
      <c r="CO79" s="497"/>
      <c r="CP79" s="497"/>
      <c r="CQ79" s="497"/>
      <c r="CR79" s="497"/>
      <c r="CS79" s="497"/>
      <c r="CT79" s="497"/>
      <c r="CU79" s="497"/>
      <c r="CV79" s="497"/>
      <c r="CW79" s="497"/>
      <c r="CX79" s="497"/>
      <c r="CY79" s="497"/>
      <c r="CZ79" s="497"/>
      <c r="DA79" s="497"/>
      <c r="DB79" s="497"/>
      <c r="DC79" s="497"/>
      <c r="DD79" s="497"/>
      <c r="DE79" s="497"/>
      <c r="DF79" s="497"/>
      <c r="DG79" s="497"/>
      <c r="DH79" s="497"/>
    </row>
    <row r="80" spans="1:112" s="254" customFormat="1" ht="18" customHeight="1" x14ac:dyDescent="0.2">
      <c r="A80" s="277" t="s">
        <v>167</v>
      </c>
      <c r="B80" s="278"/>
      <c r="C80" s="278"/>
      <c r="D80" s="278"/>
      <c r="E80" s="278"/>
      <c r="F80" s="278"/>
      <c r="G80" s="279"/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</row>
    <row r="81" spans="1:112" s="384" customFormat="1" ht="24.75" customHeight="1" thickBot="1" x14ac:dyDescent="0.25">
      <c r="A81" s="271" t="s">
        <v>290</v>
      </c>
      <c r="B81" s="266">
        <f>C81+D81+F81+E81</f>
        <v>720</v>
      </c>
      <c r="C81" s="261">
        <v>720</v>
      </c>
      <c r="D81" s="261">
        <v>0</v>
      </c>
      <c r="E81" s="261">
        <v>0</v>
      </c>
      <c r="F81" s="261">
        <v>0</v>
      </c>
      <c r="G81" s="404" t="s">
        <v>291</v>
      </c>
    </row>
    <row r="82" spans="1:112" s="254" customFormat="1" ht="15.75" customHeight="1" thickBot="1" x14ac:dyDescent="0.25">
      <c r="A82" s="265" t="s">
        <v>175</v>
      </c>
      <c r="B82" s="259">
        <f>SUM(B81:B81)</f>
        <v>720</v>
      </c>
      <c r="C82" s="259">
        <f t="shared" ref="C82:F82" si="9">SUM(C81:C81)</f>
        <v>720</v>
      </c>
      <c r="D82" s="259">
        <f t="shared" si="9"/>
        <v>0</v>
      </c>
      <c r="E82" s="259">
        <f t="shared" si="9"/>
        <v>0</v>
      </c>
      <c r="F82" s="259">
        <f t="shared" si="9"/>
        <v>0</v>
      </c>
      <c r="G82" s="260"/>
      <c r="J82" s="384"/>
      <c r="K82" s="384"/>
      <c r="L82" s="384"/>
      <c r="M82" s="384"/>
      <c r="N82" s="384"/>
      <c r="O82" s="384"/>
      <c r="P82" s="384"/>
      <c r="Q82" s="384"/>
      <c r="R82" s="384"/>
      <c r="S82" s="384"/>
      <c r="T82" s="384"/>
      <c r="U82" s="384"/>
      <c r="V82" s="384"/>
      <c r="W82" s="384"/>
      <c r="X82" s="384"/>
      <c r="Y82" s="384"/>
      <c r="Z82" s="384"/>
      <c r="AA82" s="384"/>
      <c r="AB82" s="384"/>
      <c r="AC82" s="384"/>
      <c r="AD82" s="384"/>
      <c r="AE82" s="384"/>
      <c r="AF82" s="384"/>
      <c r="AG82" s="384"/>
      <c r="AH82" s="384"/>
      <c r="AI82" s="384"/>
      <c r="AJ82" s="384"/>
      <c r="AK82" s="384"/>
      <c r="AL82" s="384"/>
      <c r="AM82" s="384"/>
      <c r="AN82" s="384"/>
      <c r="AO82" s="384"/>
      <c r="AP82" s="384"/>
      <c r="AQ82" s="384"/>
      <c r="AR82" s="384"/>
      <c r="AS82" s="384"/>
      <c r="AT82" s="384"/>
      <c r="AU82" s="384"/>
      <c r="AV82" s="384"/>
      <c r="AW82" s="384"/>
      <c r="AX82" s="384"/>
      <c r="AY82" s="384"/>
      <c r="AZ82" s="384"/>
      <c r="BA82" s="384"/>
      <c r="BB82" s="384"/>
      <c r="BC82" s="384"/>
      <c r="BD82" s="384"/>
      <c r="BE82" s="384"/>
      <c r="BF82" s="384"/>
      <c r="BG82" s="384"/>
      <c r="BH82" s="384"/>
      <c r="BI82" s="384"/>
      <c r="BJ82" s="384"/>
      <c r="BK82" s="384"/>
      <c r="BL82" s="384"/>
      <c r="BM82" s="384"/>
      <c r="BN82" s="384"/>
      <c r="BO82" s="384"/>
      <c r="BP82" s="384"/>
      <c r="BQ82" s="384"/>
      <c r="BR82" s="384"/>
      <c r="BS82" s="384"/>
      <c r="BT82" s="384"/>
      <c r="BU82" s="384"/>
      <c r="BV82" s="384"/>
      <c r="BW82" s="384"/>
      <c r="BX82" s="384"/>
      <c r="BY82" s="384"/>
      <c r="BZ82" s="384"/>
      <c r="CA82" s="384"/>
      <c r="CB82" s="384"/>
      <c r="CC82" s="384"/>
      <c r="CD82" s="384"/>
      <c r="CE82" s="384"/>
      <c r="CF82" s="384"/>
      <c r="CG82" s="384"/>
      <c r="CH82" s="384"/>
      <c r="CI82" s="384"/>
      <c r="CJ82" s="384"/>
      <c r="CK82" s="384"/>
      <c r="CL82" s="384"/>
      <c r="CM82" s="384"/>
      <c r="CN82" s="384"/>
      <c r="CO82" s="384"/>
      <c r="CP82" s="384"/>
      <c r="CQ82" s="384"/>
      <c r="CR82" s="384"/>
      <c r="CS82" s="384"/>
      <c r="CT82" s="384"/>
      <c r="CU82" s="384"/>
      <c r="CV82" s="384"/>
      <c r="CW82" s="384"/>
      <c r="CX82" s="384"/>
      <c r="CY82" s="384"/>
      <c r="CZ82" s="384"/>
      <c r="DA82" s="384"/>
      <c r="DB82" s="384"/>
      <c r="DC82" s="384"/>
      <c r="DD82" s="384"/>
      <c r="DE82" s="384"/>
      <c r="DF82" s="384"/>
      <c r="DG82" s="384"/>
      <c r="DH82" s="384"/>
    </row>
    <row r="83" spans="1:112" s="254" customFormat="1" ht="18" customHeight="1" x14ac:dyDescent="0.2">
      <c r="A83" s="277" t="s">
        <v>176</v>
      </c>
      <c r="B83" s="278"/>
      <c r="C83" s="278"/>
      <c r="D83" s="278"/>
      <c r="E83" s="278"/>
      <c r="F83" s="278"/>
      <c r="G83" s="279"/>
      <c r="J83" s="384"/>
      <c r="K83" s="384"/>
      <c r="L83" s="384"/>
      <c r="M83" s="384"/>
      <c r="N83" s="384"/>
      <c r="O83" s="384"/>
      <c r="P83" s="384"/>
      <c r="Q83" s="384"/>
      <c r="R83" s="384"/>
      <c r="S83" s="384"/>
      <c r="T83" s="384"/>
      <c r="U83" s="384"/>
      <c r="V83" s="384"/>
      <c r="W83" s="384"/>
      <c r="X83" s="384"/>
      <c r="Y83" s="384"/>
      <c r="Z83" s="384"/>
      <c r="AA83" s="384"/>
      <c r="AB83" s="384"/>
      <c r="AC83" s="384"/>
      <c r="AD83" s="384"/>
      <c r="AE83" s="384"/>
      <c r="AF83" s="384"/>
      <c r="AG83" s="384"/>
      <c r="AH83" s="384"/>
      <c r="AI83" s="384"/>
      <c r="AJ83" s="384"/>
      <c r="AK83" s="384"/>
      <c r="AL83" s="384"/>
      <c r="AM83" s="384"/>
      <c r="AN83" s="384"/>
      <c r="AO83" s="384"/>
      <c r="AP83" s="384"/>
      <c r="AQ83" s="384"/>
      <c r="AR83" s="384"/>
      <c r="AS83" s="384"/>
      <c r="AT83" s="384"/>
      <c r="AU83" s="384"/>
      <c r="AV83" s="384"/>
      <c r="AW83" s="384"/>
      <c r="AX83" s="384"/>
      <c r="AY83" s="384"/>
      <c r="AZ83" s="384"/>
      <c r="BA83" s="384"/>
      <c r="BB83" s="384"/>
      <c r="BC83" s="384"/>
      <c r="BD83" s="384"/>
      <c r="BE83" s="384"/>
      <c r="BF83" s="384"/>
      <c r="BG83" s="384"/>
      <c r="BH83" s="384"/>
      <c r="BI83" s="384"/>
      <c r="BJ83" s="384"/>
      <c r="BK83" s="384"/>
      <c r="BL83" s="384"/>
      <c r="BM83" s="384"/>
      <c r="BN83" s="384"/>
      <c r="BO83" s="384"/>
      <c r="BP83" s="384"/>
      <c r="BQ83" s="384"/>
      <c r="BR83" s="384"/>
      <c r="BS83" s="384"/>
      <c r="BT83" s="384"/>
      <c r="BU83" s="384"/>
      <c r="BV83" s="384"/>
      <c r="BW83" s="384"/>
      <c r="BX83" s="384"/>
      <c r="BY83" s="384"/>
      <c r="BZ83" s="384"/>
      <c r="CA83" s="384"/>
      <c r="CB83" s="384"/>
      <c r="CC83" s="384"/>
      <c r="CD83" s="384"/>
      <c r="CE83" s="384"/>
      <c r="CF83" s="384"/>
      <c r="CG83" s="384"/>
      <c r="CH83" s="384"/>
      <c r="CI83" s="384"/>
      <c r="CJ83" s="384"/>
      <c r="CK83" s="384"/>
      <c r="CL83" s="384"/>
      <c r="CM83" s="384"/>
      <c r="CN83" s="384"/>
      <c r="CO83" s="384"/>
      <c r="CP83" s="384"/>
      <c r="CQ83" s="384"/>
      <c r="CR83" s="384"/>
      <c r="CS83" s="384"/>
      <c r="CT83" s="384"/>
      <c r="CU83" s="384"/>
      <c r="CV83" s="384"/>
      <c r="CW83" s="384"/>
      <c r="CX83" s="384"/>
      <c r="CY83" s="384"/>
      <c r="CZ83" s="384"/>
      <c r="DA83" s="384"/>
      <c r="DB83" s="384"/>
      <c r="DC83" s="384"/>
      <c r="DD83" s="384"/>
      <c r="DE83" s="384"/>
      <c r="DF83" s="384"/>
      <c r="DG83" s="384"/>
      <c r="DH83" s="384"/>
    </row>
    <row r="84" spans="1:112" s="384" customFormat="1" ht="35.25" customHeight="1" thickBot="1" x14ac:dyDescent="0.25">
      <c r="A84" s="500" t="s">
        <v>588</v>
      </c>
      <c r="B84" s="501">
        <f t="shared" ref="B84" si="10">C84+D84+F84+E84</f>
        <v>7012</v>
      </c>
      <c r="C84" s="476">
        <v>7012</v>
      </c>
      <c r="D84" s="476">
        <v>0</v>
      </c>
      <c r="E84" s="476">
        <v>0</v>
      </c>
      <c r="F84" s="467">
        <v>0</v>
      </c>
      <c r="G84" s="502" t="s">
        <v>589</v>
      </c>
    </row>
    <row r="85" spans="1:112" s="254" customFormat="1" ht="15.75" customHeight="1" thickBot="1" x14ac:dyDescent="0.25">
      <c r="A85" s="265" t="s">
        <v>178</v>
      </c>
      <c r="B85" s="259">
        <f>SUM(B84:B84)</f>
        <v>7012</v>
      </c>
      <c r="C85" s="259">
        <f>SUM(C84:C84)</f>
        <v>7012</v>
      </c>
      <c r="D85" s="259">
        <f>SUM(D84:D84)</f>
        <v>0</v>
      </c>
      <c r="E85" s="259">
        <f>SUM(E84:E84)</f>
        <v>0</v>
      </c>
      <c r="F85" s="259">
        <f>SUM(F84:F84)</f>
        <v>0</v>
      </c>
      <c r="G85" s="260"/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</row>
    <row r="86" spans="1:112" s="254" customFormat="1" ht="18" customHeight="1" x14ac:dyDescent="0.2">
      <c r="A86" s="277" t="s">
        <v>179</v>
      </c>
      <c r="B86" s="278"/>
      <c r="C86" s="278"/>
      <c r="D86" s="278"/>
      <c r="E86" s="278"/>
      <c r="F86" s="278"/>
      <c r="G86" s="289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</row>
    <row r="87" spans="1:112" s="384" customFormat="1" ht="45" customHeight="1" x14ac:dyDescent="0.2">
      <c r="A87" s="478" t="s">
        <v>292</v>
      </c>
      <c r="B87" s="413">
        <f>C87+D87+E87+F87</f>
        <v>31000</v>
      </c>
      <c r="C87" s="261">
        <v>0</v>
      </c>
      <c r="D87" s="261">
        <v>0</v>
      </c>
      <c r="E87" s="261">
        <v>0</v>
      </c>
      <c r="F87" s="261">
        <v>31000</v>
      </c>
      <c r="G87" s="407" t="s">
        <v>310</v>
      </c>
    </row>
    <row r="88" spans="1:112" s="384" customFormat="1" ht="45" customHeight="1" x14ac:dyDescent="0.2">
      <c r="A88" s="478" t="s">
        <v>293</v>
      </c>
      <c r="B88" s="413">
        <f>C88+D88+E88+F88</f>
        <v>9800</v>
      </c>
      <c r="C88" s="268">
        <v>0</v>
      </c>
      <c r="D88" s="268">
        <v>0</v>
      </c>
      <c r="E88" s="268">
        <v>0</v>
      </c>
      <c r="F88" s="268">
        <v>9800</v>
      </c>
      <c r="G88" s="407" t="s">
        <v>590</v>
      </c>
    </row>
    <row r="89" spans="1:112" s="384" customFormat="1" ht="24" customHeight="1" x14ac:dyDescent="0.2">
      <c r="A89" s="478" t="s">
        <v>591</v>
      </c>
      <c r="B89" s="413">
        <f>C89+D89+F89+E89</f>
        <v>8470</v>
      </c>
      <c r="C89" s="261">
        <v>8470</v>
      </c>
      <c r="D89" s="261">
        <v>0</v>
      </c>
      <c r="E89" s="261">
        <v>0</v>
      </c>
      <c r="F89" s="261">
        <v>0</v>
      </c>
      <c r="G89" s="407" t="s">
        <v>592</v>
      </c>
    </row>
    <row r="90" spans="1:112" s="384" customFormat="1" ht="45.75" customHeight="1" thickBot="1" x14ac:dyDescent="0.25">
      <c r="A90" s="503" t="s">
        <v>593</v>
      </c>
      <c r="B90" s="413">
        <f>C90+D90+F90+E90</f>
        <v>4035.54</v>
      </c>
      <c r="C90" s="504">
        <v>2896.3319999999999</v>
      </c>
      <c r="D90" s="504">
        <v>569.60400000000004</v>
      </c>
      <c r="E90" s="504">
        <v>569.60400000000004</v>
      </c>
      <c r="F90" s="504">
        <v>0</v>
      </c>
      <c r="G90" s="505" t="s">
        <v>594</v>
      </c>
    </row>
    <row r="91" spans="1:112" s="254" customFormat="1" ht="15.75" customHeight="1" thickBot="1" x14ac:dyDescent="0.25">
      <c r="A91" s="258" t="s">
        <v>181</v>
      </c>
      <c r="B91" s="259">
        <f>SUM(B87:B90)</f>
        <v>53305.54</v>
      </c>
      <c r="C91" s="259">
        <f>SUM(C87:C90)</f>
        <v>11366.332</v>
      </c>
      <c r="D91" s="259">
        <f>SUM(D87:D90)</f>
        <v>569.60400000000004</v>
      </c>
      <c r="E91" s="259">
        <f>SUM(E87:E90)</f>
        <v>569.60400000000004</v>
      </c>
      <c r="F91" s="259">
        <f>SUM(F87:F90)</f>
        <v>40800</v>
      </c>
      <c r="G91" s="260"/>
      <c r="H91" s="280"/>
      <c r="J91" s="384"/>
      <c r="K91" s="384"/>
      <c r="L91" s="384"/>
      <c r="M91" s="384"/>
      <c r="N91" s="384"/>
      <c r="O91" s="384"/>
      <c r="P91" s="384"/>
      <c r="Q91" s="384"/>
      <c r="R91" s="384"/>
      <c r="S91" s="384"/>
      <c r="T91" s="384"/>
      <c r="U91" s="384"/>
      <c r="V91" s="384"/>
      <c r="W91" s="384"/>
      <c r="X91" s="384"/>
      <c r="Y91" s="384"/>
      <c r="Z91" s="384"/>
      <c r="AA91" s="384"/>
      <c r="AB91" s="384"/>
      <c r="AC91" s="384"/>
      <c r="AD91" s="384"/>
      <c r="AE91" s="384"/>
      <c r="AF91" s="384"/>
      <c r="AG91" s="384"/>
      <c r="AH91" s="384"/>
      <c r="AI91" s="384"/>
      <c r="AJ91" s="384"/>
      <c r="AK91" s="384"/>
      <c r="AL91" s="384"/>
      <c r="AM91" s="384"/>
      <c r="AN91" s="384"/>
      <c r="AO91" s="384"/>
      <c r="AP91" s="384"/>
      <c r="AQ91" s="384"/>
      <c r="AR91" s="384"/>
      <c r="AS91" s="384"/>
      <c r="AT91" s="384"/>
      <c r="AU91" s="384"/>
      <c r="AV91" s="384"/>
      <c r="AW91" s="384"/>
      <c r="AX91" s="384"/>
      <c r="AY91" s="384"/>
      <c r="AZ91" s="384"/>
      <c r="BA91" s="384"/>
      <c r="BB91" s="384"/>
      <c r="BC91" s="384"/>
      <c r="BD91" s="384"/>
      <c r="BE91" s="384"/>
      <c r="BF91" s="384"/>
      <c r="BG91" s="384"/>
      <c r="BH91" s="384"/>
      <c r="BI91" s="384"/>
      <c r="BJ91" s="384"/>
      <c r="BK91" s="384"/>
      <c r="BL91" s="384"/>
      <c r="BM91" s="384"/>
      <c r="BN91" s="384"/>
      <c r="BO91" s="384"/>
      <c r="BP91" s="384"/>
      <c r="BQ91" s="384"/>
      <c r="BR91" s="384"/>
      <c r="BS91" s="384"/>
      <c r="BT91" s="38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  <c r="CE91" s="384"/>
      <c r="CF91" s="384"/>
      <c r="CG91" s="384"/>
      <c r="CH91" s="384"/>
      <c r="CI91" s="384"/>
      <c r="CJ91" s="384"/>
      <c r="CK91" s="384"/>
      <c r="CL91" s="384"/>
      <c r="CM91" s="384"/>
      <c r="CN91" s="384"/>
      <c r="CO91" s="384"/>
      <c r="CP91" s="384"/>
      <c r="CQ91" s="384"/>
      <c r="CR91" s="384"/>
      <c r="CS91" s="384"/>
      <c r="CT91" s="384"/>
      <c r="CU91" s="384"/>
      <c r="CV91" s="384"/>
      <c r="CW91" s="384"/>
      <c r="CX91" s="384"/>
      <c r="CY91" s="384"/>
      <c r="CZ91" s="384"/>
      <c r="DA91" s="384"/>
      <c r="DB91" s="384"/>
      <c r="DC91" s="384"/>
      <c r="DD91" s="384"/>
      <c r="DE91" s="384"/>
      <c r="DF91" s="384"/>
      <c r="DG91" s="384"/>
      <c r="DH91" s="384"/>
    </row>
    <row r="92" spans="1:112" s="254" customFormat="1" ht="18" customHeight="1" x14ac:dyDescent="0.2">
      <c r="A92" s="574" t="s">
        <v>256</v>
      </c>
      <c r="B92" s="575"/>
      <c r="C92" s="575"/>
      <c r="D92" s="575"/>
      <c r="E92" s="575"/>
      <c r="F92" s="575"/>
      <c r="G92" s="576"/>
      <c r="H92" s="280"/>
      <c r="J92" s="384"/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384"/>
      <c r="AK92" s="384"/>
      <c r="AL92" s="384"/>
      <c r="AM92" s="384"/>
      <c r="AN92" s="384"/>
      <c r="AO92" s="384"/>
      <c r="AP92" s="384"/>
      <c r="AQ92" s="384"/>
      <c r="AR92" s="384"/>
      <c r="AS92" s="384"/>
      <c r="AT92" s="384"/>
      <c r="AU92" s="384"/>
      <c r="AV92" s="384"/>
      <c r="AW92" s="384"/>
      <c r="AX92" s="384"/>
      <c r="AY92" s="384"/>
      <c r="AZ92" s="384"/>
      <c r="BA92" s="384"/>
      <c r="BB92" s="384"/>
      <c r="BC92" s="384"/>
      <c r="BD92" s="384"/>
      <c r="BE92" s="384"/>
      <c r="BF92" s="384"/>
      <c r="BG92" s="384"/>
      <c r="BH92" s="384"/>
      <c r="BI92" s="384"/>
      <c r="BJ92" s="384"/>
      <c r="BK92" s="384"/>
      <c r="BL92" s="384"/>
      <c r="BM92" s="384"/>
      <c r="BN92" s="384"/>
      <c r="BO92" s="384"/>
      <c r="BP92" s="384"/>
      <c r="BQ92" s="384"/>
      <c r="BR92" s="384"/>
      <c r="BS92" s="384"/>
      <c r="BT92" s="384"/>
      <c r="BU92" s="384"/>
      <c r="BV92" s="384"/>
      <c r="BW92" s="384"/>
      <c r="BX92" s="384"/>
      <c r="BY92" s="384"/>
      <c r="BZ92" s="384"/>
      <c r="CA92" s="384"/>
      <c r="CB92" s="384"/>
      <c r="CC92" s="384"/>
      <c r="CD92" s="384"/>
      <c r="CE92" s="384"/>
      <c r="CF92" s="384"/>
      <c r="CG92" s="384"/>
      <c r="CH92" s="384"/>
      <c r="CI92" s="384"/>
      <c r="CJ92" s="384"/>
      <c r="CK92" s="384"/>
      <c r="CL92" s="384"/>
      <c r="CM92" s="384"/>
      <c r="CN92" s="384"/>
      <c r="CO92" s="384"/>
      <c r="CP92" s="384"/>
      <c r="CQ92" s="384"/>
      <c r="CR92" s="384"/>
      <c r="CS92" s="384"/>
      <c r="CT92" s="384"/>
      <c r="CU92" s="384"/>
      <c r="CV92" s="384"/>
      <c r="CW92" s="384"/>
      <c r="CX92" s="384"/>
      <c r="CY92" s="384"/>
      <c r="CZ92" s="384"/>
      <c r="DA92" s="384"/>
      <c r="DB92" s="384"/>
      <c r="DC92" s="384"/>
      <c r="DD92" s="384"/>
      <c r="DE92" s="384"/>
      <c r="DF92" s="384"/>
      <c r="DG92" s="384"/>
      <c r="DH92" s="384"/>
    </row>
    <row r="93" spans="1:112" s="384" customFormat="1" ht="24" customHeight="1" x14ac:dyDescent="0.2">
      <c r="A93" s="255" t="s">
        <v>294</v>
      </c>
      <c r="B93" s="266">
        <f>C93+D93+F93+E93</f>
        <v>14000</v>
      </c>
      <c r="C93" s="261">
        <v>14000</v>
      </c>
      <c r="D93" s="261">
        <v>0</v>
      </c>
      <c r="E93" s="261">
        <v>0</v>
      </c>
      <c r="F93" s="261">
        <v>0</v>
      </c>
      <c r="G93" s="404" t="s">
        <v>295</v>
      </c>
      <c r="H93" s="385"/>
    </row>
    <row r="94" spans="1:112" s="384" customFormat="1" ht="78.75" customHeight="1" thickBot="1" x14ac:dyDescent="0.25">
      <c r="A94" s="263" t="s">
        <v>296</v>
      </c>
      <c r="B94" s="266">
        <f>C94+D94+F94+E94</f>
        <v>12000</v>
      </c>
      <c r="C94" s="264">
        <v>4000</v>
      </c>
      <c r="D94" s="264">
        <v>4000</v>
      </c>
      <c r="E94" s="264">
        <v>4000</v>
      </c>
      <c r="F94" s="264">
        <v>0</v>
      </c>
      <c r="G94" s="409" t="s">
        <v>595</v>
      </c>
      <c r="H94" s="385"/>
    </row>
    <row r="95" spans="1:112" s="254" customFormat="1" ht="15.75" customHeight="1" thickBot="1" x14ac:dyDescent="0.25">
      <c r="A95" s="265" t="s">
        <v>187</v>
      </c>
      <c r="B95" s="259">
        <f>SUM(B93:B94)</f>
        <v>26000</v>
      </c>
      <c r="C95" s="259">
        <f t="shared" ref="C95:F95" si="11">SUM(C93:C94)</f>
        <v>18000</v>
      </c>
      <c r="D95" s="259">
        <f t="shared" si="11"/>
        <v>4000</v>
      </c>
      <c r="E95" s="259">
        <f t="shared" si="11"/>
        <v>4000</v>
      </c>
      <c r="F95" s="259">
        <f t="shared" si="11"/>
        <v>0</v>
      </c>
      <c r="G95" s="260"/>
      <c r="J95" s="384"/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4"/>
      <c r="Z95" s="384"/>
      <c r="AA95" s="384"/>
      <c r="AB95" s="384"/>
      <c r="AC95" s="384"/>
      <c r="AD95" s="384"/>
      <c r="AE95" s="384"/>
      <c r="AF95" s="384"/>
      <c r="AG95" s="384"/>
      <c r="AH95" s="384"/>
      <c r="AI95" s="384"/>
      <c r="AJ95" s="384"/>
      <c r="AK95" s="384"/>
      <c r="AL95" s="384"/>
      <c r="AM95" s="384"/>
      <c r="AN95" s="384"/>
      <c r="AO95" s="384"/>
      <c r="AP95" s="384"/>
      <c r="AQ95" s="384"/>
      <c r="AR95" s="384"/>
      <c r="AS95" s="384"/>
      <c r="AT95" s="384"/>
      <c r="AU95" s="384"/>
      <c r="AV95" s="384"/>
      <c r="AW95" s="384"/>
      <c r="AX95" s="384"/>
      <c r="AY95" s="384"/>
      <c r="AZ95" s="384"/>
      <c r="BA95" s="384"/>
      <c r="BB95" s="384"/>
      <c r="BC95" s="384"/>
      <c r="BD95" s="384"/>
      <c r="BE95" s="384"/>
      <c r="BF95" s="384"/>
      <c r="BG95" s="384"/>
      <c r="BH95" s="384"/>
      <c r="BI95" s="384"/>
      <c r="BJ95" s="384"/>
      <c r="BK95" s="384"/>
      <c r="BL95" s="384"/>
      <c r="BM95" s="384"/>
      <c r="BN95" s="384"/>
      <c r="BO95" s="384"/>
      <c r="BP95" s="384"/>
      <c r="BQ95" s="384"/>
      <c r="BR95" s="384"/>
      <c r="BS95" s="384"/>
      <c r="BT95" s="384"/>
      <c r="BU95" s="384"/>
      <c r="BV95" s="384"/>
      <c r="BW95" s="384"/>
      <c r="BX95" s="384"/>
      <c r="BY95" s="384"/>
      <c r="BZ95" s="384"/>
      <c r="CA95" s="384"/>
      <c r="CB95" s="384"/>
      <c r="CC95" s="384"/>
      <c r="CD95" s="384"/>
      <c r="CE95" s="384"/>
      <c r="CF95" s="384"/>
      <c r="CG95" s="384"/>
      <c r="CH95" s="384"/>
      <c r="CI95" s="384"/>
      <c r="CJ95" s="384"/>
      <c r="CK95" s="384"/>
      <c r="CL95" s="384"/>
      <c r="CM95" s="384"/>
      <c r="CN95" s="384"/>
      <c r="CO95" s="384"/>
      <c r="CP95" s="384"/>
      <c r="CQ95" s="384"/>
      <c r="CR95" s="384"/>
      <c r="CS95" s="384"/>
      <c r="CT95" s="384"/>
      <c r="CU95" s="384"/>
      <c r="CV95" s="384"/>
      <c r="CW95" s="384"/>
      <c r="CX95" s="384"/>
      <c r="CY95" s="384"/>
      <c r="CZ95" s="384"/>
      <c r="DA95" s="384"/>
      <c r="DB95" s="384"/>
      <c r="DC95" s="384"/>
      <c r="DD95" s="384"/>
      <c r="DE95" s="384"/>
      <c r="DF95" s="384"/>
      <c r="DG95" s="384"/>
      <c r="DH95" s="384"/>
    </row>
    <row r="96" spans="1:112" s="254" customFormat="1" ht="21" customHeight="1" thickBot="1" x14ac:dyDescent="0.25">
      <c r="A96" s="506"/>
      <c r="B96" s="507"/>
      <c r="C96" s="507"/>
      <c r="D96" s="507"/>
      <c r="E96" s="507"/>
      <c r="F96" s="507"/>
      <c r="G96" s="508"/>
      <c r="J96" s="384"/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4"/>
      <c r="AL96" s="384"/>
      <c r="AM96" s="384"/>
      <c r="AN96" s="384"/>
      <c r="AO96" s="384"/>
      <c r="AP96" s="384"/>
      <c r="AQ96" s="384"/>
      <c r="AR96" s="384"/>
      <c r="AS96" s="384"/>
      <c r="AT96" s="384"/>
      <c r="AU96" s="384"/>
      <c r="AV96" s="384"/>
      <c r="AW96" s="384"/>
      <c r="AX96" s="384"/>
      <c r="AY96" s="384"/>
      <c r="AZ96" s="384"/>
      <c r="BA96" s="384"/>
      <c r="BB96" s="384"/>
      <c r="BC96" s="384"/>
      <c r="BD96" s="384"/>
      <c r="BE96" s="384"/>
      <c r="BF96" s="384"/>
      <c r="BG96" s="384"/>
      <c r="BH96" s="384"/>
      <c r="BI96" s="384"/>
      <c r="BJ96" s="384"/>
      <c r="BK96" s="384"/>
      <c r="BL96" s="384"/>
      <c r="BM96" s="384"/>
      <c r="BN96" s="384"/>
      <c r="BO96" s="384"/>
      <c r="BP96" s="384"/>
      <c r="BQ96" s="384"/>
      <c r="BR96" s="384"/>
      <c r="BS96" s="384"/>
      <c r="BT96" s="384"/>
      <c r="BU96" s="384"/>
      <c r="BV96" s="384"/>
      <c r="BW96" s="384"/>
      <c r="BX96" s="384"/>
      <c r="BY96" s="384"/>
      <c r="BZ96" s="384"/>
      <c r="CA96" s="384"/>
      <c r="CB96" s="384"/>
      <c r="CC96" s="384"/>
      <c r="CD96" s="384"/>
      <c r="CE96" s="384"/>
      <c r="CF96" s="384"/>
      <c r="CG96" s="384"/>
      <c r="CH96" s="384"/>
      <c r="CI96" s="384"/>
      <c r="CJ96" s="384"/>
      <c r="CK96" s="384"/>
      <c r="CL96" s="384"/>
      <c r="CM96" s="384"/>
      <c r="CN96" s="384"/>
      <c r="CO96" s="384"/>
      <c r="CP96" s="384"/>
      <c r="CQ96" s="384"/>
      <c r="CR96" s="384"/>
      <c r="CS96" s="384"/>
      <c r="CT96" s="384"/>
      <c r="CU96" s="384"/>
      <c r="CV96" s="384"/>
      <c r="CW96" s="384"/>
      <c r="CX96" s="384"/>
      <c r="CY96" s="384"/>
      <c r="CZ96" s="384"/>
      <c r="DA96" s="384"/>
      <c r="DB96" s="384"/>
      <c r="DC96" s="384"/>
      <c r="DD96" s="384"/>
      <c r="DE96" s="384"/>
      <c r="DF96" s="384"/>
      <c r="DG96" s="384"/>
      <c r="DH96" s="384"/>
    </row>
    <row r="97" spans="1:112" s="254" customFormat="1" ht="16.5" customHeight="1" x14ac:dyDescent="0.2">
      <c r="A97" s="564" t="s">
        <v>201</v>
      </c>
      <c r="B97" s="566" t="s">
        <v>203</v>
      </c>
      <c r="C97" s="601" t="s">
        <v>596</v>
      </c>
      <c r="D97" s="602"/>
      <c r="E97" s="602"/>
      <c r="F97" s="603"/>
      <c r="G97" s="572" t="s">
        <v>259</v>
      </c>
      <c r="J97" s="384"/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4"/>
      <c r="AS97" s="384"/>
      <c r="AT97" s="384"/>
      <c r="AU97" s="384"/>
      <c r="AV97" s="384"/>
      <c r="AW97" s="384"/>
      <c r="AX97" s="384"/>
      <c r="AY97" s="384"/>
      <c r="AZ97" s="384"/>
      <c r="BA97" s="384"/>
      <c r="BB97" s="384"/>
      <c r="BC97" s="384"/>
      <c r="BD97" s="384"/>
      <c r="BE97" s="384"/>
      <c r="BF97" s="384"/>
      <c r="BG97" s="384"/>
      <c r="BH97" s="384"/>
      <c r="BI97" s="384"/>
      <c r="BJ97" s="384"/>
      <c r="BK97" s="384"/>
      <c r="BL97" s="384"/>
      <c r="BM97" s="384"/>
      <c r="BN97" s="384"/>
      <c r="BO97" s="384"/>
      <c r="BP97" s="384"/>
      <c r="BQ97" s="384"/>
      <c r="BR97" s="384"/>
      <c r="BS97" s="384"/>
      <c r="BT97" s="384"/>
      <c r="BU97" s="384"/>
      <c r="BV97" s="384"/>
      <c r="BW97" s="384"/>
      <c r="BX97" s="384"/>
      <c r="BY97" s="384"/>
      <c r="BZ97" s="384"/>
      <c r="CA97" s="384"/>
      <c r="CB97" s="384"/>
      <c r="CC97" s="384"/>
      <c r="CD97" s="384"/>
      <c r="CE97" s="384"/>
      <c r="CF97" s="384"/>
      <c r="CG97" s="384"/>
      <c r="CH97" s="384"/>
      <c r="CI97" s="384"/>
      <c r="CJ97" s="384"/>
      <c r="CK97" s="384"/>
      <c r="CL97" s="384"/>
      <c r="CM97" s="384"/>
      <c r="CN97" s="384"/>
      <c r="CO97" s="384"/>
      <c r="CP97" s="384"/>
      <c r="CQ97" s="384"/>
      <c r="CR97" s="384"/>
      <c r="CS97" s="384"/>
      <c r="CT97" s="384"/>
      <c r="CU97" s="384"/>
      <c r="CV97" s="384"/>
      <c r="CW97" s="384"/>
      <c r="CX97" s="384"/>
      <c r="CY97" s="384"/>
      <c r="CZ97" s="384"/>
      <c r="DA97" s="384"/>
      <c r="DB97" s="384"/>
      <c r="DC97" s="384"/>
      <c r="DD97" s="384"/>
      <c r="DE97" s="384"/>
      <c r="DF97" s="384"/>
      <c r="DG97" s="384"/>
      <c r="DH97" s="384"/>
    </row>
    <row r="98" spans="1:112" s="254" customFormat="1" ht="16.5" customHeight="1" thickBot="1" x14ac:dyDescent="0.25">
      <c r="A98" s="565"/>
      <c r="B98" s="567"/>
      <c r="C98" s="509" t="s">
        <v>205</v>
      </c>
      <c r="D98" s="509" t="s">
        <v>206</v>
      </c>
      <c r="E98" s="509" t="s">
        <v>396</v>
      </c>
      <c r="F98" s="509" t="s">
        <v>397</v>
      </c>
      <c r="G98" s="604"/>
      <c r="J98" s="384"/>
      <c r="K98" s="384"/>
      <c r="L98" s="384"/>
      <c r="M98" s="384"/>
      <c r="N98" s="384"/>
      <c r="O98" s="384"/>
      <c r="P98" s="384"/>
      <c r="Q98" s="384"/>
      <c r="R98" s="384"/>
      <c r="S98" s="384"/>
      <c r="T98" s="384"/>
      <c r="U98" s="384"/>
      <c r="V98" s="384"/>
      <c r="W98" s="384"/>
      <c r="X98" s="384"/>
      <c r="Y98" s="384"/>
      <c r="Z98" s="384"/>
      <c r="AA98" s="384"/>
      <c r="AB98" s="384"/>
      <c r="AC98" s="384"/>
      <c r="AD98" s="384"/>
      <c r="AE98" s="384"/>
      <c r="AF98" s="384"/>
      <c r="AG98" s="384"/>
      <c r="AH98" s="384"/>
      <c r="AI98" s="384"/>
      <c r="AJ98" s="384"/>
      <c r="AK98" s="384"/>
      <c r="AL98" s="384"/>
      <c r="AM98" s="384"/>
      <c r="AN98" s="384"/>
      <c r="AO98" s="384"/>
      <c r="AP98" s="384"/>
      <c r="AQ98" s="384"/>
      <c r="AR98" s="384"/>
      <c r="AS98" s="384"/>
      <c r="AT98" s="384"/>
      <c r="AU98" s="384"/>
      <c r="AV98" s="384"/>
      <c r="AW98" s="384"/>
      <c r="AX98" s="384"/>
      <c r="AY98" s="384"/>
      <c r="AZ98" s="384"/>
      <c r="BA98" s="384"/>
      <c r="BB98" s="384"/>
      <c r="BC98" s="384"/>
      <c r="BD98" s="384"/>
      <c r="BE98" s="384"/>
      <c r="BF98" s="384"/>
      <c r="BG98" s="384"/>
      <c r="BH98" s="384"/>
      <c r="BI98" s="384"/>
      <c r="BJ98" s="384"/>
      <c r="BK98" s="384"/>
      <c r="BL98" s="384"/>
      <c r="BM98" s="384"/>
      <c r="BN98" s="384"/>
      <c r="BO98" s="384"/>
      <c r="BP98" s="384"/>
      <c r="BQ98" s="384"/>
      <c r="BR98" s="384"/>
      <c r="BS98" s="384"/>
      <c r="BT98" s="384"/>
      <c r="BU98" s="384"/>
      <c r="BV98" s="384"/>
      <c r="BW98" s="384"/>
      <c r="BX98" s="384"/>
      <c r="BY98" s="384"/>
      <c r="BZ98" s="384"/>
      <c r="CA98" s="384"/>
      <c r="CB98" s="384"/>
      <c r="CC98" s="384"/>
      <c r="CD98" s="384"/>
      <c r="CE98" s="384"/>
      <c r="CF98" s="384"/>
      <c r="CG98" s="384"/>
      <c r="CH98" s="384"/>
      <c r="CI98" s="384"/>
      <c r="CJ98" s="384"/>
      <c r="CK98" s="384"/>
      <c r="CL98" s="384"/>
      <c r="CM98" s="384"/>
      <c r="CN98" s="384"/>
      <c r="CO98" s="384"/>
      <c r="CP98" s="384"/>
      <c r="CQ98" s="384"/>
      <c r="CR98" s="384"/>
      <c r="CS98" s="384"/>
      <c r="CT98" s="384"/>
      <c r="CU98" s="384"/>
      <c r="CV98" s="384"/>
      <c r="CW98" s="384"/>
      <c r="CX98" s="384"/>
      <c r="CY98" s="384"/>
      <c r="CZ98" s="384"/>
      <c r="DA98" s="384"/>
      <c r="DB98" s="384"/>
      <c r="DC98" s="384"/>
      <c r="DD98" s="384"/>
      <c r="DE98" s="384"/>
      <c r="DF98" s="384"/>
      <c r="DG98" s="384"/>
      <c r="DH98" s="384"/>
    </row>
    <row r="99" spans="1:112" s="254" customFormat="1" ht="15.75" customHeight="1" x14ac:dyDescent="0.2">
      <c r="A99" s="577" t="s">
        <v>353</v>
      </c>
      <c r="B99" s="578"/>
      <c r="C99" s="578"/>
      <c r="D99" s="578"/>
      <c r="E99" s="578"/>
      <c r="F99" s="578"/>
      <c r="G99" s="579"/>
      <c r="J99" s="384"/>
      <c r="K99" s="384"/>
      <c r="L99" s="384"/>
      <c r="M99" s="384"/>
      <c r="N99" s="384"/>
      <c r="O99" s="384"/>
      <c r="P99" s="384"/>
      <c r="Q99" s="384"/>
      <c r="R99" s="384"/>
      <c r="S99" s="384"/>
      <c r="T99" s="384"/>
      <c r="U99" s="384"/>
      <c r="V99" s="384"/>
      <c r="W99" s="384"/>
      <c r="X99" s="384"/>
      <c r="Y99" s="384"/>
      <c r="Z99" s="384"/>
      <c r="AA99" s="384"/>
      <c r="AB99" s="384"/>
      <c r="AC99" s="384"/>
      <c r="AD99" s="384"/>
      <c r="AE99" s="384"/>
      <c r="AF99" s="384"/>
      <c r="AG99" s="384"/>
      <c r="AH99" s="384"/>
      <c r="AI99" s="384"/>
      <c r="AJ99" s="384"/>
      <c r="AK99" s="384"/>
      <c r="AL99" s="384"/>
      <c r="AM99" s="384"/>
      <c r="AN99" s="384"/>
      <c r="AO99" s="384"/>
      <c r="AP99" s="384"/>
      <c r="AQ99" s="384"/>
      <c r="AR99" s="384"/>
      <c r="AS99" s="384"/>
      <c r="AT99" s="384"/>
      <c r="AU99" s="384"/>
      <c r="AV99" s="384"/>
      <c r="AW99" s="384"/>
      <c r="AX99" s="384"/>
      <c r="AY99" s="384"/>
      <c r="AZ99" s="384"/>
      <c r="BA99" s="384"/>
      <c r="BB99" s="384"/>
      <c r="BC99" s="384"/>
      <c r="BD99" s="384"/>
      <c r="BE99" s="384"/>
      <c r="BF99" s="384"/>
      <c r="BG99" s="384"/>
      <c r="BH99" s="384"/>
      <c r="BI99" s="384"/>
      <c r="BJ99" s="384"/>
      <c r="BK99" s="384"/>
      <c r="BL99" s="384"/>
      <c r="BM99" s="384"/>
      <c r="BN99" s="384"/>
      <c r="BO99" s="384"/>
      <c r="BP99" s="384"/>
      <c r="BQ99" s="384"/>
      <c r="BR99" s="384"/>
      <c r="BS99" s="384"/>
      <c r="BT99" s="384"/>
      <c r="BU99" s="384"/>
      <c r="BV99" s="384"/>
      <c r="BW99" s="384"/>
      <c r="BX99" s="384"/>
      <c r="BY99" s="384"/>
      <c r="BZ99" s="384"/>
      <c r="CA99" s="384"/>
      <c r="CB99" s="384"/>
      <c r="CC99" s="384"/>
      <c r="CD99" s="384"/>
      <c r="CE99" s="384"/>
      <c r="CF99" s="384"/>
      <c r="CG99" s="384"/>
      <c r="CH99" s="384"/>
      <c r="CI99" s="384"/>
      <c r="CJ99" s="384"/>
      <c r="CK99" s="384"/>
      <c r="CL99" s="384"/>
      <c r="CM99" s="384"/>
      <c r="CN99" s="384"/>
      <c r="CO99" s="384"/>
      <c r="CP99" s="384"/>
      <c r="CQ99" s="384"/>
      <c r="CR99" s="384"/>
      <c r="CS99" s="384"/>
      <c r="CT99" s="384"/>
      <c r="CU99" s="384"/>
      <c r="CV99" s="384"/>
      <c r="CW99" s="384"/>
      <c r="CX99" s="384"/>
      <c r="CY99" s="384"/>
      <c r="CZ99" s="384"/>
      <c r="DA99" s="384"/>
      <c r="DB99" s="384"/>
      <c r="DC99" s="384"/>
      <c r="DD99" s="384"/>
      <c r="DE99" s="384"/>
      <c r="DF99" s="384"/>
      <c r="DG99" s="384"/>
      <c r="DH99" s="384"/>
    </row>
    <row r="100" spans="1:112" s="254" customFormat="1" ht="67.5" customHeight="1" x14ac:dyDescent="0.2">
      <c r="A100" s="255" t="s">
        <v>597</v>
      </c>
      <c r="B100" s="256">
        <v>2152</v>
      </c>
      <c r="C100" s="257" t="s">
        <v>6</v>
      </c>
      <c r="D100" s="257" t="s">
        <v>6</v>
      </c>
      <c r="E100" s="257" t="s">
        <v>6</v>
      </c>
      <c r="F100" s="257" t="s">
        <v>6</v>
      </c>
      <c r="G100" s="407" t="s">
        <v>598</v>
      </c>
      <c r="J100" s="384"/>
      <c r="K100" s="384"/>
      <c r="L100" s="384"/>
      <c r="M100" s="384"/>
      <c r="N100" s="384"/>
      <c r="O100" s="384"/>
      <c r="P100" s="384"/>
      <c r="Q100" s="384"/>
      <c r="R100" s="384"/>
      <c r="S100" s="384"/>
      <c r="T100" s="384"/>
      <c r="U100" s="384"/>
      <c r="V100" s="384"/>
      <c r="W100" s="384"/>
      <c r="X100" s="384"/>
      <c r="Y100" s="384"/>
      <c r="Z100" s="384"/>
      <c r="AA100" s="384"/>
      <c r="AB100" s="384"/>
      <c r="AC100" s="384"/>
      <c r="AD100" s="384"/>
      <c r="AE100" s="384"/>
      <c r="AF100" s="384"/>
      <c r="AG100" s="384"/>
      <c r="AH100" s="384"/>
      <c r="AI100" s="384"/>
      <c r="AJ100" s="384"/>
      <c r="AK100" s="384"/>
      <c r="AL100" s="384"/>
      <c r="AM100" s="384"/>
      <c r="AN100" s="384"/>
      <c r="AO100" s="384"/>
      <c r="AP100" s="384"/>
      <c r="AQ100" s="384"/>
      <c r="AR100" s="384"/>
      <c r="AS100" s="384"/>
      <c r="AT100" s="384"/>
      <c r="AU100" s="384"/>
      <c r="AV100" s="384"/>
      <c r="AW100" s="384"/>
      <c r="AX100" s="384"/>
      <c r="AY100" s="384"/>
      <c r="AZ100" s="384"/>
      <c r="BA100" s="384"/>
      <c r="BB100" s="384"/>
      <c r="BC100" s="384"/>
      <c r="BD100" s="384"/>
      <c r="BE100" s="384"/>
      <c r="BF100" s="384"/>
      <c r="BG100" s="384"/>
      <c r="BH100" s="384"/>
      <c r="BI100" s="384"/>
      <c r="BJ100" s="384"/>
      <c r="BK100" s="384"/>
      <c r="BL100" s="384"/>
      <c r="BM100" s="384"/>
      <c r="BN100" s="384"/>
      <c r="BO100" s="384"/>
      <c r="BP100" s="384"/>
      <c r="BQ100" s="384"/>
      <c r="BR100" s="384"/>
      <c r="BS100" s="384"/>
      <c r="BT100" s="384"/>
      <c r="BU100" s="384"/>
      <c r="BV100" s="384"/>
      <c r="BW100" s="384"/>
      <c r="BX100" s="384"/>
      <c r="BY100" s="384"/>
      <c r="BZ100" s="384"/>
      <c r="CA100" s="384"/>
      <c r="CB100" s="384"/>
      <c r="CC100" s="384"/>
      <c r="CD100" s="384"/>
      <c r="CE100" s="384"/>
      <c r="CF100" s="384"/>
      <c r="CG100" s="384"/>
      <c r="CH100" s="384"/>
      <c r="CI100" s="384"/>
      <c r="CJ100" s="384"/>
      <c r="CK100" s="384"/>
      <c r="CL100" s="384"/>
      <c r="CM100" s="384"/>
      <c r="CN100" s="384"/>
      <c r="CO100" s="384"/>
      <c r="CP100" s="384"/>
      <c r="CQ100" s="384"/>
      <c r="CR100" s="384"/>
      <c r="CS100" s="384"/>
      <c r="CT100" s="384"/>
      <c r="CU100" s="384"/>
      <c r="CV100" s="384"/>
      <c r="CW100" s="384"/>
      <c r="CX100" s="384"/>
      <c r="CY100" s="384"/>
      <c r="CZ100" s="384"/>
      <c r="DA100" s="384"/>
      <c r="DB100" s="384"/>
      <c r="DC100" s="384"/>
      <c r="DD100" s="384"/>
      <c r="DE100" s="384"/>
      <c r="DF100" s="384"/>
      <c r="DG100" s="384"/>
      <c r="DH100" s="384"/>
    </row>
    <row r="101" spans="1:112" s="254" customFormat="1" ht="152.25" customHeight="1" thickBot="1" x14ac:dyDescent="0.25">
      <c r="A101" s="255" t="s">
        <v>599</v>
      </c>
      <c r="B101" s="256">
        <v>73230</v>
      </c>
      <c r="C101" s="257" t="s">
        <v>6</v>
      </c>
      <c r="D101" s="257" t="s">
        <v>6</v>
      </c>
      <c r="E101" s="257" t="s">
        <v>6</v>
      </c>
      <c r="F101" s="257" t="s">
        <v>6</v>
      </c>
      <c r="G101" s="407" t="s">
        <v>600</v>
      </c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384"/>
      <c r="AG101" s="384"/>
      <c r="AH101" s="384"/>
      <c r="AI101" s="384"/>
      <c r="AJ101" s="384"/>
      <c r="AK101" s="384"/>
      <c r="AL101" s="384"/>
      <c r="AM101" s="384"/>
      <c r="AN101" s="384"/>
      <c r="AO101" s="384"/>
      <c r="AP101" s="384"/>
      <c r="AQ101" s="384"/>
      <c r="AR101" s="384"/>
      <c r="AS101" s="384"/>
      <c r="AT101" s="384"/>
      <c r="AU101" s="384"/>
      <c r="AV101" s="384"/>
      <c r="AW101" s="384"/>
      <c r="AX101" s="384"/>
      <c r="AY101" s="384"/>
      <c r="AZ101" s="384"/>
      <c r="BA101" s="384"/>
      <c r="BB101" s="384"/>
      <c r="BC101" s="384"/>
      <c r="BD101" s="384"/>
      <c r="BE101" s="384"/>
      <c r="BF101" s="384"/>
      <c r="BG101" s="384"/>
      <c r="BH101" s="384"/>
      <c r="BI101" s="384"/>
      <c r="BJ101" s="384"/>
      <c r="BK101" s="384"/>
      <c r="BL101" s="384"/>
      <c r="BM101" s="384"/>
      <c r="BN101" s="384"/>
      <c r="BO101" s="384"/>
      <c r="BP101" s="384"/>
      <c r="BQ101" s="384"/>
      <c r="BR101" s="384"/>
      <c r="BS101" s="384"/>
      <c r="BT101" s="384"/>
      <c r="BU101" s="384"/>
      <c r="BV101" s="384"/>
      <c r="BW101" s="384"/>
      <c r="BX101" s="384"/>
      <c r="BY101" s="384"/>
      <c r="BZ101" s="384"/>
      <c r="CA101" s="384"/>
      <c r="CB101" s="384"/>
      <c r="CC101" s="384"/>
      <c r="CD101" s="384"/>
      <c r="CE101" s="384"/>
      <c r="CF101" s="384"/>
      <c r="CG101" s="384"/>
      <c r="CH101" s="384"/>
      <c r="CI101" s="384"/>
      <c r="CJ101" s="384"/>
      <c r="CK101" s="384"/>
      <c r="CL101" s="384"/>
      <c r="CM101" s="384"/>
      <c r="CN101" s="384"/>
      <c r="CO101" s="384"/>
      <c r="CP101" s="384"/>
      <c r="CQ101" s="384"/>
      <c r="CR101" s="384"/>
      <c r="CS101" s="384"/>
      <c r="CT101" s="384"/>
      <c r="CU101" s="384"/>
      <c r="CV101" s="384"/>
      <c r="CW101" s="384"/>
      <c r="CX101" s="384"/>
      <c r="CY101" s="384"/>
      <c r="CZ101" s="384"/>
      <c r="DA101" s="384"/>
      <c r="DB101" s="384"/>
      <c r="DC101" s="384"/>
      <c r="DD101" s="384"/>
      <c r="DE101" s="384"/>
      <c r="DF101" s="384"/>
      <c r="DG101" s="384"/>
      <c r="DH101" s="384"/>
    </row>
    <row r="102" spans="1:112" s="254" customFormat="1" ht="14.25" customHeight="1" thickBot="1" x14ac:dyDescent="0.25">
      <c r="A102" s="265" t="s">
        <v>354</v>
      </c>
      <c r="B102" s="259">
        <f>SUM(B100:B101)</f>
        <v>75382</v>
      </c>
      <c r="C102" s="259">
        <f>SUM(C100:C101)</f>
        <v>0</v>
      </c>
      <c r="D102" s="259">
        <f>SUM(D100:D101)</f>
        <v>0</v>
      </c>
      <c r="E102" s="259">
        <f>SUM(E100:E101)</f>
        <v>0</v>
      </c>
      <c r="F102" s="259">
        <f>SUM(F100:F101)</f>
        <v>0</v>
      </c>
      <c r="G102" s="260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  <c r="Y102" s="384"/>
      <c r="Z102" s="384"/>
      <c r="AA102" s="384"/>
      <c r="AB102" s="384"/>
      <c r="AC102" s="384"/>
      <c r="AD102" s="384"/>
      <c r="AE102" s="384"/>
      <c r="AF102" s="384"/>
      <c r="AG102" s="384"/>
      <c r="AH102" s="384"/>
      <c r="AI102" s="384"/>
      <c r="AJ102" s="384"/>
      <c r="AK102" s="384"/>
      <c r="AL102" s="384"/>
      <c r="AM102" s="384"/>
      <c r="AN102" s="384"/>
      <c r="AO102" s="384"/>
      <c r="AP102" s="384"/>
      <c r="AQ102" s="384"/>
      <c r="AR102" s="384"/>
      <c r="AS102" s="384"/>
      <c r="AT102" s="384"/>
      <c r="AU102" s="384"/>
      <c r="AV102" s="384"/>
      <c r="AW102" s="384"/>
      <c r="AX102" s="384"/>
      <c r="AY102" s="384"/>
      <c r="AZ102" s="384"/>
      <c r="BA102" s="384"/>
      <c r="BB102" s="384"/>
      <c r="BC102" s="384"/>
      <c r="BD102" s="384"/>
      <c r="BE102" s="384"/>
      <c r="BF102" s="384"/>
      <c r="BG102" s="384"/>
      <c r="BH102" s="384"/>
      <c r="BI102" s="384"/>
      <c r="BJ102" s="384"/>
      <c r="BK102" s="384"/>
      <c r="BL102" s="384"/>
      <c r="BM102" s="384"/>
      <c r="BN102" s="384"/>
      <c r="BO102" s="384"/>
      <c r="BP102" s="384"/>
      <c r="BQ102" s="384"/>
      <c r="BR102" s="384"/>
      <c r="BS102" s="384"/>
      <c r="BT102" s="384"/>
      <c r="BU102" s="384"/>
      <c r="BV102" s="384"/>
      <c r="BW102" s="384"/>
      <c r="BX102" s="384"/>
      <c r="BY102" s="384"/>
      <c r="BZ102" s="384"/>
      <c r="CA102" s="384"/>
      <c r="CB102" s="384"/>
      <c r="CC102" s="384"/>
      <c r="CD102" s="384"/>
      <c r="CE102" s="384"/>
      <c r="CF102" s="384"/>
      <c r="CG102" s="384"/>
      <c r="CH102" s="384"/>
      <c r="CI102" s="384"/>
      <c r="CJ102" s="384"/>
      <c r="CK102" s="384"/>
      <c r="CL102" s="384"/>
      <c r="CM102" s="384"/>
      <c r="CN102" s="384"/>
      <c r="CO102" s="384"/>
      <c r="CP102" s="384"/>
      <c r="CQ102" s="384"/>
      <c r="CR102" s="384"/>
      <c r="CS102" s="384"/>
      <c r="CT102" s="384"/>
      <c r="CU102" s="384"/>
      <c r="CV102" s="384"/>
      <c r="CW102" s="384"/>
      <c r="CX102" s="384"/>
      <c r="CY102" s="384"/>
      <c r="CZ102" s="384"/>
      <c r="DA102" s="384"/>
      <c r="DB102" s="384"/>
      <c r="DC102" s="384"/>
      <c r="DD102" s="384"/>
      <c r="DE102" s="384"/>
      <c r="DF102" s="384"/>
      <c r="DG102" s="384"/>
      <c r="DH102" s="384"/>
    </row>
    <row r="103" spans="1:112" s="254" customFormat="1" ht="9" customHeight="1" thickBot="1" x14ac:dyDescent="0.25">
      <c r="A103" s="415"/>
      <c r="B103" s="386"/>
      <c r="C103" s="387"/>
      <c r="D103" s="387"/>
      <c r="E103" s="387"/>
      <c r="F103" s="387"/>
      <c r="G103" s="388"/>
      <c r="J103" s="384"/>
      <c r="K103" s="384"/>
      <c r="L103" s="384"/>
      <c r="M103" s="384"/>
      <c r="N103" s="384"/>
      <c r="O103" s="384"/>
      <c r="P103" s="384"/>
      <c r="Q103" s="384"/>
      <c r="R103" s="384"/>
      <c r="S103" s="384"/>
      <c r="T103" s="384"/>
      <c r="U103" s="384"/>
      <c r="V103" s="384"/>
      <c r="W103" s="384"/>
      <c r="X103" s="384"/>
      <c r="Y103" s="384"/>
      <c r="Z103" s="384"/>
      <c r="AA103" s="384"/>
      <c r="AB103" s="384"/>
      <c r="AC103" s="384"/>
      <c r="AD103" s="384"/>
      <c r="AE103" s="384"/>
      <c r="AF103" s="384"/>
      <c r="AG103" s="384"/>
      <c r="AH103" s="384"/>
      <c r="AI103" s="384"/>
      <c r="AJ103" s="384"/>
      <c r="AK103" s="384"/>
      <c r="AL103" s="384"/>
      <c r="AM103" s="384"/>
      <c r="AN103" s="384"/>
      <c r="AO103" s="384"/>
      <c r="AP103" s="384"/>
      <c r="AQ103" s="384"/>
      <c r="AR103" s="384"/>
      <c r="AS103" s="384"/>
      <c r="AT103" s="384"/>
      <c r="AU103" s="384"/>
      <c r="AV103" s="384"/>
      <c r="AW103" s="384"/>
      <c r="AX103" s="384"/>
      <c r="AY103" s="384"/>
      <c r="AZ103" s="384"/>
      <c r="BA103" s="384"/>
      <c r="BB103" s="384"/>
      <c r="BC103" s="384"/>
      <c r="BD103" s="384"/>
      <c r="BE103" s="384"/>
      <c r="BF103" s="384"/>
      <c r="BG103" s="384"/>
      <c r="BH103" s="384"/>
      <c r="BI103" s="384"/>
      <c r="BJ103" s="384"/>
      <c r="BK103" s="384"/>
      <c r="BL103" s="384"/>
      <c r="BM103" s="384"/>
      <c r="BN103" s="384"/>
      <c r="BO103" s="384"/>
      <c r="BP103" s="384"/>
      <c r="BQ103" s="384"/>
      <c r="BR103" s="384"/>
      <c r="BS103" s="384"/>
      <c r="BT103" s="384"/>
      <c r="BU103" s="384"/>
      <c r="BV103" s="384"/>
      <c r="BW103" s="384"/>
      <c r="BX103" s="384"/>
      <c r="BY103" s="384"/>
      <c r="BZ103" s="384"/>
      <c r="CA103" s="384"/>
      <c r="CB103" s="384"/>
      <c r="CC103" s="384"/>
      <c r="CD103" s="384"/>
      <c r="CE103" s="384"/>
      <c r="CF103" s="384"/>
      <c r="CG103" s="384"/>
      <c r="CH103" s="384"/>
      <c r="CI103" s="384"/>
      <c r="CJ103" s="384"/>
      <c r="CK103" s="384"/>
      <c r="CL103" s="384"/>
      <c r="CM103" s="384"/>
      <c r="CN103" s="384"/>
      <c r="CO103" s="384"/>
      <c r="CP103" s="384"/>
      <c r="CQ103" s="384"/>
      <c r="CR103" s="384"/>
      <c r="CS103" s="384"/>
      <c r="CT103" s="384"/>
      <c r="CU103" s="384"/>
      <c r="CV103" s="384"/>
      <c r="CW103" s="384"/>
      <c r="CX103" s="384"/>
      <c r="CY103" s="384"/>
      <c r="CZ103" s="384"/>
      <c r="DA103" s="384"/>
      <c r="DB103" s="384"/>
      <c r="DC103" s="384"/>
      <c r="DD103" s="384"/>
      <c r="DE103" s="384"/>
      <c r="DF103" s="384"/>
      <c r="DG103" s="384"/>
      <c r="DH103" s="384"/>
    </row>
    <row r="104" spans="1:112" s="254" customFormat="1" ht="18" customHeight="1" thickBot="1" x14ac:dyDescent="0.25">
      <c r="A104" s="284" t="s">
        <v>190</v>
      </c>
      <c r="B104" s="259">
        <f>SUM(B11,B24,B56,B60,B71,B79,B82,B63,B85,B91,B95,B102)</f>
        <v>21113039.566999998</v>
      </c>
      <c r="C104" s="259">
        <f>SUM(C11,C24,C56,C60,C71,C79,C82,C63,C85,C91,C95,C102)</f>
        <v>3421665.202</v>
      </c>
      <c r="D104" s="259">
        <f>SUM(D11,D24,D56,D60,D71,D79,D82,D63,D85,D91,D95,D102)</f>
        <v>3190570.8909999998</v>
      </c>
      <c r="E104" s="259">
        <f>SUM(E11,E24,E56,E60,E71,E79,E82,E63,E85,E91,E95,E102)</f>
        <v>2917785.4739999999</v>
      </c>
      <c r="F104" s="259">
        <f>SUM(F11,F24,F56,F60,F71,F79,F82,F63,F85,F91,F95,F102)</f>
        <v>11507636</v>
      </c>
      <c r="G104" s="285"/>
      <c r="J104" s="384"/>
      <c r="K104" s="384"/>
      <c r="L104" s="384"/>
      <c r="M104" s="384"/>
      <c r="N104" s="384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4"/>
      <c r="AG104" s="384"/>
      <c r="AH104" s="384"/>
      <c r="AI104" s="384"/>
      <c r="AJ104" s="384"/>
      <c r="AK104" s="384"/>
      <c r="AL104" s="384"/>
      <c r="AM104" s="384"/>
      <c r="AN104" s="384"/>
      <c r="AO104" s="384"/>
      <c r="AP104" s="384"/>
      <c r="AQ104" s="384"/>
      <c r="AR104" s="384"/>
      <c r="AS104" s="384"/>
      <c r="AT104" s="384"/>
      <c r="AU104" s="384"/>
      <c r="AV104" s="384"/>
      <c r="AW104" s="384"/>
      <c r="AX104" s="384"/>
      <c r="AY104" s="384"/>
      <c r="AZ104" s="384"/>
      <c r="BA104" s="384"/>
      <c r="BB104" s="384"/>
      <c r="BC104" s="384"/>
      <c r="BD104" s="384"/>
      <c r="BE104" s="384"/>
      <c r="BF104" s="384"/>
      <c r="BG104" s="384"/>
      <c r="BH104" s="384"/>
      <c r="BI104" s="384"/>
      <c r="BJ104" s="384"/>
      <c r="BK104" s="384"/>
      <c r="BL104" s="384"/>
      <c r="BM104" s="384"/>
      <c r="BN104" s="384"/>
      <c r="BO104" s="384"/>
      <c r="BP104" s="384"/>
      <c r="BQ104" s="384"/>
      <c r="BR104" s="384"/>
      <c r="BS104" s="384"/>
      <c r="BT104" s="384"/>
      <c r="BU104" s="384"/>
      <c r="BV104" s="384"/>
      <c r="BW104" s="384"/>
      <c r="BX104" s="384"/>
      <c r="BY104" s="384"/>
      <c r="BZ104" s="384"/>
      <c r="CA104" s="384"/>
      <c r="CB104" s="384"/>
      <c r="CC104" s="384"/>
      <c r="CD104" s="384"/>
      <c r="CE104" s="384"/>
      <c r="CF104" s="384"/>
      <c r="CG104" s="384"/>
      <c r="CH104" s="384"/>
      <c r="CI104" s="384"/>
      <c r="CJ104" s="384"/>
      <c r="CK104" s="384"/>
      <c r="CL104" s="384"/>
      <c r="CM104" s="384"/>
      <c r="CN104" s="384"/>
      <c r="CO104" s="384"/>
      <c r="CP104" s="384"/>
      <c r="CQ104" s="384"/>
      <c r="CR104" s="384"/>
      <c r="CS104" s="384"/>
      <c r="CT104" s="384"/>
      <c r="CU104" s="384"/>
      <c r="CV104" s="384"/>
      <c r="CW104" s="384"/>
      <c r="CX104" s="384"/>
      <c r="CY104" s="384"/>
      <c r="CZ104" s="384"/>
      <c r="DA104" s="384"/>
      <c r="DB104" s="384"/>
      <c r="DC104" s="384"/>
      <c r="DD104" s="384"/>
      <c r="DE104" s="384"/>
      <c r="DF104" s="384"/>
      <c r="DG104" s="384"/>
      <c r="DH104" s="384"/>
    </row>
    <row r="106" spans="1:112" s="286" customFormat="1" x14ac:dyDescent="0.2"/>
    <row r="107" spans="1:112" x14ac:dyDescent="0.2">
      <c r="A107" s="286"/>
      <c r="B107" s="286"/>
    </row>
    <row r="109" spans="1:112" x14ac:dyDescent="0.2">
      <c r="A109" s="464"/>
    </row>
    <row r="111" spans="1:112" x14ac:dyDescent="0.2">
      <c r="A111" s="461"/>
      <c r="B111" s="462"/>
      <c r="C111" s="463"/>
      <c r="D111" s="463"/>
      <c r="E111" s="463"/>
      <c r="F111" s="463"/>
      <c r="G111" s="462"/>
    </row>
  </sheetData>
  <mergeCells count="16">
    <mergeCell ref="A99:G99"/>
    <mergeCell ref="A12:G12"/>
    <mergeCell ref="A25:G25"/>
    <mergeCell ref="A57:G57"/>
    <mergeCell ref="A64:G64"/>
    <mergeCell ref="A92:G92"/>
    <mergeCell ref="A97:A98"/>
    <mergeCell ref="B97:B98"/>
    <mergeCell ref="C97:F97"/>
    <mergeCell ref="G97:G98"/>
    <mergeCell ref="A6:G6"/>
    <mergeCell ref="A2:G2"/>
    <mergeCell ref="A4:A5"/>
    <mergeCell ref="B4:B5"/>
    <mergeCell ref="C4:F4"/>
    <mergeCell ref="G4:G5"/>
  </mergeCells>
  <pageMargins left="0.39370078740157483" right="0.39370078740157483" top="0.78740157480314965" bottom="0.59055118110236227" header="0.31496062992125984" footer="0.31496062992125984"/>
  <pageSetup paperSize="9" firstPageNumber="18" fitToHeight="0" orientation="landscape" useFirstPageNumber="1" r:id="rId1"/>
  <headerFooter scaleWithDoc="0">
    <oddHeader>&amp;L&amp;"Tahoma,Kurzíva"&amp;9Střednědobý výhled rozpočtu kraje na léta 2020 - 2022
Příloha č. 13&amp;R&amp;"Tahoma,Kurzíva"&amp;9Přehled ostatních dlouhodobých závazků kraje</oddHeader>
    <oddFooter>&amp;C&amp;"Tahoma,Obyčejné"&amp;P</oddFooter>
  </headerFooter>
  <rowBreaks count="1" manualBreakCount="1">
    <brk id="24" max="6" man="1"/>
  </rowBreaks>
  <ignoredErrors>
    <ignoredError sqref="C5:F5 C98:F9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zoomScaleNormal="100" zoomScaleSheetLayoutView="100" workbookViewId="0">
      <selection activeCell="K10" sqref="K10"/>
    </sheetView>
  </sheetViews>
  <sheetFormatPr defaultColWidth="9.140625" defaultRowHeight="12.75" x14ac:dyDescent="0.2"/>
  <cols>
    <col min="1" max="1" width="39.140625" style="186" customWidth="1"/>
    <col min="2" max="2" width="9.42578125" style="186" hidden="1" customWidth="1"/>
    <col min="3" max="3" width="12.7109375" style="186" customWidth="1"/>
    <col min="4" max="4" width="11.85546875" style="187" customWidth="1"/>
    <col min="5" max="5" width="14.7109375" style="187" customWidth="1"/>
    <col min="6" max="9" width="15.7109375" style="186" customWidth="1"/>
    <col min="10" max="16384" width="9.140625" style="167"/>
  </cols>
  <sheetData>
    <row r="1" spans="1:9" s="512" customFormat="1" ht="15" customHeight="1" x14ac:dyDescent="0.2">
      <c r="A1" s="65" t="s">
        <v>88</v>
      </c>
      <c r="B1" s="65"/>
      <c r="F1" s="513"/>
      <c r="G1" s="513"/>
      <c r="H1" s="513"/>
      <c r="I1" s="513"/>
    </row>
    <row r="2" spans="1:9" s="73" customFormat="1" ht="6" customHeight="1" x14ac:dyDescent="0.25">
      <c r="A2" s="69"/>
      <c r="B2" s="69"/>
      <c r="C2" s="70"/>
      <c r="D2" s="70"/>
      <c r="E2" s="70"/>
      <c r="F2" s="72"/>
      <c r="G2" s="72"/>
      <c r="H2" s="72"/>
      <c r="I2" s="72"/>
    </row>
    <row r="3" spans="1:9" ht="18" customHeight="1" x14ac:dyDescent="0.2">
      <c r="A3" s="392" t="s">
        <v>136</v>
      </c>
      <c r="B3" s="392"/>
      <c r="C3" s="392"/>
      <c r="D3" s="392"/>
      <c r="E3" s="392"/>
      <c r="F3" s="392"/>
      <c r="G3" s="392"/>
      <c r="H3" s="392"/>
      <c r="I3" s="167"/>
    </row>
    <row r="4" spans="1:9" s="73" customFormat="1" ht="6" customHeight="1" x14ac:dyDescent="0.25">
      <c r="A4" s="69"/>
      <c r="B4" s="69"/>
      <c r="C4" s="70"/>
      <c r="D4" s="70"/>
      <c r="E4" s="70"/>
      <c r="F4" s="72"/>
      <c r="G4" s="72"/>
      <c r="H4" s="72"/>
      <c r="I4" s="72"/>
    </row>
    <row r="5" spans="1:9" ht="13.5" thickBot="1" x14ac:dyDescent="0.25">
      <c r="A5" s="168"/>
      <c r="B5" s="168"/>
      <c r="C5" s="168"/>
      <c r="D5" s="168"/>
      <c r="E5" s="168"/>
      <c r="F5" s="168"/>
      <c r="G5" s="168"/>
      <c r="H5" s="169"/>
      <c r="I5" s="169" t="s">
        <v>137</v>
      </c>
    </row>
    <row r="6" spans="1:9" ht="28.5" customHeight="1" x14ac:dyDescent="0.2">
      <c r="A6" s="611" t="s">
        <v>138</v>
      </c>
      <c r="B6" s="170"/>
      <c r="C6" s="613" t="s">
        <v>139</v>
      </c>
      <c r="D6" s="615" t="s">
        <v>360</v>
      </c>
      <c r="E6" s="613" t="s">
        <v>140</v>
      </c>
      <c r="F6" s="617" t="s">
        <v>141</v>
      </c>
      <c r="G6" s="617"/>
      <c r="H6" s="617"/>
      <c r="I6" s="618"/>
    </row>
    <row r="7" spans="1:9" ht="21" customHeight="1" thickBot="1" x14ac:dyDescent="0.25">
      <c r="A7" s="612"/>
      <c r="B7" s="530"/>
      <c r="C7" s="614"/>
      <c r="D7" s="616"/>
      <c r="E7" s="614"/>
      <c r="F7" s="531" t="s">
        <v>142</v>
      </c>
      <c r="G7" s="532" t="s">
        <v>143</v>
      </c>
      <c r="H7" s="531" t="s">
        <v>602</v>
      </c>
      <c r="I7" s="533" t="s">
        <v>603</v>
      </c>
    </row>
    <row r="8" spans="1:9" ht="18" customHeight="1" x14ac:dyDescent="0.2">
      <c r="A8" s="608" t="s">
        <v>226</v>
      </c>
      <c r="B8" s="609"/>
      <c r="C8" s="609"/>
      <c r="D8" s="609"/>
      <c r="E8" s="609"/>
      <c r="F8" s="609"/>
      <c r="G8" s="609"/>
      <c r="H8" s="609"/>
      <c r="I8" s="610"/>
    </row>
    <row r="9" spans="1:9" ht="24" customHeight="1" x14ac:dyDescent="0.2">
      <c r="A9" s="255" t="s">
        <v>188</v>
      </c>
      <c r="B9" s="451">
        <v>3303</v>
      </c>
      <c r="C9" s="173">
        <v>10790</v>
      </c>
      <c r="D9" s="174">
        <v>10</v>
      </c>
      <c r="E9" s="174" t="s">
        <v>154</v>
      </c>
      <c r="F9" s="292">
        <v>1438</v>
      </c>
      <c r="G9" s="292">
        <v>1438</v>
      </c>
      <c r="H9" s="291">
        <v>1438</v>
      </c>
      <c r="I9" s="393">
        <v>1438</v>
      </c>
    </row>
    <row r="10" spans="1:9" ht="15.75" customHeight="1" thickBot="1" x14ac:dyDescent="0.25">
      <c r="A10" s="269" t="s">
        <v>189</v>
      </c>
      <c r="B10" s="267">
        <v>3255</v>
      </c>
      <c r="C10" s="515">
        <v>60000</v>
      </c>
      <c r="D10" s="516">
        <v>10</v>
      </c>
      <c r="E10" s="516" t="s">
        <v>154</v>
      </c>
      <c r="F10" s="517">
        <v>1600</v>
      </c>
      <c r="G10" s="517">
        <v>1600</v>
      </c>
      <c r="H10" s="518">
        <v>1600</v>
      </c>
      <c r="I10" s="519">
        <v>1600</v>
      </c>
    </row>
    <row r="11" spans="1:9" ht="26.25" customHeight="1" thickBot="1" x14ac:dyDescent="0.25">
      <c r="A11" s="520" t="s">
        <v>365</v>
      </c>
      <c r="B11" s="521"/>
      <c r="C11" s="182" t="s">
        <v>6</v>
      </c>
      <c r="D11" s="182" t="s">
        <v>6</v>
      </c>
      <c r="E11" s="182" t="s">
        <v>6</v>
      </c>
      <c r="F11" s="522">
        <f>SUM(F9:F10)</f>
        <v>3038</v>
      </c>
      <c r="G11" s="522">
        <f t="shared" ref="G11:I11" si="0">SUM(G9:G10)</f>
        <v>3038</v>
      </c>
      <c r="H11" s="522">
        <f t="shared" si="0"/>
        <v>3038</v>
      </c>
      <c r="I11" s="523">
        <f t="shared" si="0"/>
        <v>3038</v>
      </c>
    </row>
    <row r="12" spans="1:9" ht="18" customHeight="1" x14ac:dyDescent="0.2">
      <c r="A12" s="619" t="s">
        <v>146</v>
      </c>
      <c r="B12" s="620"/>
      <c r="C12" s="620"/>
      <c r="D12" s="620"/>
      <c r="E12" s="620"/>
      <c r="F12" s="620"/>
      <c r="G12" s="620"/>
      <c r="H12" s="620"/>
      <c r="I12" s="621"/>
    </row>
    <row r="13" spans="1:9" ht="24" customHeight="1" x14ac:dyDescent="0.2">
      <c r="A13" s="255" t="s">
        <v>148</v>
      </c>
      <c r="B13" s="451">
        <v>3263</v>
      </c>
      <c r="C13" s="173">
        <v>84080</v>
      </c>
      <c r="D13" s="174">
        <v>10</v>
      </c>
      <c r="E13" s="174" t="s">
        <v>147</v>
      </c>
      <c r="F13" s="394">
        <v>0</v>
      </c>
      <c r="G13" s="292">
        <v>5140</v>
      </c>
      <c r="H13" s="291">
        <v>5140</v>
      </c>
      <c r="I13" s="393">
        <f>5140+5140+5140</f>
        <v>15420</v>
      </c>
    </row>
    <row r="14" spans="1:9" ht="24.75" customHeight="1" thickBot="1" x14ac:dyDescent="0.25">
      <c r="A14" s="269" t="s">
        <v>402</v>
      </c>
      <c r="B14" s="272">
        <v>3397</v>
      </c>
      <c r="C14" s="515">
        <v>51000</v>
      </c>
      <c r="D14" s="516">
        <v>10</v>
      </c>
      <c r="E14" s="516" t="s">
        <v>147</v>
      </c>
      <c r="F14" s="622" t="s">
        <v>174</v>
      </c>
      <c r="G14" s="623"/>
      <c r="H14" s="623"/>
      <c r="I14" s="624"/>
    </row>
    <row r="15" spans="1:9" ht="15.75" customHeight="1" thickBot="1" x14ac:dyDescent="0.25">
      <c r="A15" s="265" t="s">
        <v>149</v>
      </c>
      <c r="B15" s="525"/>
      <c r="C15" s="182" t="s">
        <v>6</v>
      </c>
      <c r="D15" s="182" t="s">
        <v>6</v>
      </c>
      <c r="E15" s="182" t="s">
        <v>6</v>
      </c>
      <c r="F15" s="522">
        <f>SUM(F13:F13)</f>
        <v>0</v>
      </c>
      <c r="G15" s="522">
        <f>SUM(G13:G13)</f>
        <v>5140</v>
      </c>
      <c r="H15" s="522">
        <f>SUM(H13:H13)</f>
        <v>5140</v>
      </c>
      <c r="I15" s="523">
        <f>SUM(I13:I13)</f>
        <v>15420</v>
      </c>
    </row>
    <row r="16" spans="1:9" ht="18" customHeight="1" x14ac:dyDescent="0.2">
      <c r="A16" s="625" t="s">
        <v>228</v>
      </c>
      <c r="B16" s="626"/>
      <c r="C16" s="626"/>
      <c r="D16" s="626"/>
      <c r="E16" s="626"/>
      <c r="F16" s="626"/>
      <c r="G16" s="626"/>
      <c r="H16" s="626"/>
      <c r="I16" s="627"/>
    </row>
    <row r="17" spans="1:9" ht="24" customHeight="1" x14ac:dyDescent="0.2">
      <c r="A17" s="171" t="s">
        <v>234</v>
      </c>
      <c r="B17" s="172">
        <v>3392</v>
      </c>
      <c r="C17" s="173">
        <v>103000</v>
      </c>
      <c r="D17" s="174">
        <v>10</v>
      </c>
      <c r="E17" s="174" t="s">
        <v>162</v>
      </c>
      <c r="F17" s="173">
        <v>0</v>
      </c>
      <c r="G17" s="173">
        <v>0</v>
      </c>
      <c r="H17" s="173">
        <v>14600</v>
      </c>
      <c r="I17" s="395">
        <v>58400</v>
      </c>
    </row>
    <row r="18" spans="1:9" ht="15.75" customHeight="1" thickBot="1" x14ac:dyDescent="0.25">
      <c r="A18" s="526" t="s">
        <v>144</v>
      </c>
      <c r="B18" s="272">
        <v>3321</v>
      </c>
      <c r="C18" s="515">
        <v>134000</v>
      </c>
      <c r="D18" s="516">
        <v>10</v>
      </c>
      <c r="E18" s="516" t="s">
        <v>145</v>
      </c>
      <c r="F18" s="515">
        <v>150</v>
      </c>
      <c r="G18" s="515">
        <v>150</v>
      </c>
      <c r="H18" s="515">
        <v>150</v>
      </c>
      <c r="I18" s="527">
        <v>300</v>
      </c>
    </row>
    <row r="19" spans="1:9" ht="26.25" customHeight="1" thickBot="1" x14ac:dyDescent="0.25">
      <c r="A19" s="528" t="s">
        <v>212</v>
      </c>
      <c r="B19" s="525"/>
      <c r="C19" s="182" t="s">
        <v>6</v>
      </c>
      <c r="D19" s="182" t="s">
        <v>6</v>
      </c>
      <c r="E19" s="182" t="s">
        <v>6</v>
      </c>
      <c r="F19" s="522">
        <f>SUM(F17:F18)</f>
        <v>150</v>
      </c>
      <c r="G19" s="522">
        <f t="shared" ref="G19:I19" si="1">SUM(G17:G18)</f>
        <v>150</v>
      </c>
      <c r="H19" s="522">
        <f t="shared" si="1"/>
        <v>14750</v>
      </c>
      <c r="I19" s="523">
        <f t="shared" si="1"/>
        <v>58700</v>
      </c>
    </row>
    <row r="20" spans="1:9" ht="18" customHeight="1" x14ac:dyDescent="0.2">
      <c r="A20" s="628" t="s">
        <v>150</v>
      </c>
      <c r="B20" s="629"/>
      <c r="C20" s="629"/>
      <c r="D20" s="629"/>
      <c r="E20" s="629"/>
      <c r="F20" s="629"/>
      <c r="G20" s="629"/>
      <c r="H20" s="629"/>
      <c r="I20" s="630"/>
    </row>
    <row r="21" spans="1:9" ht="15" customHeight="1" x14ac:dyDescent="0.2">
      <c r="A21" s="255" t="s">
        <v>151</v>
      </c>
      <c r="B21" s="172">
        <v>3305</v>
      </c>
      <c r="C21" s="173">
        <v>172000</v>
      </c>
      <c r="D21" s="174">
        <v>10</v>
      </c>
      <c r="E21" s="514" t="s">
        <v>152</v>
      </c>
      <c r="F21" s="394">
        <v>7434</v>
      </c>
      <c r="G21" s="292">
        <v>7434</v>
      </c>
      <c r="H21" s="291">
        <v>7434</v>
      </c>
      <c r="I21" s="393">
        <v>14868</v>
      </c>
    </row>
    <row r="22" spans="1:9" ht="15" customHeight="1" x14ac:dyDescent="0.2">
      <c r="A22" s="255" t="s">
        <v>153</v>
      </c>
      <c r="B22" s="172">
        <v>3253</v>
      </c>
      <c r="C22" s="173">
        <v>31523</v>
      </c>
      <c r="D22" s="174">
        <v>10</v>
      </c>
      <c r="E22" s="514" t="s">
        <v>154</v>
      </c>
      <c r="F22" s="292">
        <v>400</v>
      </c>
      <c r="G22" s="292">
        <v>400</v>
      </c>
      <c r="H22" s="291">
        <v>400</v>
      </c>
      <c r="I22" s="393">
        <v>400</v>
      </c>
    </row>
    <row r="23" spans="1:9" ht="15" customHeight="1" x14ac:dyDescent="0.2">
      <c r="A23" s="255" t="s">
        <v>424</v>
      </c>
      <c r="B23" s="172">
        <v>3250</v>
      </c>
      <c r="C23" s="173">
        <v>37500</v>
      </c>
      <c r="D23" s="174">
        <v>10</v>
      </c>
      <c r="E23" s="514" t="s">
        <v>152</v>
      </c>
      <c r="F23" s="292">
        <v>620</v>
      </c>
      <c r="G23" s="292">
        <v>620</v>
      </c>
      <c r="H23" s="291">
        <v>620</v>
      </c>
      <c r="I23" s="393">
        <f>620+620</f>
        <v>1240</v>
      </c>
    </row>
    <row r="24" spans="1:9" ht="21" x14ac:dyDescent="0.2">
      <c r="A24" s="255" t="s">
        <v>155</v>
      </c>
      <c r="B24" s="451">
        <v>3304</v>
      </c>
      <c r="C24" s="173">
        <v>106186</v>
      </c>
      <c r="D24" s="174">
        <v>10</v>
      </c>
      <c r="E24" s="514" t="s">
        <v>156</v>
      </c>
      <c r="F24" s="292">
        <v>3800</v>
      </c>
      <c r="G24" s="292">
        <v>3800</v>
      </c>
      <c r="H24" s="291">
        <v>3800</v>
      </c>
      <c r="I24" s="393">
        <v>7600</v>
      </c>
    </row>
    <row r="25" spans="1:9" ht="15" customHeight="1" x14ac:dyDescent="0.2">
      <c r="A25" s="255" t="s">
        <v>157</v>
      </c>
      <c r="B25" s="451">
        <v>3267</v>
      </c>
      <c r="C25" s="173">
        <v>57080</v>
      </c>
      <c r="D25" s="174">
        <v>10</v>
      </c>
      <c r="E25" s="514" t="s">
        <v>154</v>
      </c>
      <c r="F25" s="292">
        <v>360</v>
      </c>
      <c r="G25" s="292">
        <v>360</v>
      </c>
      <c r="H25" s="291">
        <v>360</v>
      </c>
      <c r="I25" s="393">
        <v>360</v>
      </c>
    </row>
    <row r="26" spans="1:9" ht="24" customHeight="1" x14ac:dyDescent="0.2">
      <c r="A26" s="255" t="s">
        <v>241</v>
      </c>
      <c r="B26" s="451">
        <v>3234</v>
      </c>
      <c r="C26" s="173">
        <v>51000</v>
      </c>
      <c r="D26" s="174">
        <v>10</v>
      </c>
      <c r="E26" s="514" t="s">
        <v>147</v>
      </c>
      <c r="F26" s="292">
        <v>0</v>
      </c>
      <c r="G26" s="292">
        <v>1940</v>
      </c>
      <c r="H26" s="291">
        <v>1940</v>
      </c>
      <c r="I26" s="393">
        <f>1940+1940+1940</f>
        <v>5820</v>
      </c>
    </row>
    <row r="27" spans="1:9" ht="15" customHeight="1" x14ac:dyDescent="0.2">
      <c r="A27" s="255" t="s">
        <v>158</v>
      </c>
      <c r="B27" s="451">
        <v>3233</v>
      </c>
      <c r="C27" s="173">
        <v>30835</v>
      </c>
      <c r="D27" s="174">
        <v>10</v>
      </c>
      <c r="E27" s="514" t="s">
        <v>154</v>
      </c>
      <c r="F27" s="292">
        <v>1650</v>
      </c>
      <c r="G27" s="292">
        <v>1650</v>
      </c>
      <c r="H27" s="291">
        <v>1650</v>
      </c>
      <c r="I27" s="393">
        <v>3300</v>
      </c>
    </row>
    <row r="28" spans="1:9" ht="24.75" customHeight="1" thickBot="1" x14ac:dyDescent="0.25">
      <c r="A28" s="269" t="s">
        <v>428</v>
      </c>
      <c r="B28" s="267">
        <v>3247</v>
      </c>
      <c r="C28" s="515">
        <v>27000</v>
      </c>
      <c r="D28" s="516">
        <v>10</v>
      </c>
      <c r="E28" s="534" t="s">
        <v>604</v>
      </c>
      <c r="F28" s="517">
        <v>0</v>
      </c>
      <c r="G28" s="517">
        <v>200</v>
      </c>
      <c r="H28" s="518">
        <v>400</v>
      </c>
      <c r="I28" s="519">
        <f>400+400+400+200</f>
        <v>1400</v>
      </c>
    </row>
    <row r="29" spans="1:9" ht="15.75" customHeight="1" thickBot="1" x14ac:dyDescent="0.25">
      <c r="A29" s="528" t="s">
        <v>159</v>
      </c>
      <c r="B29" s="525"/>
      <c r="C29" s="182" t="s">
        <v>6</v>
      </c>
      <c r="D29" s="182" t="s">
        <v>6</v>
      </c>
      <c r="E29" s="182" t="s">
        <v>6</v>
      </c>
      <c r="F29" s="522">
        <f>SUM(F21:F28)</f>
        <v>14264</v>
      </c>
      <c r="G29" s="522">
        <f t="shared" ref="G29:I29" si="2">SUM(G21:G28)</f>
        <v>16404</v>
      </c>
      <c r="H29" s="522">
        <f t="shared" si="2"/>
        <v>16604</v>
      </c>
      <c r="I29" s="523">
        <f t="shared" si="2"/>
        <v>34988</v>
      </c>
    </row>
    <row r="30" spans="1:9" ht="18" customHeight="1" x14ac:dyDescent="0.2">
      <c r="A30" s="628" t="s">
        <v>164</v>
      </c>
      <c r="B30" s="629"/>
      <c r="C30" s="629"/>
      <c r="D30" s="629"/>
      <c r="E30" s="629"/>
      <c r="F30" s="629"/>
      <c r="G30" s="629"/>
      <c r="H30" s="629"/>
      <c r="I30" s="630"/>
    </row>
    <row r="31" spans="1:9" ht="15.75" customHeight="1" thickBot="1" x14ac:dyDescent="0.25">
      <c r="A31" s="269" t="s">
        <v>165</v>
      </c>
      <c r="B31" s="267">
        <v>3256</v>
      </c>
      <c r="C31" s="515">
        <v>45480</v>
      </c>
      <c r="D31" s="516">
        <v>15</v>
      </c>
      <c r="E31" s="516" t="s">
        <v>154</v>
      </c>
      <c r="F31" s="517">
        <v>250</v>
      </c>
      <c r="G31" s="517">
        <v>250</v>
      </c>
      <c r="H31" s="518">
        <v>0</v>
      </c>
      <c r="I31" s="519">
        <v>0</v>
      </c>
    </row>
    <row r="32" spans="1:9" ht="15.75" customHeight="1" thickBot="1" x14ac:dyDescent="0.25">
      <c r="A32" s="520" t="s">
        <v>166</v>
      </c>
      <c r="B32" s="521"/>
      <c r="C32" s="182" t="s">
        <v>6</v>
      </c>
      <c r="D32" s="182"/>
      <c r="E32" s="182"/>
      <c r="F32" s="522">
        <f>SUM(F31)</f>
        <v>250</v>
      </c>
      <c r="G32" s="522">
        <f t="shared" ref="G32:I32" si="3">SUM(G31)</f>
        <v>250</v>
      </c>
      <c r="H32" s="522">
        <f t="shared" si="3"/>
        <v>0</v>
      </c>
      <c r="I32" s="523">
        <f t="shared" si="3"/>
        <v>0</v>
      </c>
    </row>
    <row r="33" spans="1:9" ht="18" customHeight="1" x14ac:dyDescent="0.2">
      <c r="A33" s="608" t="s">
        <v>160</v>
      </c>
      <c r="B33" s="609"/>
      <c r="C33" s="609"/>
      <c r="D33" s="609"/>
      <c r="E33" s="609"/>
      <c r="F33" s="609"/>
      <c r="G33" s="609"/>
      <c r="H33" s="609"/>
      <c r="I33" s="610"/>
    </row>
    <row r="34" spans="1:9" ht="15.75" customHeight="1" thickBot="1" x14ac:dyDescent="0.25">
      <c r="A34" s="269" t="s">
        <v>246</v>
      </c>
      <c r="B34" s="535">
        <v>3277</v>
      </c>
      <c r="C34" s="515">
        <v>6450</v>
      </c>
      <c r="D34" s="516">
        <v>10</v>
      </c>
      <c r="E34" s="516" t="s">
        <v>154</v>
      </c>
      <c r="F34" s="529">
        <v>30</v>
      </c>
      <c r="G34" s="524">
        <v>60</v>
      </c>
      <c r="H34" s="515">
        <v>60</v>
      </c>
      <c r="I34" s="527">
        <f>60+60+30</f>
        <v>150</v>
      </c>
    </row>
    <row r="35" spans="1:9" ht="15.75" customHeight="1" thickBot="1" x14ac:dyDescent="0.25">
      <c r="A35" s="520" t="s">
        <v>163</v>
      </c>
      <c r="B35" s="521"/>
      <c r="C35" s="182" t="s">
        <v>6</v>
      </c>
      <c r="D35" s="182" t="s">
        <v>6</v>
      </c>
      <c r="E35" s="182" t="s">
        <v>6</v>
      </c>
      <c r="F35" s="522">
        <f>SUM(F34:F34)</f>
        <v>30</v>
      </c>
      <c r="G35" s="522">
        <f t="shared" ref="G35:I35" si="4">SUM(G34:G34)</f>
        <v>60</v>
      </c>
      <c r="H35" s="522">
        <f t="shared" si="4"/>
        <v>60</v>
      </c>
      <c r="I35" s="523">
        <f t="shared" si="4"/>
        <v>150</v>
      </c>
    </row>
    <row r="36" spans="1:9" ht="18" customHeight="1" x14ac:dyDescent="0.2">
      <c r="A36" s="628" t="s">
        <v>167</v>
      </c>
      <c r="B36" s="629"/>
      <c r="C36" s="629"/>
      <c r="D36" s="629"/>
      <c r="E36" s="629"/>
      <c r="F36" s="629"/>
      <c r="G36" s="629"/>
      <c r="H36" s="629"/>
      <c r="I36" s="630"/>
    </row>
    <row r="37" spans="1:9" ht="24" customHeight="1" x14ac:dyDescent="0.2">
      <c r="A37" s="255" t="s">
        <v>168</v>
      </c>
      <c r="B37" s="451">
        <v>3372</v>
      </c>
      <c r="C37" s="173">
        <v>28000</v>
      </c>
      <c r="D37" s="174">
        <v>10</v>
      </c>
      <c r="E37" s="174" t="s">
        <v>147</v>
      </c>
      <c r="F37" s="292">
        <v>1416</v>
      </c>
      <c r="G37" s="292">
        <v>1416</v>
      </c>
      <c r="H37" s="291">
        <v>1416</v>
      </c>
      <c r="I37" s="395">
        <v>2832</v>
      </c>
    </row>
    <row r="38" spans="1:9" ht="24" customHeight="1" x14ac:dyDescent="0.2">
      <c r="A38" s="255" t="s">
        <v>169</v>
      </c>
      <c r="B38" s="172">
        <v>3210</v>
      </c>
      <c r="C38" s="173">
        <v>58000</v>
      </c>
      <c r="D38" s="174">
        <v>10</v>
      </c>
      <c r="E38" s="174" t="s">
        <v>152</v>
      </c>
      <c r="F38" s="292">
        <v>0</v>
      </c>
      <c r="G38" s="292">
        <v>3079.5</v>
      </c>
      <c r="H38" s="291">
        <v>3079.5</v>
      </c>
      <c r="I38" s="393">
        <f>6159+3080</f>
        <v>9239</v>
      </c>
    </row>
    <row r="39" spans="1:9" ht="15" customHeight="1" x14ac:dyDescent="0.2">
      <c r="A39" s="255" t="s">
        <v>173</v>
      </c>
      <c r="B39" s="172">
        <v>3383</v>
      </c>
      <c r="C39" s="173">
        <v>16000</v>
      </c>
      <c r="D39" s="174">
        <v>10</v>
      </c>
      <c r="E39" s="174" t="s">
        <v>147</v>
      </c>
      <c r="F39" s="292">
        <v>0</v>
      </c>
      <c r="G39" s="292">
        <v>3500</v>
      </c>
      <c r="H39" s="291">
        <v>3500</v>
      </c>
      <c r="I39" s="393">
        <f>3500+3500+3500</f>
        <v>10500</v>
      </c>
    </row>
    <row r="40" spans="1:9" ht="15" customHeight="1" x14ac:dyDescent="0.2">
      <c r="A40" s="255" t="s">
        <v>170</v>
      </c>
      <c r="B40" s="172">
        <v>3211</v>
      </c>
      <c r="C40" s="173">
        <v>27307</v>
      </c>
      <c r="D40" s="174">
        <v>10</v>
      </c>
      <c r="E40" s="174" t="s">
        <v>154</v>
      </c>
      <c r="F40" s="292">
        <v>3183.64</v>
      </c>
      <c r="G40" s="292">
        <v>3183.64</v>
      </c>
      <c r="H40" s="291">
        <v>3183.64</v>
      </c>
      <c r="I40" s="393">
        <v>6367.28</v>
      </c>
    </row>
    <row r="41" spans="1:9" ht="24" customHeight="1" x14ac:dyDescent="0.2">
      <c r="A41" s="255" t="s">
        <v>171</v>
      </c>
      <c r="B41" s="172">
        <v>3209</v>
      </c>
      <c r="C41" s="173">
        <v>44000</v>
      </c>
      <c r="D41" s="174">
        <v>10</v>
      </c>
      <c r="E41" s="174" t="s">
        <v>152</v>
      </c>
      <c r="F41" s="292">
        <v>0</v>
      </c>
      <c r="G41" s="292">
        <v>732</v>
      </c>
      <c r="H41" s="291">
        <v>732</v>
      </c>
      <c r="I41" s="393">
        <f>732+732+732</f>
        <v>2196</v>
      </c>
    </row>
    <row r="42" spans="1:9" ht="24.75" customHeight="1" thickBot="1" x14ac:dyDescent="0.25">
      <c r="A42" s="269" t="s">
        <v>172</v>
      </c>
      <c r="B42" s="535">
        <v>3371</v>
      </c>
      <c r="C42" s="515">
        <v>38000</v>
      </c>
      <c r="D42" s="516">
        <v>10</v>
      </c>
      <c r="E42" s="516" t="s">
        <v>147</v>
      </c>
      <c r="F42" s="517">
        <v>0</v>
      </c>
      <c r="G42" s="517">
        <v>403.8</v>
      </c>
      <c r="H42" s="518">
        <v>403.8</v>
      </c>
      <c r="I42" s="519">
        <f>404+807.6</f>
        <v>1211.5999999999999</v>
      </c>
    </row>
    <row r="43" spans="1:9" ht="15.75" customHeight="1" thickBot="1" x14ac:dyDescent="0.25">
      <c r="A43" s="528" t="s">
        <v>175</v>
      </c>
      <c r="B43" s="525"/>
      <c r="C43" s="182" t="s">
        <v>6</v>
      </c>
      <c r="D43" s="182" t="s">
        <v>6</v>
      </c>
      <c r="E43" s="182" t="s">
        <v>6</v>
      </c>
      <c r="F43" s="522">
        <f>SUM(F37:F42)</f>
        <v>4599.6399999999994</v>
      </c>
      <c r="G43" s="522">
        <f t="shared" ref="G43:I43" si="5">SUM(G37:G42)</f>
        <v>12314.939999999999</v>
      </c>
      <c r="H43" s="522">
        <f t="shared" si="5"/>
        <v>12314.939999999999</v>
      </c>
      <c r="I43" s="523">
        <f t="shared" si="5"/>
        <v>32345.879999999997</v>
      </c>
    </row>
    <row r="44" spans="1:9" ht="18" customHeight="1" x14ac:dyDescent="0.2">
      <c r="A44" s="628" t="s">
        <v>176</v>
      </c>
      <c r="B44" s="629"/>
      <c r="C44" s="629"/>
      <c r="D44" s="629"/>
      <c r="E44" s="629"/>
      <c r="F44" s="629"/>
      <c r="G44" s="629"/>
      <c r="H44" s="629"/>
      <c r="I44" s="630"/>
    </row>
    <row r="45" spans="1:9" ht="15" customHeight="1" x14ac:dyDescent="0.2">
      <c r="A45" s="255" t="s">
        <v>462</v>
      </c>
      <c r="B45" s="451">
        <v>3423</v>
      </c>
      <c r="C45" s="173">
        <v>8000</v>
      </c>
      <c r="D45" s="174">
        <v>10</v>
      </c>
      <c r="E45" s="174" t="s">
        <v>162</v>
      </c>
      <c r="F45" s="292">
        <v>0</v>
      </c>
      <c r="G45" s="292">
        <v>0</v>
      </c>
      <c r="H45" s="291">
        <v>240</v>
      </c>
      <c r="I45" s="393">
        <f>240+240+240+240</f>
        <v>960</v>
      </c>
    </row>
    <row r="46" spans="1:9" ht="15" customHeight="1" x14ac:dyDescent="0.2">
      <c r="A46" s="255" t="s">
        <v>466</v>
      </c>
      <c r="B46" s="451">
        <v>3285</v>
      </c>
      <c r="C46" s="173">
        <v>32000</v>
      </c>
      <c r="D46" s="174">
        <v>10</v>
      </c>
      <c r="E46" s="174" t="s">
        <v>162</v>
      </c>
      <c r="F46" s="292">
        <v>0</v>
      </c>
      <c r="G46" s="292">
        <v>1640</v>
      </c>
      <c r="H46" s="291">
        <v>1640</v>
      </c>
      <c r="I46" s="393">
        <f>1640+1640+1640</f>
        <v>4920</v>
      </c>
    </row>
    <row r="47" spans="1:9" ht="15" customHeight="1" x14ac:dyDescent="0.2">
      <c r="A47" s="255" t="s">
        <v>468</v>
      </c>
      <c r="B47" s="451">
        <v>3413</v>
      </c>
      <c r="C47" s="173">
        <v>10000</v>
      </c>
      <c r="D47" s="174">
        <v>10</v>
      </c>
      <c r="E47" s="174" t="s">
        <v>356</v>
      </c>
      <c r="F47" s="292">
        <v>0</v>
      </c>
      <c r="G47" s="292">
        <v>340</v>
      </c>
      <c r="H47" s="291">
        <v>340</v>
      </c>
      <c r="I47" s="393">
        <v>1020</v>
      </c>
    </row>
    <row r="48" spans="1:9" ht="24" customHeight="1" x14ac:dyDescent="0.2">
      <c r="A48" s="255" t="s">
        <v>470</v>
      </c>
      <c r="B48" s="451">
        <v>3414</v>
      </c>
      <c r="C48" s="173">
        <v>10000</v>
      </c>
      <c r="D48" s="174">
        <v>10</v>
      </c>
      <c r="E48" s="174" t="s">
        <v>356</v>
      </c>
      <c r="F48" s="292">
        <v>0</v>
      </c>
      <c r="G48" s="292">
        <v>500</v>
      </c>
      <c r="H48" s="291">
        <v>500</v>
      </c>
      <c r="I48" s="393">
        <v>1500</v>
      </c>
    </row>
    <row r="49" spans="1:9" ht="24.75" customHeight="1" thickBot="1" x14ac:dyDescent="0.25">
      <c r="A49" s="269" t="s">
        <v>177</v>
      </c>
      <c r="B49" s="267">
        <v>3232</v>
      </c>
      <c r="C49" s="515">
        <v>2850</v>
      </c>
      <c r="D49" s="516">
        <v>10</v>
      </c>
      <c r="E49" s="516" t="s">
        <v>605</v>
      </c>
      <c r="F49" s="517">
        <v>0</v>
      </c>
      <c r="G49" s="517">
        <v>0</v>
      </c>
      <c r="H49" s="518">
        <v>180</v>
      </c>
      <c r="I49" s="519">
        <f>360+180+180</f>
        <v>720</v>
      </c>
    </row>
    <row r="50" spans="1:9" ht="15.75" customHeight="1" thickBot="1" x14ac:dyDescent="0.25">
      <c r="A50" s="528" t="s">
        <v>178</v>
      </c>
      <c r="B50" s="525"/>
      <c r="C50" s="182" t="s">
        <v>6</v>
      </c>
      <c r="D50" s="182" t="s">
        <v>6</v>
      </c>
      <c r="E50" s="182" t="s">
        <v>6</v>
      </c>
      <c r="F50" s="522">
        <f>SUM(F45:F49)</f>
        <v>0</v>
      </c>
      <c r="G50" s="522">
        <f t="shared" ref="G50:I50" si="6">SUM(G45:G49)</f>
        <v>2480</v>
      </c>
      <c r="H50" s="522">
        <f t="shared" si="6"/>
        <v>2900</v>
      </c>
      <c r="I50" s="523">
        <f t="shared" si="6"/>
        <v>9120</v>
      </c>
    </row>
    <row r="51" spans="1:9" ht="18" customHeight="1" x14ac:dyDescent="0.2">
      <c r="A51" s="628" t="s">
        <v>179</v>
      </c>
      <c r="B51" s="629"/>
      <c r="C51" s="629"/>
      <c r="D51" s="629"/>
      <c r="E51" s="629"/>
      <c r="F51" s="629"/>
      <c r="G51" s="629"/>
      <c r="H51" s="629"/>
      <c r="I51" s="630"/>
    </row>
    <row r="52" spans="1:9" ht="35.25" customHeight="1" thickBot="1" x14ac:dyDescent="0.25">
      <c r="A52" s="269" t="s">
        <v>180</v>
      </c>
      <c r="B52" s="267">
        <v>3240</v>
      </c>
      <c r="C52" s="515">
        <v>94492</v>
      </c>
      <c r="D52" s="516">
        <v>10</v>
      </c>
      <c r="E52" s="516" t="s">
        <v>154</v>
      </c>
      <c r="F52" s="517">
        <v>2900</v>
      </c>
      <c r="G52" s="517">
        <v>2900</v>
      </c>
      <c r="H52" s="518">
        <v>2900</v>
      </c>
      <c r="I52" s="519">
        <f>2900+2900</f>
        <v>5800</v>
      </c>
    </row>
    <row r="53" spans="1:9" ht="15.75" customHeight="1" thickBot="1" x14ac:dyDescent="0.25">
      <c r="A53" s="520" t="s">
        <v>181</v>
      </c>
      <c r="B53" s="521"/>
      <c r="C53" s="182" t="s">
        <v>6</v>
      </c>
      <c r="D53" s="182" t="s">
        <v>6</v>
      </c>
      <c r="E53" s="182" t="s">
        <v>6</v>
      </c>
      <c r="F53" s="522">
        <f>SUM(F52)</f>
        <v>2900</v>
      </c>
      <c r="G53" s="522">
        <f>SUM(G52:G52)</f>
        <v>2900</v>
      </c>
      <c r="H53" s="522">
        <f>SUM(H52:H52)</f>
        <v>2900</v>
      </c>
      <c r="I53" s="523">
        <f>SUM(I52:I52)</f>
        <v>5800</v>
      </c>
    </row>
    <row r="54" spans="1:9" ht="18" customHeight="1" x14ac:dyDescent="0.2">
      <c r="A54" s="608" t="s">
        <v>256</v>
      </c>
      <c r="B54" s="609"/>
      <c r="C54" s="609"/>
      <c r="D54" s="609"/>
      <c r="E54" s="609"/>
      <c r="F54" s="609"/>
      <c r="G54" s="609"/>
      <c r="H54" s="609"/>
      <c r="I54" s="610"/>
    </row>
    <row r="55" spans="1:9" ht="24" customHeight="1" x14ac:dyDescent="0.2">
      <c r="A55" s="255" t="s">
        <v>476</v>
      </c>
      <c r="B55" s="451">
        <v>3426</v>
      </c>
      <c r="C55" s="173">
        <v>3300</v>
      </c>
      <c r="D55" s="174">
        <v>15</v>
      </c>
      <c r="E55" s="174" t="s">
        <v>162</v>
      </c>
      <c r="F55" s="292">
        <v>0</v>
      </c>
      <c r="G55" s="292">
        <v>0</v>
      </c>
      <c r="H55" s="291">
        <v>100</v>
      </c>
      <c r="I55" s="393">
        <v>900</v>
      </c>
    </row>
    <row r="56" spans="1:9" ht="15" customHeight="1" x14ac:dyDescent="0.2">
      <c r="A56" s="255" t="s">
        <v>183</v>
      </c>
      <c r="B56" s="451">
        <v>3294</v>
      </c>
      <c r="C56" s="173">
        <v>1650</v>
      </c>
      <c r="D56" s="174">
        <v>0</v>
      </c>
      <c r="E56" s="174" t="s">
        <v>152</v>
      </c>
      <c r="F56" s="292">
        <v>0</v>
      </c>
      <c r="G56" s="292">
        <v>84</v>
      </c>
      <c r="H56" s="291">
        <v>84</v>
      </c>
      <c r="I56" s="393">
        <v>672</v>
      </c>
    </row>
    <row r="57" spans="1:9" ht="15" customHeight="1" x14ac:dyDescent="0.2">
      <c r="A57" s="255" t="s">
        <v>184</v>
      </c>
      <c r="B57" s="451">
        <v>3377</v>
      </c>
      <c r="C57" s="173">
        <v>10000</v>
      </c>
      <c r="D57" s="174">
        <v>0</v>
      </c>
      <c r="E57" s="174" t="s">
        <v>605</v>
      </c>
      <c r="F57" s="292">
        <v>0</v>
      </c>
      <c r="G57" s="292">
        <v>292</v>
      </c>
      <c r="H57" s="291">
        <v>292</v>
      </c>
      <c r="I57" s="393">
        <v>2336</v>
      </c>
    </row>
    <row r="58" spans="1:9" ht="15" customHeight="1" x14ac:dyDescent="0.2">
      <c r="A58" s="255" t="s">
        <v>182</v>
      </c>
      <c r="B58" s="451">
        <v>3378</v>
      </c>
      <c r="C58" s="173">
        <v>1045</v>
      </c>
      <c r="D58" s="174">
        <v>0</v>
      </c>
      <c r="E58" s="174" t="s">
        <v>147</v>
      </c>
      <c r="F58" s="292">
        <v>0</v>
      </c>
      <c r="G58" s="292">
        <v>100</v>
      </c>
      <c r="H58" s="291">
        <v>100</v>
      </c>
      <c r="I58" s="393">
        <v>800</v>
      </c>
    </row>
    <row r="59" spans="1:9" ht="24" customHeight="1" x14ac:dyDescent="0.2">
      <c r="A59" s="255" t="s">
        <v>186</v>
      </c>
      <c r="B59" s="451">
        <v>3380</v>
      </c>
      <c r="C59" s="173">
        <v>2300</v>
      </c>
      <c r="D59" s="174">
        <v>0</v>
      </c>
      <c r="E59" s="174" t="s">
        <v>606</v>
      </c>
      <c r="F59" s="292">
        <v>0</v>
      </c>
      <c r="G59" s="292">
        <v>0</v>
      </c>
      <c r="H59" s="291">
        <v>100</v>
      </c>
      <c r="I59" s="393">
        <v>900</v>
      </c>
    </row>
    <row r="60" spans="1:9" ht="15" customHeight="1" x14ac:dyDescent="0.2">
      <c r="A60" s="255" t="s">
        <v>185</v>
      </c>
      <c r="B60" s="451">
        <v>3301</v>
      </c>
      <c r="C60" s="173">
        <v>1550</v>
      </c>
      <c r="D60" s="174">
        <v>10</v>
      </c>
      <c r="E60" s="174" t="s">
        <v>152</v>
      </c>
      <c r="F60" s="292">
        <v>0</v>
      </c>
      <c r="G60" s="292">
        <v>20</v>
      </c>
      <c r="H60" s="291">
        <v>20</v>
      </c>
      <c r="I60" s="393">
        <v>60</v>
      </c>
    </row>
    <row r="61" spans="1:9" ht="15" customHeight="1" x14ac:dyDescent="0.2">
      <c r="A61" s="255" t="s">
        <v>480</v>
      </c>
      <c r="B61" s="451">
        <v>3334</v>
      </c>
      <c r="C61" s="173">
        <v>47500</v>
      </c>
      <c r="D61" s="174">
        <v>0</v>
      </c>
      <c r="E61" s="174" t="s">
        <v>147</v>
      </c>
      <c r="F61" s="292">
        <v>0</v>
      </c>
      <c r="G61" s="292">
        <v>300</v>
      </c>
      <c r="H61" s="291">
        <v>300</v>
      </c>
      <c r="I61" s="393">
        <v>2400</v>
      </c>
    </row>
    <row r="62" spans="1:9" ht="15.75" customHeight="1" thickBot="1" x14ac:dyDescent="0.25">
      <c r="A62" s="269" t="s">
        <v>482</v>
      </c>
      <c r="B62" s="267">
        <v>3244</v>
      </c>
      <c r="C62" s="515">
        <v>4000</v>
      </c>
      <c r="D62" s="516">
        <v>15</v>
      </c>
      <c r="E62" s="516" t="s">
        <v>356</v>
      </c>
      <c r="F62" s="517">
        <v>0</v>
      </c>
      <c r="G62" s="517">
        <v>30</v>
      </c>
      <c r="H62" s="518">
        <v>30</v>
      </c>
      <c r="I62" s="519">
        <v>240</v>
      </c>
    </row>
    <row r="63" spans="1:9" ht="15.75" customHeight="1" thickBot="1" x14ac:dyDescent="0.25">
      <c r="A63" s="528" t="s">
        <v>187</v>
      </c>
      <c r="B63" s="525"/>
      <c r="C63" s="182" t="s">
        <v>6</v>
      </c>
      <c r="D63" s="182" t="s">
        <v>6</v>
      </c>
      <c r="E63" s="182" t="s">
        <v>6</v>
      </c>
      <c r="F63" s="522">
        <f>SUM(F55:F62)</f>
        <v>0</v>
      </c>
      <c r="G63" s="522">
        <f t="shared" ref="G63:I63" si="7">SUM(G55:G62)</f>
        <v>826</v>
      </c>
      <c r="H63" s="522">
        <f t="shared" si="7"/>
        <v>1026</v>
      </c>
      <c r="I63" s="523">
        <f t="shared" si="7"/>
        <v>8308</v>
      </c>
    </row>
    <row r="64" spans="1:9" ht="13.5" thickBot="1" x14ac:dyDescent="0.25">
      <c r="A64" s="175"/>
      <c r="B64" s="176"/>
      <c r="C64" s="177"/>
      <c r="D64" s="178"/>
      <c r="E64" s="178"/>
      <c r="F64" s="177"/>
      <c r="G64" s="177"/>
      <c r="H64" s="179"/>
      <c r="I64" s="396"/>
    </row>
    <row r="65" spans="1:9" ht="16.5" customHeight="1" thickBot="1" x14ac:dyDescent="0.25">
      <c r="A65" s="180" t="s">
        <v>190</v>
      </c>
      <c r="B65" s="181"/>
      <c r="C65" s="182" t="s">
        <v>6</v>
      </c>
      <c r="D65" s="183" t="s">
        <v>6</v>
      </c>
      <c r="E65" s="183" t="s">
        <v>6</v>
      </c>
      <c r="F65" s="184">
        <f>F63+F53+F50+F43+F35+F32+F29+F19+F15+F11</f>
        <v>25231.64</v>
      </c>
      <c r="G65" s="184">
        <f t="shared" ref="G65:I65" si="8">G63+G53+G50+G43+G35+G32+G29+G19+G15+G11</f>
        <v>43562.94</v>
      </c>
      <c r="H65" s="184">
        <f t="shared" si="8"/>
        <v>58732.94</v>
      </c>
      <c r="I65" s="416">
        <f t="shared" si="8"/>
        <v>167869.88</v>
      </c>
    </row>
    <row r="66" spans="1:9" ht="26.25" customHeight="1" x14ac:dyDescent="0.2">
      <c r="A66" s="631" t="s">
        <v>607</v>
      </c>
      <c r="B66" s="631"/>
      <c r="C66" s="631"/>
      <c r="D66" s="631"/>
      <c r="E66" s="631"/>
      <c r="F66" s="631"/>
      <c r="G66" s="631"/>
      <c r="H66" s="631"/>
      <c r="I66" s="631"/>
    </row>
    <row r="67" spans="1:9" x14ac:dyDescent="0.2">
      <c r="A67" s="185"/>
      <c r="B67" s="185"/>
    </row>
    <row r="68" spans="1:9" x14ac:dyDescent="0.2">
      <c r="A68" s="185"/>
      <c r="B68" s="185"/>
    </row>
    <row r="69" spans="1:9" x14ac:dyDescent="0.2">
      <c r="A69" s="188"/>
      <c r="B69" s="188"/>
      <c r="C69" s="188"/>
      <c r="D69" s="189"/>
      <c r="E69" s="189"/>
      <c r="F69" s="188"/>
      <c r="G69" s="188"/>
      <c r="H69" s="188"/>
      <c r="I69" s="188"/>
    </row>
    <row r="70" spans="1:9" x14ac:dyDescent="0.2">
      <c r="A70" s="188"/>
      <c r="B70" s="188"/>
      <c r="C70" s="188"/>
      <c r="D70" s="189"/>
      <c r="E70" s="189"/>
      <c r="F70" s="188"/>
      <c r="G70" s="188"/>
      <c r="H70" s="188"/>
      <c r="I70" s="188"/>
    </row>
    <row r="71" spans="1:9" x14ac:dyDescent="0.2">
      <c r="A71" s="188"/>
      <c r="B71" s="188"/>
      <c r="C71" s="188"/>
      <c r="D71" s="189"/>
      <c r="E71" s="189"/>
      <c r="F71" s="188"/>
      <c r="G71" s="188"/>
      <c r="H71" s="188"/>
      <c r="I71" s="188"/>
    </row>
    <row r="72" spans="1:9" x14ac:dyDescent="0.2">
      <c r="A72" s="190"/>
      <c r="B72" s="190"/>
      <c r="C72" s="190"/>
      <c r="D72" s="191"/>
      <c r="E72" s="191"/>
      <c r="F72" s="190"/>
      <c r="G72" s="190"/>
      <c r="H72" s="190"/>
      <c r="I72" s="190"/>
    </row>
    <row r="75" spans="1:9" x14ac:dyDescent="0.2">
      <c r="F75" s="192"/>
      <c r="G75" s="192"/>
      <c r="H75" s="192"/>
      <c r="I75" s="192"/>
    </row>
  </sheetData>
  <mergeCells count="17">
    <mergeCell ref="A36:I36"/>
    <mergeCell ref="A44:I44"/>
    <mergeCell ref="A51:I51"/>
    <mergeCell ref="A54:I54"/>
    <mergeCell ref="A66:I66"/>
    <mergeCell ref="A33:I33"/>
    <mergeCell ref="A6:A7"/>
    <mergeCell ref="C6:C7"/>
    <mergeCell ref="D6:D7"/>
    <mergeCell ref="E6:E7"/>
    <mergeCell ref="F6:I6"/>
    <mergeCell ref="A8:I8"/>
    <mergeCell ref="A12:I12"/>
    <mergeCell ref="F14:I14"/>
    <mergeCell ref="A16:I16"/>
    <mergeCell ref="A20:I20"/>
    <mergeCell ref="A30:I30"/>
  </mergeCells>
  <pageMargins left="0.39370078740157483" right="0.39370078740157483" top="0.78740157480314965" bottom="0.59055118110236227" header="0.31496062992125984" footer="0.31496062992125984"/>
  <pageSetup paperSize="9" firstPageNumber="30" fitToHeight="0" orientation="landscape" useFirstPageNumber="1" r:id="rId1"/>
  <headerFooter scaleWithDoc="0">
    <oddHeader>&amp;L&amp;"Tahoma,Kurzíva"&amp;9Střednědobý výhled rozpočtu kraje na léta 2020 - 2022
Příloha č. 13&amp;R&amp;"Tahoma,Kurzíva"&amp;9Přehled výdajů na zajištění udržitelnosti akcí spolufinancovaných z evropských finančních zdrojů</oddHeader>
    <oddFooter>&amp;C&amp;"Tahoma,Obyčejné"&amp;P</oddFooter>
  </headerFooter>
  <rowBreaks count="2" manualBreakCount="2">
    <brk id="26" max="8" man="1"/>
    <brk id="75" max="6" man="1"/>
  </rowBreaks>
  <ignoredErrors>
    <ignoredError sqref="F11:I11 F15:I15 F19:I19 F29:I29 F32:I32 F35:I35 F43:I43 F50:I50 F53:I53 F63:I63 F65:I65 I23:I28 I13 I34 I38:I42 I45:I49 I5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zoomScaleNormal="100" workbookViewId="0">
      <selection activeCell="A25" sqref="A25:B25"/>
    </sheetView>
  </sheetViews>
  <sheetFormatPr defaultRowHeight="12.75" x14ac:dyDescent="0.2"/>
  <cols>
    <col min="1" max="1" width="7.7109375" style="193" customWidth="1"/>
    <col min="2" max="13" width="10" style="193" customWidth="1"/>
    <col min="14" max="16384" width="9.140625" style="193"/>
  </cols>
  <sheetData>
    <row r="1" spans="1:13" x14ac:dyDescent="0.2">
      <c r="A1" s="65" t="s">
        <v>89</v>
      </c>
    </row>
    <row r="3" spans="1:13" ht="15" x14ac:dyDescent="0.2">
      <c r="A3" s="632" t="s">
        <v>191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</row>
    <row r="4" spans="1:13" ht="15" x14ac:dyDescent="0.2">
      <c r="A4" s="418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</row>
    <row r="5" spans="1:13" ht="13.5" thickBot="1" x14ac:dyDescent="0.25">
      <c r="J5" s="194"/>
      <c r="M5" s="195" t="s">
        <v>137</v>
      </c>
    </row>
    <row r="6" spans="1:13" ht="54" customHeight="1" x14ac:dyDescent="0.2">
      <c r="A6" s="196" t="s">
        <v>192</v>
      </c>
      <c r="B6" s="634" t="s">
        <v>193</v>
      </c>
      <c r="C6" s="635"/>
      <c r="D6" s="636"/>
      <c r="E6" s="637" t="s">
        <v>194</v>
      </c>
      <c r="F6" s="638"/>
      <c r="G6" s="639"/>
      <c r="H6" s="640" t="s">
        <v>608</v>
      </c>
      <c r="I6" s="641"/>
      <c r="J6" s="641"/>
      <c r="K6" s="642" t="s">
        <v>195</v>
      </c>
      <c r="L6" s="643"/>
      <c r="M6" s="644"/>
    </row>
    <row r="7" spans="1:13" ht="51" x14ac:dyDescent="0.2">
      <c r="A7" s="197" t="s">
        <v>196</v>
      </c>
      <c r="B7" s="400" t="s">
        <v>197</v>
      </c>
      <c r="C7" s="398" t="s">
        <v>198</v>
      </c>
      <c r="D7" s="399" t="s">
        <v>199</v>
      </c>
      <c r="E7" s="400" t="s">
        <v>197</v>
      </c>
      <c r="F7" s="398" t="s">
        <v>198</v>
      </c>
      <c r="G7" s="401" t="s">
        <v>199</v>
      </c>
      <c r="H7" s="398" t="s">
        <v>197</v>
      </c>
      <c r="I7" s="398" t="s">
        <v>198</v>
      </c>
      <c r="J7" s="399" t="s">
        <v>199</v>
      </c>
      <c r="K7" s="400" t="s">
        <v>200</v>
      </c>
      <c r="L7" s="398" t="s">
        <v>198</v>
      </c>
      <c r="M7" s="401" t="s">
        <v>199</v>
      </c>
    </row>
    <row r="8" spans="1:13" ht="16.5" customHeight="1" x14ac:dyDescent="0.2">
      <c r="A8" s="205">
        <v>2019</v>
      </c>
      <c r="B8" s="201">
        <v>1470000</v>
      </c>
      <c r="C8" s="203">
        <v>245000</v>
      </c>
      <c r="D8" s="206">
        <v>35000</v>
      </c>
      <c r="E8" s="201">
        <v>707899</v>
      </c>
      <c r="F8" s="199">
        <v>747148</v>
      </c>
      <c r="G8" s="202">
        <v>20000</v>
      </c>
      <c r="H8" s="203">
        <v>0</v>
      </c>
      <c r="I8" s="203">
        <v>0</v>
      </c>
      <c r="J8" s="206">
        <v>0</v>
      </c>
      <c r="K8" s="536">
        <f>B8+E8+H8</f>
        <v>2177899</v>
      </c>
      <c r="L8" s="203">
        <f t="shared" ref="L8:M14" si="0">C8+F8+I8</f>
        <v>992148</v>
      </c>
      <c r="M8" s="204">
        <f>D8+G8+J8</f>
        <v>55000</v>
      </c>
    </row>
    <row r="9" spans="1:13" ht="16.5" customHeight="1" x14ac:dyDescent="0.2">
      <c r="A9" s="198">
        <v>2020</v>
      </c>
      <c r="B9" s="201">
        <f t="shared" ref="B9:B14" si="1">B8-C9</f>
        <v>1225000</v>
      </c>
      <c r="C9" s="199">
        <v>245000</v>
      </c>
      <c r="D9" s="200">
        <v>30000</v>
      </c>
      <c r="E9" s="201">
        <v>0</v>
      </c>
      <c r="F9" s="199">
        <v>823969</v>
      </c>
      <c r="G9" s="202">
        <v>15000</v>
      </c>
      <c r="H9" s="199">
        <v>226519</v>
      </c>
      <c r="I9" s="199">
        <v>3600</v>
      </c>
      <c r="J9" s="200">
        <v>5000</v>
      </c>
      <c r="K9" s="201">
        <f t="shared" ref="K9:K14" si="2">B9+E9+H9</f>
        <v>1451519</v>
      </c>
      <c r="L9" s="199">
        <f t="shared" si="0"/>
        <v>1072569</v>
      </c>
      <c r="M9" s="202">
        <f t="shared" si="0"/>
        <v>50000</v>
      </c>
    </row>
    <row r="10" spans="1:13" ht="16.5" customHeight="1" x14ac:dyDescent="0.2">
      <c r="A10" s="198">
        <v>2021</v>
      </c>
      <c r="B10" s="201">
        <f t="shared" si="1"/>
        <v>980000</v>
      </c>
      <c r="C10" s="199">
        <v>245000</v>
      </c>
      <c r="D10" s="200">
        <v>26000</v>
      </c>
      <c r="E10" s="201">
        <v>0</v>
      </c>
      <c r="F10" s="199">
        <v>0</v>
      </c>
      <c r="G10" s="202">
        <v>0</v>
      </c>
      <c r="H10" s="199">
        <v>106435</v>
      </c>
      <c r="I10" s="199">
        <f>283550+50000</f>
        <v>333550</v>
      </c>
      <c r="J10" s="200">
        <v>9000</v>
      </c>
      <c r="K10" s="201">
        <f t="shared" si="2"/>
        <v>1086435</v>
      </c>
      <c r="L10" s="199">
        <f t="shared" si="0"/>
        <v>578550</v>
      </c>
      <c r="M10" s="202">
        <f t="shared" si="0"/>
        <v>35000</v>
      </c>
    </row>
    <row r="11" spans="1:13" ht="16.5" customHeight="1" x14ac:dyDescent="0.2">
      <c r="A11" s="198">
        <v>2022</v>
      </c>
      <c r="B11" s="201">
        <f t="shared" si="1"/>
        <v>735000</v>
      </c>
      <c r="C11" s="199">
        <v>245000</v>
      </c>
      <c r="D11" s="200">
        <v>21000</v>
      </c>
      <c r="E11" s="201">
        <v>0</v>
      </c>
      <c r="F11" s="199">
        <v>0</v>
      </c>
      <c r="G11" s="202">
        <v>0</v>
      </c>
      <c r="H11" s="199">
        <v>141437</v>
      </c>
      <c r="I11" s="199">
        <v>102456</v>
      </c>
      <c r="J11" s="200">
        <v>7000</v>
      </c>
      <c r="K11" s="201">
        <f t="shared" si="2"/>
        <v>876437</v>
      </c>
      <c r="L11" s="199">
        <f t="shared" si="0"/>
        <v>347456</v>
      </c>
      <c r="M11" s="202">
        <f t="shared" si="0"/>
        <v>28000</v>
      </c>
    </row>
    <row r="12" spans="1:13" ht="16.5" customHeight="1" x14ac:dyDescent="0.2">
      <c r="A12" s="198">
        <v>2023</v>
      </c>
      <c r="B12" s="201">
        <f t="shared" si="1"/>
        <v>490000</v>
      </c>
      <c r="C12" s="199">
        <v>245000</v>
      </c>
      <c r="D12" s="200">
        <v>16000</v>
      </c>
      <c r="E12" s="201">
        <v>0</v>
      </c>
      <c r="F12" s="199">
        <v>0</v>
      </c>
      <c r="G12" s="202">
        <v>0</v>
      </c>
      <c r="H12" s="199">
        <v>0</v>
      </c>
      <c r="I12" s="199">
        <v>141437</v>
      </c>
      <c r="J12" s="200">
        <v>5000</v>
      </c>
      <c r="K12" s="201">
        <f t="shared" si="2"/>
        <v>490000</v>
      </c>
      <c r="L12" s="199">
        <f t="shared" si="0"/>
        <v>386437</v>
      </c>
      <c r="M12" s="202">
        <f t="shared" si="0"/>
        <v>21000</v>
      </c>
    </row>
    <row r="13" spans="1:13" ht="16.5" customHeight="1" x14ac:dyDescent="0.2">
      <c r="A13" s="198">
        <v>2024</v>
      </c>
      <c r="B13" s="201">
        <f t="shared" si="1"/>
        <v>245000</v>
      </c>
      <c r="C13" s="199">
        <v>245000</v>
      </c>
      <c r="D13" s="200">
        <v>11000</v>
      </c>
      <c r="E13" s="201">
        <v>0</v>
      </c>
      <c r="F13" s="199">
        <v>0</v>
      </c>
      <c r="G13" s="202">
        <v>0</v>
      </c>
      <c r="H13" s="199">
        <v>0</v>
      </c>
      <c r="I13" s="199">
        <v>0</v>
      </c>
      <c r="J13" s="200">
        <v>3000</v>
      </c>
      <c r="K13" s="201">
        <f t="shared" si="2"/>
        <v>245000</v>
      </c>
      <c r="L13" s="199">
        <f t="shared" si="0"/>
        <v>245000</v>
      </c>
      <c r="M13" s="202">
        <f t="shared" si="0"/>
        <v>14000</v>
      </c>
    </row>
    <row r="14" spans="1:13" ht="16.5" customHeight="1" thickBot="1" x14ac:dyDescent="0.25">
      <c r="A14" s="207">
        <v>2025</v>
      </c>
      <c r="B14" s="210">
        <f t="shared" si="1"/>
        <v>0</v>
      </c>
      <c r="C14" s="208">
        <v>245000</v>
      </c>
      <c r="D14" s="209">
        <v>6000</v>
      </c>
      <c r="E14" s="210">
        <v>0</v>
      </c>
      <c r="F14" s="208">
        <v>0</v>
      </c>
      <c r="G14" s="211">
        <v>0</v>
      </c>
      <c r="H14" s="208">
        <v>0</v>
      </c>
      <c r="I14" s="208">
        <v>0</v>
      </c>
      <c r="J14" s="209">
        <v>0</v>
      </c>
      <c r="K14" s="210">
        <f t="shared" si="2"/>
        <v>0</v>
      </c>
      <c r="L14" s="208">
        <f t="shared" si="0"/>
        <v>245000</v>
      </c>
      <c r="M14" s="211">
        <f t="shared" si="0"/>
        <v>6000</v>
      </c>
    </row>
  </sheetData>
  <mergeCells count="5">
    <mergeCell ref="A3:M3"/>
    <mergeCell ref="B6:D6"/>
    <mergeCell ref="E6:G6"/>
    <mergeCell ref="H6:J6"/>
    <mergeCell ref="K6:M6"/>
  </mergeCells>
  <pageMargins left="0.39370078740157483" right="0.39370078740157483" top="0.78740157480314965" bottom="0.59055118110236227" header="0.51181102362204722" footer="0.31496062992125984"/>
  <pageSetup paperSize="9" scale="76" firstPageNumber="33" fitToHeight="0" orientation="portrait" useFirstPageNumber="1" r:id="rId1"/>
  <headerFooter>
    <oddHeader>&amp;L&amp;"Tahoma,Kurzíva"Střednědobý výhled rozpočtu kraje na léta 2020 - 2022
Příloha č. 13&amp;R&amp;"Tahoma,Kurzíva"Přehled splácení jistiny a úroků z úvěrů čerpaných Moravskoslezským krajem</oddHeader>
    <oddFooter>&amp;C&amp;"Tahoma,Obyčejné"&amp;P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13</vt:i4>
      </vt:variant>
    </vt:vector>
  </HeadingPairs>
  <TitlesOfParts>
    <vt:vector size="23" baseType="lpstr">
      <vt:lpstr>seznam</vt:lpstr>
      <vt:lpstr>Tab. 1</vt:lpstr>
      <vt:lpstr>Tab. 1 VÝDAJE</vt:lpstr>
      <vt:lpstr>Tab. 2</vt:lpstr>
      <vt:lpstr>Tab. 3</vt:lpstr>
      <vt:lpstr>Tab. 4</vt:lpstr>
      <vt:lpstr>Tab. 5</vt:lpstr>
      <vt:lpstr>Tab. 6</vt:lpstr>
      <vt:lpstr>Tab. 7</vt:lpstr>
      <vt:lpstr>Tab. 8</vt:lpstr>
      <vt:lpstr>'Tab. 1'!Názvy_tisku</vt:lpstr>
      <vt:lpstr>'Tab. 1 VÝDAJE'!Názvy_tisku</vt:lpstr>
      <vt:lpstr>'Tab. 2'!Názvy_tisku</vt:lpstr>
      <vt:lpstr>'Tab. 3'!Názvy_tisku</vt:lpstr>
      <vt:lpstr>'Tab. 4'!Názvy_tisku</vt:lpstr>
      <vt:lpstr>'Tab. 5'!Názvy_tisku</vt:lpstr>
      <vt:lpstr>'Tab. 6'!Názvy_tisku</vt:lpstr>
      <vt:lpstr>'Tab. 1'!Oblast_tisku</vt:lpstr>
      <vt:lpstr>'Tab. 2'!Oblast_tisku</vt:lpstr>
      <vt:lpstr>'Tab. 4'!Oblast_tisku</vt:lpstr>
      <vt:lpstr>'Tab. 5'!Oblast_tisku</vt:lpstr>
      <vt:lpstr>'Tab. 6'!Oblast_tisku</vt:lpstr>
      <vt:lpstr>'Tab. 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2018-11-27T10:57:19Z</cp:lastPrinted>
  <dcterms:created xsi:type="dcterms:W3CDTF">2015-11-13T16:09:39Z</dcterms:created>
  <dcterms:modified xsi:type="dcterms:W3CDTF">2018-11-28T07:04:37Z</dcterms:modified>
</cp:coreProperties>
</file>