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k_metelka3040\Documents\FINANCE - ROZPOČET\ZÁVĚREČNÝ ÚČET 2015\9 - Materiál do ZK\MAT ZK - k odeslání\Anonymiz.příloha\"/>
    </mc:Choice>
  </mc:AlternateContent>
  <bookViews>
    <workbookView xWindow="0" yWindow="7080" windowWidth="28800" windowHeight="5970" tabRatio="976"/>
  </bookViews>
  <sheets>
    <sheet name="graf 1" sheetId="1" r:id="rId1"/>
    <sheet name="graf 2" sheetId="2" r:id="rId2"/>
    <sheet name="graf 3" sheetId="3" r:id="rId3"/>
    <sheet name="graf 4" sheetId="4" r:id="rId4"/>
    <sheet name="graf 5" sheetId="5" r:id="rId5"/>
    <sheet name="Data-grafy" sheetId="6" state="hidden" r:id="rId6"/>
    <sheet name="Titul" sheetId="7" r:id="rId7"/>
    <sheet name="tab 1" sheetId="8" r:id="rId8"/>
    <sheet name="tab 2" sheetId="9" r:id="rId9"/>
    <sheet name="tab 3" sheetId="10" r:id="rId10"/>
    <sheet name="tab 4" sheetId="11" r:id="rId11"/>
    <sheet name="tab 5" sheetId="12" r:id="rId12"/>
    <sheet name="tab 6" sheetId="13" r:id="rId13"/>
    <sheet name="tab 7" sheetId="14" r:id="rId14"/>
    <sheet name="tab 8" sheetId="41" r:id="rId15"/>
    <sheet name="tab 9" sheetId="42" r:id="rId16"/>
    <sheet name="tab 10" sheetId="43" r:id="rId17"/>
    <sheet name="tab 11" sheetId="44" r:id="rId18"/>
    <sheet name="tab 12" sheetId="45" r:id="rId19"/>
    <sheet name="tab 13" sheetId="46" r:id="rId20"/>
    <sheet name="tab 14" sheetId="47" r:id="rId21"/>
    <sheet name="tab 15" sheetId="48" r:id="rId22"/>
    <sheet name="tab 16" sheetId="49" r:id="rId23"/>
    <sheet name="tab 17" sheetId="50" r:id="rId24"/>
    <sheet name="tab 18" sheetId="51" r:id="rId25"/>
    <sheet name="tab 19" sheetId="52" r:id="rId26"/>
    <sheet name="tab 20" sheetId="15" r:id="rId27"/>
    <sheet name="tab 21" sheetId="16" r:id="rId28"/>
    <sheet name="tab 22" sheetId="17" r:id="rId29"/>
    <sheet name="tab 23" sheetId="18" r:id="rId30"/>
    <sheet name="tab 24" sheetId="19" r:id="rId31"/>
    <sheet name="tab 25" sheetId="20" r:id="rId32"/>
    <sheet name="tab 26" sheetId="37" r:id="rId33"/>
    <sheet name="tab 27" sheetId="38" r:id="rId34"/>
    <sheet name="tab 28" sheetId="39" r:id="rId35"/>
    <sheet name="tab 29" sheetId="40" r:id="rId36"/>
    <sheet name="tab 30" sheetId="21" r:id="rId37"/>
    <sheet name="tab 31" sheetId="22" r:id="rId38"/>
    <sheet name="tab 32" sheetId="23" r:id="rId39"/>
    <sheet name="tab 33" sheetId="24" r:id="rId40"/>
    <sheet name="tab 34" sheetId="25" r:id="rId41"/>
    <sheet name="tab 35" sheetId="26" r:id="rId42"/>
    <sheet name="tab 36" sheetId="27" r:id="rId43"/>
    <sheet name="tab 37" sheetId="28" r:id="rId44"/>
    <sheet name="tab 38" sheetId="29" r:id="rId45"/>
    <sheet name="tab 39" sheetId="30" r:id="rId46"/>
    <sheet name="tab 40" sheetId="31" r:id="rId47"/>
    <sheet name="tab 41" sheetId="32" r:id="rId48"/>
    <sheet name="tab 42" sheetId="33" r:id="rId49"/>
    <sheet name="tab 43" sheetId="34" r:id="rId50"/>
    <sheet name="tab 44" sheetId="35" r:id="rId51"/>
    <sheet name="tab 45" sheetId="36" r:id="rId52"/>
  </sheets>
  <definedNames>
    <definedName name="_xlnm._FilterDatabase" localSheetId="16" hidden="1">'tab 10'!$A$13:$H$72</definedName>
    <definedName name="_xlnm._FilterDatabase" localSheetId="17" hidden="1">'tab 11'!$A$10:$H$33</definedName>
    <definedName name="_xlnm._FilterDatabase" localSheetId="18" hidden="1">'tab 12'!$A$12:$H$50</definedName>
    <definedName name="_xlnm._FilterDatabase" localSheetId="19" hidden="1">'tab 13'!$A$13:$H$60</definedName>
    <definedName name="_xlnm._FilterDatabase" localSheetId="20" hidden="1">'tab 14'!$A$14:$H$138</definedName>
    <definedName name="_xlnm._FilterDatabase" localSheetId="21" hidden="1">'tab 15'!$A$14:$H$137</definedName>
    <definedName name="_xlnm._FilterDatabase" localSheetId="22" hidden="1">'tab 16'!$A$11:$H$21</definedName>
    <definedName name="_xlnm._FilterDatabase" localSheetId="23" hidden="1">'tab 17'!$A$13:$H$114</definedName>
    <definedName name="_xlnm._FilterDatabase" localSheetId="24" hidden="1">'tab 18'!$A$13:$H$71</definedName>
    <definedName name="_xlnm._FilterDatabase" localSheetId="25" hidden="1">'tab 19'!$A$11:$H$38</definedName>
    <definedName name="_xlnm._FilterDatabase" localSheetId="8" hidden="1">'tab 2'!$A$6:$G$13</definedName>
    <definedName name="_xlnm._FilterDatabase" localSheetId="29" hidden="1">'tab 23'!$A$1:$C$190</definedName>
    <definedName name="_xlnm._FilterDatabase" localSheetId="34" hidden="1">'tab 28'!$A$1:$D$2121</definedName>
    <definedName name="_xlnm._FilterDatabase" localSheetId="14" hidden="1">'tab 8'!$A$13:$H$13</definedName>
    <definedName name="_xlnm._FilterDatabase" localSheetId="15" hidden="1">'tab 9'!$A$12:$H$50</definedName>
    <definedName name="_xlnm.Print_Titles" localSheetId="7">'tab 1'!$7:$8</definedName>
    <definedName name="_xlnm.Print_Titles" localSheetId="16">'tab 10'!$12:$13</definedName>
    <definedName name="_xlnm.Print_Titles" localSheetId="17">'tab 11'!$9:$10</definedName>
    <definedName name="_xlnm.Print_Titles" localSheetId="18">'tab 12'!$11:$12</definedName>
    <definedName name="_xlnm.Print_Titles" localSheetId="19">'tab 13'!$12:$13</definedName>
    <definedName name="_xlnm.Print_Titles" localSheetId="20">'tab 14'!$13:$14</definedName>
    <definedName name="_xlnm.Print_Titles" localSheetId="21">'tab 15'!$13:$14</definedName>
    <definedName name="_xlnm.Print_Titles" localSheetId="22">'tab 16'!$10:$11</definedName>
    <definedName name="_xlnm.Print_Titles" localSheetId="23">'tab 17'!$12:$13</definedName>
    <definedName name="_xlnm.Print_Titles" localSheetId="24">'tab 18'!$12:$13</definedName>
    <definedName name="_xlnm.Print_Titles" localSheetId="25">'tab 19'!$10:$11</definedName>
    <definedName name="_xlnm.Print_Titles" localSheetId="8">'tab 2'!$7:$8</definedName>
    <definedName name="_xlnm.Print_Titles" localSheetId="29">'tab 23'!$2:$3</definedName>
    <definedName name="_xlnm.Print_Titles" localSheetId="32">'tab 26'!$2:$3</definedName>
    <definedName name="_xlnm.Print_Titles" localSheetId="33">'tab 27'!$2:$3</definedName>
    <definedName name="_xlnm.Print_Titles" localSheetId="34">'tab 28'!$2:$3</definedName>
    <definedName name="_xlnm.Print_Titles" localSheetId="35">'tab 29'!$2:$4</definedName>
    <definedName name="_xlnm.Print_Titles" localSheetId="9">'tab 3'!$3:$6</definedName>
    <definedName name="_xlnm.Print_Titles" localSheetId="36">'tab 30'!$4:$7</definedName>
    <definedName name="_xlnm.Print_Titles" localSheetId="37">'tab 31'!$4:$7</definedName>
    <definedName name="_xlnm.Print_Titles" localSheetId="38">'tab 32'!$4:$7</definedName>
    <definedName name="_xlnm.Print_Titles" localSheetId="40">'tab 34'!$4:$7</definedName>
    <definedName name="_xlnm.Print_Titles" localSheetId="42">'tab 36'!$4:$7</definedName>
    <definedName name="_xlnm.Print_Titles" localSheetId="44">'tab 38'!$4:$7</definedName>
    <definedName name="_xlnm.Print_Titles" localSheetId="10">'tab 4'!$3:$4</definedName>
    <definedName name="_xlnm.Print_Titles" localSheetId="46">'tab 40'!$4:$7</definedName>
    <definedName name="_xlnm.Print_Titles" localSheetId="48">'tab 42'!$4:$7</definedName>
    <definedName name="_xlnm.Print_Titles" localSheetId="50">'tab 44'!$4:$7</definedName>
    <definedName name="_xlnm.Print_Titles" localSheetId="11">'tab 5'!$6:$7</definedName>
    <definedName name="_xlnm.Print_Titles" localSheetId="12">'tab 6'!$3:$4</definedName>
    <definedName name="_xlnm.Print_Titles" localSheetId="13">'tab 7'!$3:$4</definedName>
    <definedName name="_xlnm.Print_Titles" localSheetId="14">'tab 8'!$12:$13</definedName>
    <definedName name="_xlnm.Print_Titles" localSheetId="15">'tab 9'!$11:$12</definedName>
    <definedName name="_xlnm.Print_Area" localSheetId="2">'graf 3'!$A$1:$N$36</definedName>
    <definedName name="_xlnm.Print_Area" localSheetId="3">'graf 4'!$A$1:$L$20</definedName>
    <definedName name="_xlnm.Print_Area" localSheetId="4">'graf 5'!$A$1:$J$27</definedName>
    <definedName name="_xlnm.Print_Area" localSheetId="7">'tab 1'!$A:$G</definedName>
    <definedName name="_xlnm.Print_Area" localSheetId="16">'tab 10'!$A$1:$H$72</definedName>
    <definedName name="_xlnm.Print_Area" localSheetId="17">'tab 11'!$A$1:$H$33</definedName>
    <definedName name="_xlnm.Print_Area" localSheetId="18">'tab 12'!$A$1:$H$50</definedName>
    <definedName name="_xlnm.Print_Area" localSheetId="19">'tab 13'!$A$1:$H$60</definedName>
    <definedName name="_xlnm.Print_Area" localSheetId="20">'tab 14'!$A$1:$H$138</definedName>
    <definedName name="_xlnm.Print_Area" localSheetId="21">'tab 15'!$A$1:$H$220</definedName>
    <definedName name="_xlnm.Print_Area" localSheetId="22">'tab 16'!$A$1:$H$21</definedName>
    <definedName name="_xlnm.Print_Area" localSheetId="23">'tab 17'!$A$1:$H$114</definedName>
    <definedName name="_xlnm.Print_Area" localSheetId="24">'tab 18'!$A$1:$H$71</definedName>
    <definedName name="_xlnm.Print_Area" localSheetId="25">'tab 19'!$A$1:$H$38</definedName>
    <definedName name="_xlnm.Print_Area" localSheetId="26">'tab 20'!$A$1:$C$5</definedName>
    <definedName name="_xlnm.Print_Area" localSheetId="27">'tab 21'!$A$1:$C$11</definedName>
    <definedName name="_xlnm.Print_Area" localSheetId="28">'tab 22'!$A$1:$C$26</definedName>
    <definedName name="_xlnm.Print_Area" localSheetId="29">'tab 23'!$A$1:$C$190</definedName>
    <definedName name="_xlnm.Print_Area" localSheetId="30">'tab 24'!$A$1:$C$14</definedName>
    <definedName name="_xlnm.Print_Area" localSheetId="31">'tab 25'!$A$1:$C$5</definedName>
    <definedName name="_xlnm.Print_Area" localSheetId="34">'tab 28'!$A$1:$D$2125</definedName>
    <definedName name="_xlnm.Print_Area" localSheetId="9">'tab 3'!$A$1:$Q$166</definedName>
    <definedName name="_xlnm.Print_Area" localSheetId="36">'tab 30'!$A$1:$G$172</definedName>
    <definedName name="_xlnm.Print_Area" localSheetId="37">'tab 31'!$A$1:$G$166</definedName>
    <definedName name="_xlnm.Print_Area" localSheetId="38">'tab 32'!$A$1:$G$146</definedName>
    <definedName name="_xlnm.Print_Area" localSheetId="39">'tab 33'!$A$1:$G$83</definedName>
    <definedName name="_xlnm.Print_Area" localSheetId="40">'tab 34'!$A$1:$G$146</definedName>
    <definedName name="_xlnm.Print_Area" localSheetId="41">'tab 35'!$A$1:$G$83</definedName>
    <definedName name="_xlnm.Print_Area" localSheetId="42">'tab 36'!$A$1:$G$146</definedName>
    <definedName name="_xlnm.Print_Area" localSheetId="44">'tab 38'!$A$1:$G$146</definedName>
    <definedName name="_xlnm.Print_Area" localSheetId="45">'tab 39'!$A$1:$G$83</definedName>
    <definedName name="_xlnm.Print_Area" localSheetId="10">'tab 4'!$A$1:$F$46</definedName>
    <definedName name="_xlnm.Print_Area" localSheetId="46">'tab 40'!$A$1:$G$146</definedName>
    <definedName name="_xlnm.Print_Area" localSheetId="47">'tab 41'!$A$1:$G$83</definedName>
    <definedName name="_xlnm.Print_Area" localSheetId="48">'tab 42'!$A$1:$G$146</definedName>
    <definedName name="_xlnm.Print_Area" localSheetId="49">'tab 43'!$A$1:$G$83</definedName>
    <definedName name="_xlnm.Print_Area" localSheetId="50">'tab 44'!$A$1:$G$146</definedName>
    <definedName name="_xlnm.Print_Area" localSheetId="51">'tab 45'!$A$1:$G$83</definedName>
    <definedName name="_xlnm.Print_Area" localSheetId="11">'tab 5'!$A$1:$E$573</definedName>
    <definedName name="_xlnm.Print_Area" localSheetId="12">'tab 6'!$A$1:$M$173</definedName>
    <definedName name="_xlnm.Print_Area" localSheetId="13">'tab 7'!$A$1:$L$80</definedName>
    <definedName name="_xlnm.Print_Area" localSheetId="14">'tab 8'!$A$1:$H$80</definedName>
    <definedName name="_xlnm.Print_Area" localSheetId="15">'tab 9'!$A$1:$H$50</definedName>
    <definedName name="_xlnm.Print_Area" localSheetId="6">Titul!$A$1:$N$29</definedName>
    <definedName name="Z_040A417A_1A2A_4546_91E5_4FDAF814DD6C_.wvu.Cols" localSheetId="1" hidden="1">'graf 2'!$A:$A</definedName>
    <definedName name="Z_040A417A_1A2A_4546_91E5_4FDAF814DD6C_.wvu.Cols" localSheetId="9" hidden="1">'tab 3'!#REF!</definedName>
    <definedName name="Z_040A417A_1A2A_4546_91E5_4FDAF814DD6C_.wvu.Cols" localSheetId="10" hidden="1">'tab 4'!$B:$B</definedName>
    <definedName name="Z_040A417A_1A2A_4546_91E5_4FDAF814DD6C_.wvu.PrintArea" localSheetId="2" hidden="1">'graf 3'!$A$1:$N$36</definedName>
    <definedName name="Z_040A417A_1A2A_4546_91E5_4FDAF814DD6C_.wvu.PrintArea" localSheetId="3" hidden="1">'graf 4'!$A$1:$L$20</definedName>
    <definedName name="Z_040A417A_1A2A_4546_91E5_4FDAF814DD6C_.wvu.PrintArea" localSheetId="4" hidden="1">'graf 5'!$A$1:$J$27</definedName>
    <definedName name="Z_040A417A_1A2A_4546_91E5_4FDAF814DD6C_.wvu.PrintArea" localSheetId="9" hidden="1">'tab 3'!$A$1:$Q$163</definedName>
    <definedName name="Z_040A417A_1A2A_4546_91E5_4FDAF814DD6C_.wvu.PrintArea" localSheetId="6" hidden="1">Titul!$A$1:$N$29</definedName>
    <definedName name="Z_040A417A_1A2A_4546_91E5_4FDAF814DD6C_.wvu.PrintTitles" localSheetId="9" hidden="1">'tab 3'!$3:$6</definedName>
    <definedName name="Z_040A417A_1A2A_4546_91E5_4FDAF814DD6C_.wvu.PrintTitles" localSheetId="10" hidden="1">'tab 4'!$3:$4</definedName>
    <definedName name="Z_53E72506_0B1D_4F4A_A157_6DE69D2E678D_.wvu.Cols" localSheetId="1" hidden="1">'graf 2'!$A:$A</definedName>
    <definedName name="Z_53E72506_0B1D_4F4A_A157_6DE69D2E678D_.wvu.Cols" localSheetId="10" hidden="1">'tab 4'!$B:$B</definedName>
    <definedName name="Z_53E72506_0B1D_4F4A_A157_6DE69D2E678D_.wvu.Cols" localSheetId="12" hidden="1">'tab 6'!$A:$A</definedName>
    <definedName name="Z_53E72506_0B1D_4F4A_A157_6DE69D2E678D_.wvu.FilterData" localSheetId="16" hidden="1">'tab 10'!$A$13:$H$72</definedName>
    <definedName name="Z_53E72506_0B1D_4F4A_A157_6DE69D2E678D_.wvu.FilterData" localSheetId="17" hidden="1">'tab 11'!$A$10:$H$33</definedName>
    <definedName name="Z_53E72506_0B1D_4F4A_A157_6DE69D2E678D_.wvu.FilterData" localSheetId="18" hidden="1">'tab 12'!$A$12:$H$50</definedName>
    <definedName name="Z_53E72506_0B1D_4F4A_A157_6DE69D2E678D_.wvu.FilterData" localSheetId="19" hidden="1">'tab 13'!$A$13:$H$60</definedName>
    <definedName name="Z_53E72506_0B1D_4F4A_A157_6DE69D2E678D_.wvu.FilterData" localSheetId="20" hidden="1">'tab 14'!$A$14:$H$138</definedName>
    <definedName name="Z_53E72506_0B1D_4F4A_A157_6DE69D2E678D_.wvu.FilterData" localSheetId="21" hidden="1">'tab 15'!$A$14:$H$137</definedName>
    <definedName name="Z_53E72506_0B1D_4F4A_A157_6DE69D2E678D_.wvu.FilterData" localSheetId="22" hidden="1">'tab 16'!$A$11:$H$21</definedName>
    <definedName name="Z_53E72506_0B1D_4F4A_A157_6DE69D2E678D_.wvu.FilterData" localSheetId="23" hidden="1">'tab 17'!$A$13:$H$114</definedName>
    <definedName name="Z_53E72506_0B1D_4F4A_A157_6DE69D2E678D_.wvu.FilterData" localSheetId="24" hidden="1">'tab 18'!$A$13:$H$71</definedName>
    <definedName name="Z_53E72506_0B1D_4F4A_A157_6DE69D2E678D_.wvu.FilterData" localSheetId="25" hidden="1">'tab 19'!$A$11:$H$38</definedName>
    <definedName name="Z_53E72506_0B1D_4F4A_A157_6DE69D2E678D_.wvu.FilterData" localSheetId="14" hidden="1">'tab 8'!$A$13:$H$80</definedName>
    <definedName name="Z_53E72506_0B1D_4F4A_A157_6DE69D2E678D_.wvu.FilterData" localSheetId="15" hidden="1">'tab 9'!$A$12:$H$50</definedName>
    <definedName name="Z_53E72506_0B1D_4F4A_A157_6DE69D2E678D_.wvu.PrintArea" localSheetId="2" hidden="1">'graf 3'!$A$1:$N$36</definedName>
    <definedName name="Z_53E72506_0B1D_4F4A_A157_6DE69D2E678D_.wvu.PrintArea" localSheetId="3" hidden="1">'graf 4'!$A$1:$L$20</definedName>
    <definedName name="Z_53E72506_0B1D_4F4A_A157_6DE69D2E678D_.wvu.PrintArea" localSheetId="4" hidden="1">'graf 5'!$A$1:$J$27</definedName>
    <definedName name="Z_53E72506_0B1D_4F4A_A157_6DE69D2E678D_.wvu.PrintArea" localSheetId="16" hidden="1">'tab 10'!$A$1:$H$72</definedName>
    <definedName name="Z_53E72506_0B1D_4F4A_A157_6DE69D2E678D_.wvu.PrintArea" localSheetId="17" hidden="1">'tab 11'!$A$1:$H$33</definedName>
    <definedName name="Z_53E72506_0B1D_4F4A_A157_6DE69D2E678D_.wvu.PrintArea" localSheetId="18" hidden="1">'tab 12'!$A$1:$H$50</definedName>
    <definedName name="Z_53E72506_0B1D_4F4A_A157_6DE69D2E678D_.wvu.PrintArea" localSheetId="19" hidden="1">'tab 13'!$A$1:$H$60</definedName>
    <definedName name="Z_53E72506_0B1D_4F4A_A157_6DE69D2E678D_.wvu.PrintArea" localSheetId="20" hidden="1">'tab 14'!$A$1:$H$138</definedName>
    <definedName name="Z_53E72506_0B1D_4F4A_A157_6DE69D2E678D_.wvu.PrintArea" localSheetId="21" hidden="1">'tab 15'!$A$1:$H$137</definedName>
    <definedName name="Z_53E72506_0B1D_4F4A_A157_6DE69D2E678D_.wvu.PrintArea" localSheetId="22" hidden="1">'tab 16'!$A$1:$H$21</definedName>
    <definedName name="Z_53E72506_0B1D_4F4A_A157_6DE69D2E678D_.wvu.PrintArea" localSheetId="23" hidden="1">'tab 17'!$A$1:$H$114</definedName>
    <definedName name="Z_53E72506_0B1D_4F4A_A157_6DE69D2E678D_.wvu.PrintArea" localSheetId="24" hidden="1">'tab 18'!$A$1:$H$71</definedName>
    <definedName name="Z_53E72506_0B1D_4F4A_A157_6DE69D2E678D_.wvu.PrintArea" localSheetId="25" hidden="1">'tab 19'!$A$1:$H$38</definedName>
    <definedName name="Z_53E72506_0B1D_4F4A_A157_6DE69D2E678D_.wvu.PrintArea" localSheetId="9" hidden="1">'tab 3'!$A$1:$Q$166</definedName>
    <definedName name="Z_53E72506_0B1D_4F4A_A157_6DE69D2E678D_.wvu.PrintArea" localSheetId="10" hidden="1">'tab 4'!$A$1:$F$46</definedName>
    <definedName name="Z_53E72506_0B1D_4F4A_A157_6DE69D2E678D_.wvu.PrintArea" localSheetId="12" hidden="1">'tab 6'!$A$1:$M$173</definedName>
    <definedName name="Z_53E72506_0B1D_4F4A_A157_6DE69D2E678D_.wvu.PrintArea" localSheetId="14" hidden="1">'tab 8'!$A$1:$H$80</definedName>
    <definedName name="Z_53E72506_0B1D_4F4A_A157_6DE69D2E678D_.wvu.PrintArea" localSheetId="15" hidden="1">'tab 9'!$A$1:$H$50</definedName>
    <definedName name="Z_53E72506_0B1D_4F4A_A157_6DE69D2E678D_.wvu.PrintArea" localSheetId="6" hidden="1">Titul!$A$1:$N$29</definedName>
    <definedName name="Z_53E72506_0B1D_4F4A_A157_6DE69D2E678D_.wvu.PrintTitles" localSheetId="16" hidden="1">'tab 10'!$12:$13</definedName>
    <definedName name="Z_53E72506_0B1D_4F4A_A157_6DE69D2E678D_.wvu.PrintTitles" localSheetId="17" hidden="1">'tab 11'!$9:$10</definedName>
    <definedName name="Z_53E72506_0B1D_4F4A_A157_6DE69D2E678D_.wvu.PrintTitles" localSheetId="18" hidden="1">'tab 12'!$11:$12</definedName>
    <definedName name="Z_53E72506_0B1D_4F4A_A157_6DE69D2E678D_.wvu.PrintTitles" localSheetId="19" hidden="1">'tab 13'!$12:$13</definedName>
    <definedName name="Z_53E72506_0B1D_4F4A_A157_6DE69D2E678D_.wvu.PrintTitles" localSheetId="20" hidden="1">'tab 14'!$13:$14</definedName>
    <definedName name="Z_53E72506_0B1D_4F4A_A157_6DE69D2E678D_.wvu.PrintTitles" localSheetId="21" hidden="1">'tab 15'!$13:$14</definedName>
    <definedName name="Z_53E72506_0B1D_4F4A_A157_6DE69D2E678D_.wvu.PrintTitles" localSheetId="22" hidden="1">'tab 16'!$10:$11</definedName>
    <definedName name="Z_53E72506_0B1D_4F4A_A157_6DE69D2E678D_.wvu.PrintTitles" localSheetId="23" hidden="1">'tab 17'!$12:$13</definedName>
    <definedName name="Z_53E72506_0B1D_4F4A_A157_6DE69D2E678D_.wvu.PrintTitles" localSheetId="24" hidden="1">'tab 18'!$12:$13</definedName>
    <definedName name="Z_53E72506_0B1D_4F4A_A157_6DE69D2E678D_.wvu.PrintTitles" localSheetId="25" hidden="1">'tab 19'!$10:$11</definedName>
    <definedName name="Z_53E72506_0B1D_4F4A_A157_6DE69D2E678D_.wvu.PrintTitles" localSheetId="9" hidden="1">'tab 3'!$3:$6</definedName>
    <definedName name="Z_53E72506_0B1D_4F4A_A157_6DE69D2E678D_.wvu.PrintTitles" localSheetId="10" hidden="1">'tab 4'!$3:$4</definedName>
    <definedName name="Z_53E72506_0B1D_4F4A_A157_6DE69D2E678D_.wvu.PrintTitles" localSheetId="12" hidden="1">'tab 6'!$3:$4</definedName>
    <definedName name="Z_53E72506_0B1D_4F4A_A157_6DE69D2E678D_.wvu.PrintTitles" localSheetId="14" hidden="1">'tab 8'!$12:$13</definedName>
    <definedName name="Z_53E72506_0B1D_4F4A_A157_6DE69D2E678D_.wvu.PrintTitles" localSheetId="15" hidden="1">'tab 9'!$11:$12</definedName>
    <definedName name="Z_645F16DE_368A_4EBB_9201_3448A903FD10_.wvu.Cols" localSheetId="9" hidden="1">'tab 3'!#REF!</definedName>
    <definedName name="Z_645F16DE_368A_4EBB_9201_3448A903FD10_.wvu.PrintArea" localSheetId="9" hidden="1">'tab 3'!$A$1:$Q$163</definedName>
    <definedName name="Z_645F16DE_368A_4EBB_9201_3448A903FD10_.wvu.PrintTitles" localSheetId="9" hidden="1">'tab 3'!$3:$6</definedName>
    <definedName name="Z_7BA3C5DE_8A6A_449C_A7D7_FD0BB6C73A08_.wvu.Cols" localSheetId="10" hidden="1">'tab 4'!$B:$B</definedName>
    <definedName name="Z_7BA3C5DE_8A6A_449C_A7D7_FD0BB6C73A08_.wvu.FilterData" localSheetId="29" hidden="1">'tab 23'!$A$3:$C$190</definedName>
    <definedName name="Z_7BA3C5DE_8A6A_449C_A7D7_FD0BB6C73A08_.wvu.PrintArea" localSheetId="2" hidden="1">'graf 3'!$A$1:$N$36</definedName>
    <definedName name="Z_7BA3C5DE_8A6A_449C_A7D7_FD0BB6C73A08_.wvu.PrintArea" localSheetId="3" hidden="1">'graf 4'!$A$1:$L$20</definedName>
    <definedName name="Z_7BA3C5DE_8A6A_449C_A7D7_FD0BB6C73A08_.wvu.PrintArea" localSheetId="4" hidden="1">'graf 5'!$A$1:$J$27</definedName>
    <definedName name="Z_7BA3C5DE_8A6A_449C_A7D7_FD0BB6C73A08_.wvu.PrintArea" localSheetId="16" hidden="1">'tab 10'!$A$1:$H$72</definedName>
    <definedName name="Z_7BA3C5DE_8A6A_449C_A7D7_FD0BB6C73A08_.wvu.PrintArea" localSheetId="17" hidden="1">'tab 11'!$A$1:$H$33</definedName>
    <definedName name="Z_7BA3C5DE_8A6A_449C_A7D7_FD0BB6C73A08_.wvu.PrintArea" localSheetId="18" hidden="1">'tab 12'!$A$1:$H$50</definedName>
    <definedName name="Z_7BA3C5DE_8A6A_449C_A7D7_FD0BB6C73A08_.wvu.PrintArea" localSheetId="19" hidden="1">'tab 13'!$A$1:$H$60</definedName>
    <definedName name="Z_7BA3C5DE_8A6A_449C_A7D7_FD0BB6C73A08_.wvu.PrintArea" localSheetId="20" hidden="1">'tab 14'!$A$1:$H$138</definedName>
    <definedName name="Z_7BA3C5DE_8A6A_449C_A7D7_FD0BB6C73A08_.wvu.PrintArea" localSheetId="21" hidden="1">'tab 15'!$A$1:$H$137</definedName>
    <definedName name="Z_7BA3C5DE_8A6A_449C_A7D7_FD0BB6C73A08_.wvu.PrintArea" localSheetId="22" hidden="1">'tab 16'!$A$1:$H$21</definedName>
    <definedName name="Z_7BA3C5DE_8A6A_449C_A7D7_FD0BB6C73A08_.wvu.PrintArea" localSheetId="23" hidden="1">'tab 17'!$A$1:$H$114</definedName>
    <definedName name="Z_7BA3C5DE_8A6A_449C_A7D7_FD0BB6C73A08_.wvu.PrintArea" localSheetId="24" hidden="1">'tab 18'!$A$1:$H$71</definedName>
    <definedName name="Z_7BA3C5DE_8A6A_449C_A7D7_FD0BB6C73A08_.wvu.PrintArea" localSheetId="25" hidden="1">'tab 19'!$A$1:$H$38</definedName>
    <definedName name="Z_7BA3C5DE_8A6A_449C_A7D7_FD0BB6C73A08_.wvu.PrintArea" localSheetId="26" hidden="1">'tab 20'!$A$1:$C$5</definedName>
    <definedName name="Z_7BA3C5DE_8A6A_449C_A7D7_FD0BB6C73A08_.wvu.PrintArea" localSheetId="27" hidden="1">'tab 21'!$A$1:$C$11</definedName>
    <definedName name="Z_7BA3C5DE_8A6A_449C_A7D7_FD0BB6C73A08_.wvu.PrintArea" localSheetId="28" hidden="1">'tab 22'!$A$1:$C$28</definedName>
    <definedName name="Z_7BA3C5DE_8A6A_449C_A7D7_FD0BB6C73A08_.wvu.PrintArea" localSheetId="29" hidden="1">'tab 23'!$A$1:$C$190</definedName>
    <definedName name="Z_7BA3C5DE_8A6A_449C_A7D7_FD0BB6C73A08_.wvu.PrintArea" localSheetId="30" hidden="1">'tab 24'!$A$1:$C$14</definedName>
    <definedName name="Z_7BA3C5DE_8A6A_449C_A7D7_FD0BB6C73A08_.wvu.PrintArea" localSheetId="31" hidden="1">'tab 25'!$A$1:$C$5</definedName>
    <definedName name="Z_7BA3C5DE_8A6A_449C_A7D7_FD0BB6C73A08_.wvu.PrintArea" localSheetId="36" hidden="1">'tab 30'!$A$1:$F$168</definedName>
    <definedName name="Z_7BA3C5DE_8A6A_449C_A7D7_FD0BB6C73A08_.wvu.PrintArea" localSheetId="37" hidden="1">'tab 31'!$A$1:$G$167</definedName>
    <definedName name="Z_7BA3C5DE_8A6A_449C_A7D7_FD0BB6C73A08_.wvu.PrintArea" localSheetId="38" hidden="1">'tab 32'!$A$1:$G$147</definedName>
    <definedName name="Z_7BA3C5DE_8A6A_449C_A7D7_FD0BB6C73A08_.wvu.PrintArea" localSheetId="40" hidden="1">'tab 34'!$A$1:$G$146</definedName>
    <definedName name="Z_7BA3C5DE_8A6A_449C_A7D7_FD0BB6C73A08_.wvu.PrintArea" localSheetId="42" hidden="1">'tab 36'!$A$1:$G$146</definedName>
    <definedName name="Z_7BA3C5DE_8A6A_449C_A7D7_FD0BB6C73A08_.wvu.PrintArea" localSheetId="44" hidden="1">'tab 38'!$A$1:$G$146</definedName>
    <definedName name="Z_7BA3C5DE_8A6A_449C_A7D7_FD0BB6C73A08_.wvu.PrintArea" localSheetId="46" hidden="1">'tab 40'!$A$1:$G$146</definedName>
    <definedName name="Z_7BA3C5DE_8A6A_449C_A7D7_FD0BB6C73A08_.wvu.PrintArea" localSheetId="48" hidden="1">'tab 42'!$A$1:$G$146</definedName>
    <definedName name="Z_7BA3C5DE_8A6A_449C_A7D7_FD0BB6C73A08_.wvu.PrintArea" localSheetId="50" hidden="1">'tab 44'!$A$1:$G$146</definedName>
    <definedName name="Z_7BA3C5DE_8A6A_449C_A7D7_FD0BB6C73A08_.wvu.PrintArea" localSheetId="14" hidden="1">'tab 8'!$A$1:$H$80</definedName>
    <definedName name="Z_7BA3C5DE_8A6A_449C_A7D7_FD0BB6C73A08_.wvu.PrintArea" localSheetId="15" hidden="1">'tab 9'!$A$1:$H$50</definedName>
    <definedName name="Z_7BA3C5DE_8A6A_449C_A7D7_FD0BB6C73A08_.wvu.PrintArea" localSheetId="6" hidden="1">Titul!$A$1:$N$29</definedName>
    <definedName name="Z_7BA3C5DE_8A6A_449C_A7D7_FD0BB6C73A08_.wvu.PrintTitles" localSheetId="16" hidden="1">'tab 10'!$12:$13</definedName>
    <definedName name="Z_7BA3C5DE_8A6A_449C_A7D7_FD0BB6C73A08_.wvu.PrintTitles" localSheetId="17" hidden="1">'tab 11'!$9:$10</definedName>
    <definedName name="Z_7BA3C5DE_8A6A_449C_A7D7_FD0BB6C73A08_.wvu.PrintTitles" localSheetId="18" hidden="1">'tab 12'!$11:$12</definedName>
    <definedName name="Z_7BA3C5DE_8A6A_449C_A7D7_FD0BB6C73A08_.wvu.PrintTitles" localSheetId="19" hidden="1">'tab 13'!$12:$13</definedName>
    <definedName name="Z_7BA3C5DE_8A6A_449C_A7D7_FD0BB6C73A08_.wvu.PrintTitles" localSheetId="20" hidden="1">'tab 14'!$13:$14</definedName>
    <definedName name="Z_7BA3C5DE_8A6A_449C_A7D7_FD0BB6C73A08_.wvu.PrintTitles" localSheetId="21" hidden="1">'tab 15'!$13:$14</definedName>
    <definedName name="Z_7BA3C5DE_8A6A_449C_A7D7_FD0BB6C73A08_.wvu.PrintTitles" localSheetId="22" hidden="1">'tab 16'!$10:$11</definedName>
    <definedName name="Z_7BA3C5DE_8A6A_449C_A7D7_FD0BB6C73A08_.wvu.PrintTitles" localSheetId="23" hidden="1">'tab 17'!$12:$13</definedName>
    <definedName name="Z_7BA3C5DE_8A6A_449C_A7D7_FD0BB6C73A08_.wvu.PrintTitles" localSheetId="24" hidden="1">'tab 18'!$12:$13</definedName>
    <definedName name="Z_7BA3C5DE_8A6A_449C_A7D7_FD0BB6C73A08_.wvu.PrintTitles" localSheetId="25" hidden="1">'tab 19'!$10:$11</definedName>
    <definedName name="Z_7BA3C5DE_8A6A_449C_A7D7_FD0BB6C73A08_.wvu.PrintTitles" localSheetId="29" hidden="1">'tab 23'!$2:$3</definedName>
    <definedName name="Z_7BA3C5DE_8A6A_449C_A7D7_FD0BB6C73A08_.wvu.PrintTitles" localSheetId="36" hidden="1">'tab 30'!$4:$7</definedName>
    <definedName name="Z_7BA3C5DE_8A6A_449C_A7D7_FD0BB6C73A08_.wvu.PrintTitles" localSheetId="37" hidden="1">'tab 31'!$4:$7</definedName>
    <definedName name="Z_7BA3C5DE_8A6A_449C_A7D7_FD0BB6C73A08_.wvu.PrintTitles" localSheetId="38" hidden="1">'tab 32'!$4:$7</definedName>
    <definedName name="Z_7BA3C5DE_8A6A_449C_A7D7_FD0BB6C73A08_.wvu.PrintTitles" localSheetId="40" hidden="1">'tab 34'!$4:$7</definedName>
    <definedName name="Z_7BA3C5DE_8A6A_449C_A7D7_FD0BB6C73A08_.wvu.PrintTitles" localSheetId="42" hidden="1">'tab 36'!$4:$7</definedName>
    <definedName name="Z_7BA3C5DE_8A6A_449C_A7D7_FD0BB6C73A08_.wvu.PrintTitles" localSheetId="44" hidden="1">'tab 38'!$4:$7</definedName>
    <definedName name="Z_7BA3C5DE_8A6A_449C_A7D7_FD0BB6C73A08_.wvu.PrintTitles" localSheetId="46" hidden="1">'tab 40'!$4:$7</definedName>
    <definedName name="Z_7BA3C5DE_8A6A_449C_A7D7_FD0BB6C73A08_.wvu.PrintTitles" localSheetId="48" hidden="1">'tab 42'!$4:$7</definedName>
    <definedName name="Z_7BA3C5DE_8A6A_449C_A7D7_FD0BB6C73A08_.wvu.PrintTitles" localSheetId="50" hidden="1">'tab 44'!$4:$7</definedName>
    <definedName name="Z_7BA3C5DE_8A6A_449C_A7D7_FD0BB6C73A08_.wvu.PrintTitles" localSheetId="14" hidden="1">'tab 8'!$12:$13</definedName>
    <definedName name="Z_7BA3C5DE_8A6A_449C_A7D7_FD0BB6C73A08_.wvu.PrintTitles" localSheetId="15" hidden="1">'tab 9'!$11:$12</definedName>
    <definedName name="Z_93F2F524_822E_4393_B685_8677486B23E3_.wvu.Cols" localSheetId="1" hidden="1">'graf 2'!$A:$A</definedName>
    <definedName name="Z_93F2F524_822E_4393_B685_8677486B23E3_.wvu.Cols" localSheetId="9" hidden="1">'tab 3'!#REF!</definedName>
    <definedName name="Z_93F2F524_822E_4393_B685_8677486B23E3_.wvu.Cols" localSheetId="10" hidden="1">'tab 4'!$B:$B</definedName>
    <definedName name="Z_93F2F524_822E_4393_B685_8677486B23E3_.wvu.PrintArea" localSheetId="2" hidden="1">'graf 3'!$A$1:$N$36</definedName>
    <definedName name="Z_93F2F524_822E_4393_B685_8677486B23E3_.wvu.PrintArea" localSheetId="3" hidden="1">'graf 4'!$A$1:$L$20</definedName>
    <definedName name="Z_93F2F524_822E_4393_B685_8677486B23E3_.wvu.PrintArea" localSheetId="4" hidden="1">'graf 5'!$A$1:$J$27</definedName>
    <definedName name="Z_93F2F524_822E_4393_B685_8677486B23E3_.wvu.PrintArea" localSheetId="16" hidden="1">'tab 10'!$A$1:$H$72</definedName>
    <definedName name="Z_93F2F524_822E_4393_B685_8677486B23E3_.wvu.PrintArea" localSheetId="17" hidden="1">'tab 11'!$A$1:$H$33</definedName>
    <definedName name="Z_93F2F524_822E_4393_B685_8677486B23E3_.wvu.PrintArea" localSheetId="18" hidden="1">'tab 12'!$A$1:$H$50</definedName>
    <definedName name="Z_93F2F524_822E_4393_B685_8677486B23E3_.wvu.PrintArea" localSheetId="19" hidden="1">'tab 13'!$A$1:$H$60</definedName>
    <definedName name="Z_93F2F524_822E_4393_B685_8677486B23E3_.wvu.PrintArea" localSheetId="20" hidden="1">'tab 14'!$A$1:$H$138</definedName>
    <definedName name="Z_93F2F524_822E_4393_B685_8677486B23E3_.wvu.PrintArea" localSheetId="21" hidden="1">'tab 15'!$A$1:$H$137</definedName>
    <definedName name="Z_93F2F524_822E_4393_B685_8677486B23E3_.wvu.PrintArea" localSheetId="22" hidden="1">'tab 16'!$A$1:$H$21</definedName>
    <definedName name="Z_93F2F524_822E_4393_B685_8677486B23E3_.wvu.PrintArea" localSheetId="23" hidden="1">'tab 17'!$A$1:$H$114</definedName>
    <definedName name="Z_93F2F524_822E_4393_B685_8677486B23E3_.wvu.PrintArea" localSheetId="24" hidden="1">'tab 18'!$A$1:$H$71</definedName>
    <definedName name="Z_93F2F524_822E_4393_B685_8677486B23E3_.wvu.PrintArea" localSheetId="25" hidden="1">'tab 19'!$A$1:$H$38</definedName>
    <definedName name="Z_93F2F524_822E_4393_B685_8677486B23E3_.wvu.PrintArea" localSheetId="9" hidden="1">'tab 3'!$A$1:$Q$163</definedName>
    <definedName name="Z_93F2F524_822E_4393_B685_8677486B23E3_.wvu.PrintArea" localSheetId="14" hidden="1">'tab 8'!$A$1:$H$80</definedName>
    <definedName name="Z_93F2F524_822E_4393_B685_8677486B23E3_.wvu.PrintArea" localSheetId="15" hidden="1">'tab 9'!$A$1:$H$50</definedName>
    <definedName name="Z_93F2F524_822E_4393_B685_8677486B23E3_.wvu.PrintArea" localSheetId="6" hidden="1">Titul!$A$1:$N$29</definedName>
    <definedName name="Z_93F2F524_822E_4393_B685_8677486B23E3_.wvu.PrintTitles" localSheetId="16" hidden="1">'tab 10'!$12:$13</definedName>
    <definedName name="Z_93F2F524_822E_4393_B685_8677486B23E3_.wvu.PrintTitles" localSheetId="17" hidden="1">'tab 11'!$9:$10</definedName>
    <definedName name="Z_93F2F524_822E_4393_B685_8677486B23E3_.wvu.PrintTitles" localSheetId="18" hidden="1">'tab 12'!$11:$12</definedName>
    <definedName name="Z_93F2F524_822E_4393_B685_8677486B23E3_.wvu.PrintTitles" localSheetId="19" hidden="1">'tab 13'!$12:$13</definedName>
    <definedName name="Z_93F2F524_822E_4393_B685_8677486B23E3_.wvu.PrintTitles" localSheetId="20" hidden="1">'tab 14'!$13:$14</definedName>
    <definedName name="Z_93F2F524_822E_4393_B685_8677486B23E3_.wvu.PrintTitles" localSheetId="21" hidden="1">'tab 15'!$13:$14</definedName>
    <definedName name="Z_93F2F524_822E_4393_B685_8677486B23E3_.wvu.PrintTitles" localSheetId="22" hidden="1">'tab 16'!$10:$11</definedName>
    <definedName name="Z_93F2F524_822E_4393_B685_8677486B23E3_.wvu.PrintTitles" localSheetId="23" hidden="1">'tab 17'!$12:$13</definedName>
    <definedName name="Z_93F2F524_822E_4393_B685_8677486B23E3_.wvu.PrintTitles" localSheetId="24" hidden="1">'tab 18'!$12:$13</definedName>
    <definedName name="Z_93F2F524_822E_4393_B685_8677486B23E3_.wvu.PrintTitles" localSheetId="25" hidden="1">'tab 19'!$10:$11</definedName>
    <definedName name="Z_93F2F524_822E_4393_B685_8677486B23E3_.wvu.PrintTitles" localSheetId="9" hidden="1">'tab 3'!$3:$6</definedName>
    <definedName name="Z_93F2F524_822E_4393_B685_8677486B23E3_.wvu.PrintTitles" localSheetId="10" hidden="1">'tab 4'!$3:$4</definedName>
    <definedName name="Z_93F2F524_822E_4393_B685_8677486B23E3_.wvu.PrintTitles" localSheetId="14" hidden="1">'tab 8'!$12:$13</definedName>
    <definedName name="Z_93F2F524_822E_4393_B685_8677486B23E3_.wvu.PrintTitles" localSheetId="15" hidden="1">'tab 9'!$11:$12</definedName>
    <definedName name="Z_ACBE103E_D216_4C19_86CA_1FEE6266433A_.wvu.Cols" localSheetId="29" hidden="1">'tab 23'!#REF!,'tab 23'!#REF!</definedName>
    <definedName name="Z_ACBE103E_D216_4C19_86CA_1FEE6266433A_.wvu.FilterData" localSheetId="29" hidden="1">'tab 23'!$A$3:$C$190</definedName>
    <definedName name="Z_ACBE103E_D216_4C19_86CA_1FEE6266433A_.wvu.PrintArea" localSheetId="2" hidden="1">'graf 3'!$A$1:$N$36</definedName>
    <definedName name="Z_ACBE103E_D216_4C19_86CA_1FEE6266433A_.wvu.PrintArea" localSheetId="3" hidden="1">'graf 4'!$A$1:$J$23</definedName>
    <definedName name="Z_ACBE103E_D216_4C19_86CA_1FEE6266433A_.wvu.PrintArea" localSheetId="4" hidden="1">'graf 5'!$A$1:$I$29</definedName>
    <definedName name="Z_ACBE103E_D216_4C19_86CA_1FEE6266433A_.wvu.PrintArea" localSheetId="28" hidden="1">'tab 22'!$A$1:$C$28</definedName>
    <definedName name="Z_ACBE103E_D216_4C19_86CA_1FEE6266433A_.wvu.PrintArea" localSheetId="29" hidden="1">'tab 23'!$A$1:$C$190</definedName>
    <definedName name="Z_ACBE103E_D216_4C19_86CA_1FEE6266433A_.wvu.PrintTitles" localSheetId="29" hidden="1">'tab 23'!$2:$3</definedName>
    <definedName name="Z_B44BB22B_FBD0_4AC6_A8B4_CC1EB720AEFD_.wvu.Cols" localSheetId="1" hidden="1">'graf 2'!$A:$A</definedName>
    <definedName name="Z_B44BB22B_FBD0_4AC6_A8B4_CC1EB720AEFD_.wvu.Cols" localSheetId="10" hidden="1">'tab 4'!$B:$B</definedName>
    <definedName name="Z_B44BB22B_FBD0_4AC6_A8B4_CC1EB720AEFD_.wvu.FilterData" localSheetId="29" hidden="1">'tab 23'!$A$1:$C$190</definedName>
    <definedName name="Z_B44BB22B_FBD0_4AC6_A8B4_CC1EB720AEFD_.wvu.PrintArea" localSheetId="2" hidden="1">'graf 3'!$A$1:$N$36</definedName>
    <definedName name="Z_B44BB22B_FBD0_4AC6_A8B4_CC1EB720AEFD_.wvu.PrintArea" localSheetId="3" hidden="1">'graf 4'!$A$1:$L$20</definedName>
    <definedName name="Z_B44BB22B_FBD0_4AC6_A8B4_CC1EB720AEFD_.wvu.PrintArea" localSheetId="4" hidden="1">'graf 5'!$A$1:$J$27</definedName>
    <definedName name="Z_B44BB22B_FBD0_4AC6_A8B4_CC1EB720AEFD_.wvu.PrintArea" localSheetId="26" hidden="1">'tab 20'!$A$1:$C$5</definedName>
    <definedName name="Z_B44BB22B_FBD0_4AC6_A8B4_CC1EB720AEFD_.wvu.PrintArea" localSheetId="27" hidden="1">'tab 21'!$A$1:$C$11</definedName>
    <definedName name="Z_B44BB22B_FBD0_4AC6_A8B4_CC1EB720AEFD_.wvu.PrintArea" localSheetId="28" hidden="1">'tab 22'!$A$1:$C$28</definedName>
    <definedName name="Z_B44BB22B_FBD0_4AC6_A8B4_CC1EB720AEFD_.wvu.PrintArea" localSheetId="29" hidden="1">'tab 23'!$A$1:$C$190</definedName>
    <definedName name="Z_B44BB22B_FBD0_4AC6_A8B4_CC1EB720AEFD_.wvu.PrintArea" localSheetId="30" hidden="1">'tab 24'!$A$1:$C$14</definedName>
    <definedName name="Z_B44BB22B_FBD0_4AC6_A8B4_CC1EB720AEFD_.wvu.PrintArea" localSheetId="31" hidden="1">'tab 25'!$A$1:$C$5</definedName>
    <definedName name="Z_B44BB22B_FBD0_4AC6_A8B4_CC1EB720AEFD_.wvu.PrintArea" localSheetId="36" hidden="1">'tab 30'!$A$1:$F$168</definedName>
    <definedName name="Z_B44BB22B_FBD0_4AC6_A8B4_CC1EB720AEFD_.wvu.PrintArea" localSheetId="37" hidden="1">'tab 31'!$A$1:$G$167</definedName>
    <definedName name="Z_B44BB22B_FBD0_4AC6_A8B4_CC1EB720AEFD_.wvu.PrintArea" localSheetId="38" hidden="1">'tab 32'!$A$1:$G$147</definedName>
    <definedName name="Z_B44BB22B_FBD0_4AC6_A8B4_CC1EB720AEFD_.wvu.PrintArea" localSheetId="40" hidden="1">'tab 34'!$A$1:$G$146</definedName>
    <definedName name="Z_B44BB22B_FBD0_4AC6_A8B4_CC1EB720AEFD_.wvu.PrintArea" localSheetId="42" hidden="1">'tab 36'!$A$1:$G$146</definedName>
    <definedName name="Z_B44BB22B_FBD0_4AC6_A8B4_CC1EB720AEFD_.wvu.PrintArea" localSheetId="44" hidden="1">'tab 38'!$A$1:$G$146</definedName>
    <definedName name="Z_B44BB22B_FBD0_4AC6_A8B4_CC1EB720AEFD_.wvu.PrintArea" localSheetId="46" hidden="1">'tab 40'!$A$1:$G$146</definedName>
    <definedName name="Z_B44BB22B_FBD0_4AC6_A8B4_CC1EB720AEFD_.wvu.PrintArea" localSheetId="48" hidden="1">'tab 42'!$A$1:$G$146</definedName>
    <definedName name="Z_B44BB22B_FBD0_4AC6_A8B4_CC1EB720AEFD_.wvu.PrintArea" localSheetId="49" hidden="1">'tab 43'!$A$1:$G$83</definedName>
    <definedName name="Z_B44BB22B_FBD0_4AC6_A8B4_CC1EB720AEFD_.wvu.PrintArea" localSheetId="50" hidden="1">'tab 44'!$A$1:$G$146</definedName>
    <definedName name="Z_B44BB22B_FBD0_4AC6_A8B4_CC1EB720AEFD_.wvu.PrintArea" localSheetId="6" hidden="1">Titul!$A$1:$N$29</definedName>
    <definedName name="Z_B44BB22B_FBD0_4AC6_A8B4_CC1EB720AEFD_.wvu.PrintTitles" localSheetId="29" hidden="1">'tab 23'!$2:$3</definedName>
    <definedName name="Z_B44BB22B_FBD0_4AC6_A8B4_CC1EB720AEFD_.wvu.PrintTitles" localSheetId="36" hidden="1">'tab 30'!$4:$7</definedName>
    <definedName name="Z_B44BB22B_FBD0_4AC6_A8B4_CC1EB720AEFD_.wvu.PrintTitles" localSheetId="37" hidden="1">'tab 31'!$4:$7</definedName>
    <definedName name="Z_B44BB22B_FBD0_4AC6_A8B4_CC1EB720AEFD_.wvu.PrintTitles" localSheetId="38" hidden="1">'tab 32'!$4:$7</definedName>
    <definedName name="Z_B44BB22B_FBD0_4AC6_A8B4_CC1EB720AEFD_.wvu.PrintTitles" localSheetId="40" hidden="1">'tab 34'!$4:$7</definedName>
    <definedName name="Z_B44BB22B_FBD0_4AC6_A8B4_CC1EB720AEFD_.wvu.PrintTitles" localSheetId="42" hidden="1">'tab 36'!$4:$7</definedName>
    <definedName name="Z_B44BB22B_FBD0_4AC6_A8B4_CC1EB720AEFD_.wvu.PrintTitles" localSheetId="44" hidden="1">'tab 38'!$4:$7</definedName>
    <definedName name="Z_B44BB22B_FBD0_4AC6_A8B4_CC1EB720AEFD_.wvu.PrintTitles" localSheetId="46" hidden="1">'tab 40'!$4:$7</definedName>
    <definedName name="Z_B44BB22B_FBD0_4AC6_A8B4_CC1EB720AEFD_.wvu.PrintTitles" localSheetId="48" hidden="1">'tab 42'!$4:$7</definedName>
    <definedName name="Z_B44BB22B_FBD0_4AC6_A8B4_CC1EB720AEFD_.wvu.PrintTitles" localSheetId="50" hidden="1">'tab 44'!$4:$7</definedName>
    <definedName name="Z_B987D3EC_F819_4A27_976A_1583D9C2229A_.wvu.Cols" localSheetId="29" hidden="1">'tab 23'!#REF!,'tab 23'!#REF!</definedName>
    <definedName name="Z_B987D3EC_F819_4A27_976A_1583D9C2229A_.wvu.FilterData" localSheetId="29" hidden="1">'tab 23'!$A$3:$C$190</definedName>
    <definedName name="Z_B987D3EC_F819_4A27_976A_1583D9C2229A_.wvu.PrintArea" localSheetId="28" hidden="1">'tab 22'!$A$1:$C$28</definedName>
    <definedName name="Z_B987D3EC_F819_4A27_976A_1583D9C2229A_.wvu.PrintTitles" localSheetId="29" hidden="1">'tab 23'!$2:$3</definedName>
    <definedName name="Z_B987D3EC_F819_4A27_976A_1583D9C2229A_.wvu.Rows" localSheetId="28" hidden="1">'tab 22'!$25:$25</definedName>
    <definedName name="Z_B987D3EC_F819_4A27_976A_1583D9C2229A_.wvu.Rows" localSheetId="29" hidden="1">'tab 23'!$192:$195</definedName>
    <definedName name="Z_B987D3EC_F819_4A27_976A_1583D9C2229A_.wvu.Rows" localSheetId="30" hidden="1">'tab 24'!$7:$8,'tab 24'!$11:$11</definedName>
    <definedName name="Z_C9C6655B_1932_4DA2_8B33_FEE239A1D835_.wvu.Cols" localSheetId="12" hidden="1">'tab 6'!$A:$A</definedName>
    <definedName name="Z_C9C6655B_1932_4DA2_8B33_FEE239A1D835_.wvu.PrintArea" localSheetId="12" hidden="1">'tab 6'!$A$1:$M$173</definedName>
    <definedName name="Z_C9C6655B_1932_4DA2_8B33_FEE239A1D835_.wvu.PrintTitles" localSheetId="12" hidden="1">'tab 6'!$3:$4</definedName>
  </definedNames>
  <calcPr calcId="152511"/>
  <customWorkbookViews>
    <customWorkbookView name="Metelka Tomáš – osobní zobrazení" guid="{53E72506-0B1D-4F4A-A157-6DE69D2E678D}" mergeInterval="0" personalView="1" maximized="1" windowWidth="1916" windowHeight="855" tabRatio="941" activeSheetId="3"/>
  </customWorkbookViews>
</workbook>
</file>

<file path=xl/calcChain.xml><?xml version="1.0" encoding="utf-8"?>
<calcChain xmlns="http://schemas.openxmlformats.org/spreadsheetml/2006/main">
  <c r="C190" i="18" l="1"/>
  <c r="E38" i="52" l="1"/>
  <c r="D38" i="52"/>
  <c r="C38" i="52"/>
  <c r="C6" i="52" s="1"/>
  <c r="F37" i="52"/>
  <c r="F36" i="52"/>
  <c r="F35" i="52"/>
  <c r="C33" i="52"/>
  <c r="F32" i="52"/>
  <c r="E31" i="52"/>
  <c r="E33" i="52" s="1"/>
  <c r="E5" i="52" s="1"/>
  <c r="D31" i="52"/>
  <c r="D33" i="52" s="1"/>
  <c r="D5" i="52" s="1"/>
  <c r="F30" i="52"/>
  <c r="F29" i="52"/>
  <c r="F28" i="52"/>
  <c r="F27" i="52"/>
  <c r="F26" i="52"/>
  <c r="F25" i="52"/>
  <c r="F24" i="52"/>
  <c r="F23" i="52"/>
  <c r="F22" i="52"/>
  <c r="F21" i="52"/>
  <c r="F20" i="52"/>
  <c r="F19" i="52"/>
  <c r="F18" i="52"/>
  <c r="F17" i="52"/>
  <c r="F16" i="52"/>
  <c r="F15" i="52"/>
  <c r="F14" i="52"/>
  <c r="A14" i="52"/>
  <c r="A15" i="52" s="1"/>
  <c r="A16" i="52" s="1"/>
  <c r="A17" i="52" s="1"/>
  <c r="A18" i="52" s="1"/>
  <c r="A19" i="52" s="1"/>
  <c r="A20" i="52" s="1"/>
  <c r="A21" i="52" s="1"/>
  <c r="A22" i="52" s="1"/>
  <c r="A23" i="52" s="1"/>
  <c r="A24" i="52" s="1"/>
  <c r="A25" i="52" s="1"/>
  <c r="A26" i="52" s="1"/>
  <c r="A27" i="52" s="1"/>
  <c r="A28" i="52" s="1"/>
  <c r="A29" i="52" s="1"/>
  <c r="A30" i="52" s="1"/>
  <c r="A31" i="52" s="1"/>
  <c r="A32" i="52" s="1"/>
  <c r="A35" i="52" s="1"/>
  <c r="A36" i="52" s="1"/>
  <c r="A37" i="52" s="1"/>
  <c r="F13" i="52"/>
  <c r="E6" i="52"/>
  <c r="C5" i="52"/>
  <c r="E71" i="51"/>
  <c r="D71" i="51"/>
  <c r="C71" i="51"/>
  <c r="F69" i="51"/>
  <c r="F68" i="51"/>
  <c r="F67" i="51"/>
  <c r="F66" i="51"/>
  <c r="F65" i="51"/>
  <c r="F64" i="51"/>
  <c r="F63" i="51"/>
  <c r="E61" i="51"/>
  <c r="D61" i="51"/>
  <c r="C61" i="51"/>
  <c r="C7" i="51" s="1"/>
  <c r="F60" i="51"/>
  <c r="F59" i="51"/>
  <c r="E57" i="51"/>
  <c r="E6" i="51" s="1"/>
  <c r="F6" i="51" s="1"/>
  <c r="D57" i="51"/>
  <c r="D6" i="51" s="1"/>
  <c r="C57" i="51"/>
  <c r="F56" i="51"/>
  <c r="F55" i="51"/>
  <c r="E53" i="51"/>
  <c r="D53" i="51"/>
  <c r="C53" i="51"/>
  <c r="C5" i="51" s="1"/>
  <c r="F52" i="51"/>
  <c r="F51" i="51"/>
  <c r="F50" i="51"/>
  <c r="F49" i="51"/>
  <c r="F48" i="51"/>
  <c r="F47" i="51"/>
  <c r="F46" i="51"/>
  <c r="F45" i="51"/>
  <c r="F44" i="51"/>
  <c r="F43" i="51"/>
  <c r="F42" i="51"/>
  <c r="F41" i="51"/>
  <c r="F40" i="51"/>
  <c r="F39" i="51"/>
  <c r="F38" i="51"/>
  <c r="F37" i="51"/>
  <c r="F35" i="51"/>
  <c r="F34" i="51"/>
  <c r="F33" i="51"/>
  <c r="F32" i="51"/>
  <c r="F31" i="51"/>
  <c r="F30" i="51"/>
  <c r="F29" i="51"/>
  <c r="F28" i="51"/>
  <c r="F27" i="51"/>
  <c r="F26" i="51"/>
  <c r="F25" i="51"/>
  <c r="F24" i="51"/>
  <c r="F23" i="51"/>
  <c r="F22" i="51"/>
  <c r="F21" i="51"/>
  <c r="F19" i="51"/>
  <c r="F18" i="51"/>
  <c r="F17" i="51"/>
  <c r="F16" i="51"/>
  <c r="A16" i="5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A40" i="51" s="1"/>
  <c r="A41" i="51" s="1"/>
  <c r="A42" i="51" s="1"/>
  <c r="A43" i="51" s="1"/>
  <c r="A44" i="51" s="1"/>
  <c r="A45" i="51" s="1"/>
  <c r="A46" i="51" s="1"/>
  <c r="A47" i="51" s="1"/>
  <c r="A48" i="51" s="1"/>
  <c r="A49" i="51" s="1"/>
  <c r="A50" i="51" s="1"/>
  <c r="A51" i="51" s="1"/>
  <c r="A52" i="51" s="1"/>
  <c r="A55" i="51" s="1"/>
  <c r="A56" i="51" s="1"/>
  <c r="A59" i="51" s="1"/>
  <c r="A60" i="51" s="1"/>
  <c r="A63" i="51" s="1"/>
  <c r="A64" i="51" s="1"/>
  <c r="A65" i="51" s="1"/>
  <c r="A66" i="51" s="1"/>
  <c r="A67" i="51" s="1"/>
  <c r="A68" i="51" s="1"/>
  <c r="A69" i="51" s="1"/>
  <c r="A70" i="51" s="1"/>
  <c r="F15" i="51"/>
  <c r="D8" i="51"/>
  <c r="C8" i="51"/>
  <c r="E7" i="51"/>
  <c r="C6" i="51"/>
  <c r="E5" i="51"/>
  <c r="E114" i="50"/>
  <c r="C114" i="50"/>
  <c r="C8" i="50" s="1"/>
  <c r="F113" i="50"/>
  <c r="F112" i="50"/>
  <c r="F111" i="50"/>
  <c r="F110" i="50"/>
  <c r="F109" i="50"/>
  <c r="F108" i="50"/>
  <c r="F107" i="50"/>
  <c r="F106" i="50"/>
  <c r="F105" i="50"/>
  <c r="F104" i="50"/>
  <c r="F103" i="50"/>
  <c r="F101" i="50"/>
  <c r="F100" i="50"/>
  <c r="F99" i="50"/>
  <c r="F98" i="50"/>
  <c r="F97" i="50"/>
  <c r="F96" i="50"/>
  <c r="D96" i="50"/>
  <c r="D114" i="50" s="1"/>
  <c r="D8" i="50" s="1"/>
  <c r="F95" i="50"/>
  <c r="E93" i="50"/>
  <c r="D93" i="50"/>
  <c r="D7" i="50" s="1"/>
  <c r="C93" i="50"/>
  <c r="F92" i="50"/>
  <c r="F91" i="50"/>
  <c r="F90" i="50"/>
  <c r="F89" i="50"/>
  <c r="F88" i="50"/>
  <c r="F87" i="50"/>
  <c r="F86" i="50"/>
  <c r="F85" i="50"/>
  <c r="F84" i="50"/>
  <c r="F83" i="50"/>
  <c r="F82" i="50"/>
  <c r="F81" i="50"/>
  <c r="F80" i="50"/>
  <c r="F79" i="50"/>
  <c r="F78" i="50"/>
  <c r="F77" i="50"/>
  <c r="F76" i="50"/>
  <c r="F75" i="50"/>
  <c r="F74" i="50"/>
  <c r="F73" i="50"/>
  <c r="F72" i="50"/>
  <c r="F71" i="50"/>
  <c r="F70" i="50"/>
  <c r="F69" i="50"/>
  <c r="F68" i="50"/>
  <c r="F67" i="50"/>
  <c r="F66" i="50"/>
  <c r="F65" i="50"/>
  <c r="F64" i="50"/>
  <c r="F63" i="50"/>
  <c r="F62" i="50"/>
  <c r="F61" i="50"/>
  <c r="F60" i="50"/>
  <c r="F59" i="50"/>
  <c r="F58" i="50"/>
  <c r="F57" i="50"/>
  <c r="F56" i="50"/>
  <c r="F55" i="50"/>
  <c r="F54" i="50"/>
  <c r="F53" i="50"/>
  <c r="E51" i="50"/>
  <c r="D51" i="50"/>
  <c r="D6" i="50" s="1"/>
  <c r="C51" i="50"/>
  <c r="C6" i="50" s="1"/>
  <c r="F50" i="50"/>
  <c r="F49" i="50"/>
  <c r="F48" i="50"/>
  <c r="F47" i="50"/>
  <c r="F46" i="50"/>
  <c r="F45" i="50"/>
  <c r="F44" i="50"/>
  <c r="F43" i="50"/>
  <c r="F42" i="50"/>
  <c r="F41" i="50"/>
  <c r="F40" i="50"/>
  <c r="F39" i="50"/>
  <c r="F38" i="50"/>
  <c r="E36" i="50"/>
  <c r="D36" i="50"/>
  <c r="C36" i="50"/>
  <c r="C5" i="50" s="1"/>
  <c r="F35" i="50"/>
  <c r="F34" i="50"/>
  <c r="F33" i="50"/>
  <c r="F32" i="50"/>
  <c r="F31" i="50"/>
  <c r="F30" i="50"/>
  <c r="F29" i="50"/>
  <c r="F28" i="50"/>
  <c r="F27" i="50"/>
  <c r="F25" i="50"/>
  <c r="F24" i="50"/>
  <c r="F23" i="50"/>
  <c r="F22" i="50"/>
  <c r="F21" i="50"/>
  <c r="F20" i="50"/>
  <c r="F19" i="50"/>
  <c r="F18" i="50"/>
  <c r="F17" i="50"/>
  <c r="F16" i="50"/>
  <c r="A16" i="50"/>
  <c r="A17" i="50" s="1"/>
  <c r="A18" i="50" s="1"/>
  <c r="A19" i="50" s="1"/>
  <c r="A20" i="50" s="1"/>
  <c r="A21" i="50" s="1"/>
  <c r="A22" i="50" s="1"/>
  <c r="A23" i="50" s="1"/>
  <c r="A24" i="50" s="1"/>
  <c r="A25" i="50" s="1"/>
  <c r="A26" i="50" s="1"/>
  <c r="A27" i="50" s="1"/>
  <c r="A28" i="50" s="1"/>
  <c r="A29" i="50" s="1"/>
  <c r="A30" i="50" s="1"/>
  <c r="A31" i="50" s="1"/>
  <c r="A32" i="50" s="1"/>
  <c r="A33" i="50" s="1"/>
  <c r="A34" i="50" s="1"/>
  <c r="A35" i="50" s="1"/>
  <c r="A38" i="50" s="1"/>
  <c r="A39" i="50" s="1"/>
  <c r="A40" i="50" s="1"/>
  <c r="A41" i="50" s="1"/>
  <c r="A42" i="50" s="1"/>
  <c r="A43" i="50" s="1"/>
  <c r="A44" i="50" s="1"/>
  <c r="A45" i="50" s="1"/>
  <c r="A46" i="50" s="1"/>
  <c r="A47" i="50" s="1"/>
  <c r="A48" i="50" s="1"/>
  <c r="A49" i="50" s="1"/>
  <c r="A50" i="50" s="1"/>
  <c r="A53" i="50" s="1"/>
  <c r="A54" i="50" s="1"/>
  <c r="A55" i="50" s="1"/>
  <c r="A56" i="50" s="1"/>
  <c r="A57" i="50" s="1"/>
  <c r="A58" i="50" s="1"/>
  <c r="A59" i="50" s="1"/>
  <c r="A60" i="50" s="1"/>
  <c r="A61" i="50" s="1"/>
  <c r="A62" i="50" s="1"/>
  <c r="A63" i="50" s="1"/>
  <c r="A64" i="50" s="1"/>
  <c r="A65" i="50" s="1"/>
  <c r="A66" i="50" s="1"/>
  <c r="A67" i="50" s="1"/>
  <c r="A68" i="50" s="1"/>
  <c r="A69" i="50" s="1"/>
  <c r="A70" i="50" s="1"/>
  <c r="A71" i="50" s="1"/>
  <c r="A72" i="50" s="1"/>
  <c r="A73" i="50" s="1"/>
  <c r="A74" i="50" s="1"/>
  <c r="A75" i="50" s="1"/>
  <c r="A76" i="50" s="1"/>
  <c r="A77" i="50" s="1"/>
  <c r="A78" i="50" s="1"/>
  <c r="A79" i="50" s="1"/>
  <c r="A80" i="50" s="1"/>
  <c r="A81" i="50" s="1"/>
  <c r="A82" i="50" s="1"/>
  <c r="A83" i="50" s="1"/>
  <c r="A84" i="50" s="1"/>
  <c r="A85" i="50" s="1"/>
  <c r="A86" i="50" s="1"/>
  <c r="A87" i="50" s="1"/>
  <c r="A88" i="50" s="1"/>
  <c r="A89" i="50" s="1"/>
  <c r="A90" i="50" s="1"/>
  <c r="A91" i="50" s="1"/>
  <c r="A92" i="50" s="1"/>
  <c r="A95" i="50" s="1"/>
  <c r="A96" i="50" s="1"/>
  <c r="A97" i="50" s="1"/>
  <c r="A98" i="50" s="1"/>
  <c r="A99" i="50" s="1"/>
  <c r="A100" i="50" s="1"/>
  <c r="A101" i="50" s="1"/>
  <c r="A102" i="50" s="1"/>
  <c r="A103" i="50" s="1"/>
  <c r="A104" i="50" s="1"/>
  <c r="A105" i="50" s="1"/>
  <c r="A106" i="50" s="1"/>
  <c r="A107" i="50" s="1"/>
  <c r="A108" i="50" s="1"/>
  <c r="A109" i="50" s="1"/>
  <c r="A110" i="50" s="1"/>
  <c r="A111" i="50" s="1"/>
  <c r="A112" i="50" s="1"/>
  <c r="A113" i="50" s="1"/>
  <c r="F15" i="50"/>
  <c r="C7" i="50"/>
  <c r="E5" i="50"/>
  <c r="D5" i="50"/>
  <c r="E21" i="49"/>
  <c r="E6" i="49" s="1"/>
  <c r="D21" i="49"/>
  <c r="D6" i="49" s="1"/>
  <c r="C21" i="49"/>
  <c r="C6" i="49" s="1"/>
  <c r="C7" i="49" s="1"/>
  <c r="E18" i="49"/>
  <c r="D18" i="49"/>
  <c r="C18" i="49"/>
  <c r="C5" i="49" s="1"/>
  <c r="F17" i="49"/>
  <c r="F16" i="49"/>
  <c r="F15" i="49"/>
  <c r="A14" i="49"/>
  <c r="A15" i="49" s="1"/>
  <c r="A16" i="49" s="1"/>
  <c r="A17" i="49" s="1"/>
  <c r="A20" i="49" s="1"/>
  <c r="F13" i="49"/>
  <c r="D5" i="49"/>
  <c r="D7" i="49" s="1"/>
  <c r="E220" i="48"/>
  <c r="D220" i="48"/>
  <c r="F220" i="48" s="1"/>
  <c r="C220" i="48"/>
  <c r="C9" i="48" s="1"/>
  <c r="F219" i="48"/>
  <c r="F218" i="48"/>
  <c r="F207" i="48"/>
  <c r="F206" i="48"/>
  <c r="F205" i="48"/>
  <c r="F204" i="48"/>
  <c r="F203" i="48"/>
  <c r="F202" i="48"/>
  <c r="F201" i="48"/>
  <c r="F200" i="48"/>
  <c r="F199" i="48"/>
  <c r="F198" i="48"/>
  <c r="F197" i="48"/>
  <c r="F196" i="48"/>
  <c r="F195" i="48"/>
  <c r="F194" i="48"/>
  <c r="F193" i="48"/>
  <c r="F192" i="48"/>
  <c r="F191" i="48"/>
  <c r="F190" i="48"/>
  <c r="F189" i="48"/>
  <c r="F188" i="48"/>
  <c r="F187" i="48"/>
  <c r="F186" i="48"/>
  <c r="F185" i="48"/>
  <c r="F184" i="48"/>
  <c r="F183" i="48"/>
  <c r="F182" i="48"/>
  <c r="F181" i="48"/>
  <c r="F180" i="48"/>
  <c r="F179" i="48"/>
  <c r="F178" i="48"/>
  <c r="F177" i="48"/>
  <c r="F176" i="48"/>
  <c r="F175" i="48"/>
  <c r="F174" i="48"/>
  <c r="F173" i="48"/>
  <c r="F172" i="48"/>
  <c r="F171" i="48"/>
  <c r="F170" i="48"/>
  <c r="F169" i="48"/>
  <c r="F168" i="48"/>
  <c r="F167" i="48"/>
  <c r="F166" i="48"/>
  <c r="F165" i="48"/>
  <c r="F164" i="48"/>
  <c r="F163" i="48"/>
  <c r="F162" i="48"/>
  <c r="F161" i="48"/>
  <c r="F160" i="48"/>
  <c r="F159" i="48"/>
  <c r="F158" i="48"/>
  <c r="F157" i="48"/>
  <c r="F156" i="48"/>
  <c r="F155" i="48"/>
  <c r="F154" i="48"/>
  <c r="F153" i="48"/>
  <c r="F152" i="48"/>
  <c r="F151" i="48"/>
  <c r="F150" i="48"/>
  <c r="F149" i="48"/>
  <c r="F148" i="48"/>
  <c r="F147" i="48"/>
  <c r="F146" i="48"/>
  <c r="F145" i="48"/>
  <c r="F144" i="48"/>
  <c r="F143" i="48"/>
  <c r="F142" i="48"/>
  <c r="F141" i="48"/>
  <c r="F140" i="48"/>
  <c r="F139" i="48"/>
  <c r="F138" i="48"/>
  <c r="C136" i="48"/>
  <c r="E128" i="48"/>
  <c r="E136" i="48" s="1"/>
  <c r="E8" i="48" s="1"/>
  <c r="D128" i="48"/>
  <c r="D136" i="48" s="1"/>
  <c r="D8" i="48" s="1"/>
  <c r="E86" i="48"/>
  <c r="D86" i="48"/>
  <c r="F86" i="48" s="1"/>
  <c r="C86" i="48"/>
  <c r="C7" i="48" s="1"/>
  <c r="F85" i="48"/>
  <c r="E83" i="48"/>
  <c r="D83" i="48"/>
  <c r="D6" i="48" s="1"/>
  <c r="C83" i="48"/>
  <c r="C6" i="48" s="1"/>
  <c r="F82" i="48"/>
  <c r="F81" i="48"/>
  <c r="F80" i="48"/>
  <c r="F79" i="48"/>
  <c r="F78" i="48"/>
  <c r="F77" i="48"/>
  <c r="F76" i="48"/>
  <c r="F75" i="48"/>
  <c r="F74" i="48"/>
  <c r="F73" i="48"/>
  <c r="F72" i="48"/>
  <c r="F71" i="48"/>
  <c r="F70" i="48"/>
  <c r="F69" i="48"/>
  <c r="F68" i="48"/>
  <c r="F67" i="48"/>
  <c r="F66" i="48"/>
  <c r="F65" i="48"/>
  <c r="F64" i="48"/>
  <c r="F63" i="48"/>
  <c r="F62" i="48"/>
  <c r="F61" i="48"/>
  <c r="F60" i="48"/>
  <c r="F59" i="48"/>
  <c r="F58" i="48"/>
  <c r="F57" i="48"/>
  <c r="F56" i="48"/>
  <c r="F55" i="48"/>
  <c r="F54" i="48"/>
  <c r="F53" i="48"/>
  <c r="F52" i="48"/>
  <c r="F51" i="48"/>
  <c r="F50" i="48"/>
  <c r="F49" i="48"/>
  <c r="E47" i="48"/>
  <c r="D47" i="48"/>
  <c r="D5" i="48" s="1"/>
  <c r="C47" i="48"/>
  <c r="F46" i="48"/>
  <c r="F45" i="48"/>
  <c r="F44" i="48"/>
  <c r="F43" i="48"/>
  <c r="F42" i="48"/>
  <c r="F41" i="48"/>
  <c r="F40" i="48"/>
  <c r="F39" i="48"/>
  <c r="F38" i="48"/>
  <c r="F37" i="48"/>
  <c r="F36" i="48"/>
  <c r="F35" i="48"/>
  <c r="F34" i="48"/>
  <c r="F33" i="48"/>
  <c r="F32" i="48"/>
  <c r="F31" i="48"/>
  <c r="F30" i="48"/>
  <c r="F29" i="48"/>
  <c r="F28" i="48"/>
  <c r="F27" i="48"/>
  <c r="F26" i="48"/>
  <c r="F25" i="48"/>
  <c r="F24" i="48"/>
  <c r="F23" i="48"/>
  <c r="F22" i="48"/>
  <c r="F21" i="48"/>
  <c r="F20" i="48"/>
  <c r="F19" i="48"/>
  <c r="F18" i="48"/>
  <c r="A18" i="48"/>
  <c r="A19" i="48" s="1"/>
  <c r="A20" i="48" s="1"/>
  <c r="A21" i="48" s="1"/>
  <c r="A22" i="48" s="1"/>
  <c r="A23" i="48" s="1"/>
  <c r="A24" i="48" s="1"/>
  <c r="A25" i="48" s="1"/>
  <c r="A26" i="48" s="1"/>
  <c r="A27" i="48" s="1"/>
  <c r="A28" i="48" s="1"/>
  <c r="A29" i="48" s="1"/>
  <c r="A30" i="48" s="1"/>
  <c r="A31" i="48" s="1"/>
  <c r="A32" i="48" s="1"/>
  <c r="A33" i="48" s="1"/>
  <c r="A34" i="48" s="1"/>
  <c r="A35" i="48" s="1"/>
  <c r="A36" i="48" s="1"/>
  <c r="A37" i="48" s="1"/>
  <c r="A38" i="48" s="1"/>
  <c r="A39" i="48" s="1"/>
  <c r="A40" i="48" s="1"/>
  <c r="A41" i="48" s="1"/>
  <c r="A42" i="48" s="1"/>
  <c r="A43" i="48" s="1"/>
  <c r="A44" i="48" s="1"/>
  <c r="A45" i="48" s="1"/>
  <c r="A46" i="48" s="1"/>
  <c r="A49" i="48" s="1"/>
  <c r="A50" i="48" s="1"/>
  <c r="A51" i="48" s="1"/>
  <c r="A52" i="48" s="1"/>
  <c r="A53" i="48" s="1"/>
  <c r="A54" i="48" s="1"/>
  <c r="A55" i="48" s="1"/>
  <c r="A56" i="48" s="1"/>
  <c r="A57" i="48" s="1"/>
  <c r="A58" i="48" s="1"/>
  <c r="A59" i="48" s="1"/>
  <c r="A60" i="48" s="1"/>
  <c r="A61" i="48" s="1"/>
  <c r="A62" i="48" s="1"/>
  <c r="A63" i="48" s="1"/>
  <c r="A64" i="48" s="1"/>
  <c r="A65" i="48" s="1"/>
  <c r="A66" i="48" s="1"/>
  <c r="A67" i="48" s="1"/>
  <c r="A68" i="48" s="1"/>
  <c r="A69" i="48" s="1"/>
  <c r="A70" i="48" s="1"/>
  <c r="A71" i="48" s="1"/>
  <c r="A72" i="48" s="1"/>
  <c r="A73" i="48" s="1"/>
  <c r="A74" i="48" s="1"/>
  <c r="A75" i="48" s="1"/>
  <c r="A76" i="48" s="1"/>
  <c r="A77" i="48" s="1"/>
  <c r="A78" i="48" s="1"/>
  <c r="A79" i="48" s="1"/>
  <c r="A80" i="48" s="1"/>
  <c r="A81" i="48" s="1"/>
  <c r="A82" i="48" s="1"/>
  <c r="A85" i="48" s="1"/>
  <c r="A88" i="48" s="1"/>
  <c r="A89" i="48" s="1"/>
  <c r="A90" i="48" s="1"/>
  <c r="A91" i="48" s="1"/>
  <c r="A92" i="48" s="1"/>
  <c r="A93" i="48" s="1"/>
  <c r="A94" i="48" s="1"/>
  <c r="A95" i="48" s="1"/>
  <c r="A96" i="48" s="1"/>
  <c r="A97" i="48" s="1"/>
  <c r="A98" i="48" s="1"/>
  <c r="A99" i="48" s="1"/>
  <c r="A100" i="48" s="1"/>
  <c r="A101" i="48" s="1"/>
  <c r="A102" i="48" s="1"/>
  <c r="A103" i="48" s="1"/>
  <c r="A104" i="48" s="1"/>
  <c r="A105" i="48" s="1"/>
  <c r="A106" i="48" s="1"/>
  <c r="A107" i="48" s="1"/>
  <c r="A108" i="48" s="1"/>
  <c r="A109" i="48" s="1"/>
  <c r="A110" i="48" s="1"/>
  <c r="A111" i="48" s="1"/>
  <c r="A112" i="48" s="1"/>
  <c r="A113" i="48" s="1"/>
  <c r="A114" i="48" s="1"/>
  <c r="A115" i="48" s="1"/>
  <c r="A116" i="48" s="1"/>
  <c r="A117" i="48" s="1"/>
  <c r="A118" i="48" s="1"/>
  <c r="A119" i="48" s="1"/>
  <c r="A120" i="48" s="1"/>
  <c r="A121" i="48" s="1"/>
  <c r="A122" i="48" s="1"/>
  <c r="A123" i="48" s="1"/>
  <c r="A124" i="48" s="1"/>
  <c r="A125" i="48" s="1"/>
  <c r="A126" i="48" s="1"/>
  <c r="A127" i="48" s="1"/>
  <c r="A128" i="48" s="1"/>
  <c r="A129" i="48" s="1"/>
  <c r="A130" i="48" s="1"/>
  <c r="A131" i="48" s="1"/>
  <c r="A132" i="48" s="1"/>
  <c r="A133" i="48" s="1"/>
  <c r="A134" i="48" s="1"/>
  <c r="A135" i="48" s="1"/>
  <c r="A138" i="48" s="1"/>
  <c r="A139" i="48" s="1"/>
  <c r="A140" i="48" s="1"/>
  <c r="A141" i="48" s="1"/>
  <c r="A142" i="48" s="1"/>
  <c r="A143" i="48" s="1"/>
  <c r="A144" i="48" s="1"/>
  <c r="A145" i="48" s="1"/>
  <c r="A146" i="48" s="1"/>
  <c r="A147" i="48" s="1"/>
  <c r="A148" i="48" s="1"/>
  <c r="A149" i="48" s="1"/>
  <c r="A150" i="48" s="1"/>
  <c r="A151" i="48" s="1"/>
  <c r="A152" i="48" s="1"/>
  <c r="A153" i="48" s="1"/>
  <c r="A154" i="48" s="1"/>
  <c r="A155" i="48" s="1"/>
  <c r="A156" i="48" s="1"/>
  <c r="A157" i="48" s="1"/>
  <c r="A158" i="48" s="1"/>
  <c r="A159" i="48" s="1"/>
  <c r="A160" i="48" s="1"/>
  <c r="A161" i="48" s="1"/>
  <c r="A162" i="48" s="1"/>
  <c r="A163" i="48" s="1"/>
  <c r="A164" i="48" s="1"/>
  <c r="A165" i="48" s="1"/>
  <c r="A166" i="48" s="1"/>
  <c r="A167" i="48" s="1"/>
  <c r="A168" i="48" s="1"/>
  <c r="A169" i="48" s="1"/>
  <c r="A170" i="48" s="1"/>
  <c r="A171" i="48" s="1"/>
  <c r="A172" i="48" s="1"/>
  <c r="A173" i="48" s="1"/>
  <c r="A174" i="48" s="1"/>
  <c r="A175" i="48" s="1"/>
  <c r="A176" i="48" s="1"/>
  <c r="A177" i="48" s="1"/>
  <c r="A178" i="48" s="1"/>
  <c r="A179" i="48" s="1"/>
  <c r="A180" i="48" s="1"/>
  <c r="A181" i="48" s="1"/>
  <c r="A182" i="48" s="1"/>
  <c r="A183" i="48" s="1"/>
  <c r="A184" i="48" s="1"/>
  <c r="A185" i="48" s="1"/>
  <c r="A186" i="48" s="1"/>
  <c r="A187" i="48" s="1"/>
  <c r="A188" i="48" s="1"/>
  <c r="A189" i="48" s="1"/>
  <c r="A190" i="48" s="1"/>
  <c r="A191" i="48" s="1"/>
  <c r="A192" i="48" s="1"/>
  <c r="A193" i="48" s="1"/>
  <c r="A194" i="48" s="1"/>
  <c r="A195" i="48" s="1"/>
  <c r="A196" i="48" s="1"/>
  <c r="A197" i="48" s="1"/>
  <c r="A198" i="48" s="1"/>
  <c r="A199" i="48" s="1"/>
  <c r="A200" i="48" s="1"/>
  <c r="A201" i="48" s="1"/>
  <c r="A202" i="48" s="1"/>
  <c r="A203" i="48" s="1"/>
  <c r="A204" i="48" s="1"/>
  <c r="A205" i="48" s="1"/>
  <c r="A206" i="48" s="1"/>
  <c r="A207" i="48" s="1"/>
  <c r="A208" i="48" s="1"/>
  <c r="A209" i="48" s="1"/>
  <c r="A210" i="48" s="1"/>
  <c r="A211" i="48" s="1"/>
  <c r="A212" i="48" s="1"/>
  <c r="A213" i="48" s="1"/>
  <c r="A214" i="48" s="1"/>
  <c r="A215" i="48" s="1"/>
  <c r="A216" i="48" s="1"/>
  <c r="A217" i="48" s="1"/>
  <c r="A218" i="48" s="1"/>
  <c r="A219" i="48" s="1"/>
  <c r="F17" i="48"/>
  <c r="A17" i="48"/>
  <c r="F16" i="48"/>
  <c r="E9" i="48"/>
  <c r="D9" i="48"/>
  <c r="C8" i="48"/>
  <c r="E7" i="48"/>
  <c r="D7" i="48"/>
  <c r="E6" i="48"/>
  <c r="C5" i="48"/>
  <c r="E138" i="47"/>
  <c r="D138" i="47"/>
  <c r="C138" i="47"/>
  <c r="F137" i="47"/>
  <c r="F136" i="47"/>
  <c r="F135" i="47"/>
  <c r="F134" i="47"/>
  <c r="F133" i="47"/>
  <c r="F132" i="47"/>
  <c r="F131" i="47"/>
  <c r="F130" i="47"/>
  <c r="F129" i="47"/>
  <c r="F128" i="47"/>
  <c r="F127" i="47"/>
  <c r="F126" i="47"/>
  <c r="F125" i="47"/>
  <c r="F124" i="47"/>
  <c r="F123" i="47"/>
  <c r="F122" i="47"/>
  <c r="F121" i="47"/>
  <c r="F120" i="47"/>
  <c r="F119" i="47"/>
  <c r="F118" i="47"/>
  <c r="F117" i="47"/>
  <c r="F116" i="47"/>
  <c r="F115" i="47"/>
  <c r="F114" i="47"/>
  <c r="F113" i="47"/>
  <c r="F112" i="47"/>
  <c r="F111" i="47"/>
  <c r="F110" i="47"/>
  <c r="F109" i="47"/>
  <c r="F108" i="47"/>
  <c r="F107" i="47"/>
  <c r="E105" i="47"/>
  <c r="D105" i="47"/>
  <c r="C105" i="47"/>
  <c r="F104" i="47"/>
  <c r="F103" i="47"/>
  <c r="F102" i="47"/>
  <c r="F101" i="47"/>
  <c r="F100" i="47"/>
  <c r="F99" i="47"/>
  <c r="F98" i="47"/>
  <c r="F97" i="47"/>
  <c r="F96" i="47"/>
  <c r="F95" i="47"/>
  <c r="F94" i="47"/>
  <c r="F93" i="47"/>
  <c r="F92" i="47"/>
  <c r="F91" i="47"/>
  <c r="F90" i="47"/>
  <c r="F89" i="47"/>
  <c r="F87" i="47"/>
  <c r="F86" i="47"/>
  <c r="F85" i="47"/>
  <c r="F84" i="47"/>
  <c r="F83" i="47"/>
  <c r="F82" i="47"/>
  <c r="F81" i="47"/>
  <c r="F80" i="47"/>
  <c r="F79" i="47"/>
  <c r="E77" i="47"/>
  <c r="F77" i="47" s="1"/>
  <c r="D77" i="47"/>
  <c r="C77" i="47"/>
  <c r="C7" i="47" s="1"/>
  <c r="F76" i="47"/>
  <c r="F75" i="47"/>
  <c r="F74" i="47"/>
  <c r="F73" i="47"/>
  <c r="F72" i="47"/>
  <c r="F71" i="47"/>
  <c r="F70" i="47"/>
  <c r="F69" i="47"/>
  <c r="F68" i="47"/>
  <c r="F67" i="47"/>
  <c r="F66" i="47"/>
  <c r="F65" i="47"/>
  <c r="F64" i="47"/>
  <c r="F63" i="47"/>
  <c r="F62" i="47"/>
  <c r="F61" i="47"/>
  <c r="F60" i="47"/>
  <c r="F59" i="47"/>
  <c r="F58" i="47"/>
  <c r="F57" i="47"/>
  <c r="F56" i="47"/>
  <c r="E54" i="47"/>
  <c r="D54" i="47"/>
  <c r="C54" i="47"/>
  <c r="F53" i="47"/>
  <c r="F52" i="47"/>
  <c r="F51" i="47"/>
  <c r="F50" i="47"/>
  <c r="F48" i="47"/>
  <c r="F47" i="47"/>
  <c r="F46" i="47"/>
  <c r="E44" i="47"/>
  <c r="D44" i="47"/>
  <c r="D5" i="47" s="1"/>
  <c r="C44" i="47"/>
  <c r="F43" i="47"/>
  <c r="F42" i="47"/>
  <c r="F41" i="47"/>
  <c r="F40" i="47"/>
  <c r="F39" i="47"/>
  <c r="F38" i="47"/>
  <c r="F37" i="47"/>
  <c r="F36" i="47"/>
  <c r="F35" i="47"/>
  <c r="F34" i="47"/>
  <c r="F33" i="47"/>
  <c r="F32" i="47"/>
  <c r="F31" i="47"/>
  <c r="F30" i="47"/>
  <c r="F29" i="47"/>
  <c r="F28" i="47"/>
  <c r="F27" i="47"/>
  <c r="F26" i="47"/>
  <c r="F25" i="47"/>
  <c r="F24" i="47"/>
  <c r="F23" i="47"/>
  <c r="F22" i="47"/>
  <c r="F21" i="47"/>
  <c r="F20" i="47"/>
  <c r="F19" i="47"/>
  <c r="F18" i="47"/>
  <c r="F17" i="47"/>
  <c r="A17" i="47"/>
  <c r="A18" i="47" s="1"/>
  <c r="A19" i="47" s="1"/>
  <c r="A20" i="47" s="1"/>
  <c r="A21" i="47" s="1"/>
  <c r="A22" i="47" s="1"/>
  <c r="A23" i="47" s="1"/>
  <c r="A24" i="47" s="1"/>
  <c r="A25" i="47" s="1"/>
  <c r="A26" i="47" s="1"/>
  <c r="A27" i="47" s="1"/>
  <c r="A28" i="47" s="1"/>
  <c r="A29" i="47" s="1"/>
  <c r="A30" i="47" s="1"/>
  <c r="A31" i="47" s="1"/>
  <c r="A32" i="47" s="1"/>
  <c r="A33" i="47" s="1"/>
  <c r="A34" i="47" s="1"/>
  <c r="A35" i="47" s="1"/>
  <c r="A36" i="47" s="1"/>
  <c r="A37" i="47" s="1"/>
  <c r="A38" i="47" s="1"/>
  <c r="A39" i="47" s="1"/>
  <c r="A40" i="47" s="1"/>
  <c r="A41" i="47" s="1"/>
  <c r="A42" i="47" s="1"/>
  <c r="A43" i="47" s="1"/>
  <c r="A46" i="47" s="1"/>
  <c r="A47" i="47" s="1"/>
  <c r="A48" i="47" s="1"/>
  <c r="A49" i="47" s="1"/>
  <c r="A50" i="47" s="1"/>
  <c r="A51" i="47" s="1"/>
  <c r="A52" i="47" s="1"/>
  <c r="A53" i="47" s="1"/>
  <c r="A56" i="47" s="1"/>
  <c r="A57" i="47" s="1"/>
  <c r="A58" i="47" s="1"/>
  <c r="A59" i="47" s="1"/>
  <c r="A60" i="47" s="1"/>
  <c r="A61" i="47" s="1"/>
  <c r="A62" i="47" s="1"/>
  <c r="A63" i="47" s="1"/>
  <c r="A64" i="47" s="1"/>
  <c r="A65" i="47" s="1"/>
  <c r="A66" i="47" s="1"/>
  <c r="A67" i="47" s="1"/>
  <c r="A68" i="47" s="1"/>
  <c r="A69" i="47" s="1"/>
  <c r="A70" i="47" s="1"/>
  <c r="A71" i="47" s="1"/>
  <c r="A72" i="47" s="1"/>
  <c r="A73" i="47" s="1"/>
  <c r="A74" i="47" s="1"/>
  <c r="A75" i="47" s="1"/>
  <c r="A76" i="47" s="1"/>
  <c r="A79" i="47" s="1"/>
  <c r="A80" i="47" s="1"/>
  <c r="A81" i="47" s="1"/>
  <c r="A82" i="47" s="1"/>
  <c r="A83" i="47" s="1"/>
  <c r="A84" i="47" s="1"/>
  <c r="A85" i="47" s="1"/>
  <c r="A86" i="47" s="1"/>
  <c r="A87" i="47" s="1"/>
  <c r="A88" i="47" s="1"/>
  <c r="A89" i="47" s="1"/>
  <c r="A90" i="47" s="1"/>
  <c r="A91" i="47" s="1"/>
  <c r="A92" i="47" s="1"/>
  <c r="A93" i="47" s="1"/>
  <c r="A94" i="47" s="1"/>
  <c r="A95" i="47" s="1"/>
  <c r="A96" i="47" s="1"/>
  <c r="A97" i="47" s="1"/>
  <c r="A98" i="47" s="1"/>
  <c r="A99" i="47" s="1"/>
  <c r="A100" i="47" s="1"/>
  <c r="A101" i="47" s="1"/>
  <c r="A102" i="47" s="1"/>
  <c r="A103" i="47" s="1"/>
  <c r="A104" i="47" s="1"/>
  <c r="A107" i="47" s="1"/>
  <c r="A108" i="47" s="1"/>
  <c r="A109" i="47" s="1"/>
  <c r="A110" i="47" s="1"/>
  <c r="A111" i="47" s="1"/>
  <c r="A112" i="47" s="1"/>
  <c r="A113" i="47" s="1"/>
  <c r="A114" i="47" s="1"/>
  <c r="A115" i="47" s="1"/>
  <c r="A116" i="47" s="1"/>
  <c r="A117" i="47" s="1"/>
  <c r="A118" i="47" s="1"/>
  <c r="A119" i="47" s="1"/>
  <c r="A120" i="47" s="1"/>
  <c r="A121" i="47" s="1"/>
  <c r="A122" i="47" s="1"/>
  <c r="A123" i="47" s="1"/>
  <c r="A124" i="47" s="1"/>
  <c r="A125" i="47" s="1"/>
  <c r="A126" i="47" s="1"/>
  <c r="A127" i="47" s="1"/>
  <c r="A128" i="47" s="1"/>
  <c r="A129" i="47" s="1"/>
  <c r="A130" i="47" s="1"/>
  <c r="A131" i="47" s="1"/>
  <c r="A132" i="47" s="1"/>
  <c r="A133" i="47" s="1"/>
  <c r="A134" i="47" s="1"/>
  <c r="A135" i="47" s="1"/>
  <c r="A136" i="47" s="1"/>
  <c r="A137" i="47" s="1"/>
  <c r="F16" i="47"/>
  <c r="E9" i="47"/>
  <c r="D9" i="47"/>
  <c r="C9" i="47"/>
  <c r="E8" i="47"/>
  <c r="C8" i="47"/>
  <c r="E7" i="47"/>
  <c r="F7" i="47" s="1"/>
  <c r="D7" i="47"/>
  <c r="D6" i="47"/>
  <c r="C6" i="47"/>
  <c r="C5" i="47"/>
  <c r="E60" i="46"/>
  <c r="E8" i="46" s="1"/>
  <c r="D60" i="46"/>
  <c r="D8" i="46" s="1"/>
  <c r="C60" i="46"/>
  <c r="C8" i="46" s="1"/>
  <c r="F59" i="46"/>
  <c r="F58" i="46"/>
  <c r="F57" i="46"/>
  <c r="F56" i="46"/>
  <c r="F55" i="46"/>
  <c r="F54" i="46"/>
  <c r="F53" i="46"/>
  <c r="F52" i="46"/>
  <c r="F51" i="46"/>
  <c r="F50" i="46"/>
  <c r="F49" i="46"/>
  <c r="F48" i="46"/>
  <c r="E46" i="46"/>
  <c r="E7" i="46" s="1"/>
  <c r="D46" i="46"/>
  <c r="C46" i="46"/>
  <c r="C7" i="46" s="1"/>
  <c r="F45" i="46"/>
  <c r="F44" i="46"/>
  <c r="E42" i="46"/>
  <c r="D42" i="46"/>
  <c r="D6" i="46" s="1"/>
  <c r="C42" i="46"/>
  <c r="C6" i="46" s="1"/>
  <c r="F41" i="46"/>
  <c r="E39" i="46"/>
  <c r="D39" i="46"/>
  <c r="D5" i="46" s="1"/>
  <c r="C39" i="46"/>
  <c r="C5" i="46" s="1"/>
  <c r="F38" i="46"/>
  <c r="F37" i="46"/>
  <c r="F36" i="46"/>
  <c r="F35" i="46"/>
  <c r="F34" i="46"/>
  <c r="F33" i="46"/>
  <c r="F32" i="46"/>
  <c r="F31" i="46"/>
  <c r="F30" i="46"/>
  <c r="F29" i="46"/>
  <c r="F28" i="46"/>
  <c r="F27" i="46"/>
  <c r="F26" i="46"/>
  <c r="F25" i="46"/>
  <c r="F24" i="46"/>
  <c r="F23" i="46"/>
  <c r="F22" i="46"/>
  <c r="F21" i="46"/>
  <c r="F20" i="46"/>
  <c r="F19" i="46"/>
  <c r="F18" i="46"/>
  <c r="F17" i="46"/>
  <c r="F16" i="46"/>
  <c r="A16" i="46"/>
  <c r="A17" i="46" s="1"/>
  <c r="A18" i="46" s="1"/>
  <c r="A19" i="46" s="1"/>
  <c r="A20" i="46" s="1"/>
  <c r="A21" i="46" s="1"/>
  <c r="A22" i="46" s="1"/>
  <c r="A23" i="46" s="1"/>
  <c r="A24" i="46" s="1"/>
  <c r="A25" i="46" s="1"/>
  <c r="A26" i="46" s="1"/>
  <c r="A27" i="46" s="1"/>
  <c r="A28" i="46" s="1"/>
  <c r="A29" i="46" s="1"/>
  <c r="A30" i="46" s="1"/>
  <c r="A31" i="46" s="1"/>
  <c r="A32" i="46" s="1"/>
  <c r="A33" i="46" s="1"/>
  <c r="A34" i="46" s="1"/>
  <c r="A35" i="46" s="1"/>
  <c r="A36" i="46" s="1"/>
  <c r="A37" i="46" s="1"/>
  <c r="A38" i="46" s="1"/>
  <c r="A41" i="46" s="1"/>
  <c r="A44" i="46" s="1"/>
  <c r="A45" i="46" s="1"/>
  <c r="A48" i="46" s="1"/>
  <c r="A49" i="46" s="1"/>
  <c r="A50" i="46" s="1"/>
  <c r="A51" i="46" s="1"/>
  <c r="A52" i="46" s="1"/>
  <c r="A53" i="46" s="1"/>
  <c r="A54" i="46" s="1"/>
  <c r="A55" i="46" s="1"/>
  <c r="A56" i="46" s="1"/>
  <c r="A57" i="46" s="1"/>
  <c r="A58" i="46" s="1"/>
  <c r="A59" i="46" s="1"/>
  <c r="F15" i="46"/>
  <c r="D7" i="46"/>
  <c r="E6" i="46"/>
  <c r="E50" i="45"/>
  <c r="D50" i="45"/>
  <c r="D7" i="45" s="1"/>
  <c r="C50" i="45"/>
  <c r="C7" i="45" s="1"/>
  <c r="F49" i="45"/>
  <c r="F48" i="45"/>
  <c r="F47" i="45"/>
  <c r="F46" i="45"/>
  <c r="F45" i="45"/>
  <c r="F44" i="45"/>
  <c r="F43" i="45"/>
  <c r="F42" i="45"/>
  <c r="E40" i="45"/>
  <c r="D40" i="45"/>
  <c r="D6" i="45" s="1"/>
  <c r="C40" i="45"/>
  <c r="C6" i="45" s="1"/>
  <c r="F39" i="45"/>
  <c r="E37" i="45"/>
  <c r="E5" i="45" s="1"/>
  <c r="D37" i="45"/>
  <c r="C37" i="45"/>
  <c r="C5" i="45" s="1"/>
  <c r="F36" i="45"/>
  <c r="F35" i="45"/>
  <c r="F34" i="45"/>
  <c r="F33" i="45"/>
  <c r="F32" i="45"/>
  <c r="F31" i="45"/>
  <c r="F30" i="45"/>
  <c r="F29" i="45"/>
  <c r="F28" i="45"/>
  <c r="F27" i="45"/>
  <c r="F26" i="45"/>
  <c r="F25" i="45"/>
  <c r="F24" i="45"/>
  <c r="F23" i="45"/>
  <c r="F22" i="45"/>
  <c r="F21" i="45"/>
  <c r="F20" i="45"/>
  <c r="F19" i="45"/>
  <c r="F18" i="45"/>
  <c r="F17" i="45"/>
  <c r="F16" i="45"/>
  <c r="F15" i="45"/>
  <c r="A15" i="45"/>
  <c r="A16" i="45" s="1"/>
  <c r="A17" i="45" s="1"/>
  <c r="A18" i="45" s="1"/>
  <c r="A19" i="45" s="1"/>
  <c r="A20" i="45" s="1"/>
  <c r="A21" i="45" s="1"/>
  <c r="A22" i="45" s="1"/>
  <c r="A23" i="45" s="1"/>
  <c r="A24" i="45" s="1"/>
  <c r="A25" i="45" s="1"/>
  <c r="A26" i="45" s="1"/>
  <c r="A27" i="45" s="1"/>
  <c r="A28" i="45" s="1"/>
  <c r="A29" i="45" s="1"/>
  <c r="A30" i="45" s="1"/>
  <c r="A31" i="45" s="1"/>
  <c r="A32" i="45" s="1"/>
  <c r="A33" i="45" s="1"/>
  <c r="A34" i="45" s="1"/>
  <c r="A35" i="45" s="1"/>
  <c r="A36" i="45" s="1"/>
  <c r="A39" i="45" s="1"/>
  <c r="A42" i="45" s="1"/>
  <c r="A43" i="45" s="1"/>
  <c r="A44" i="45" s="1"/>
  <c r="A45" i="45" s="1"/>
  <c r="A46" i="45" s="1"/>
  <c r="A47" i="45" s="1"/>
  <c r="A48" i="45" s="1"/>
  <c r="A49" i="45" s="1"/>
  <c r="F14" i="45"/>
  <c r="E6" i="45"/>
  <c r="D5" i="45"/>
  <c r="D8" i="45" s="1"/>
  <c r="E33" i="44"/>
  <c r="D33" i="44"/>
  <c r="D5" i="44" s="1"/>
  <c r="D6" i="44" s="1"/>
  <c r="C33" i="44"/>
  <c r="F32" i="44"/>
  <c r="F31" i="44"/>
  <c r="F30" i="44"/>
  <c r="F29" i="44"/>
  <c r="F28" i="44"/>
  <c r="F27" i="44"/>
  <c r="F26" i="44"/>
  <c r="F25" i="44"/>
  <c r="F24" i="44"/>
  <c r="F23" i="44"/>
  <c r="F22" i="44"/>
  <c r="F21" i="44"/>
  <c r="F20" i="44"/>
  <c r="F19" i="44"/>
  <c r="F18" i="44"/>
  <c r="F17" i="44"/>
  <c r="F16" i="44"/>
  <c r="F15" i="44"/>
  <c r="F14" i="44"/>
  <c r="A14" i="44"/>
  <c r="A15" i="44" s="1"/>
  <c r="A16" i="44" s="1"/>
  <c r="A17" i="44" s="1"/>
  <c r="A18" i="44" s="1"/>
  <c r="A19" i="44" s="1"/>
  <c r="A20" i="44" s="1"/>
  <c r="A21" i="44" s="1"/>
  <c r="A22" i="44" s="1"/>
  <c r="A23" i="44" s="1"/>
  <c r="A24" i="44" s="1"/>
  <c r="A25" i="44" s="1"/>
  <c r="A26" i="44" s="1"/>
  <c r="A27" i="44" s="1"/>
  <c r="A28" i="44" s="1"/>
  <c r="A29" i="44" s="1"/>
  <c r="A30" i="44" s="1"/>
  <c r="A31" i="44" s="1"/>
  <c r="A32" i="44" s="1"/>
  <c r="F13" i="44"/>
  <c r="A13" i="44"/>
  <c r="F12" i="44"/>
  <c r="E5" i="44"/>
  <c r="F5" i="44" s="1"/>
  <c r="C5" i="44"/>
  <c r="C6" i="44" s="1"/>
  <c r="E72" i="43"/>
  <c r="F72" i="43" s="1"/>
  <c r="D72" i="43"/>
  <c r="C72" i="43"/>
  <c r="C8" i="43" s="1"/>
  <c r="F71" i="43"/>
  <c r="F70" i="43"/>
  <c r="F69" i="43"/>
  <c r="E67" i="43"/>
  <c r="E7" i="43" s="1"/>
  <c r="F7" i="43" s="1"/>
  <c r="D67" i="43"/>
  <c r="D7" i="43" s="1"/>
  <c r="C67" i="43"/>
  <c r="C7" i="43" s="1"/>
  <c r="F66" i="43"/>
  <c r="F65" i="43"/>
  <c r="F64" i="43"/>
  <c r="F63" i="43"/>
  <c r="F62" i="43"/>
  <c r="F61" i="43"/>
  <c r="F60" i="43"/>
  <c r="F59" i="43"/>
  <c r="F58" i="43"/>
  <c r="F57" i="43"/>
  <c r="F56" i="43"/>
  <c r="F55" i="43"/>
  <c r="F54" i="43"/>
  <c r="D52" i="43"/>
  <c r="C52" i="43"/>
  <c r="C6" i="43" s="1"/>
  <c r="F51" i="43"/>
  <c r="F50" i="43"/>
  <c r="F49" i="43"/>
  <c r="F48" i="43"/>
  <c r="F47" i="43"/>
  <c r="F46" i="43"/>
  <c r="F45" i="43"/>
  <c r="F44" i="43"/>
  <c r="F43" i="43"/>
  <c r="F42" i="43"/>
  <c r="F41" i="43"/>
  <c r="F40" i="43"/>
  <c r="E39" i="43"/>
  <c r="F39" i="43" s="1"/>
  <c r="E38" i="43"/>
  <c r="F38" i="43" s="1"/>
  <c r="E37" i="43"/>
  <c r="F37" i="43" s="1"/>
  <c r="F36" i="43"/>
  <c r="E36" i="43"/>
  <c r="E35" i="43"/>
  <c r="F35" i="43" s="1"/>
  <c r="E34" i="43"/>
  <c r="F34" i="43" s="1"/>
  <c r="E33" i="43"/>
  <c r="F33" i="43" s="1"/>
  <c r="E31" i="43"/>
  <c r="D31" i="43"/>
  <c r="D5" i="43" s="1"/>
  <c r="C31" i="43"/>
  <c r="F30" i="43"/>
  <c r="F29" i="43"/>
  <c r="F28" i="43"/>
  <c r="F27" i="43"/>
  <c r="F26" i="43"/>
  <c r="F25" i="43"/>
  <c r="F24" i="43"/>
  <c r="F23" i="43"/>
  <c r="F22" i="43"/>
  <c r="F21" i="43"/>
  <c r="F20" i="43"/>
  <c r="F19" i="43"/>
  <c r="F18" i="43"/>
  <c r="F17" i="43"/>
  <c r="A17" i="43"/>
  <c r="A18" i="43" s="1"/>
  <c r="A19" i="43" s="1"/>
  <c r="A20" i="43" s="1"/>
  <c r="A21" i="43" s="1"/>
  <c r="A22" i="43" s="1"/>
  <c r="A23" i="43" s="1"/>
  <c r="A24" i="43" s="1"/>
  <c r="A25" i="43" s="1"/>
  <c r="A26" i="43" s="1"/>
  <c r="A27" i="43" s="1"/>
  <c r="A28" i="43" s="1"/>
  <c r="A29" i="43" s="1"/>
  <c r="A30" i="43" s="1"/>
  <c r="A33" i="43" s="1"/>
  <c r="A34" i="43" s="1"/>
  <c r="A35" i="43" s="1"/>
  <c r="A36" i="43" s="1"/>
  <c r="A37" i="43" s="1"/>
  <c r="A38" i="43" s="1"/>
  <c r="A39" i="43" s="1"/>
  <c r="A40" i="43" s="1"/>
  <c r="A41" i="43" s="1"/>
  <c r="A42" i="43" s="1"/>
  <c r="A43" i="43" s="1"/>
  <c r="A44" i="43" s="1"/>
  <c r="A45" i="43" s="1"/>
  <c r="A46" i="43" s="1"/>
  <c r="A47" i="43" s="1"/>
  <c r="A48" i="43" s="1"/>
  <c r="A49" i="43" s="1"/>
  <c r="A50" i="43" s="1"/>
  <c r="A51" i="43" s="1"/>
  <c r="A54" i="43" s="1"/>
  <c r="A55" i="43" s="1"/>
  <c r="A56" i="43" s="1"/>
  <c r="A57" i="43" s="1"/>
  <c r="A58" i="43" s="1"/>
  <c r="A59" i="43" s="1"/>
  <c r="A60" i="43" s="1"/>
  <c r="A61" i="43" s="1"/>
  <c r="A62" i="43" s="1"/>
  <c r="A63" i="43" s="1"/>
  <c r="A64" i="43" s="1"/>
  <c r="A65" i="43" s="1"/>
  <c r="A66" i="43" s="1"/>
  <c r="A69" i="43" s="1"/>
  <c r="A70" i="43" s="1"/>
  <c r="A71" i="43" s="1"/>
  <c r="F16" i="43"/>
  <c r="A16" i="43"/>
  <c r="F15" i="43"/>
  <c r="E8" i="43"/>
  <c r="D8" i="43"/>
  <c r="D6" i="43"/>
  <c r="C5" i="43"/>
  <c r="E50" i="42"/>
  <c r="F50" i="42" s="1"/>
  <c r="D50" i="42"/>
  <c r="C50" i="42"/>
  <c r="F49" i="42"/>
  <c r="F48" i="42"/>
  <c r="F47" i="42"/>
  <c r="F46" i="42"/>
  <c r="F45" i="42"/>
  <c r="F44" i="42"/>
  <c r="F43" i="42"/>
  <c r="F42" i="42"/>
  <c r="E40" i="42"/>
  <c r="F40" i="42" s="1"/>
  <c r="D40" i="42"/>
  <c r="C40" i="42"/>
  <c r="F39" i="42"/>
  <c r="E37" i="42"/>
  <c r="F37" i="42" s="1"/>
  <c r="D37" i="42"/>
  <c r="D5" i="42" s="1"/>
  <c r="C37" i="42"/>
  <c r="F36" i="42"/>
  <c r="F35" i="42"/>
  <c r="F34" i="42"/>
  <c r="F33" i="42"/>
  <c r="F32" i="42"/>
  <c r="F31" i="42"/>
  <c r="F30" i="42"/>
  <c r="F29" i="42"/>
  <c r="F28" i="42"/>
  <c r="F27" i="42"/>
  <c r="F26" i="42"/>
  <c r="F25" i="42"/>
  <c r="F23" i="42"/>
  <c r="F22" i="42"/>
  <c r="F21" i="42"/>
  <c r="F20" i="42"/>
  <c r="F19" i="42"/>
  <c r="F18" i="42"/>
  <c r="F17" i="42"/>
  <c r="F16" i="42"/>
  <c r="F15" i="42"/>
  <c r="A15" i="42"/>
  <c r="A16" i="42" s="1"/>
  <c r="A17" i="42" s="1"/>
  <c r="A18" i="42" s="1"/>
  <c r="A19" i="42" s="1"/>
  <c r="A20" i="42" s="1"/>
  <c r="A21" i="42" s="1"/>
  <c r="A22" i="42" s="1"/>
  <c r="A23" i="42" s="1"/>
  <c r="A24" i="42" s="1"/>
  <c r="A25" i="42" s="1"/>
  <c r="A26" i="42" s="1"/>
  <c r="A27" i="42" s="1"/>
  <c r="A28" i="42" s="1"/>
  <c r="A29" i="42" s="1"/>
  <c r="A30" i="42" s="1"/>
  <c r="A31" i="42" s="1"/>
  <c r="A32" i="42" s="1"/>
  <c r="A33" i="42" s="1"/>
  <c r="A34" i="42" s="1"/>
  <c r="A35" i="42" s="1"/>
  <c r="A36" i="42" s="1"/>
  <c r="A39" i="42" s="1"/>
  <c r="A42" i="42" s="1"/>
  <c r="A43" i="42" s="1"/>
  <c r="A44" i="42" s="1"/>
  <c r="A45" i="42" s="1"/>
  <c r="A46" i="42" s="1"/>
  <c r="A47" i="42" s="1"/>
  <c r="A48" i="42" s="1"/>
  <c r="A49" i="42" s="1"/>
  <c r="F14" i="42"/>
  <c r="D7" i="42"/>
  <c r="C7" i="42"/>
  <c r="D6" i="42"/>
  <c r="C6" i="42"/>
  <c r="C5" i="42"/>
  <c r="C8" i="42" s="1"/>
  <c r="C80" i="41"/>
  <c r="C8" i="41" s="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E53" i="41"/>
  <c r="D53" i="41"/>
  <c r="F52" i="41"/>
  <c r="E51" i="41"/>
  <c r="D51" i="41"/>
  <c r="E50" i="41"/>
  <c r="F50" i="41" s="1"/>
  <c r="D50" i="41"/>
  <c r="E49" i="41"/>
  <c r="D49" i="41"/>
  <c r="F48" i="41"/>
  <c r="F47" i="41"/>
  <c r="E45" i="41"/>
  <c r="D45" i="41"/>
  <c r="D7" i="41" s="1"/>
  <c r="C45" i="41"/>
  <c r="C7" i="41" s="1"/>
  <c r="F44" i="41"/>
  <c r="F43" i="41"/>
  <c r="F42" i="41"/>
  <c r="F41" i="41"/>
  <c r="F40" i="41"/>
  <c r="F39" i="41"/>
  <c r="F38" i="41"/>
  <c r="E36" i="41"/>
  <c r="F36" i="41" s="1"/>
  <c r="D36" i="41"/>
  <c r="C36" i="41"/>
  <c r="C6" i="41" s="1"/>
  <c r="F35" i="41"/>
  <c r="F34" i="41"/>
  <c r="F33" i="41"/>
  <c r="E31" i="41"/>
  <c r="D31" i="41"/>
  <c r="D5" i="41" s="1"/>
  <c r="C31" i="41"/>
  <c r="C5" i="41" s="1"/>
  <c r="F30" i="41"/>
  <c r="F29" i="41"/>
  <c r="F28" i="41"/>
  <c r="F27" i="41"/>
  <c r="F26" i="41"/>
  <c r="F25" i="41"/>
  <c r="F24" i="41"/>
  <c r="F23" i="41"/>
  <c r="F22" i="41"/>
  <c r="F21" i="41"/>
  <c r="F20" i="41"/>
  <c r="F19" i="41"/>
  <c r="F18" i="41"/>
  <c r="F17" i="41"/>
  <c r="F16" i="41"/>
  <c r="A16" i="41"/>
  <c r="A17" i="41" s="1"/>
  <c r="A18" i="41" s="1"/>
  <c r="A19" i="41" s="1"/>
  <c r="A20" i="41" s="1"/>
  <c r="A21" i="41" s="1"/>
  <c r="A22" i="41" s="1"/>
  <c r="A23" i="41" s="1"/>
  <c r="A24" i="41" s="1"/>
  <c r="A25" i="41" s="1"/>
  <c r="A26" i="41" s="1"/>
  <c r="A27" i="41" s="1"/>
  <c r="A28" i="41" s="1"/>
  <c r="A29" i="41" s="1"/>
  <c r="A30" i="41" s="1"/>
  <c r="A33" i="41" s="1"/>
  <c r="A34" i="41" s="1"/>
  <c r="A35" i="41" s="1"/>
  <c r="A38" i="41" s="1"/>
  <c r="A39" i="41" s="1"/>
  <c r="A40" i="41" s="1"/>
  <c r="A41" i="41" s="1"/>
  <c r="A42" i="41" s="1"/>
  <c r="A43" i="41" s="1"/>
  <c r="A44" i="41" s="1"/>
  <c r="A47" i="41" s="1"/>
  <c r="A48" i="41" s="1"/>
  <c r="A49" i="41" s="1"/>
  <c r="A50" i="41" s="1"/>
  <c r="A51" i="41" s="1"/>
  <c r="A52" i="41" s="1"/>
  <c r="A53" i="41" s="1"/>
  <c r="A54" i="41" s="1"/>
  <c r="A55" i="41" s="1"/>
  <c r="A56" i="41" s="1"/>
  <c r="A57" i="41" s="1"/>
  <c r="A58" i="41" s="1"/>
  <c r="A59" i="41" s="1"/>
  <c r="A60" i="41" s="1"/>
  <c r="A61" i="41" s="1"/>
  <c r="A62" i="41" s="1"/>
  <c r="A63" i="41" s="1"/>
  <c r="A64" i="41" s="1"/>
  <c r="A65" i="41" s="1"/>
  <c r="A66" i="41" s="1"/>
  <c r="A67" i="41" s="1"/>
  <c r="A68" i="41" s="1"/>
  <c r="A69" i="41" s="1"/>
  <c r="A70" i="41" s="1"/>
  <c r="A71" i="41" s="1"/>
  <c r="A72" i="41" s="1"/>
  <c r="A73" i="41" s="1"/>
  <c r="A74" i="41" s="1"/>
  <c r="A75" i="41" s="1"/>
  <c r="A76" i="41" s="1"/>
  <c r="A77" i="41" s="1"/>
  <c r="A78" i="41" s="1"/>
  <c r="A79" i="41" s="1"/>
  <c r="F15" i="41"/>
  <c r="D6" i="41"/>
  <c r="F50" i="45" l="1"/>
  <c r="F138" i="47"/>
  <c r="F9" i="48"/>
  <c r="F6" i="48"/>
  <c r="E6" i="41"/>
  <c r="F6" i="41" s="1"/>
  <c r="F31" i="43"/>
  <c r="F5" i="45"/>
  <c r="D9" i="46"/>
  <c r="F7" i="48"/>
  <c r="F53" i="41"/>
  <c r="F8" i="43"/>
  <c r="F8" i="48"/>
  <c r="C7" i="52"/>
  <c r="F31" i="52"/>
  <c r="F33" i="52"/>
  <c r="C9" i="51"/>
  <c r="F57" i="51"/>
  <c r="D9" i="50"/>
  <c r="C9" i="50"/>
  <c r="F93" i="50"/>
  <c r="E7" i="50"/>
  <c r="F7" i="50" s="1"/>
  <c r="F36" i="50"/>
  <c r="F114" i="50"/>
  <c r="F83" i="48"/>
  <c r="C10" i="48"/>
  <c r="F9" i="47"/>
  <c r="F44" i="47"/>
  <c r="C10" i="47"/>
  <c r="E5" i="47"/>
  <c r="F6" i="46"/>
  <c r="F60" i="46"/>
  <c r="F7" i="46"/>
  <c r="F46" i="46"/>
  <c r="F8" i="46"/>
  <c r="F42" i="46"/>
  <c r="F37" i="45"/>
  <c r="C8" i="45"/>
  <c r="E7" i="45"/>
  <c r="F7" i="45" s="1"/>
  <c r="E5" i="43"/>
  <c r="F5" i="43" s="1"/>
  <c r="F67" i="43"/>
  <c r="D9" i="43"/>
  <c r="D8" i="42"/>
  <c r="E5" i="42"/>
  <c r="F31" i="41"/>
  <c r="F45" i="41"/>
  <c r="F49" i="41"/>
  <c r="F51" i="41"/>
  <c r="D80" i="41"/>
  <c r="D8" i="41" s="1"/>
  <c r="D9" i="41" s="1"/>
  <c r="C9" i="41"/>
  <c r="C9" i="43"/>
  <c r="E6" i="44"/>
  <c r="F6" i="44" s="1"/>
  <c r="F105" i="47"/>
  <c r="D8" i="47"/>
  <c r="D10" i="47" s="1"/>
  <c r="E5" i="41"/>
  <c r="E80" i="41"/>
  <c r="E6" i="42"/>
  <c r="F6" i="42" s="1"/>
  <c r="E7" i="42"/>
  <c r="F7" i="42" s="1"/>
  <c r="F5" i="42"/>
  <c r="F6" i="45"/>
  <c r="F40" i="45"/>
  <c r="C9" i="46"/>
  <c r="F47" i="48"/>
  <c r="E5" i="48"/>
  <c r="E52" i="43"/>
  <c r="E7" i="41"/>
  <c r="F7" i="41" s="1"/>
  <c r="F33" i="44"/>
  <c r="E8" i="45"/>
  <c r="F8" i="45" s="1"/>
  <c r="D5" i="51"/>
  <c r="F5" i="51" s="1"/>
  <c r="F53" i="51"/>
  <c r="F39" i="46"/>
  <c r="E5" i="46"/>
  <c r="F8" i="47"/>
  <c r="E6" i="47"/>
  <c r="F6" i="47" s="1"/>
  <c r="F54" i="47"/>
  <c r="D10" i="48"/>
  <c r="F5" i="47"/>
  <c r="F5" i="50"/>
  <c r="D7" i="51"/>
  <c r="F61" i="51"/>
  <c r="F5" i="52"/>
  <c r="E7" i="52"/>
  <c r="F136" i="48"/>
  <c r="E8" i="50"/>
  <c r="F8" i="50" s="1"/>
  <c r="F51" i="50"/>
  <c r="E6" i="50"/>
  <c r="F6" i="50" s="1"/>
  <c r="D6" i="52"/>
  <c r="F6" i="52" s="1"/>
  <c r="F38" i="52"/>
  <c r="F18" i="49"/>
  <c r="E5" i="49"/>
  <c r="F71" i="51"/>
  <c r="E8" i="51"/>
  <c r="F7" i="51"/>
  <c r="D7" i="52" l="1"/>
  <c r="F7" i="52" s="1"/>
  <c r="E7" i="49"/>
  <c r="F7" i="49" s="1"/>
  <c r="F5" i="49"/>
  <c r="F5" i="46"/>
  <c r="E9" i="46"/>
  <c r="F9" i="46" s="1"/>
  <c r="F52" i="43"/>
  <c r="E6" i="43"/>
  <c r="E10" i="47"/>
  <c r="F10" i="47" s="1"/>
  <c r="F5" i="41"/>
  <c r="E8" i="42"/>
  <c r="F8" i="42" s="1"/>
  <c r="E9" i="50"/>
  <c r="F9" i="50" s="1"/>
  <c r="F8" i="51"/>
  <c r="E9" i="51"/>
  <c r="E10" i="48"/>
  <c r="F10" i="48" s="1"/>
  <c r="F5" i="48"/>
  <c r="D9" i="51"/>
  <c r="E8" i="41"/>
  <c r="F8" i="41" s="1"/>
  <c r="F80" i="41"/>
  <c r="F9" i="51" l="1"/>
  <c r="F6" i="43"/>
  <c r="E9" i="43"/>
  <c r="F9" i="43" s="1"/>
  <c r="E9" i="41"/>
  <c r="F9" i="41" s="1"/>
  <c r="G636" i="40" l="1"/>
  <c r="F636" i="40"/>
  <c r="G635" i="40"/>
  <c r="F635" i="40"/>
  <c r="G634" i="40"/>
  <c r="F634" i="40"/>
  <c r="G633" i="40"/>
  <c r="F633" i="40"/>
  <c r="G632" i="40"/>
  <c r="F632" i="40"/>
  <c r="G631" i="40"/>
  <c r="F631" i="40"/>
  <c r="G630" i="40"/>
  <c r="F630" i="40"/>
  <c r="G629" i="40"/>
  <c r="F629" i="40"/>
  <c r="G628" i="40"/>
  <c r="F628" i="40"/>
  <c r="G627" i="40"/>
  <c r="F627" i="40"/>
  <c r="G626" i="40"/>
  <c r="F626" i="40"/>
  <c r="G625" i="40"/>
  <c r="F625" i="40"/>
  <c r="G624" i="40"/>
  <c r="F624" i="40"/>
  <c r="G623" i="40"/>
  <c r="F623" i="40"/>
  <c r="G622" i="40"/>
  <c r="F622" i="40"/>
  <c r="G621" i="40"/>
  <c r="F621" i="40"/>
  <c r="G620" i="40"/>
  <c r="F620" i="40"/>
  <c r="G619" i="40"/>
  <c r="F619" i="40"/>
  <c r="G618" i="40"/>
  <c r="F618" i="40"/>
  <c r="G617" i="40"/>
  <c r="F617" i="40"/>
  <c r="G616" i="40"/>
  <c r="F616" i="40"/>
  <c r="G615" i="40"/>
  <c r="F615" i="40"/>
  <c r="G614" i="40"/>
  <c r="F614" i="40"/>
  <c r="G613" i="40"/>
  <c r="F613" i="40"/>
  <c r="G612" i="40"/>
  <c r="F612" i="40"/>
  <c r="G611" i="40"/>
  <c r="F611" i="40"/>
  <c r="G610" i="40"/>
  <c r="F610" i="40"/>
  <c r="G609" i="40"/>
  <c r="F609" i="40"/>
  <c r="G608" i="40"/>
  <c r="F608" i="40"/>
  <c r="G607" i="40"/>
  <c r="F607" i="40"/>
  <c r="G606" i="40"/>
  <c r="F606" i="40"/>
  <c r="G605" i="40"/>
  <c r="F605" i="40"/>
  <c r="G604" i="40"/>
  <c r="F604" i="40"/>
  <c r="G603" i="40"/>
  <c r="F603" i="40"/>
  <c r="G602" i="40"/>
  <c r="F602" i="40"/>
  <c r="G601" i="40"/>
  <c r="F601" i="40"/>
  <c r="G600" i="40"/>
  <c r="F600" i="40"/>
  <c r="G599" i="40"/>
  <c r="F599" i="40"/>
  <c r="G598" i="40"/>
  <c r="F598" i="40"/>
  <c r="G597" i="40"/>
  <c r="F597" i="40"/>
  <c r="G596" i="40"/>
  <c r="F596" i="40"/>
  <c r="G595" i="40"/>
  <c r="F595" i="40"/>
  <c r="G594" i="40"/>
  <c r="F594" i="40"/>
  <c r="G593" i="40"/>
  <c r="F593" i="40"/>
  <c r="G592" i="40"/>
  <c r="F592" i="40"/>
  <c r="G591" i="40"/>
  <c r="F591" i="40"/>
  <c r="G590" i="40"/>
  <c r="F590" i="40"/>
  <c r="G589" i="40"/>
  <c r="F589" i="40"/>
  <c r="G588" i="40"/>
  <c r="F588" i="40"/>
  <c r="G587" i="40"/>
  <c r="F587" i="40"/>
  <c r="G586" i="40"/>
  <c r="F586" i="40"/>
  <c r="G585" i="40"/>
  <c r="F585" i="40"/>
  <c r="G584" i="40"/>
  <c r="F584" i="40"/>
  <c r="G583" i="40"/>
  <c r="F583" i="40"/>
  <c r="G582" i="40"/>
  <c r="F582" i="40"/>
  <c r="G581" i="40"/>
  <c r="F581" i="40"/>
  <c r="G580" i="40"/>
  <c r="F580" i="40"/>
  <c r="G579" i="40"/>
  <c r="F579" i="40"/>
  <c r="G578" i="40"/>
  <c r="F578" i="40"/>
  <c r="G577" i="40"/>
  <c r="F577" i="40"/>
  <c r="G576" i="40"/>
  <c r="F576" i="40"/>
  <c r="G575" i="40"/>
  <c r="F575" i="40"/>
  <c r="G574" i="40"/>
  <c r="F574" i="40"/>
  <c r="G573" i="40"/>
  <c r="F573" i="40"/>
  <c r="G572" i="40"/>
  <c r="F572" i="40"/>
  <c r="G571" i="40"/>
  <c r="F571" i="40"/>
  <c r="G570" i="40"/>
  <c r="F570" i="40"/>
  <c r="G569" i="40"/>
  <c r="F569" i="40"/>
  <c r="G568" i="40"/>
  <c r="F568" i="40"/>
  <c r="G567" i="40"/>
  <c r="F567" i="40"/>
  <c r="G566" i="40"/>
  <c r="F566" i="40"/>
  <c r="G565" i="40"/>
  <c r="F565" i="40"/>
  <c r="G564" i="40"/>
  <c r="F564" i="40"/>
  <c r="G563" i="40"/>
  <c r="F563" i="40"/>
  <c r="G562" i="40"/>
  <c r="F562" i="40"/>
  <c r="G561" i="40"/>
  <c r="F561" i="40"/>
  <c r="G560" i="40"/>
  <c r="F560" i="40"/>
  <c r="G559" i="40"/>
  <c r="F559" i="40"/>
  <c r="G558" i="40"/>
  <c r="F558" i="40"/>
  <c r="G557" i="40"/>
  <c r="F557" i="40"/>
  <c r="G556" i="40"/>
  <c r="F556" i="40"/>
  <c r="G555" i="40"/>
  <c r="F555" i="40"/>
  <c r="G554" i="40"/>
  <c r="F554" i="40"/>
  <c r="G553" i="40"/>
  <c r="F553" i="40"/>
  <c r="G552" i="40"/>
  <c r="F552" i="40"/>
  <c r="G551" i="40"/>
  <c r="F551" i="40"/>
  <c r="G550" i="40"/>
  <c r="F550" i="40"/>
  <c r="G549" i="40"/>
  <c r="F549" i="40"/>
  <c r="G548" i="40"/>
  <c r="F548" i="40"/>
  <c r="G547" i="40"/>
  <c r="F547" i="40"/>
  <c r="G546" i="40"/>
  <c r="F546" i="40"/>
  <c r="G545" i="40"/>
  <c r="F545" i="40"/>
  <c r="G544" i="40"/>
  <c r="F544" i="40"/>
  <c r="G543" i="40"/>
  <c r="F543" i="40"/>
  <c r="G542" i="40"/>
  <c r="F542" i="40"/>
  <c r="G541" i="40"/>
  <c r="F541" i="40"/>
  <c r="G540" i="40"/>
  <c r="F540" i="40"/>
  <c r="G539" i="40"/>
  <c r="F539" i="40"/>
  <c r="G538" i="40"/>
  <c r="F538" i="40"/>
  <c r="G537" i="40"/>
  <c r="F537" i="40"/>
  <c r="G536" i="40"/>
  <c r="F536" i="40"/>
  <c r="G535" i="40"/>
  <c r="F535" i="40"/>
  <c r="G534" i="40"/>
  <c r="F534" i="40"/>
  <c r="G533" i="40"/>
  <c r="F533" i="40"/>
  <c r="G532" i="40"/>
  <c r="F532" i="40"/>
  <c r="G531" i="40"/>
  <c r="F531" i="40"/>
  <c r="G530" i="40"/>
  <c r="F530" i="40"/>
  <c r="G529" i="40"/>
  <c r="F529" i="40"/>
  <c r="G528" i="40"/>
  <c r="F528" i="40"/>
  <c r="G527" i="40"/>
  <c r="F527" i="40"/>
  <c r="G526" i="40"/>
  <c r="F526" i="40"/>
  <c r="G525" i="40"/>
  <c r="F525" i="40"/>
  <c r="G524" i="40"/>
  <c r="F524" i="40"/>
  <c r="G523" i="40"/>
  <c r="F523" i="40"/>
  <c r="G522" i="40"/>
  <c r="F522" i="40"/>
  <c r="G521" i="40"/>
  <c r="F521" i="40"/>
  <c r="G520" i="40"/>
  <c r="F520" i="40"/>
  <c r="G519" i="40"/>
  <c r="F519" i="40"/>
  <c r="G518" i="40"/>
  <c r="F518" i="40"/>
  <c r="G517" i="40"/>
  <c r="F517" i="40"/>
  <c r="G516" i="40"/>
  <c r="F516" i="40"/>
  <c r="G515" i="40"/>
  <c r="F515" i="40"/>
  <c r="G514" i="40"/>
  <c r="F514" i="40"/>
  <c r="G513" i="40"/>
  <c r="F513" i="40"/>
  <c r="G512" i="40"/>
  <c r="F512" i="40"/>
  <c r="G511" i="40"/>
  <c r="F511" i="40"/>
  <c r="G510" i="40"/>
  <c r="F510" i="40"/>
  <c r="G509" i="40"/>
  <c r="F509" i="40"/>
  <c r="G508" i="40"/>
  <c r="F508" i="40"/>
  <c r="G507" i="40"/>
  <c r="F507" i="40"/>
  <c r="G506" i="40"/>
  <c r="F506" i="40"/>
  <c r="G505" i="40"/>
  <c r="F505" i="40"/>
  <c r="G504" i="40"/>
  <c r="F504" i="40"/>
  <c r="G503" i="40"/>
  <c r="F503" i="40"/>
  <c r="G502" i="40"/>
  <c r="F502" i="40"/>
  <c r="G501" i="40"/>
  <c r="F501" i="40"/>
  <c r="G500" i="40"/>
  <c r="F500" i="40"/>
  <c r="G499" i="40"/>
  <c r="F499" i="40"/>
  <c r="G498" i="40"/>
  <c r="F498" i="40"/>
  <c r="G497" i="40"/>
  <c r="F497" i="40"/>
  <c r="G496" i="40"/>
  <c r="F496" i="40"/>
  <c r="G495" i="40"/>
  <c r="F495" i="40"/>
  <c r="G494" i="40"/>
  <c r="F494" i="40"/>
  <c r="G493" i="40"/>
  <c r="F493" i="40"/>
  <c r="G492" i="40"/>
  <c r="F492" i="40"/>
  <c r="G491" i="40"/>
  <c r="F491" i="40"/>
  <c r="G490" i="40"/>
  <c r="F490" i="40"/>
  <c r="G489" i="40"/>
  <c r="F489" i="40"/>
  <c r="G488" i="40"/>
  <c r="F488" i="40"/>
  <c r="G487" i="40"/>
  <c r="F487" i="40"/>
  <c r="G486" i="40"/>
  <c r="F486" i="40"/>
  <c r="G485" i="40"/>
  <c r="F485" i="40"/>
  <c r="G484" i="40"/>
  <c r="F484" i="40"/>
  <c r="G483" i="40"/>
  <c r="F483" i="40"/>
  <c r="G482" i="40"/>
  <c r="F482" i="40"/>
  <c r="G481" i="40"/>
  <c r="F481" i="40"/>
  <c r="G480" i="40"/>
  <c r="F480" i="40"/>
  <c r="G479" i="40"/>
  <c r="F479" i="40"/>
  <c r="G478" i="40"/>
  <c r="F478" i="40"/>
  <c r="G477" i="40"/>
  <c r="F477" i="40"/>
  <c r="G476" i="40"/>
  <c r="F476" i="40"/>
  <c r="G475" i="40"/>
  <c r="F475" i="40"/>
  <c r="G474" i="40"/>
  <c r="F474" i="40"/>
  <c r="G473" i="40"/>
  <c r="F473" i="40"/>
  <c r="G472" i="40"/>
  <c r="F472" i="40"/>
  <c r="G471" i="40"/>
  <c r="F471" i="40"/>
  <c r="G470" i="40"/>
  <c r="F470" i="40"/>
  <c r="G469" i="40"/>
  <c r="F469" i="40"/>
  <c r="G468" i="40"/>
  <c r="F468" i="40"/>
  <c r="G467" i="40"/>
  <c r="F467" i="40"/>
  <c r="G466" i="40"/>
  <c r="F466" i="40"/>
  <c r="G465" i="40"/>
  <c r="F465" i="40"/>
  <c r="G464" i="40"/>
  <c r="F464" i="40"/>
  <c r="G463" i="40"/>
  <c r="F463" i="40"/>
  <c r="G462" i="40"/>
  <c r="F462" i="40"/>
  <c r="G461" i="40"/>
  <c r="F461" i="40"/>
  <c r="G460" i="40"/>
  <c r="F460" i="40"/>
  <c r="G459" i="40"/>
  <c r="F459" i="40"/>
  <c r="G458" i="40"/>
  <c r="F458" i="40"/>
  <c r="G457" i="40"/>
  <c r="F457" i="40"/>
  <c r="G456" i="40"/>
  <c r="F456" i="40"/>
  <c r="G455" i="40"/>
  <c r="F455" i="40"/>
  <c r="G454" i="40"/>
  <c r="F454" i="40"/>
  <c r="G453" i="40"/>
  <c r="F453" i="40"/>
  <c r="G452" i="40"/>
  <c r="F452" i="40"/>
  <c r="G451" i="40"/>
  <c r="F451" i="40"/>
  <c r="G450" i="40"/>
  <c r="F450" i="40"/>
  <c r="G449" i="40"/>
  <c r="F449" i="40"/>
  <c r="G448" i="40"/>
  <c r="F448" i="40"/>
  <c r="G447" i="40"/>
  <c r="F447" i="40"/>
  <c r="G446" i="40"/>
  <c r="F446" i="40"/>
  <c r="G445" i="40"/>
  <c r="F445" i="40"/>
  <c r="G444" i="40"/>
  <c r="F444" i="40"/>
  <c r="G443" i="40"/>
  <c r="F443" i="40"/>
  <c r="G442" i="40"/>
  <c r="F442" i="40"/>
  <c r="G441" i="40"/>
  <c r="F441" i="40"/>
  <c r="G440" i="40"/>
  <c r="F440" i="40"/>
  <c r="G439" i="40"/>
  <c r="F439" i="40"/>
  <c r="G438" i="40"/>
  <c r="F438" i="40"/>
  <c r="G437" i="40"/>
  <c r="F437" i="40"/>
  <c r="G436" i="40"/>
  <c r="F436" i="40"/>
  <c r="G435" i="40"/>
  <c r="F435" i="40"/>
  <c r="G434" i="40"/>
  <c r="F434" i="40"/>
  <c r="G433" i="40"/>
  <c r="F433" i="40"/>
  <c r="G432" i="40"/>
  <c r="F432" i="40"/>
  <c r="G431" i="40"/>
  <c r="F431" i="40"/>
  <c r="G430" i="40"/>
  <c r="F430" i="40"/>
  <c r="G429" i="40"/>
  <c r="F429" i="40"/>
  <c r="G428" i="40"/>
  <c r="F428" i="40"/>
  <c r="G427" i="40"/>
  <c r="F427" i="40"/>
  <c r="G426" i="40"/>
  <c r="F426" i="40"/>
  <c r="G425" i="40"/>
  <c r="F425" i="40"/>
  <c r="G424" i="40"/>
  <c r="F424" i="40"/>
  <c r="G423" i="40"/>
  <c r="F423" i="40"/>
  <c r="G422" i="40"/>
  <c r="F422" i="40"/>
  <c r="G421" i="40"/>
  <c r="F421" i="40"/>
  <c r="G420" i="40"/>
  <c r="F420" i="40"/>
  <c r="G419" i="40"/>
  <c r="F419" i="40"/>
  <c r="G418" i="40"/>
  <c r="F418" i="40"/>
  <c r="G417" i="40"/>
  <c r="F417" i="40"/>
  <c r="G416" i="40"/>
  <c r="F416" i="40"/>
  <c r="G415" i="40"/>
  <c r="F415" i="40"/>
  <c r="G414" i="40"/>
  <c r="F414" i="40"/>
  <c r="G413" i="40"/>
  <c r="F413" i="40"/>
  <c r="G412" i="40"/>
  <c r="F412" i="40"/>
  <c r="G411" i="40"/>
  <c r="F411" i="40"/>
  <c r="G410" i="40"/>
  <c r="F410" i="40"/>
  <c r="G409" i="40"/>
  <c r="F409" i="40"/>
  <c r="G408" i="40"/>
  <c r="F408" i="40"/>
  <c r="G407" i="40"/>
  <c r="F407" i="40"/>
  <c r="G406" i="40"/>
  <c r="F406" i="40"/>
  <c r="G405" i="40"/>
  <c r="F405" i="40"/>
  <c r="G404" i="40"/>
  <c r="F404" i="40"/>
  <c r="G403" i="40"/>
  <c r="F403" i="40"/>
  <c r="G402" i="40"/>
  <c r="F402" i="40"/>
  <c r="G401" i="40"/>
  <c r="F401" i="40"/>
  <c r="G400" i="40"/>
  <c r="F400" i="40"/>
  <c r="G399" i="40"/>
  <c r="F399" i="40"/>
  <c r="G398" i="40"/>
  <c r="F398" i="40"/>
  <c r="G397" i="40"/>
  <c r="F397" i="40"/>
  <c r="G396" i="40"/>
  <c r="F396" i="40"/>
  <c r="G395" i="40"/>
  <c r="F395" i="40"/>
  <c r="G394" i="40"/>
  <c r="F394" i="40"/>
  <c r="G393" i="40"/>
  <c r="F393" i="40"/>
  <c r="G392" i="40"/>
  <c r="F392" i="40"/>
  <c r="G391" i="40"/>
  <c r="F391" i="40"/>
  <c r="G390" i="40"/>
  <c r="F390" i="40"/>
  <c r="G389" i="40"/>
  <c r="F389" i="40"/>
  <c r="G388" i="40"/>
  <c r="F388" i="40"/>
  <c r="G387" i="40"/>
  <c r="F387" i="40"/>
  <c r="G386" i="40"/>
  <c r="F386" i="40"/>
  <c r="G385" i="40"/>
  <c r="F385" i="40"/>
  <c r="G384" i="40"/>
  <c r="F384" i="40"/>
  <c r="G383" i="40"/>
  <c r="F383" i="40"/>
  <c r="G382" i="40"/>
  <c r="F382" i="40"/>
  <c r="G381" i="40"/>
  <c r="F381" i="40"/>
  <c r="G380" i="40"/>
  <c r="F380" i="40"/>
  <c r="G379" i="40"/>
  <c r="F379" i="40"/>
  <c r="G378" i="40"/>
  <c r="F378" i="40"/>
  <c r="G377" i="40"/>
  <c r="F377" i="40"/>
  <c r="G376" i="40"/>
  <c r="F376" i="40"/>
  <c r="G375" i="40"/>
  <c r="F375" i="40"/>
  <c r="G374" i="40"/>
  <c r="F374" i="40"/>
  <c r="G373" i="40"/>
  <c r="F373" i="40"/>
  <c r="G372" i="40"/>
  <c r="F372" i="40"/>
  <c r="G371" i="40"/>
  <c r="F371" i="40"/>
  <c r="G370" i="40"/>
  <c r="F370" i="40"/>
  <c r="G369" i="40"/>
  <c r="F369" i="40"/>
  <c r="G368" i="40"/>
  <c r="F368" i="40"/>
  <c r="G367" i="40"/>
  <c r="F367" i="40"/>
  <c r="G366" i="40"/>
  <c r="F366" i="40"/>
  <c r="G365" i="40"/>
  <c r="F365" i="40"/>
  <c r="G364" i="40"/>
  <c r="F364" i="40"/>
  <c r="G363" i="40"/>
  <c r="F363" i="40"/>
  <c r="G362" i="40"/>
  <c r="F362" i="40"/>
  <c r="G361" i="40"/>
  <c r="F361" i="40"/>
  <c r="G360" i="40"/>
  <c r="F360" i="40"/>
  <c r="G359" i="40"/>
  <c r="F359" i="40"/>
  <c r="G358" i="40"/>
  <c r="F358" i="40"/>
  <c r="G357" i="40"/>
  <c r="F357" i="40"/>
  <c r="G356" i="40"/>
  <c r="F356" i="40"/>
  <c r="G355" i="40"/>
  <c r="F355" i="40"/>
  <c r="G354" i="40"/>
  <c r="F354" i="40"/>
  <c r="G353" i="40"/>
  <c r="F353" i="40"/>
  <c r="G352" i="40"/>
  <c r="F352" i="40"/>
  <c r="G351" i="40"/>
  <c r="F351" i="40"/>
  <c r="G350" i="40"/>
  <c r="F350" i="40"/>
  <c r="G349" i="40"/>
  <c r="F349" i="40"/>
  <c r="G348" i="40"/>
  <c r="F348" i="40"/>
  <c r="G347" i="40"/>
  <c r="F347" i="40"/>
  <c r="G346" i="40"/>
  <c r="F346" i="40"/>
  <c r="G345" i="40"/>
  <c r="F345" i="40"/>
  <c r="G344" i="40"/>
  <c r="F344" i="40"/>
  <c r="G343" i="40"/>
  <c r="F343" i="40"/>
  <c r="G342" i="40"/>
  <c r="F342" i="40"/>
  <c r="G341" i="40"/>
  <c r="F341" i="40"/>
  <c r="G340" i="40"/>
  <c r="F340" i="40"/>
  <c r="G339" i="40"/>
  <c r="F339" i="40"/>
  <c r="G338" i="40"/>
  <c r="F338" i="40"/>
  <c r="G337" i="40"/>
  <c r="F337" i="40"/>
  <c r="G336" i="40"/>
  <c r="F336" i="40"/>
  <c r="G335" i="40"/>
  <c r="F335" i="40"/>
  <c r="G334" i="40"/>
  <c r="F334" i="40"/>
  <c r="G333" i="40"/>
  <c r="F333" i="40"/>
  <c r="G332" i="40"/>
  <c r="F332" i="40"/>
  <c r="G331" i="40"/>
  <c r="F331" i="40"/>
  <c r="G330" i="40"/>
  <c r="F330" i="40"/>
  <c r="G329" i="40"/>
  <c r="F329" i="40"/>
  <c r="G328" i="40"/>
  <c r="F328" i="40"/>
  <c r="G327" i="40"/>
  <c r="F327" i="40"/>
  <c r="G326" i="40"/>
  <c r="F326" i="40"/>
  <c r="G325" i="40"/>
  <c r="F325" i="40"/>
  <c r="G324" i="40"/>
  <c r="F324" i="40"/>
  <c r="G323" i="40"/>
  <c r="F323" i="40"/>
  <c r="G322" i="40"/>
  <c r="F322" i="40"/>
  <c r="G321" i="40"/>
  <c r="F321" i="40"/>
  <c r="G320" i="40"/>
  <c r="F320" i="40"/>
  <c r="G319" i="40"/>
  <c r="F319" i="40"/>
  <c r="G318" i="40"/>
  <c r="F318" i="40"/>
  <c r="G317" i="40"/>
  <c r="F317" i="40"/>
  <c r="G316" i="40"/>
  <c r="F316" i="40"/>
  <c r="G315" i="40"/>
  <c r="F315" i="40"/>
  <c r="G314" i="40"/>
  <c r="F314" i="40"/>
  <c r="G313" i="40"/>
  <c r="F313" i="40"/>
  <c r="G312" i="40"/>
  <c r="F312" i="40"/>
  <c r="G311" i="40"/>
  <c r="F311" i="40"/>
  <c r="G310" i="40"/>
  <c r="F310" i="40"/>
  <c r="G309" i="40"/>
  <c r="F309" i="40"/>
  <c r="G308" i="40"/>
  <c r="F308" i="40"/>
  <c r="G307" i="40"/>
  <c r="F307" i="40"/>
  <c r="G306" i="40"/>
  <c r="F306" i="40"/>
  <c r="G305" i="40"/>
  <c r="F305" i="40"/>
  <c r="G304" i="40"/>
  <c r="F304" i="40"/>
  <c r="G303" i="40"/>
  <c r="F303" i="40"/>
  <c r="G302" i="40"/>
  <c r="F302" i="40"/>
  <c r="G301" i="40"/>
  <c r="F301" i="40"/>
  <c r="G300" i="40"/>
  <c r="F300" i="40"/>
  <c r="G299" i="40"/>
  <c r="F299" i="40"/>
  <c r="G298" i="40"/>
  <c r="F298" i="40"/>
  <c r="G297" i="40"/>
  <c r="F297" i="40"/>
  <c r="G296" i="40"/>
  <c r="F296" i="40"/>
  <c r="G295" i="40"/>
  <c r="F295" i="40"/>
  <c r="G294" i="40"/>
  <c r="F294" i="40"/>
  <c r="G293" i="40"/>
  <c r="F293" i="40"/>
  <c r="G292" i="40"/>
  <c r="F292" i="40"/>
  <c r="G291" i="40"/>
  <c r="F291" i="40"/>
  <c r="G290" i="40"/>
  <c r="F290" i="40"/>
  <c r="G289" i="40"/>
  <c r="F289" i="40"/>
  <c r="G288" i="40"/>
  <c r="F288" i="40"/>
  <c r="G287" i="40"/>
  <c r="F287" i="40"/>
  <c r="G286" i="40"/>
  <c r="F286" i="40"/>
  <c r="G285" i="40"/>
  <c r="F285" i="40"/>
  <c r="G284" i="40"/>
  <c r="F284" i="40"/>
  <c r="G283" i="40"/>
  <c r="F283" i="40"/>
  <c r="G282" i="40"/>
  <c r="F282" i="40"/>
  <c r="G281" i="40"/>
  <c r="F281" i="40"/>
  <c r="G280" i="40"/>
  <c r="F280" i="40"/>
  <c r="G279" i="40"/>
  <c r="F279" i="40"/>
  <c r="G278" i="40"/>
  <c r="F278" i="40"/>
  <c r="G277" i="40"/>
  <c r="F277" i="40"/>
  <c r="G276" i="40"/>
  <c r="F276" i="40"/>
  <c r="G275" i="40"/>
  <c r="F275" i="40"/>
  <c r="G274" i="40"/>
  <c r="F274" i="40"/>
  <c r="G273" i="40"/>
  <c r="F273" i="40"/>
  <c r="G272" i="40"/>
  <c r="F272" i="40"/>
  <c r="G271" i="40"/>
  <c r="F271" i="40"/>
  <c r="G270" i="40"/>
  <c r="F270" i="40"/>
  <c r="G269" i="40"/>
  <c r="F269" i="40"/>
  <c r="G268" i="40"/>
  <c r="F268" i="40"/>
  <c r="G267" i="40"/>
  <c r="F267" i="40"/>
  <c r="G266" i="40"/>
  <c r="F266" i="40"/>
  <c r="G265" i="40"/>
  <c r="F265" i="40"/>
  <c r="G264" i="40"/>
  <c r="F264" i="40"/>
  <c r="G263" i="40"/>
  <c r="F263" i="40"/>
  <c r="G262" i="40"/>
  <c r="F262" i="40"/>
  <c r="G261" i="40"/>
  <c r="F261" i="40"/>
  <c r="G260" i="40"/>
  <c r="F260" i="40"/>
  <c r="G259" i="40"/>
  <c r="F259" i="40"/>
  <c r="G258" i="40"/>
  <c r="F258" i="40"/>
  <c r="G257" i="40"/>
  <c r="F257" i="40"/>
  <c r="G256" i="40"/>
  <c r="F256" i="40"/>
  <c r="G255" i="40"/>
  <c r="F255" i="40"/>
  <c r="G254" i="40"/>
  <c r="F254" i="40"/>
  <c r="G253" i="40"/>
  <c r="F253" i="40"/>
  <c r="G252" i="40"/>
  <c r="F252" i="40"/>
  <c r="G251" i="40"/>
  <c r="F251" i="40"/>
  <c r="G250" i="40"/>
  <c r="F250" i="40"/>
  <c r="G249" i="40"/>
  <c r="F249" i="40"/>
  <c r="G248" i="40"/>
  <c r="F248" i="40"/>
  <c r="G247" i="40"/>
  <c r="F247" i="40"/>
  <c r="G246" i="40"/>
  <c r="F246" i="40"/>
  <c r="G245" i="40"/>
  <c r="F245" i="40"/>
  <c r="G244" i="40"/>
  <c r="F244" i="40"/>
  <c r="G243" i="40"/>
  <c r="F243" i="40"/>
  <c r="G242" i="40"/>
  <c r="F242" i="40"/>
  <c r="G241" i="40"/>
  <c r="F241" i="40"/>
  <c r="G240" i="40"/>
  <c r="F240" i="40"/>
  <c r="G239" i="40"/>
  <c r="F239" i="40"/>
  <c r="G238" i="40"/>
  <c r="F238" i="40"/>
  <c r="G237" i="40"/>
  <c r="F237" i="40"/>
  <c r="G236" i="40"/>
  <c r="F236" i="40"/>
  <c r="G235" i="40"/>
  <c r="F235" i="40"/>
  <c r="G234" i="40"/>
  <c r="F234" i="40"/>
  <c r="G233" i="40"/>
  <c r="F233" i="40"/>
  <c r="G232" i="40"/>
  <c r="F232" i="40"/>
  <c r="G231" i="40"/>
  <c r="F231" i="40"/>
  <c r="G230" i="40"/>
  <c r="F230" i="40"/>
  <c r="G229" i="40"/>
  <c r="F229" i="40"/>
  <c r="G228" i="40"/>
  <c r="F228" i="40"/>
  <c r="G227" i="40"/>
  <c r="F227" i="40"/>
  <c r="G226" i="40"/>
  <c r="F226" i="40"/>
  <c r="G225" i="40"/>
  <c r="F225" i="40"/>
  <c r="G224" i="40"/>
  <c r="F224" i="40"/>
  <c r="G223" i="40"/>
  <c r="F223" i="40"/>
  <c r="G222" i="40"/>
  <c r="F222" i="40"/>
  <c r="G221" i="40"/>
  <c r="F221" i="40"/>
  <c r="G220" i="40"/>
  <c r="F220" i="40"/>
  <c r="G219" i="40"/>
  <c r="F219" i="40"/>
  <c r="G218" i="40"/>
  <c r="F218" i="40"/>
  <c r="G217" i="40"/>
  <c r="F217" i="40"/>
  <c r="G216" i="40"/>
  <c r="F216" i="40"/>
  <c r="G215" i="40"/>
  <c r="F215" i="40"/>
  <c r="G214" i="40"/>
  <c r="F214" i="40"/>
  <c r="G213" i="40"/>
  <c r="F213" i="40"/>
  <c r="G212" i="40"/>
  <c r="F212" i="40"/>
  <c r="G211" i="40"/>
  <c r="F211" i="40"/>
  <c r="G210" i="40"/>
  <c r="F210" i="40"/>
  <c r="G209" i="40"/>
  <c r="F209" i="40"/>
  <c r="G208" i="40"/>
  <c r="F208" i="40"/>
  <c r="G207" i="40"/>
  <c r="F207" i="40"/>
  <c r="G206" i="40"/>
  <c r="F206" i="40"/>
  <c r="G205" i="40"/>
  <c r="F205" i="40"/>
  <c r="G204" i="40"/>
  <c r="F204" i="40"/>
  <c r="G203" i="40"/>
  <c r="F203" i="40"/>
  <c r="G202" i="40"/>
  <c r="F202" i="40"/>
  <c r="G201" i="40"/>
  <c r="F201" i="40"/>
  <c r="G200" i="40"/>
  <c r="F200" i="40"/>
  <c r="G199" i="40"/>
  <c r="F199" i="40"/>
  <c r="G198" i="40"/>
  <c r="F198" i="40"/>
  <c r="G197" i="40"/>
  <c r="F197" i="40"/>
  <c r="G196" i="40"/>
  <c r="F196" i="40"/>
  <c r="G195" i="40"/>
  <c r="F195" i="40"/>
  <c r="G194" i="40"/>
  <c r="F194" i="40"/>
  <c r="G193" i="40"/>
  <c r="F193" i="40"/>
  <c r="G192" i="40"/>
  <c r="F192" i="40"/>
  <c r="G191" i="40"/>
  <c r="F191" i="40"/>
  <c r="G190" i="40"/>
  <c r="F190" i="40"/>
  <c r="G189" i="40"/>
  <c r="F189" i="40"/>
  <c r="G188" i="40"/>
  <c r="F188" i="40"/>
  <c r="G187" i="40"/>
  <c r="F187" i="40"/>
  <c r="G186" i="40"/>
  <c r="F186" i="40"/>
  <c r="G185" i="40"/>
  <c r="F185" i="40"/>
  <c r="G184" i="40"/>
  <c r="F184" i="40"/>
  <c r="G183" i="40"/>
  <c r="F183" i="40"/>
  <c r="G182" i="40"/>
  <c r="F182" i="40"/>
  <c r="G181" i="40"/>
  <c r="F181" i="40"/>
  <c r="G180" i="40"/>
  <c r="F180" i="40"/>
  <c r="G179" i="40"/>
  <c r="F179" i="40"/>
  <c r="G178" i="40"/>
  <c r="F178" i="40"/>
  <c r="G177" i="40"/>
  <c r="F177" i="40"/>
  <c r="G176" i="40"/>
  <c r="F176" i="40"/>
  <c r="G175" i="40"/>
  <c r="F175" i="40"/>
  <c r="G174" i="40"/>
  <c r="F174" i="40"/>
  <c r="G173" i="40"/>
  <c r="F173" i="40"/>
  <c r="G172" i="40"/>
  <c r="F172" i="40"/>
  <c r="G171" i="40"/>
  <c r="F171" i="40"/>
  <c r="G170" i="40"/>
  <c r="F170" i="40"/>
  <c r="G169" i="40"/>
  <c r="F169" i="40"/>
  <c r="G168" i="40"/>
  <c r="F168" i="40"/>
  <c r="G167" i="40"/>
  <c r="F167" i="40"/>
  <c r="G166" i="40"/>
  <c r="F166" i="40"/>
  <c r="G165" i="40"/>
  <c r="F165" i="40"/>
  <c r="G164" i="40"/>
  <c r="F164" i="40"/>
  <c r="G163" i="40"/>
  <c r="F163" i="40"/>
  <c r="G162" i="40"/>
  <c r="F162" i="40"/>
  <c r="G161" i="40"/>
  <c r="F161" i="40"/>
  <c r="G160" i="40"/>
  <c r="F160" i="40"/>
  <c r="G159" i="40"/>
  <c r="F159" i="40"/>
  <c r="G158" i="40"/>
  <c r="F158" i="40"/>
  <c r="G157" i="40"/>
  <c r="F157" i="40"/>
  <c r="G156" i="40"/>
  <c r="F156" i="40"/>
  <c r="G155" i="40"/>
  <c r="F155" i="40"/>
  <c r="G154" i="40"/>
  <c r="F154" i="40"/>
  <c r="G153" i="40"/>
  <c r="F153" i="40"/>
  <c r="G152" i="40"/>
  <c r="F152" i="40"/>
  <c r="G151" i="40"/>
  <c r="F151" i="40"/>
  <c r="G150" i="40"/>
  <c r="F150" i="40"/>
  <c r="G149" i="40"/>
  <c r="F149" i="40"/>
  <c r="G148" i="40"/>
  <c r="F148" i="40"/>
  <c r="G147" i="40"/>
  <c r="F147" i="40"/>
  <c r="G146" i="40"/>
  <c r="F146" i="40"/>
  <c r="G145" i="40"/>
  <c r="F145" i="40"/>
  <c r="G144" i="40"/>
  <c r="F144" i="40"/>
  <c r="G143" i="40"/>
  <c r="F143" i="40"/>
  <c r="G142" i="40"/>
  <c r="F142" i="40"/>
  <c r="G141" i="40"/>
  <c r="F141" i="40"/>
  <c r="G140" i="40"/>
  <c r="F140" i="40"/>
  <c r="G139" i="40"/>
  <c r="F139" i="40"/>
  <c r="G138" i="40"/>
  <c r="F138" i="40"/>
  <c r="G137" i="40"/>
  <c r="F137" i="40"/>
  <c r="G136" i="40"/>
  <c r="F136" i="40"/>
  <c r="G135" i="40"/>
  <c r="F135" i="40"/>
  <c r="G134" i="40"/>
  <c r="F134" i="40"/>
  <c r="G133" i="40"/>
  <c r="F133" i="40"/>
  <c r="G132" i="40"/>
  <c r="F132" i="40"/>
  <c r="G131" i="40"/>
  <c r="F131" i="40"/>
  <c r="G130" i="40"/>
  <c r="F130" i="40"/>
  <c r="G129" i="40"/>
  <c r="F129" i="40"/>
  <c r="G128" i="40"/>
  <c r="F128" i="40"/>
  <c r="G127" i="40"/>
  <c r="F127" i="40"/>
  <c r="G126" i="40"/>
  <c r="F126" i="40"/>
  <c r="G125" i="40"/>
  <c r="F125" i="40"/>
  <c r="G124" i="40"/>
  <c r="F124" i="40"/>
  <c r="G123" i="40"/>
  <c r="F123" i="40"/>
  <c r="G122" i="40"/>
  <c r="F122" i="40"/>
  <c r="G121" i="40"/>
  <c r="F121" i="40"/>
  <c r="G120" i="40"/>
  <c r="F120" i="40"/>
  <c r="G119" i="40"/>
  <c r="F119" i="40"/>
  <c r="G118" i="40"/>
  <c r="F118" i="40"/>
  <c r="G117" i="40"/>
  <c r="F117" i="40"/>
  <c r="G116" i="40"/>
  <c r="F116" i="40"/>
  <c r="G115" i="40"/>
  <c r="F115" i="40"/>
  <c r="G114" i="40"/>
  <c r="F114" i="40"/>
  <c r="G113" i="40"/>
  <c r="F113" i="40"/>
  <c r="G112" i="40"/>
  <c r="F112" i="40"/>
  <c r="G111" i="40"/>
  <c r="F111" i="40"/>
  <c r="G110" i="40"/>
  <c r="F110" i="40"/>
  <c r="G109" i="40"/>
  <c r="F109" i="40"/>
  <c r="G108" i="40"/>
  <c r="F108" i="40"/>
  <c r="G107" i="40"/>
  <c r="F107" i="40"/>
  <c r="G106" i="40"/>
  <c r="F106" i="40"/>
  <c r="G105" i="40"/>
  <c r="F105" i="40"/>
  <c r="G104" i="40"/>
  <c r="F104" i="40"/>
  <c r="G103" i="40"/>
  <c r="F103" i="40"/>
  <c r="G102" i="40"/>
  <c r="F102" i="40"/>
  <c r="G101" i="40"/>
  <c r="F101" i="40"/>
  <c r="G100" i="40"/>
  <c r="F100" i="40"/>
  <c r="G99" i="40"/>
  <c r="F99" i="40"/>
  <c r="G98" i="40"/>
  <c r="F98" i="40"/>
  <c r="G97" i="40"/>
  <c r="F97" i="40"/>
  <c r="G96" i="40"/>
  <c r="F96" i="40"/>
  <c r="G95" i="40"/>
  <c r="F95" i="40"/>
  <c r="G94" i="40"/>
  <c r="F94" i="40"/>
  <c r="G93" i="40"/>
  <c r="F93" i="40"/>
  <c r="G92" i="40"/>
  <c r="F92" i="40"/>
  <c r="G91" i="40"/>
  <c r="F91" i="40"/>
  <c r="G90" i="40"/>
  <c r="F90" i="40"/>
  <c r="G89" i="40"/>
  <c r="F89" i="40"/>
  <c r="G88" i="40"/>
  <c r="F88" i="40"/>
  <c r="G87" i="40"/>
  <c r="F87" i="40"/>
  <c r="G86" i="40"/>
  <c r="F86" i="40"/>
  <c r="G85" i="40"/>
  <c r="F85" i="40"/>
  <c r="G84" i="40"/>
  <c r="F84" i="40"/>
  <c r="G83" i="40"/>
  <c r="F83" i="40"/>
  <c r="G82" i="40"/>
  <c r="F82" i="40"/>
  <c r="G81" i="40"/>
  <c r="F81" i="40"/>
  <c r="G80" i="40"/>
  <c r="F80" i="40"/>
  <c r="G79" i="40"/>
  <c r="F79" i="40"/>
  <c r="G78" i="40"/>
  <c r="F78" i="40"/>
  <c r="G77" i="40"/>
  <c r="F77" i="40"/>
  <c r="G76" i="40"/>
  <c r="F76" i="40"/>
  <c r="G75" i="40"/>
  <c r="F75" i="40"/>
  <c r="G74" i="40"/>
  <c r="F74" i="40"/>
  <c r="G73" i="40"/>
  <c r="F73" i="40"/>
  <c r="G72" i="40"/>
  <c r="F72" i="40"/>
  <c r="G71" i="40"/>
  <c r="F71" i="40"/>
  <c r="G70" i="40"/>
  <c r="F70" i="40"/>
  <c r="G69" i="40"/>
  <c r="F69" i="40"/>
  <c r="G68" i="40"/>
  <c r="F68" i="40"/>
  <c r="G67" i="40"/>
  <c r="F67" i="40"/>
  <c r="G66" i="40"/>
  <c r="F66" i="40"/>
  <c r="G65" i="40"/>
  <c r="F65" i="40"/>
  <c r="G64" i="40"/>
  <c r="F64" i="40"/>
  <c r="G63" i="40"/>
  <c r="F63" i="40"/>
  <c r="G62" i="40"/>
  <c r="F62" i="40"/>
  <c r="G61" i="40"/>
  <c r="F61" i="40"/>
  <c r="G60" i="40"/>
  <c r="F60" i="40"/>
  <c r="G59" i="40"/>
  <c r="F59" i="40"/>
  <c r="G58" i="40"/>
  <c r="F58" i="40"/>
  <c r="G57" i="40"/>
  <c r="F57" i="40"/>
  <c r="G56" i="40"/>
  <c r="F56" i="40"/>
  <c r="G55" i="40"/>
  <c r="F55" i="40"/>
  <c r="G54" i="40"/>
  <c r="F54" i="40"/>
  <c r="G53" i="40"/>
  <c r="F53" i="40"/>
  <c r="G52" i="40"/>
  <c r="F52" i="40"/>
  <c r="G51" i="40"/>
  <c r="F51" i="40"/>
  <c r="G50" i="40"/>
  <c r="F50" i="40"/>
  <c r="G49" i="40"/>
  <c r="F49" i="40"/>
  <c r="G48" i="40"/>
  <c r="F48" i="40"/>
  <c r="G47" i="40"/>
  <c r="F47" i="40"/>
  <c r="G46" i="40"/>
  <c r="F46" i="40"/>
  <c r="G45" i="40"/>
  <c r="F45" i="40"/>
  <c r="G44" i="40"/>
  <c r="F44" i="40"/>
  <c r="G43" i="40"/>
  <c r="F43" i="40"/>
  <c r="G42" i="40"/>
  <c r="F42" i="40"/>
  <c r="G41" i="40"/>
  <c r="F41" i="40"/>
  <c r="G40" i="40"/>
  <c r="F40" i="40"/>
  <c r="G39" i="40"/>
  <c r="F39" i="40"/>
  <c r="G38" i="40"/>
  <c r="F38" i="40"/>
  <c r="G37" i="40"/>
  <c r="F37" i="40"/>
  <c r="G36" i="40"/>
  <c r="F36" i="40"/>
  <c r="G35" i="40"/>
  <c r="F35" i="40"/>
  <c r="G34" i="40"/>
  <c r="F34" i="40"/>
  <c r="G33" i="40"/>
  <c r="F33" i="40"/>
  <c r="G32" i="40"/>
  <c r="F32" i="40"/>
  <c r="G31" i="40"/>
  <c r="F31" i="40"/>
  <c r="G30" i="40"/>
  <c r="F30" i="40"/>
  <c r="G29" i="40"/>
  <c r="F29" i="40"/>
  <c r="G28" i="40"/>
  <c r="F28" i="40"/>
  <c r="G27" i="40"/>
  <c r="F27" i="40"/>
  <c r="G26" i="40"/>
  <c r="F26" i="40"/>
  <c r="G25" i="40"/>
  <c r="F25" i="40"/>
  <c r="G24" i="40"/>
  <c r="F24" i="40"/>
  <c r="G23" i="40"/>
  <c r="F23" i="40"/>
  <c r="G22" i="40"/>
  <c r="F22" i="40"/>
  <c r="G21" i="40"/>
  <c r="F21" i="40"/>
  <c r="G20" i="40"/>
  <c r="F20" i="40"/>
  <c r="G19" i="40"/>
  <c r="F19" i="40"/>
  <c r="G18" i="40"/>
  <c r="F18" i="40"/>
  <c r="G17" i="40"/>
  <c r="F17" i="40"/>
  <c r="G16" i="40"/>
  <c r="F16" i="40"/>
  <c r="G15" i="40"/>
  <c r="F15" i="40"/>
  <c r="G14" i="40"/>
  <c r="F14" i="40"/>
  <c r="G13" i="40"/>
  <c r="F13" i="40"/>
  <c r="G12" i="40"/>
  <c r="F12" i="40"/>
  <c r="G11" i="40"/>
  <c r="F11" i="40"/>
  <c r="G10" i="40"/>
  <c r="F10" i="40"/>
  <c r="G9" i="40"/>
  <c r="F9" i="40"/>
  <c r="G8" i="40"/>
  <c r="F8" i="40"/>
  <c r="G7" i="40"/>
  <c r="F7" i="40"/>
  <c r="G6" i="40"/>
  <c r="F6" i="40"/>
  <c r="G5" i="40"/>
  <c r="F5" i="40"/>
  <c r="B1017" i="38" l="1"/>
  <c r="C935" i="38"/>
  <c r="C1017" i="38" s="1"/>
  <c r="B1845" i="37" l="1"/>
  <c r="C1845" i="37"/>
  <c r="D80" i="14" l="1"/>
  <c r="D77" i="13" l="1"/>
  <c r="E77" i="13"/>
  <c r="F77" i="13"/>
  <c r="G77" i="13"/>
  <c r="H77" i="13"/>
  <c r="I77" i="13"/>
  <c r="K77" i="13"/>
  <c r="L77" i="13"/>
  <c r="L44" i="13"/>
  <c r="D44" i="13"/>
  <c r="E44" i="13"/>
  <c r="F44" i="13"/>
  <c r="G44" i="13"/>
  <c r="H44" i="13"/>
  <c r="I44" i="13"/>
  <c r="J44" i="13"/>
  <c r="K44" i="13"/>
  <c r="D5" i="13"/>
  <c r="E5" i="13"/>
  <c r="F5" i="13"/>
  <c r="G5" i="13"/>
  <c r="H5" i="13"/>
  <c r="I5" i="13"/>
  <c r="J5" i="13"/>
  <c r="K5" i="13"/>
  <c r="L5" i="13"/>
  <c r="C5" i="20" l="1"/>
  <c r="C14" i="19"/>
  <c r="C26" i="17"/>
  <c r="C11" i="16"/>
  <c r="C5" i="15"/>
  <c r="L80" i="14" l="1"/>
  <c r="K80" i="14"/>
  <c r="J80" i="14"/>
  <c r="I80" i="14"/>
  <c r="H80" i="14"/>
  <c r="G80" i="14"/>
  <c r="F80" i="14"/>
  <c r="E80" i="14"/>
  <c r="C168" i="13" l="1"/>
  <c r="C167" i="13"/>
  <c r="C166" i="13"/>
  <c r="C165" i="13"/>
  <c r="C164" i="13"/>
  <c r="C163" i="13"/>
  <c r="L162" i="13"/>
  <c r="K162" i="13"/>
  <c r="J162" i="13"/>
  <c r="I162" i="13"/>
  <c r="H162" i="13"/>
  <c r="G162" i="13"/>
  <c r="F162" i="13"/>
  <c r="E162" i="13"/>
  <c r="D162" i="13"/>
  <c r="C161" i="13"/>
  <c r="C160" i="13"/>
  <c r="L159" i="13"/>
  <c r="K159" i="13"/>
  <c r="J159" i="13"/>
  <c r="I159" i="13"/>
  <c r="H159" i="13"/>
  <c r="G159" i="13"/>
  <c r="F159" i="13"/>
  <c r="E159" i="13"/>
  <c r="D159" i="13"/>
  <c r="C158" i="13"/>
  <c r="C157" i="13"/>
  <c r="C156" i="13"/>
  <c r="C155" i="13"/>
  <c r="C154" i="13"/>
  <c r="C153" i="13"/>
  <c r="C152" i="13"/>
  <c r="C151" i="13"/>
  <c r="C150" i="13"/>
  <c r="C149" i="13"/>
  <c r="C148" i="13"/>
  <c r="C147" i="13"/>
  <c r="C146" i="13"/>
  <c r="C145" i="13"/>
  <c r="L144" i="13"/>
  <c r="K144" i="13"/>
  <c r="J144" i="13"/>
  <c r="I144" i="13"/>
  <c r="H144" i="13"/>
  <c r="G144" i="13"/>
  <c r="F144" i="13"/>
  <c r="E144" i="13"/>
  <c r="D144" i="13"/>
  <c r="C142" i="13"/>
  <c r="J141" i="13"/>
  <c r="C141" i="13" s="1"/>
  <c r="J140" i="13"/>
  <c r="C140" i="13" s="1"/>
  <c r="J139" i="13"/>
  <c r="C139" i="13" s="1"/>
  <c r="J138" i="13"/>
  <c r="C138" i="13" s="1"/>
  <c r="C137" i="13"/>
  <c r="C136" i="13"/>
  <c r="J135" i="13"/>
  <c r="C135" i="13" s="1"/>
  <c r="C134" i="13"/>
  <c r="C133" i="13"/>
  <c r="C132" i="13"/>
  <c r="C131" i="13"/>
  <c r="C130" i="13"/>
  <c r="C129" i="13"/>
  <c r="C128" i="13"/>
  <c r="C127" i="13"/>
  <c r="C126" i="13"/>
  <c r="J125" i="13"/>
  <c r="C125" i="13" s="1"/>
  <c r="J124" i="13"/>
  <c r="C124" i="13" s="1"/>
  <c r="J123" i="13"/>
  <c r="C123" i="13" s="1"/>
  <c r="J122" i="13"/>
  <c r="J121" i="13"/>
  <c r="C121" i="13" s="1"/>
  <c r="C120" i="13"/>
  <c r="J119" i="13"/>
  <c r="C119" i="13" s="1"/>
  <c r="C118" i="13"/>
  <c r="J117" i="13"/>
  <c r="J116" i="13"/>
  <c r="C115" i="13"/>
  <c r="C114" i="13"/>
  <c r="C113" i="13"/>
  <c r="C112" i="13"/>
  <c r="C111" i="13"/>
  <c r="C110" i="13"/>
  <c r="J109" i="13"/>
  <c r="C109" i="13" s="1"/>
  <c r="C108" i="13"/>
  <c r="C107" i="13"/>
  <c r="C106" i="13"/>
  <c r="C105" i="13"/>
  <c r="C104" i="13"/>
  <c r="C103" i="13"/>
  <c r="C102" i="13"/>
  <c r="C101" i="13"/>
  <c r="C100" i="13"/>
  <c r="C99" i="13"/>
  <c r="C98" i="13"/>
  <c r="C97" i="13"/>
  <c r="C96" i="13"/>
  <c r="C95" i="13"/>
  <c r="C94" i="13"/>
  <c r="C93" i="13"/>
  <c r="C92" i="13"/>
  <c r="C143" i="13"/>
  <c r="C91" i="13"/>
  <c r="C90" i="13"/>
  <c r="J89" i="13"/>
  <c r="C88" i="13"/>
  <c r="C87" i="13"/>
  <c r="C86" i="13"/>
  <c r="C85" i="13"/>
  <c r="C84" i="13"/>
  <c r="C83" i="13"/>
  <c r="C82" i="13"/>
  <c r="C81" i="13"/>
  <c r="C80" i="13"/>
  <c r="C79" i="13"/>
  <c r="C78" i="13"/>
  <c r="C76" i="13"/>
  <c r="C75" i="13"/>
  <c r="C74" i="13"/>
  <c r="C73" i="13"/>
  <c r="C72" i="13"/>
  <c r="C71" i="13"/>
  <c r="C70" i="13"/>
  <c r="C69" i="13"/>
  <c r="C68" i="13"/>
  <c r="C67" i="13"/>
  <c r="C66" i="13"/>
  <c r="C65" i="13"/>
  <c r="C64" i="13"/>
  <c r="C63" i="13"/>
  <c r="C62" i="13"/>
  <c r="C61" i="13"/>
  <c r="C60" i="13"/>
  <c r="C59" i="13"/>
  <c r="C58" i="13"/>
  <c r="C57" i="13"/>
  <c r="C56" i="13"/>
  <c r="C55" i="13"/>
  <c r="C54" i="13"/>
  <c r="C53" i="13"/>
  <c r="C52" i="13"/>
  <c r="C51" i="13"/>
  <c r="L50" i="13"/>
  <c r="K50" i="13"/>
  <c r="J50" i="13"/>
  <c r="I50" i="13"/>
  <c r="H50" i="13"/>
  <c r="G50" i="13"/>
  <c r="F50" i="13"/>
  <c r="E50" i="13"/>
  <c r="D50" i="13"/>
  <c r="C48" i="13"/>
  <c r="C47" i="13"/>
  <c r="C46" i="13"/>
  <c r="C49" i="13"/>
  <c r="C45" i="13"/>
  <c r="C43" i="13"/>
  <c r="C42" i="13"/>
  <c r="C41" i="13"/>
  <c r="C40" i="13"/>
  <c r="L39" i="13"/>
  <c r="K39" i="13"/>
  <c r="J39" i="13"/>
  <c r="I39" i="13"/>
  <c r="H39" i="13"/>
  <c r="G39" i="13"/>
  <c r="F39" i="13"/>
  <c r="E39" i="13"/>
  <c r="D39" i="13"/>
  <c r="C38" i="13"/>
  <c r="C37" i="13"/>
  <c r="L36" i="13"/>
  <c r="K36" i="13"/>
  <c r="J36" i="13"/>
  <c r="I36" i="13"/>
  <c r="H36" i="13"/>
  <c r="G36" i="13"/>
  <c r="F36" i="13"/>
  <c r="E36" i="13"/>
  <c r="D36" i="13"/>
  <c r="C35" i="13"/>
  <c r="C34" i="13"/>
  <c r="C33" i="13"/>
  <c r="C32" i="13"/>
  <c r="C31" i="13"/>
  <c r="C30" i="13"/>
  <c r="C29" i="13"/>
  <c r="C28" i="13"/>
  <c r="L27" i="13"/>
  <c r="K27" i="13"/>
  <c r="J27" i="13"/>
  <c r="I27" i="13"/>
  <c r="H27" i="13"/>
  <c r="G27" i="13"/>
  <c r="F27" i="13"/>
  <c r="E27" i="13"/>
  <c r="D27" i="13"/>
  <c r="C25" i="13"/>
  <c r="C24" i="13"/>
  <c r="C23" i="13"/>
  <c r="C22" i="13"/>
  <c r="C21" i="13"/>
  <c r="C20" i="13"/>
  <c r="C19" i="13"/>
  <c r="C18" i="13"/>
  <c r="C17" i="13"/>
  <c r="C16" i="13"/>
  <c r="C15" i="13"/>
  <c r="C14" i="13"/>
  <c r="C13" i="13"/>
  <c r="C12" i="13"/>
  <c r="C11" i="13"/>
  <c r="C26" i="13"/>
  <c r="C10" i="13"/>
  <c r="C9" i="13"/>
  <c r="C8" i="13"/>
  <c r="C7" i="13"/>
  <c r="C6" i="13"/>
  <c r="C89" i="13" l="1"/>
  <c r="C77" i="13" s="1"/>
  <c r="J77" i="13"/>
  <c r="J169" i="13" s="1"/>
  <c r="C44" i="13"/>
  <c r="C27" i="13"/>
  <c r="C5" i="13"/>
  <c r="C159" i="13"/>
  <c r="C36" i="13"/>
  <c r="C162" i="13"/>
  <c r="C144" i="13"/>
  <c r="C50" i="13"/>
  <c r="C39" i="13"/>
  <c r="F169" i="13"/>
  <c r="D169" i="13"/>
  <c r="L169" i="13"/>
  <c r="H169" i="13"/>
  <c r="G169" i="13"/>
  <c r="K169" i="13"/>
  <c r="E169" i="13"/>
  <c r="I169" i="13"/>
  <c r="C122" i="13"/>
  <c r="C117" i="13"/>
  <c r="C116" i="13"/>
  <c r="C169" i="13" l="1"/>
  <c r="D572" i="12"/>
  <c r="E572" i="12" s="1"/>
  <c r="C572" i="12"/>
  <c r="E571" i="12"/>
  <c r="D569" i="12"/>
  <c r="E569" i="12" s="1"/>
  <c r="C569" i="12"/>
  <c r="E568" i="12"/>
  <c r="E567" i="12"/>
  <c r="E566" i="12"/>
  <c r="E565" i="12"/>
  <c r="E564" i="12"/>
  <c r="E563" i="12"/>
  <c r="E562" i="12"/>
  <c r="E561" i="12"/>
  <c r="E560" i="12"/>
  <c r="E559" i="12"/>
  <c r="E558" i="12"/>
  <c r="E557" i="12"/>
  <c r="E556" i="12"/>
  <c r="E555" i="12"/>
  <c r="E554" i="12"/>
  <c r="E553" i="12"/>
  <c r="E552" i="12"/>
  <c r="E551" i="12"/>
  <c r="E550" i="12"/>
  <c r="E549" i="12"/>
  <c r="E548" i="12"/>
  <c r="E547" i="12"/>
  <c r="E546" i="12"/>
  <c r="E545" i="12"/>
  <c r="E544" i="12"/>
  <c r="E543" i="12"/>
  <c r="E542" i="12"/>
  <c r="E541" i="12"/>
  <c r="E540" i="12"/>
  <c r="E539" i="12"/>
  <c r="E538" i="12"/>
  <c r="E537" i="12"/>
  <c r="E536" i="12"/>
  <c r="E535" i="12"/>
  <c r="E534" i="12"/>
  <c r="E533" i="12"/>
  <c r="E532" i="12"/>
  <c r="E531" i="12"/>
  <c r="E530" i="12"/>
  <c r="E529" i="12"/>
  <c r="E528" i="12"/>
  <c r="D526" i="12"/>
  <c r="E526" i="12" s="1"/>
  <c r="C526" i="12"/>
  <c r="E525" i="12"/>
  <c r="E524" i="12"/>
  <c r="E523" i="12"/>
  <c r="E522" i="12"/>
  <c r="E521" i="12"/>
  <c r="E520" i="12"/>
  <c r="E519" i="12"/>
  <c r="E518" i="12"/>
  <c r="E517" i="12"/>
  <c r="E516" i="12"/>
  <c r="E515" i="12"/>
  <c r="D513" i="12"/>
  <c r="E513" i="12" s="1"/>
  <c r="C513" i="12"/>
  <c r="E512" i="12"/>
  <c r="E511" i="12"/>
  <c r="E510" i="12"/>
  <c r="E509" i="12"/>
  <c r="E508" i="12"/>
  <c r="E507" i="12"/>
  <c r="E506" i="12"/>
  <c r="E505" i="12"/>
  <c r="E504" i="12"/>
  <c r="E503" i="12"/>
  <c r="E502" i="12"/>
  <c r="E501" i="12"/>
  <c r="E500" i="12"/>
  <c r="E499" i="12"/>
  <c r="E498" i="12"/>
  <c r="E497" i="12"/>
  <c r="E496" i="12"/>
  <c r="E495" i="12"/>
  <c r="E494" i="12"/>
  <c r="E493" i="12"/>
  <c r="E492" i="12"/>
  <c r="E491" i="12"/>
  <c r="E490" i="12"/>
  <c r="E489" i="12"/>
  <c r="E488" i="12"/>
  <c r="E487" i="12"/>
  <c r="E486" i="12"/>
  <c r="E485" i="12"/>
  <c r="E484" i="12"/>
  <c r="E483" i="12"/>
  <c r="E482" i="12"/>
  <c r="E481" i="12"/>
  <c r="E480" i="12"/>
  <c r="E479" i="12"/>
  <c r="E478" i="12"/>
  <c r="E477" i="12"/>
  <c r="E476" i="12"/>
  <c r="E475" i="12"/>
  <c r="E474" i="12"/>
  <c r="E473" i="12"/>
  <c r="E472" i="12"/>
  <c r="E471" i="12"/>
  <c r="E470" i="12"/>
  <c r="E469" i="12"/>
  <c r="E468" i="12"/>
  <c r="E467" i="12"/>
  <c r="E466" i="12"/>
  <c r="E465" i="12"/>
  <c r="E464" i="12"/>
  <c r="E463" i="12"/>
  <c r="E462" i="12"/>
  <c r="E461" i="12"/>
  <c r="E460" i="12"/>
  <c r="E459" i="12"/>
  <c r="E458" i="12"/>
  <c r="E457" i="12"/>
  <c r="E456" i="12"/>
  <c r="E455" i="12"/>
  <c r="E454" i="12"/>
  <c r="E453" i="12"/>
  <c r="E452" i="12"/>
  <c r="E451" i="12"/>
  <c r="E450" i="12"/>
  <c r="E449" i="12"/>
  <c r="E448" i="12"/>
  <c r="E447" i="12"/>
  <c r="E446" i="12"/>
  <c r="E445" i="12"/>
  <c r="E444" i="12"/>
  <c r="E443" i="12"/>
  <c r="E442" i="12"/>
  <c r="E441" i="12"/>
  <c r="E440" i="12"/>
  <c r="E439" i="12"/>
  <c r="E438" i="12"/>
  <c r="E437" i="12"/>
  <c r="E436" i="12"/>
  <c r="E435" i="12"/>
  <c r="E434" i="12"/>
  <c r="E433" i="12"/>
  <c r="E432" i="12"/>
  <c r="D430" i="12"/>
  <c r="C430" i="12"/>
  <c r="E429" i="12"/>
  <c r="E428" i="12"/>
  <c r="E427" i="12"/>
  <c r="E426" i="12"/>
  <c r="E425" i="12"/>
  <c r="E424" i="12"/>
  <c r="E423" i="12"/>
  <c r="E422" i="12"/>
  <c r="E421" i="12"/>
  <c r="E420" i="12"/>
  <c r="E419" i="12"/>
  <c r="E418" i="12"/>
  <c r="E417" i="12"/>
  <c r="E416" i="12"/>
  <c r="D414" i="12"/>
  <c r="C414" i="12"/>
  <c r="E413" i="12"/>
  <c r="E412" i="12"/>
  <c r="E411" i="12"/>
  <c r="E410" i="12"/>
  <c r="E409" i="12"/>
  <c r="E408" i="12"/>
  <c r="E407" i="12"/>
  <c r="E406" i="12"/>
  <c r="E405" i="12"/>
  <c r="E404" i="12"/>
  <c r="E403" i="12"/>
  <c r="E402" i="12"/>
  <c r="E401" i="12"/>
  <c r="E400" i="12"/>
  <c r="E399" i="12"/>
  <c r="E398" i="12"/>
  <c r="E397" i="12"/>
  <c r="E396" i="12"/>
  <c r="E395" i="12"/>
  <c r="E394" i="12"/>
  <c r="E393" i="12"/>
  <c r="E392" i="12"/>
  <c r="E391" i="12"/>
  <c r="E390" i="12"/>
  <c r="E389" i="12"/>
  <c r="E388" i="12"/>
  <c r="E387" i="12"/>
  <c r="E386" i="12"/>
  <c r="E385" i="12"/>
  <c r="E384" i="12"/>
  <c r="E383" i="12"/>
  <c r="E382" i="12"/>
  <c r="E381" i="12"/>
  <c r="E380" i="12"/>
  <c r="E379" i="12"/>
  <c r="E378" i="12"/>
  <c r="E377" i="12"/>
  <c r="E376" i="12"/>
  <c r="E375" i="12"/>
  <c r="D373" i="12"/>
  <c r="E373" i="12" s="1"/>
  <c r="C373" i="12"/>
  <c r="E372" i="12"/>
  <c r="E371" i="12"/>
  <c r="E370" i="12"/>
  <c r="E369" i="12"/>
  <c r="E368" i="12"/>
  <c r="E367" i="12"/>
  <c r="E366" i="12"/>
  <c r="E365" i="12"/>
  <c r="E364" i="12"/>
  <c r="E363" i="12"/>
  <c r="E362" i="12"/>
  <c r="E361" i="12"/>
  <c r="E360" i="12"/>
  <c r="E359" i="12"/>
  <c r="E358" i="12"/>
  <c r="E357" i="12"/>
  <c r="E356" i="12"/>
  <c r="E355" i="12"/>
  <c r="E354" i="12"/>
  <c r="E353" i="12"/>
  <c r="E352" i="12"/>
  <c r="E351" i="12"/>
  <c r="E350" i="12"/>
  <c r="E349" i="12"/>
  <c r="E348" i="12"/>
  <c r="E347" i="12"/>
  <c r="E346" i="12"/>
  <c r="E345" i="12"/>
  <c r="E344" i="12"/>
  <c r="E343" i="12"/>
  <c r="E342" i="12"/>
  <c r="E341" i="12"/>
  <c r="E340" i="12"/>
  <c r="D338" i="12"/>
  <c r="C338" i="12"/>
  <c r="E337" i="12"/>
  <c r="E336" i="12"/>
  <c r="E335" i="12"/>
  <c r="E334" i="12"/>
  <c r="E333" i="12"/>
  <c r="E332" i="12"/>
  <c r="E331" i="12"/>
  <c r="E330" i="12"/>
  <c r="E329" i="12"/>
  <c r="E328" i="12"/>
  <c r="E327" i="12"/>
  <c r="E326" i="12"/>
  <c r="E325" i="12"/>
  <c r="E324" i="12"/>
  <c r="E323" i="12"/>
  <c r="E322" i="12"/>
  <c r="E321" i="12"/>
  <c r="E320" i="12"/>
  <c r="E319" i="12"/>
  <c r="E318" i="12"/>
  <c r="E317" i="12"/>
  <c r="E316" i="12"/>
  <c r="D314" i="12"/>
  <c r="C314" i="12"/>
  <c r="E313" i="12"/>
  <c r="E312" i="12"/>
  <c r="E311" i="12"/>
  <c r="E310" i="12"/>
  <c r="E309" i="12"/>
  <c r="E308" i="12"/>
  <c r="E307" i="12"/>
  <c r="E306" i="12"/>
  <c r="E305" i="12"/>
  <c r="E304" i="12"/>
  <c r="E303" i="12"/>
  <c r="E302" i="12"/>
  <c r="E301" i="12"/>
  <c r="E300" i="12"/>
  <c r="E299" i="12"/>
  <c r="E298" i="12"/>
  <c r="E297" i="12"/>
  <c r="E296" i="12"/>
  <c r="E295" i="12"/>
  <c r="E294" i="12"/>
  <c r="E293" i="12"/>
  <c r="E292" i="12"/>
  <c r="E291" i="12"/>
  <c r="E290" i="12"/>
  <c r="E289" i="12"/>
  <c r="E288" i="12"/>
  <c r="E287" i="12"/>
  <c r="E286" i="12"/>
  <c r="E285" i="12"/>
  <c r="E284" i="12"/>
  <c r="E283" i="12"/>
  <c r="E282" i="12"/>
  <c r="E281" i="12"/>
  <c r="E280" i="12"/>
  <c r="E279" i="12"/>
  <c r="E278" i="12"/>
  <c r="E277" i="12"/>
  <c r="E276" i="12"/>
  <c r="E275" i="12"/>
  <c r="E274" i="12"/>
  <c r="E273" i="12"/>
  <c r="E272" i="12"/>
  <c r="E271" i="12"/>
  <c r="E270" i="12"/>
  <c r="E269" i="12"/>
  <c r="E268" i="12"/>
  <c r="E267" i="12"/>
  <c r="E266" i="12"/>
  <c r="E265" i="12"/>
  <c r="E264" i="12"/>
  <c r="E263" i="12"/>
  <c r="E262" i="12"/>
  <c r="E261" i="12"/>
  <c r="E260" i="12"/>
  <c r="E259" i="12"/>
  <c r="E258" i="12"/>
  <c r="E257" i="12"/>
  <c r="E256" i="12"/>
  <c r="E255" i="12"/>
  <c r="E254" i="12"/>
  <c r="E253" i="12"/>
  <c r="E252" i="12"/>
  <c r="E251" i="12"/>
  <c r="E250" i="12"/>
  <c r="D248" i="12"/>
  <c r="E248" i="12" s="1"/>
  <c r="C248" i="12"/>
  <c r="E247" i="12"/>
  <c r="E246" i="12"/>
  <c r="E245" i="12"/>
  <c r="E244" i="12"/>
  <c r="E243" i="12"/>
  <c r="E242" i="12"/>
  <c r="E241" i="12"/>
  <c r="E240" i="12"/>
  <c r="E239" i="12"/>
  <c r="E238" i="12"/>
  <c r="E237" i="12"/>
  <c r="E236" i="12"/>
  <c r="E235" i="12"/>
  <c r="E234" i="12"/>
  <c r="E233" i="12"/>
  <c r="E232" i="12"/>
  <c r="E231" i="12"/>
  <c r="E230" i="12"/>
  <c r="E229" i="12"/>
  <c r="E228" i="12"/>
  <c r="E227" i="12"/>
  <c r="E226" i="12"/>
  <c r="E225" i="12"/>
  <c r="E224" i="12"/>
  <c r="E223" i="12"/>
  <c r="E222" i="12"/>
  <c r="E221" i="12"/>
  <c r="E220" i="12"/>
  <c r="E219" i="12"/>
  <c r="E218" i="12"/>
  <c r="E217" i="12"/>
  <c r="E216" i="12"/>
  <c r="E215" i="12"/>
  <c r="E214" i="12"/>
  <c r="E213" i="12"/>
  <c r="E212" i="12"/>
  <c r="E211" i="12"/>
  <c r="E210" i="12"/>
  <c r="E209" i="12"/>
  <c r="E208" i="12"/>
  <c r="E207" i="12"/>
  <c r="E206" i="12"/>
  <c r="E205" i="12"/>
  <c r="E204" i="12"/>
  <c r="E203" i="12"/>
  <c r="E202" i="12"/>
  <c r="E201" i="12"/>
  <c r="E200" i="12"/>
  <c r="E199" i="12"/>
  <c r="E198" i="12"/>
  <c r="E197" i="12"/>
  <c r="E196" i="12"/>
  <c r="E195" i="12"/>
  <c r="E194" i="12"/>
  <c r="E193" i="12"/>
  <c r="E192" i="12"/>
  <c r="E191" i="12"/>
  <c r="E190" i="12"/>
  <c r="E189" i="12"/>
  <c r="E188" i="12"/>
  <c r="E187" i="12"/>
  <c r="E186" i="12"/>
  <c r="E185" i="12"/>
  <c r="E184" i="12"/>
  <c r="E183" i="12"/>
  <c r="E182" i="12"/>
  <c r="E181" i="12"/>
  <c r="E180" i="12"/>
  <c r="E179" i="12"/>
  <c r="E178" i="12"/>
  <c r="E177" i="12"/>
  <c r="E176" i="12"/>
  <c r="E175" i="12"/>
  <c r="E174" i="12"/>
  <c r="E173" i="12"/>
  <c r="E172" i="12"/>
  <c r="E171" i="12"/>
  <c r="E170" i="12"/>
  <c r="E169" i="12"/>
  <c r="E168" i="12"/>
  <c r="E167" i="12"/>
  <c r="E166" i="12"/>
  <c r="E165" i="12"/>
  <c r="E164" i="12"/>
  <c r="E163" i="12"/>
  <c r="E162" i="12"/>
  <c r="E161" i="12"/>
  <c r="E160" i="12"/>
  <c r="E159" i="12"/>
  <c r="E158" i="12"/>
  <c r="E157" i="12"/>
  <c r="E156" i="12"/>
  <c r="E155" i="12"/>
  <c r="E154" i="12"/>
  <c r="E153" i="12"/>
  <c r="E152" i="12"/>
  <c r="E151" i="12"/>
  <c r="E150" i="12"/>
  <c r="E149" i="12"/>
  <c r="E148" i="12"/>
  <c r="E147" i="12"/>
  <c r="E146" i="12"/>
  <c r="E145" i="12"/>
  <c r="E144" i="12"/>
  <c r="E143" i="12"/>
  <c r="E142" i="12"/>
  <c r="E141" i="12"/>
  <c r="E140" i="12"/>
  <c r="E139" i="12"/>
  <c r="E138" i="12"/>
  <c r="E137" i="12"/>
  <c r="E136" i="12"/>
  <c r="E135" i="12"/>
  <c r="E134" i="12"/>
  <c r="E133" i="12"/>
  <c r="E132"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D18" i="12"/>
  <c r="D573" i="12" s="1"/>
  <c r="C18" i="12"/>
  <c r="E17" i="12"/>
  <c r="E16" i="12"/>
  <c r="E15" i="12"/>
  <c r="E14" i="12"/>
  <c r="E13" i="12"/>
  <c r="E12" i="12"/>
  <c r="E11" i="12"/>
  <c r="E10" i="12"/>
  <c r="E9" i="12"/>
  <c r="E18" i="12" l="1"/>
  <c r="E314" i="12"/>
  <c r="E338" i="12"/>
  <c r="E414" i="12"/>
  <c r="E430" i="12"/>
  <c r="C573" i="12"/>
  <c r="E573" i="12" s="1"/>
  <c r="F5" i="11" l="1"/>
  <c r="F6" i="11"/>
  <c r="F7" i="11"/>
  <c r="C8" i="11"/>
  <c r="D8" i="11"/>
  <c r="E8" i="11"/>
  <c r="F8" i="11"/>
  <c r="F9" i="11"/>
  <c r="F10" i="11"/>
  <c r="F11" i="11"/>
  <c r="F12" i="11"/>
  <c r="F13" i="11"/>
  <c r="F14" i="11"/>
  <c r="F15" i="11"/>
  <c r="F16" i="11"/>
  <c r="C17" i="11"/>
  <c r="D17" i="11"/>
  <c r="E17" i="11"/>
  <c r="F17" i="11"/>
  <c r="F18" i="11"/>
  <c r="F19" i="11"/>
  <c r="F20" i="11"/>
  <c r="D21" i="11"/>
  <c r="E21" i="11"/>
  <c r="E23" i="11" s="1"/>
  <c r="E46" i="11" s="1"/>
  <c r="F22" i="11"/>
  <c r="C23" i="11"/>
  <c r="D24" i="11"/>
  <c r="F24" i="11" s="1"/>
  <c r="E24" i="11"/>
  <c r="F25" i="11"/>
  <c r="F26" i="11"/>
  <c r="F27" i="11"/>
  <c r="F28" i="11"/>
  <c r="F29" i="11"/>
  <c r="F30" i="11"/>
  <c r="F31" i="11"/>
  <c r="D32" i="11"/>
  <c r="E32" i="11"/>
  <c r="E33" i="11" s="1"/>
  <c r="C33" i="11"/>
  <c r="F34" i="11"/>
  <c r="F35" i="11"/>
  <c r="F36" i="11"/>
  <c r="C37" i="11"/>
  <c r="D37" i="11"/>
  <c r="E37" i="11"/>
  <c r="F37" i="11"/>
  <c r="F38" i="11"/>
  <c r="C39" i="11"/>
  <c r="D39" i="11"/>
  <c r="E39" i="11"/>
  <c r="F39" i="11" s="1"/>
  <c r="F40" i="11"/>
  <c r="F41" i="11"/>
  <c r="F42" i="11"/>
  <c r="F43" i="11"/>
  <c r="F44" i="11"/>
  <c r="C45" i="11"/>
  <c r="D45" i="11"/>
  <c r="E45" i="11"/>
  <c r="F32" i="11" l="1"/>
  <c r="F21" i="11"/>
  <c r="C46" i="11"/>
  <c r="F45" i="11"/>
  <c r="D33" i="11"/>
  <c r="F33" i="11" s="1"/>
  <c r="D23" i="11"/>
  <c r="F8" i="10"/>
  <c r="J8" i="10"/>
  <c r="F9" i="10"/>
  <c r="C9" i="10" s="1"/>
  <c r="J9" i="10"/>
  <c r="F10" i="10"/>
  <c r="C10" i="10" s="1"/>
  <c r="J10" i="10"/>
  <c r="F11" i="10"/>
  <c r="J11" i="10"/>
  <c r="C11" i="10" s="1"/>
  <c r="F12" i="10"/>
  <c r="C12" i="10" s="1"/>
  <c r="J12" i="10"/>
  <c r="D13" i="10"/>
  <c r="E13" i="10"/>
  <c r="G13" i="10"/>
  <c r="H13" i="10"/>
  <c r="I13" i="10"/>
  <c r="K13" i="10"/>
  <c r="L13" i="10"/>
  <c r="L163" i="10" s="1"/>
  <c r="M13" i="10"/>
  <c r="N13" i="10"/>
  <c r="O13" i="10"/>
  <c r="P13" i="10"/>
  <c r="F15" i="10"/>
  <c r="J15" i="10"/>
  <c r="P15" i="10"/>
  <c r="F16" i="10"/>
  <c r="J16" i="10"/>
  <c r="F17" i="10"/>
  <c r="J17" i="10"/>
  <c r="D18" i="10"/>
  <c r="D163" i="10" s="1"/>
  <c r="E18" i="10"/>
  <c r="G18" i="10"/>
  <c r="H18" i="10"/>
  <c r="I18" i="10"/>
  <c r="K18" i="10"/>
  <c r="L18" i="10"/>
  <c r="M18" i="10"/>
  <c r="N18" i="10"/>
  <c r="O18" i="10"/>
  <c r="P18" i="10"/>
  <c r="F20" i="10"/>
  <c r="J20" i="10"/>
  <c r="C20" i="10" s="1"/>
  <c r="C21" i="10" s="1"/>
  <c r="D21" i="10"/>
  <c r="E21" i="10"/>
  <c r="F21" i="10"/>
  <c r="G21" i="10"/>
  <c r="H21" i="10"/>
  <c r="I21" i="10"/>
  <c r="K21" i="10"/>
  <c r="L21" i="10"/>
  <c r="M21" i="10"/>
  <c r="N21" i="10"/>
  <c r="O21" i="10"/>
  <c r="P21" i="10"/>
  <c r="F23" i="10"/>
  <c r="C23" i="10" s="1"/>
  <c r="J23" i="10"/>
  <c r="F24" i="10"/>
  <c r="J24" i="10"/>
  <c r="F25" i="10"/>
  <c r="C25" i="10" s="1"/>
  <c r="J25" i="10"/>
  <c r="C26" i="10"/>
  <c r="F26" i="10"/>
  <c r="J26" i="10"/>
  <c r="H27" i="10"/>
  <c r="H39" i="10" s="1"/>
  <c r="H163" i="10" s="1"/>
  <c r="J27" i="10"/>
  <c r="F28" i="10"/>
  <c r="C28" i="10" s="1"/>
  <c r="J28" i="10"/>
  <c r="F29" i="10"/>
  <c r="C29" i="10" s="1"/>
  <c r="J29" i="10"/>
  <c r="F30" i="10"/>
  <c r="C30" i="10" s="1"/>
  <c r="J30" i="10"/>
  <c r="C31" i="10"/>
  <c r="F31" i="10"/>
  <c r="J31" i="10"/>
  <c r="F32" i="10"/>
  <c r="J32" i="10"/>
  <c r="F33" i="10"/>
  <c r="J33" i="10"/>
  <c r="F34" i="10"/>
  <c r="J34" i="10"/>
  <c r="F35" i="10"/>
  <c r="C35" i="10" s="1"/>
  <c r="J35" i="10"/>
  <c r="F36" i="10"/>
  <c r="C36" i="10" s="1"/>
  <c r="J36" i="10"/>
  <c r="F37" i="10"/>
  <c r="C37" i="10" s="1"/>
  <c r="J37" i="10"/>
  <c r="F38" i="10"/>
  <c r="C38" i="10" s="1"/>
  <c r="J38" i="10"/>
  <c r="D39" i="10"/>
  <c r="E39" i="10"/>
  <c r="G39" i="10"/>
  <c r="I39" i="10"/>
  <c r="K39" i="10"/>
  <c r="L39" i="10"/>
  <c r="M39" i="10"/>
  <c r="N39" i="10"/>
  <c r="O39" i="10"/>
  <c r="P39" i="10"/>
  <c r="J41" i="10"/>
  <c r="C41" i="10" s="1"/>
  <c r="C42" i="10" s="1"/>
  <c r="D42" i="10"/>
  <c r="E42" i="10"/>
  <c r="F42" i="10"/>
  <c r="G42" i="10"/>
  <c r="H42" i="10"/>
  <c r="I42" i="10"/>
  <c r="J42" i="10"/>
  <c r="K42" i="10"/>
  <c r="L42" i="10"/>
  <c r="M42" i="10"/>
  <c r="N42" i="10"/>
  <c r="O42" i="10"/>
  <c r="P42" i="10"/>
  <c r="F44" i="10"/>
  <c r="J44" i="10"/>
  <c r="J46" i="10" s="1"/>
  <c r="F45" i="10"/>
  <c r="J45" i="10"/>
  <c r="D46" i="10"/>
  <c r="E46" i="10"/>
  <c r="F46" i="10"/>
  <c r="G46" i="10"/>
  <c r="H46" i="10"/>
  <c r="I46" i="10"/>
  <c r="K46" i="10"/>
  <c r="L46" i="10"/>
  <c r="M46" i="10"/>
  <c r="N46" i="10"/>
  <c r="O46" i="10"/>
  <c r="P46" i="10"/>
  <c r="F48" i="10"/>
  <c r="J48" i="10"/>
  <c r="F49" i="10"/>
  <c r="J49" i="10"/>
  <c r="F50" i="10"/>
  <c r="C50" i="10" s="1"/>
  <c r="J50" i="10"/>
  <c r="F51" i="10"/>
  <c r="J51" i="10"/>
  <c r="F52" i="10"/>
  <c r="J52" i="10"/>
  <c r="F53" i="10"/>
  <c r="C53" i="10" s="1"/>
  <c r="J53" i="10"/>
  <c r="C54" i="10"/>
  <c r="F54" i="10"/>
  <c r="J54" i="10"/>
  <c r="F55" i="10"/>
  <c r="J55" i="10"/>
  <c r="F56" i="10"/>
  <c r="J56" i="10"/>
  <c r="F57" i="10"/>
  <c r="J57" i="10"/>
  <c r="F58" i="10"/>
  <c r="C58" i="10" s="1"/>
  <c r="J58" i="10"/>
  <c r="F59" i="10"/>
  <c r="C59" i="10" s="1"/>
  <c r="J59" i="10"/>
  <c r="F60" i="10"/>
  <c r="J60" i="10"/>
  <c r="F61" i="10"/>
  <c r="C61" i="10" s="1"/>
  <c r="J61" i="10"/>
  <c r="F62" i="10"/>
  <c r="J62" i="10"/>
  <c r="C62" i="10" s="1"/>
  <c r="F63" i="10"/>
  <c r="J63" i="10"/>
  <c r="F64" i="10"/>
  <c r="J64" i="10"/>
  <c r="C64" i="10" s="1"/>
  <c r="F65" i="10"/>
  <c r="J65" i="10"/>
  <c r="F66" i="10"/>
  <c r="C66" i="10" s="1"/>
  <c r="J66" i="10"/>
  <c r="F67" i="10"/>
  <c r="C67" i="10" s="1"/>
  <c r="J67" i="10"/>
  <c r="D68" i="10"/>
  <c r="E68" i="10"/>
  <c r="G68" i="10"/>
  <c r="H68" i="10"/>
  <c r="I68" i="10"/>
  <c r="I163" i="10" s="1"/>
  <c r="K68" i="10"/>
  <c r="L68" i="10"/>
  <c r="M68" i="10"/>
  <c r="N68" i="10"/>
  <c r="O68" i="10"/>
  <c r="P68" i="10"/>
  <c r="F70" i="10"/>
  <c r="C70" i="10" s="1"/>
  <c r="J70" i="10"/>
  <c r="F71" i="10"/>
  <c r="C71" i="10" s="1"/>
  <c r="J71" i="10"/>
  <c r="F72" i="10"/>
  <c r="C72" i="10" s="1"/>
  <c r="J72" i="10"/>
  <c r="G73" i="10"/>
  <c r="F73" i="10" s="1"/>
  <c r="J73" i="10"/>
  <c r="F74" i="10"/>
  <c r="C74" i="10" s="1"/>
  <c r="J74" i="10"/>
  <c r="F75" i="10"/>
  <c r="J75" i="10"/>
  <c r="C75" i="10" s="1"/>
  <c r="F76" i="10"/>
  <c r="J76" i="10"/>
  <c r="F77" i="10"/>
  <c r="J77" i="10"/>
  <c r="F78" i="10"/>
  <c r="J78" i="10"/>
  <c r="F79" i="10"/>
  <c r="C79" i="10" s="1"/>
  <c r="J79" i="10"/>
  <c r="F80" i="10"/>
  <c r="C80" i="10" s="1"/>
  <c r="J80" i="10"/>
  <c r="F81" i="10"/>
  <c r="C81" i="10" s="1"/>
  <c r="J81" i="10"/>
  <c r="F82" i="10"/>
  <c r="C82" i="10" s="1"/>
  <c r="J82" i="10"/>
  <c r="C83" i="10"/>
  <c r="F83" i="10"/>
  <c r="J83" i="10"/>
  <c r="F84" i="10"/>
  <c r="J84" i="10"/>
  <c r="F85" i="10"/>
  <c r="J85" i="10"/>
  <c r="F86" i="10"/>
  <c r="J86" i="10"/>
  <c r="F87" i="10"/>
  <c r="C87" i="10" s="1"/>
  <c r="J87" i="10"/>
  <c r="F88" i="10"/>
  <c r="C88" i="10" s="1"/>
  <c r="J88" i="10"/>
  <c r="F89" i="10"/>
  <c r="C89" i="10" s="1"/>
  <c r="J89" i="10"/>
  <c r="F90" i="10"/>
  <c r="C90" i="10" s="1"/>
  <c r="J90" i="10"/>
  <c r="F91" i="10"/>
  <c r="J91" i="10"/>
  <c r="C91" i="10" s="1"/>
  <c r="F92" i="10"/>
  <c r="J92" i="10"/>
  <c r="F93" i="10"/>
  <c r="J93" i="10"/>
  <c r="F94" i="10"/>
  <c r="J94" i="10"/>
  <c r="F95" i="10"/>
  <c r="C95" i="10" s="1"/>
  <c r="J95" i="10"/>
  <c r="F96" i="10"/>
  <c r="C96" i="10" s="1"/>
  <c r="J96" i="10"/>
  <c r="F97" i="10"/>
  <c r="C97" i="10" s="1"/>
  <c r="J97" i="10"/>
  <c r="F98" i="10"/>
  <c r="C98" i="10" s="1"/>
  <c r="J98" i="10"/>
  <c r="C99" i="10"/>
  <c r="F99" i="10"/>
  <c r="J99" i="10"/>
  <c r="F100" i="10"/>
  <c r="J100" i="10"/>
  <c r="F101" i="10"/>
  <c r="J101" i="10"/>
  <c r="F102" i="10"/>
  <c r="J102" i="10"/>
  <c r="F103" i="10"/>
  <c r="C103" i="10" s="1"/>
  <c r="J103" i="10"/>
  <c r="F104" i="10"/>
  <c r="C104" i="10" s="1"/>
  <c r="J104" i="10"/>
  <c r="F105" i="10"/>
  <c r="C105" i="10" s="1"/>
  <c r="J105" i="10"/>
  <c r="F106" i="10"/>
  <c r="C106" i="10" s="1"/>
  <c r="J106" i="10"/>
  <c r="F107" i="10"/>
  <c r="J107" i="10"/>
  <c r="C107" i="10" s="1"/>
  <c r="F108" i="10"/>
  <c r="J108" i="10"/>
  <c r="F109" i="10"/>
  <c r="J109" i="10"/>
  <c r="F110" i="10"/>
  <c r="J110" i="10"/>
  <c r="F111" i="10"/>
  <c r="C111" i="10" s="1"/>
  <c r="J111" i="10"/>
  <c r="F112" i="10"/>
  <c r="C112" i="10" s="1"/>
  <c r="J112" i="10"/>
  <c r="F113" i="10"/>
  <c r="C113" i="10" s="1"/>
  <c r="J113" i="10"/>
  <c r="D114" i="10"/>
  <c r="E114" i="10"/>
  <c r="G114" i="10"/>
  <c r="H114" i="10"/>
  <c r="I114" i="10"/>
  <c r="K114" i="10"/>
  <c r="L114" i="10"/>
  <c r="M114" i="10"/>
  <c r="N114" i="10"/>
  <c r="O114" i="10"/>
  <c r="P114" i="10"/>
  <c r="F116" i="10"/>
  <c r="J116" i="10"/>
  <c r="F117" i="10"/>
  <c r="C117" i="10" s="1"/>
  <c r="J117" i="10"/>
  <c r="F118" i="10"/>
  <c r="J118" i="10"/>
  <c r="P118" i="10"/>
  <c r="P150" i="10" s="1"/>
  <c r="F119" i="10"/>
  <c r="J119" i="10"/>
  <c r="F120" i="10"/>
  <c r="C120" i="10" s="1"/>
  <c r="J120" i="10"/>
  <c r="F121" i="10"/>
  <c r="C121" i="10" s="1"/>
  <c r="J121" i="10"/>
  <c r="F122" i="10"/>
  <c r="C122" i="10" s="1"/>
  <c r="J122" i="10"/>
  <c r="F123" i="10"/>
  <c r="C123" i="10" s="1"/>
  <c r="J123" i="10"/>
  <c r="C124" i="10"/>
  <c r="F124" i="10"/>
  <c r="J124" i="10"/>
  <c r="F125" i="10"/>
  <c r="J125" i="10"/>
  <c r="F126" i="10"/>
  <c r="J126" i="10"/>
  <c r="F127" i="10"/>
  <c r="J127" i="10"/>
  <c r="F128" i="10"/>
  <c r="C128" i="10" s="1"/>
  <c r="J128" i="10"/>
  <c r="F129" i="10"/>
  <c r="C129" i="10" s="1"/>
  <c r="J129" i="10"/>
  <c r="F130" i="10"/>
  <c r="J130" i="10"/>
  <c r="F131" i="10"/>
  <c r="C131" i="10" s="1"/>
  <c r="J131" i="10"/>
  <c r="F132" i="10"/>
  <c r="J132" i="10"/>
  <c r="C132" i="10" s="1"/>
  <c r="F133" i="10"/>
  <c r="J133" i="10"/>
  <c r="F134" i="10"/>
  <c r="J134" i="10"/>
  <c r="C134" i="10" s="1"/>
  <c r="F135" i="10"/>
  <c r="J135" i="10"/>
  <c r="F136" i="10"/>
  <c r="C136" i="10" s="1"/>
  <c r="J136" i="10"/>
  <c r="F137" i="10"/>
  <c r="C137" i="10" s="1"/>
  <c r="J137" i="10"/>
  <c r="F138" i="10"/>
  <c r="J138" i="10"/>
  <c r="F139" i="10"/>
  <c r="C139" i="10" s="1"/>
  <c r="J139" i="10"/>
  <c r="C140" i="10"/>
  <c r="F140" i="10"/>
  <c r="J140" i="10"/>
  <c r="F141" i="10"/>
  <c r="J141" i="10"/>
  <c r="F142" i="10"/>
  <c r="J142" i="10"/>
  <c r="C142" i="10" s="1"/>
  <c r="F143" i="10"/>
  <c r="J143" i="10"/>
  <c r="F144" i="10"/>
  <c r="C144" i="10" s="1"/>
  <c r="J144" i="10"/>
  <c r="F145" i="10"/>
  <c r="C145" i="10" s="1"/>
  <c r="J145" i="10"/>
  <c r="F146" i="10"/>
  <c r="J146" i="10"/>
  <c r="F147" i="10"/>
  <c r="C147" i="10" s="1"/>
  <c r="J147" i="10"/>
  <c r="F148" i="10"/>
  <c r="J148" i="10"/>
  <c r="C148" i="10" s="1"/>
  <c r="F149" i="10"/>
  <c r="J149" i="10"/>
  <c r="D150" i="10"/>
  <c r="E150" i="10"/>
  <c r="G150" i="10"/>
  <c r="H150" i="10"/>
  <c r="I150" i="10"/>
  <c r="K150" i="10"/>
  <c r="L150" i="10"/>
  <c r="M150" i="10"/>
  <c r="N150" i="10"/>
  <c r="O150" i="10"/>
  <c r="G152" i="10"/>
  <c r="F152" i="10" s="1"/>
  <c r="J152" i="10"/>
  <c r="G153" i="10"/>
  <c r="F153" i="10" s="1"/>
  <c r="J153" i="10"/>
  <c r="J154" i="10" s="1"/>
  <c r="D154" i="10"/>
  <c r="E154" i="10"/>
  <c r="G154" i="10"/>
  <c r="H154" i="10"/>
  <c r="I154" i="10"/>
  <c r="K154" i="10"/>
  <c r="L154" i="10"/>
  <c r="M154" i="10"/>
  <c r="N154" i="10"/>
  <c r="O154" i="10"/>
  <c r="P154" i="10"/>
  <c r="F156" i="10"/>
  <c r="J156" i="10"/>
  <c r="F157" i="10"/>
  <c r="J157" i="10"/>
  <c r="J161" i="10" s="1"/>
  <c r="F158" i="10"/>
  <c r="C158" i="10" s="1"/>
  <c r="J158" i="10"/>
  <c r="F159" i="10"/>
  <c r="C159" i="10" s="1"/>
  <c r="J159" i="10"/>
  <c r="F160" i="10"/>
  <c r="C160" i="10" s="1"/>
  <c r="J160" i="10"/>
  <c r="D161" i="10"/>
  <c r="E161" i="10"/>
  <c r="G161" i="10"/>
  <c r="H161" i="10"/>
  <c r="I161" i="10"/>
  <c r="K161" i="10"/>
  <c r="L161" i="10"/>
  <c r="M161" i="10"/>
  <c r="N161" i="10"/>
  <c r="O161" i="10"/>
  <c r="P161" i="10"/>
  <c r="F165" i="10"/>
  <c r="C165" i="10" s="1"/>
  <c r="C166" i="10" s="1"/>
  <c r="J165" i="10"/>
  <c r="J166" i="10" s="1"/>
  <c r="D166" i="10"/>
  <c r="E166" i="10"/>
  <c r="G166" i="10"/>
  <c r="H166" i="10"/>
  <c r="I166" i="10"/>
  <c r="K166" i="10"/>
  <c r="L166" i="10"/>
  <c r="M166" i="10"/>
  <c r="N166" i="10"/>
  <c r="O166" i="10"/>
  <c r="P166" i="10"/>
  <c r="G163" i="10" l="1"/>
  <c r="C157" i="10"/>
  <c r="C153" i="10"/>
  <c r="C146" i="10"/>
  <c r="C143" i="10"/>
  <c r="C141" i="10"/>
  <c r="C130" i="10"/>
  <c r="C127" i="10"/>
  <c r="C125" i="10"/>
  <c r="J114" i="10"/>
  <c r="C109" i="10"/>
  <c r="C102" i="10"/>
  <c r="C100" i="10"/>
  <c r="C93" i="10"/>
  <c r="C86" i="10"/>
  <c r="C84" i="10"/>
  <c r="C77" i="10"/>
  <c r="M163" i="10"/>
  <c r="C60" i="10"/>
  <c r="C57" i="10"/>
  <c r="C55" i="10"/>
  <c r="C48" i="10"/>
  <c r="C44" i="10"/>
  <c r="C34" i="10"/>
  <c r="C32" i="10"/>
  <c r="F27" i="10"/>
  <c r="C27" i="10" s="1"/>
  <c r="N163" i="10"/>
  <c r="J21" i="10"/>
  <c r="O163" i="10"/>
  <c r="K163" i="10"/>
  <c r="C8" i="10"/>
  <c r="F166" i="10"/>
  <c r="J68" i="10"/>
  <c r="F161" i="10"/>
  <c r="C118" i="10"/>
  <c r="F150" i="10"/>
  <c r="F68" i="10"/>
  <c r="C17" i="10"/>
  <c r="C15" i="10"/>
  <c r="P163" i="10"/>
  <c r="C156" i="10"/>
  <c r="C149" i="10"/>
  <c r="C138" i="10"/>
  <c r="C135" i="10"/>
  <c r="C133" i="10"/>
  <c r="C126" i="10"/>
  <c r="C119" i="10"/>
  <c r="J150" i="10"/>
  <c r="C110" i="10"/>
  <c r="C108" i="10"/>
  <c r="C101" i="10"/>
  <c r="C94" i="10"/>
  <c r="C92" i="10"/>
  <c r="C85" i="10"/>
  <c r="C78" i="10"/>
  <c r="C76" i="10"/>
  <c r="E163" i="10"/>
  <c r="C65" i="10"/>
  <c r="C63" i="10"/>
  <c r="C56" i="10"/>
  <c r="C52" i="10"/>
  <c r="C49" i="10"/>
  <c r="C45" i="10"/>
  <c r="C33" i="10"/>
  <c r="C24" i="10"/>
  <c r="C16" i="10"/>
  <c r="F23" i="11"/>
  <c r="D46" i="11"/>
  <c r="F46" i="11" s="1"/>
  <c r="C73" i="10"/>
  <c r="F114" i="10"/>
  <c r="C161" i="10"/>
  <c r="C152" i="10"/>
  <c r="C154" i="10" s="1"/>
  <c r="F154" i="10"/>
  <c r="C39" i="10"/>
  <c r="C114" i="10"/>
  <c r="C13" i="10"/>
  <c r="C116" i="10"/>
  <c r="C150" i="10" s="1"/>
  <c r="C51" i="10"/>
  <c r="C68" i="10" s="1"/>
  <c r="J39" i="10"/>
  <c r="F39" i="10"/>
  <c r="J18" i="10"/>
  <c r="F18" i="10"/>
  <c r="J13" i="10"/>
  <c r="F13" i="10"/>
  <c r="B72" i="6"/>
  <c r="L56" i="6"/>
  <c r="M46" i="6" s="1"/>
  <c r="J36" i="2"/>
  <c r="H16" i="6" s="1"/>
  <c r="D7" i="6"/>
  <c r="I27" i="1"/>
  <c r="G7" i="6" s="1"/>
  <c r="H27" i="1"/>
  <c r="F7" i="6" s="1"/>
  <c r="G27" i="1"/>
  <c r="E6" i="6" s="1"/>
  <c r="F27" i="1"/>
  <c r="D6" i="6" s="1"/>
  <c r="E27" i="1"/>
  <c r="C7" i="6" s="1"/>
  <c r="D27" i="1"/>
  <c r="B6" i="6" s="1"/>
  <c r="B7" i="6" l="1"/>
  <c r="E7" i="6"/>
  <c r="G6" i="6"/>
  <c r="C6" i="6"/>
  <c r="H15" i="6"/>
  <c r="C18" i="10"/>
  <c r="C46" i="10"/>
  <c r="F6" i="6"/>
  <c r="F163" i="10"/>
  <c r="C163" i="10"/>
  <c r="J163" i="10"/>
  <c r="C67" i="6"/>
  <c r="C71" i="6"/>
  <c r="C69" i="6"/>
  <c r="C68" i="6"/>
  <c r="C66" i="6"/>
  <c r="C65" i="6"/>
  <c r="C70" i="6"/>
  <c r="M49" i="6"/>
  <c r="M45" i="6"/>
  <c r="M53" i="6"/>
  <c r="M52" i="6"/>
  <c r="M48" i="6"/>
  <c r="M44" i="6"/>
  <c r="M51" i="6"/>
  <c r="M47" i="6"/>
  <c r="M54" i="6"/>
  <c r="M50" i="6"/>
  <c r="J56" i="6"/>
  <c r="H54" i="6"/>
  <c r="F54" i="6"/>
  <c r="D54" i="6"/>
  <c r="B54" i="6"/>
  <c r="H53" i="6"/>
  <c r="H56" i="6" s="1"/>
  <c r="F53" i="6"/>
  <c r="F56" i="6" s="1"/>
  <c r="D53" i="6"/>
  <c r="B53" i="6"/>
  <c r="B56" i="6" s="1"/>
  <c r="D44" i="6"/>
  <c r="B36" i="6"/>
  <c r="C33" i="6" s="1"/>
  <c r="I36" i="2"/>
  <c r="H36" i="2"/>
  <c r="G36" i="2"/>
  <c r="F36" i="2"/>
  <c r="E36" i="2"/>
  <c r="D36" i="2"/>
  <c r="B16" i="6" s="1"/>
  <c r="J27" i="1"/>
  <c r="G16" i="6" l="1"/>
  <c r="G15" i="6"/>
  <c r="D16" i="6"/>
  <c r="D15" i="6"/>
  <c r="C16" i="6"/>
  <c r="C15" i="6"/>
  <c r="H6" i="6"/>
  <c r="H7" i="6"/>
  <c r="E15" i="6"/>
  <c r="E16" i="6"/>
  <c r="F15" i="6"/>
  <c r="F16" i="6"/>
  <c r="C72" i="6"/>
  <c r="M56" i="6"/>
  <c r="C31" i="6"/>
  <c r="C32" i="6"/>
  <c r="C34" i="6"/>
  <c r="C35" i="6"/>
  <c r="D56" i="6"/>
  <c r="E51" i="6" s="1"/>
  <c r="E53" i="6"/>
  <c r="K54" i="6"/>
  <c r="I53" i="6"/>
  <c r="K52" i="6"/>
  <c r="I51" i="6"/>
  <c r="K50" i="6"/>
  <c r="I49" i="6"/>
  <c r="K48" i="6"/>
  <c r="I47" i="6"/>
  <c r="K46" i="6"/>
  <c r="I45" i="6"/>
  <c r="K44" i="6"/>
  <c r="K53" i="6"/>
  <c r="I52" i="6"/>
  <c r="K51" i="6"/>
  <c r="I50" i="6"/>
  <c r="K49" i="6"/>
  <c r="I48" i="6"/>
  <c r="K47" i="6"/>
  <c r="I46" i="6"/>
  <c r="K45" i="6"/>
  <c r="I44" i="6"/>
  <c r="I54" i="6"/>
  <c r="C53" i="6"/>
  <c r="C52" i="6"/>
  <c r="C50" i="6"/>
  <c r="C48" i="6"/>
  <c r="C46" i="6"/>
  <c r="C55" i="6"/>
  <c r="C51" i="6"/>
  <c r="C49" i="6"/>
  <c r="C47" i="6"/>
  <c r="C45" i="6"/>
  <c r="C44" i="6"/>
  <c r="C43" i="6"/>
  <c r="G53" i="6"/>
  <c r="G52" i="6"/>
  <c r="G50" i="6"/>
  <c r="G48" i="6"/>
  <c r="G46" i="6"/>
  <c r="G44" i="6"/>
  <c r="G51" i="6"/>
  <c r="G49" i="6"/>
  <c r="G47" i="6"/>
  <c r="G45" i="6"/>
  <c r="C54" i="6"/>
  <c r="G54" i="6"/>
  <c r="B15" i="6"/>
  <c r="E48" i="6" l="1"/>
  <c r="E45" i="6"/>
  <c r="C36" i="6"/>
  <c r="E44" i="6"/>
  <c r="E54" i="6"/>
  <c r="E50" i="6"/>
  <c r="E47" i="6"/>
  <c r="E52" i="6"/>
  <c r="E49" i="6"/>
  <c r="E46" i="6"/>
  <c r="E43" i="6"/>
  <c r="C56" i="6"/>
  <c r="G56" i="6"/>
  <c r="I56" i="6"/>
  <c r="K56" i="6"/>
  <c r="E56" i="6" l="1"/>
</calcChain>
</file>

<file path=xl/sharedStrings.xml><?xml version="1.0" encoding="utf-8"?>
<sst xmlns="http://schemas.openxmlformats.org/spreadsheetml/2006/main" count="18663" uniqueCount="4804">
  <si>
    <t>Cestovní ruch</t>
  </si>
  <si>
    <t>Skutečnost</t>
  </si>
  <si>
    <t>v tis. Kč</t>
  </si>
  <si>
    <t>Kapitálové výdaje</t>
  </si>
  <si>
    <t>Běžné výdaje</t>
  </si>
  <si>
    <t>Daňové příjmy</t>
  </si>
  <si>
    <t>Nedaňové příjmy</t>
  </si>
  <si>
    <t>Kapitálové příjmy</t>
  </si>
  <si>
    <t>ostatní</t>
  </si>
  <si>
    <t>Odvětví/dotační program</t>
  </si>
  <si>
    <t>Celkový součet</t>
  </si>
  <si>
    <t>Celkem</t>
  </si>
  <si>
    <t>v mil. Kč</t>
  </si>
  <si>
    <t>Rok 2009</t>
  </si>
  <si>
    <t>Rok 2010</t>
  </si>
  <si>
    <t>Rok 2011</t>
  </si>
  <si>
    <t>Rok 2012</t>
  </si>
  <si>
    <t>Rok 2013</t>
  </si>
  <si>
    <t>Rok 2014</t>
  </si>
  <si>
    <t>Dotace</t>
  </si>
  <si>
    <t>Vlastní příjmy</t>
  </si>
  <si>
    <t>pol. 3xxx</t>
  </si>
  <si>
    <t>pol. 1xxx</t>
  </si>
  <si>
    <t>pol. 42xx</t>
  </si>
  <si>
    <t>pol. 41xx</t>
  </si>
  <si>
    <t>pol. 2xxx</t>
  </si>
  <si>
    <t xml:space="preserve"> = územko, prezentace, nes.rez., FV, platba daní, … FSM + socfond</t>
  </si>
  <si>
    <t>Data graf 1</t>
  </si>
  <si>
    <t>dotace</t>
  </si>
  <si>
    <t>vlastní příjmy</t>
  </si>
  <si>
    <t>Data graf 2</t>
  </si>
  <si>
    <t>běžné výdaje</t>
  </si>
  <si>
    <t>kapitálové výdaje</t>
  </si>
  <si>
    <t>Data graf 3</t>
  </si>
  <si>
    <t>Daně a správní poplatky</t>
  </si>
  <si>
    <t>Investiční dotace</t>
  </si>
  <si>
    <t>Neinvestiční dotace</t>
  </si>
  <si>
    <t>druh příjmu</t>
  </si>
  <si>
    <t>Čerpání v tis. Kč</t>
  </si>
  <si>
    <t>Data graf 4</t>
  </si>
  <si>
    <t xml:space="preserve"> - z toho SPZ Nošovice</t>
  </si>
  <si>
    <t>Regionální rozvoj</t>
  </si>
  <si>
    <t>Doprava</t>
  </si>
  <si>
    <t>Školství</t>
  </si>
  <si>
    <t>Kultura</t>
  </si>
  <si>
    <t>Zdravotnictví</t>
  </si>
  <si>
    <t>Životní prostředí</t>
  </si>
  <si>
    <t>Sociální věci</t>
  </si>
  <si>
    <t>Krizové řízení</t>
  </si>
  <si>
    <t>Všeobecná veřejná správa a služby</t>
  </si>
  <si>
    <t>Ostatní</t>
  </si>
  <si>
    <t>finance a správa majetku</t>
  </si>
  <si>
    <t>celkem</t>
  </si>
  <si>
    <t>všeobecná veřejná správa a služby</t>
  </si>
  <si>
    <t xml:space="preserve"> = KÚ, ZAST, SOCFOND</t>
  </si>
  <si>
    <t>Data graf 5</t>
  </si>
  <si>
    <t>%</t>
  </si>
  <si>
    <t xml:space="preserve">Životní prostředí </t>
  </si>
  <si>
    <t>Sociální věcí</t>
  </si>
  <si>
    <t>13.2 Tabulková část</t>
  </si>
  <si>
    <t>Pozn.:</t>
  </si>
  <si>
    <t>Případný rozdíl v součtovém řádku oproti součtu jednotlivých položek v tabulkách je způsoben zaokrouhlením.</t>
  </si>
  <si>
    <t>Rok 2015</t>
  </si>
  <si>
    <t>PŘÍJMY PO KONSOLIDACI</t>
  </si>
  <si>
    <t xml:space="preserve">Příjmy celkem        </t>
  </si>
  <si>
    <t xml:space="preserve">Konsolidace příjmů   </t>
  </si>
  <si>
    <t xml:space="preserve">Přijaté transfery celkem        </t>
  </si>
  <si>
    <t>Kapitálové příjmy celkem</t>
  </si>
  <si>
    <t>Nedaňové příjmy celkem</t>
  </si>
  <si>
    <t>Daňové příjmy celkem</t>
  </si>
  <si>
    <t>Ostatní převody z vlastních fondů</t>
  </si>
  <si>
    <t>4139</t>
  </si>
  <si>
    <t>Převody z rozpočtových účtů</t>
  </si>
  <si>
    <t>4134</t>
  </si>
  <si>
    <t>Investiční přijaté transfery</t>
  </si>
  <si>
    <t xml:space="preserve">      </t>
  </si>
  <si>
    <t>4232</t>
  </si>
  <si>
    <t>Investiční přijaté transfery od cizích států</t>
  </si>
  <si>
    <t>4231</t>
  </si>
  <si>
    <t>Investiční přijaté transfery od regionálních rad</t>
  </si>
  <si>
    <t>4223</t>
  </si>
  <si>
    <t>Investiční přijaté transfery od obcí</t>
  </si>
  <si>
    <t>4221</t>
  </si>
  <si>
    <t>4216</t>
  </si>
  <si>
    <t>Investiční přijaté transfery ze státních fondů</t>
  </si>
  <si>
    <t>4213</t>
  </si>
  <si>
    <t>4211</t>
  </si>
  <si>
    <t>Neinvestiční přijaté transfery</t>
  </si>
  <si>
    <t>Neinvestiční přijaté transfery od mezinárodních institucí</t>
  </si>
  <si>
    <t>4152</t>
  </si>
  <si>
    <t>Neinvestiční přijaté transfery od cizích států</t>
  </si>
  <si>
    <t>4151</t>
  </si>
  <si>
    <t>Neinvestiční přijaté transfery od regionálních rad</t>
  </si>
  <si>
    <t>4123</t>
  </si>
  <si>
    <t>Neinvestiční přijaté transfery od krajů</t>
  </si>
  <si>
    <t>4122</t>
  </si>
  <si>
    <t>Neinvestiční přijaté transfery od obcí</t>
  </si>
  <si>
    <t>4121</t>
  </si>
  <si>
    <t>Ostatní neinvestiční přijaté transfery od rozpočtů ústřední úrovně</t>
  </si>
  <si>
    <t>4119</t>
  </si>
  <si>
    <t>Neinvestiční převody z Národního fondu</t>
  </si>
  <si>
    <t>4118</t>
  </si>
  <si>
    <t>Ostatní neinvestiční přijaté transfery ze státního rozpočtu</t>
  </si>
  <si>
    <t>4116</t>
  </si>
  <si>
    <t>Neinvestiční přijaté transfery ze státních fondů</t>
  </si>
  <si>
    <t>4113</t>
  </si>
  <si>
    <t>Neinvestiční přijaté transfery ze státního rozpočtu  v rámci souhrnného dotačního vztahu</t>
  </si>
  <si>
    <t>4112</t>
  </si>
  <si>
    <t>4111</t>
  </si>
  <si>
    <t>% plnění UR</t>
  </si>
  <si>
    <t>Upravený rozpočet</t>
  </si>
  <si>
    <t>Schválený rozpočet</t>
  </si>
  <si>
    <t>Text</t>
  </si>
  <si>
    <t>Položka</t>
  </si>
  <si>
    <t>OdPa</t>
  </si>
  <si>
    <t>Přijaté transfery</t>
  </si>
  <si>
    <t>Činnost regionální správy</t>
  </si>
  <si>
    <t>Příjmy z prodeje ostatního hmotného dlouhodobého majetku</t>
  </si>
  <si>
    <t>3113</t>
  </si>
  <si>
    <t>Ostatní záležitosti požární ochrany a integrovaného záchranného systému</t>
  </si>
  <si>
    <t>Přijaté dary na pořízení dlouhodobého majetku</t>
  </si>
  <si>
    <t>3121</t>
  </si>
  <si>
    <t>Požární ochrana - profesionální část</t>
  </si>
  <si>
    <t>Ostatní investiční příjmy jinde nezařazené</t>
  </si>
  <si>
    <t>3129</t>
  </si>
  <si>
    <t>Komunální služby a územní rozvoj jinde nezařazené</t>
  </si>
  <si>
    <t>Přijmy z prodeje ostatních nemovitostí a jejich částí</t>
  </si>
  <si>
    <t>3112</t>
  </si>
  <si>
    <t>Příjmy z prodeje pozemků</t>
  </si>
  <si>
    <t>3111</t>
  </si>
  <si>
    <t>Přijaté splátky půjčených prostředků</t>
  </si>
  <si>
    <t>Splátky půjčených prostředků od příspěvkových organizací</t>
  </si>
  <si>
    <t>2451</t>
  </si>
  <si>
    <t>-</t>
  </si>
  <si>
    <t>Splátky půjčených prostředků od obecně prospěšných společností a podobných subjektů</t>
  </si>
  <si>
    <t>2420</t>
  </si>
  <si>
    <t>Splátky půjčených prostředků od podnikatelských nefinančních subjektů - právnických osob</t>
  </si>
  <si>
    <t>2412</t>
  </si>
  <si>
    <t>Ostatní činnosti jinde nezařazené</t>
  </si>
  <si>
    <t>Ostatní přijaté vratky transferů</t>
  </si>
  <si>
    <t>2229</t>
  </si>
  <si>
    <t>Přijaté vratky transferů od jiných veřejných rozpočtů</t>
  </si>
  <si>
    <t>2221</t>
  </si>
  <si>
    <t>Finanční vypořádání minulých let</t>
  </si>
  <si>
    <t>Příjmy z finančního vypořádání minulých let mezi regionální radou a kraji, obcemi a dobrovolnými svazky obcí</t>
  </si>
  <si>
    <t>2227</t>
  </si>
  <si>
    <t>Příjmy z finančního vypořádání minulých let mezi krajem a obcemi</t>
  </si>
  <si>
    <t>2223</t>
  </si>
  <si>
    <t>Ostatní příjmy z finančního vypořádání předchozích let od jiných veřejných rozpočtů</t>
  </si>
  <si>
    <t>2222</t>
  </si>
  <si>
    <t>Pojištění funkčně nespecifikované</t>
  </si>
  <si>
    <t>Přijaté pojistné náhrady</t>
  </si>
  <si>
    <t>2322</t>
  </si>
  <si>
    <t>Obecné příjmy a výdaje z finančních operací</t>
  </si>
  <si>
    <t>Ostatní nedaňové příjmy jinde nezařazené</t>
  </si>
  <si>
    <t>2329</t>
  </si>
  <si>
    <t>Příjmy z úroků (část)</t>
  </si>
  <si>
    <t>2141</t>
  </si>
  <si>
    <t>Přijaté nekapitálové příspěvky a náhrady</t>
  </si>
  <si>
    <t>2324</t>
  </si>
  <si>
    <t>Sankční platby přijaté od jiných subjektů</t>
  </si>
  <si>
    <t>2212</t>
  </si>
  <si>
    <t>Sankční platby přijaté od státu, obcí a krajů</t>
  </si>
  <si>
    <t>2211</t>
  </si>
  <si>
    <t>Kursové rozdíly v příjmech</t>
  </si>
  <si>
    <t>2143</t>
  </si>
  <si>
    <t>Ostatní příjmy z pronájmu majetku</t>
  </si>
  <si>
    <t>2139</t>
  </si>
  <si>
    <t>Přijmy z pronájmu ostatních nemovitostí a jejich částí</t>
  </si>
  <si>
    <t>2132</t>
  </si>
  <si>
    <t>Příjmy z prodeje zboží (jinak nakoupeného za účelem prodeje)</t>
  </si>
  <si>
    <t>2112</t>
  </si>
  <si>
    <t>Příjmy z poskytování služeb a výrobků</t>
  </si>
  <si>
    <t>2111</t>
  </si>
  <si>
    <t>Zastupitelstva krajů</t>
  </si>
  <si>
    <t>Přijaté neinvestiční dary</t>
  </si>
  <si>
    <t>2321</t>
  </si>
  <si>
    <t>Operační a informační střediska integrovaného záchranného systému</t>
  </si>
  <si>
    <t>Ostatní správa v oblasti krizového řízení</t>
  </si>
  <si>
    <t>Ostatní záležitosti sociálních věcí a politiky zaměstnanosti</t>
  </si>
  <si>
    <t>Ostatní služby a činnosti v oblasti sociální prevence</t>
  </si>
  <si>
    <t>Raná péče a sociálně aktivizační služby pro rodiny s dětmi</t>
  </si>
  <si>
    <t>Domovy pro osoby se zdravotním postižením a domovy se zvláštním režimem</t>
  </si>
  <si>
    <t>Odvody příspěvkových organizací</t>
  </si>
  <si>
    <t>2122</t>
  </si>
  <si>
    <t>Domovy pro seniory</t>
  </si>
  <si>
    <t>Ostatní sociální péče a pomoc ostatním skupinám obyvatelstva</t>
  </si>
  <si>
    <t>Ostatní dávky zdravotně postiženým občanům</t>
  </si>
  <si>
    <t>Příspěvek na provoz motorového vozidla</t>
  </si>
  <si>
    <t>Příspěvky na zakoupení, opravu a zvláštní úpravu motorového vozidla</t>
  </si>
  <si>
    <t>Příspěvek na zvláštní pomůcky</t>
  </si>
  <si>
    <t>Ostatní dávky sociální pomoci</t>
  </si>
  <si>
    <t>Ostatní správa v ochraně životního prostředí</t>
  </si>
  <si>
    <t>Chráněné části přírody</t>
  </si>
  <si>
    <t>Příjmy z pronájmu pozemků</t>
  </si>
  <si>
    <t>2131</t>
  </si>
  <si>
    <t>Ostatní příjmy z vlastní činnosti</t>
  </si>
  <si>
    <t>2119</t>
  </si>
  <si>
    <t>Územní rozvoj</t>
  </si>
  <si>
    <t>Ostatní činnost ve zdravotnictví</t>
  </si>
  <si>
    <t>Zdravotnická záchranná služba</t>
  </si>
  <si>
    <t>Ostatní nemocnice</t>
  </si>
  <si>
    <t>Využití volného času dětí a mládeže</t>
  </si>
  <si>
    <t>Neidentifikované příjmy</t>
  </si>
  <si>
    <t>2328</t>
  </si>
  <si>
    <t>Ostatní tělovýchovná činnost</t>
  </si>
  <si>
    <t>Zachování a obnova kulturních památek</t>
  </si>
  <si>
    <t>Příjmy z prodeje krátkodobého a drobného dlouhodobého majetku</t>
  </si>
  <si>
    <t>2310</t>
  </si>
  <si>
    <t>Ostatní záležitosti kultury</t>
  </si>
  <si>
    <t>Vydavatelská činnost</t>
  </si>
  <si>
    <t>Činnosti knihovnické</t>
  </si>
  <si>
    <t>Filmová tvorba, distribuce, kina a shromažďování audiovizuálních archiválií</t>
  </si>
  <si>
    <t>Hudební činnost</t>
  </si>
  <si>
    <t>Ostatní záležitosti vzdělávání</t>
  </si>
  <si>
    <t>Ostatní odvody příspěvkových organizací</t>
  </si>
  <si>
    <t>2123</t>
  </si>
  <si>
    <t>Základní umělecké školy</t>
  </si>
  <si>
    <t>Střední školy poskytující střední vzdělání s výučním listem</t>
  </si>
  <si>
    <t>Střední odborné školy</t>
  </si>
  <si>
    <t>Gymnázia</t>
  </si>
  <si>
    <t>Základní školy pro žáky se speciálními vzdělávacími potřebami</t>
  </si>
  <si>
    <t>Mateřské školy</t>
  </si>
  <si>
    <t>Ostatní záležitosti vodního hospodářství</t>
  </si>
  <si>
    <t>Platby za odebrané množství podzemní vody</t>
  </si>
  <si>
    <t>2342</t>
  </si>
  <si>
    <t>Letiště</t>
  </si>
  <si>
    <t>Provoz veřejné železniční dopravy</t>
  </si>
  <si>
    <t>Ostatní záležitosti v silniční dopravě</t>
  </si>
  <si>
    <t>Provoz veřejné silniční dopravy</t>
  </si>
  <si>
    <t>Silnice</t>
  </si>
  <si>
    <t>Úspora energie a obnovitelné zdroje</t>
  </si>
  <si>
    <t>Rybářství</t>
  </si>
  <si>
    <t>Ostatní záležitosti lesního hospodářství</t>
  </si>
  <si>
    <t>Správní poplatky</t>
  </si>
  <si>
    <t>1361</t>
  </si>
  <si>
    <t>Daň z přidané hodnoty</t>
  </si>
  <si>
    <t>1211</t>
  </si>
  <si>
    <t>Daň z příjmů právnických osob za kraje</t>
  </si>
  <si>
    <t>1123</t>
  </si>
  <si>
    <t>Daň z příjmů právnických osob</t>
  </si>
  <si>
    <t>1121</t>
  </si>
  <si>
    <t>Daň z příjmů fyzických osob z kapitálových výnosů</t>
  </si>
  <si>
    <t>1113</t>
  </si>
  <si>
    <t>Daň z příjmů fyzických osob ze samostatné výdělečné činnosti</t>
  </si>
  <si>
    <t>1112</t>
  </si>
  <si>
    <t>Daň z příjmů fyzických osob ze závislé činnosti a funkčních požitků</t>
  </si>
  <si>
    <t>1111</t>
  </si>
  <si>
    <t>PŘÍJMY</t>
  </si>
  <si>
    <t>PLNĚNÍ ROZPOČTU MORAVSKOSLEZSKÉHO KRAJE K 31. 12. 2015</t>
  </si>
  <si>
    <t>VÝDAJE PO KONSOLIDACI</t>
  </si>
  <si>
    <t xml:space="preserve">Výdaje celkem        </t>
  </si>
  <si>
    <t xml:space="preserve">Konsolidace výdajů   </t>
  </si>
  <si>
    <t>Kapitálové výdaje celkem</t>
  </si>
  <si>
    <t xml:space="preserve">Běžné výdaje celkem  </t>
  </si>
  <si>
    <t>Skupina 6 - Všeobecná veřejná správa a služby - celkem</t>
  </si>
  <si>
    <t>Výpočetní technika</t>
  </si>
  <si>
    <t>Dopravní prostředky</t>
  </si>
  <si>
    <t>Stroje, přístroje a zařízení</t>
  </si>
  <si>
    <t>Budovy, haly a stavby</t>
  </si>
  <si>
    <t>Ostatní nákupy dlouhodobého nehmotného majetku</t>
  </si>
  <si>
    <t>Programové vybavení</t>
  </si>
  <si>
    <t>Ostatní investiční  transfery neziskovým a podobným organizacím</t>
  </si>
  <si>
    <t>Skupina 5 - Bezpečnost státu a právní ochrana - celkem</t>
  </si>
  <si>
    <t>Pozemky</t>
  </si>
  <si>
    <t>Požární ochrana - dobrovolná část</t>
  </si>
  <si>
    <t>Investiční transfery obcím</t>
  </si>
  <si>
    <t xml:space="preserve">Investiční transfery spolkům </t>
  </si>
  <si>
    <t>Ostatní investiční transfery jiným veřejným rozpočtům</t>
  </si>
  <si>
    <t>Bezpečnost a veřejný pořádek</t>
  </si>
  <si>
    <t>Záležitosti krizového řízení jinde nezařazené</t>
  </si>
  <si>
    <t>Ochrana obyvatelstva</t>
  </si>
  <si>
    <t>Skupina 4 - Sociální věci a politika zaměstnanosti - celkem</t>
  </si>
  <si>
    <t>Investiční transfery církvím a náboženským společnostem</t>
  </si>
  <si>
    <t>Investiční transfery obecně prospěšným společnostem</t>
  </si>
  <si>
    <t>Sociálně terapeutické dílny</t>
  </si>
  <si>
    <t>Investiční transfery zřízeným příspěvkovým organizacím</t>
  </si>
  <si>
    <t>Chráněné bydlení</t>
  </si>
  <si>
    <t>Ostatní sociální péče a pomoc rodině a manželství</t>
  </si>
  <si>
    <t>x</t>
  </si>
  <si>
    <t>Zařízení pro výkon pěstounské péče</t>
  </si>
  <si>
    <t>Ostatní výdaje související se sociálním poradenstvím</t>
  </si>
  <si>
    <t>Odborné sociální poradenství</t>
  </si>
  <si>
    <t>Skupina 3 - Služby pro obyvatelstvo - celkem</t>
  </si>
  <si>
    <t>Ostatní ekologické záležitosti</t>
  </si>
  <si>
    <t>Ekologická výchova a osvěta</t>
  </si>
  <si>
    <t>Péče o vzhled obcí a veřejnou zeleň</t>
  </si>
  <si>
    <t>Protierozní, protilavinová a protipožární ochrana</t>
  </si>
  <si>
    <t>Ostatní investiční transfery podnikatelským subjektům</t>
  </si>
  <si>
    <t>Ostatní nakládání s odpady</t>
  </si>
  <si>
    <t>Nákup akcií</t>
  </si>
  <si>
    <t>Ostatní činnosti k ochraně ovzduší</t>
  </si>
  <si>
    <t>Účelové investiční transfery nepodnikajícím fyzickým osobám</t>
  </si>
  <si>
    <t>Investiční transfery vysokým školám</t>
  </si>
  <si>
    <t>Investiční transfery nefinančním podnikatelským subjektům - právnickým osobám</t>
  </si>
  <si>
    <t>Nákup dlouhodobého hmotného majetku jinde nezařazený</t>
  </si>
  <si>
    <t>Investiční transfery ostatním příspěvkovým organizacím</t>
  </si>
  <si>
    <t>Investiční transfery veřejným výzkumným institucím</t>
  </si>
  <si>
    <t>Ostatní investiční transfery veřejným rozpočtům územní úrovně</t>
  </si>
  <si>
    <t>Územní plánování</t>
  </si>
  <si>
    <t>Odborné léčebné ústavy</t>
  </si>
  <si>
    <t>Jiné investiční transfery zřízeným příspěvkovým organizacím</t>
  </si>
  <si>
    <t>Ostatní záležitosti ochrany památek a péče o kulturní dědictví</t>
  </si>
  <si>
    <t>Pořízení, zachování a obnova hodnot místního kulturního, národního a historického povědomí</t>
  </si>
  <si>
    <t>Činnosti muzeí a galerií</t>
  </si>
  <si>
    <t>Divadelní činnost</t>
  </si>
  <si>
    <t>Investiční půjčené prostředky zřízeným příspěvkovým organizacím</t>
  </si>
  <si>
    <t>Zařízení výchovného poradenství</t>
  </si>
  <si>
    <t>Školní stravování</t>
  </si>
  <si>
    <t>Dětské domovy</t>
  </si>
  <si>
    <t>Střediska praktického vyučování a školní hospodářství</t>
  </si>
  <si>
    <t>Střední školy a konzervatoře pro žáky se speciálními vzdělávacími potřebami</t>
  </si>
  <si>
    <t>Mateřské školy pro děti se speciálními vzdělávacími potřebami</t>
  </si>
  <si>
    <t>Skupina 2 - Průmyslová a ostatní odvětví hospodářství - celkem</t>
  </si>
  <si>
    <t>Ostatní správa ve vodním hospodářství</t>
  </si>
  <si>
    <t>Ostatní záležitosti v dopravě</t>
  </si>
  <si>
    <t>Investiční půjčené prostředky nefinančním podnikatelským subjektům - právnickým osobám</t>
  </si>
  <si>
    <t>Ostatní záležitosti pozemních komunikací</t>
  </si>
  <si>
    <t>Investiční transfery nefinančním podnikatelským subjektům - fyzickým osobám</t>
  </si>
  <si>
    <t>Nákup majetkových podílů</t>
  </si>
  <si>
    <t>Ocenitelná práva</t>
  </si>
  <si>
    <t>Skupina 1 - Zemědělství, lesní hospodářství a rybářství - celkem</t>
  </si>
  <si>
    <t>Celospolečenské funkce lesů</t>
  </si>
  <si>
    <t>Převody vlastním rozpočtovým účtům</t>
  </si>
  <si>
    <t>Ostatní převody vlastním fondům</t>
  </si>
  <si>
    <t>5349</t>
  </si>
  <si>
    <t>5345</t>
  </si>
  <si>
    <t>Převody FKSP a sociálnímu fondu obcí a krajů</t>
  </si>
  <si>
    <t>5342</t>
  </si>
  <si>
    <t>Ostatní neinvestiční výdaje jinde nezařazené</t>
  </si>
  <si>
    <t>Nespecifikované rezervy</t>
  </si>
  <si>
    <t>Výdaje z finančního vypořádání minulých let mezi regionální radou a kraji, obcemi a dobrovolnými svazky obcí</t>
  </si>
  <si>
    <t>Vratky veřejným rozpočtům ústřední úrovně transferů poskytnutých v minulých rozpočtových obdobích</t>
  </si>
  <si>
    <t>Výdaje z finančního vypořádání minulých let mezi krajem a obcemi</t>
  </si>
  <si>
    <t>Ostatní finanční operace</t>
  </si>
  <si>
    <t>Platby daní a poplatků státnímu rozpočtu</t>
  </si>
  <si>
    <t>Služby peněžních ústavů</t>
  </si>
  <si>
    <t>Úrokové výdaje na finanční deriváty kromě k vlastním dluhopisům</t>
  </si>
  <si>
    <t>Úroky vlastní</t>
  </si>
  <si>
    <t>Mezinárodní spolupráce (jinde nezařazená)</t>
  </si>
  <si>
    <t>Pohoštění</t>
  </si>
  <si>
    <t>Nákup ostatních služeb</t>
  </si>
  <si>
    <t>Konzultační, poradenské a právní služby</t>
  </si>
  <si>
    <t>Nájemné</t>
  </si>
  <si>
    <t>Nákup materiálu jinde nezařazený</t>
  </si>
  <si>
    <t>Drobný hmotný dlouhodobý majetek</t>
  </si>
  <si>
    <t>Činnost regionálních rad</t>
  </si>
  <si>
    <t>Neinvestiční transfery regionálním radám</t>
  </si>
  <si>
    <t>Ostatní neinvestiční transfery do zahraničí</t>
  </si>
  <si>
    <t>Ostatní neinvestiční transfery obyvatelstvu</t>
  </si>
  <si>
    <t>Náhrady mezd v době nemoci</t>
  </si>
  <si>
    <t>Úhrada sankcí jiným rozpočtům</t>
  </si>
  <si>
    <t>Nákup kolků</t>
  </si>
  <si>
    <t>Neinvestiční transfery obcím</t>
  </si>
  <si>
    <t xml:space="preserve">Neinvestiční transfery spolkům </t>
  </si>
  <si>
    <t>Věcné dary</t>
  </si>
  <si>
    <t>Poskytnuté náhrady</t>
  </si>
  <si>
    <t>Zaplacené sankce</t>
  </si>
  <si>
    <t>Ostatní poskytované zálohy a jistiny</t>
  </si>
  <si>
    <t>Ostatní nákupy jinde nezařazené</t>
  </si>
  <si>
    <t>Účastnické poplatky na konference</t>
  </si>
  <si>
    <t>Cestovné (tuzemské i zahraniční)</t>
  </si>
  <si>
    <t xml:space="preserve">Programové vybavení </t>
  </si>
  <si>
    <t>Opravy a udržování</t>
  </si>
  <si>
    <t xml:space="preserve">Zpracování dat a služby související s informačními a komunikačními technologiemi </t>
  </si>
  <si>
    <t>Služby školení a vzdělávání</t>
  </si>
  <si>
    <t>Služby telekomunikací a radiokomunikací</t>
  </si>
  <si>
    <t xml:space="preserve">Poštovní služby </t>
  </si>
  <si>
    <t>Pohonné hmoty a maziva</t>
  </si>
  <si>
    <t>Elektrická energie</t>
  </si>
  <si>
    <t>Teplo</t>
  </si>
  <si>
    <t>Studená voda</t>
  </si>
  <si>
    <t>Kursové rozdíly ve výdajích</t>
  </si>
  <si>
    <t>Knihy, učební pomůcky a tisk</t>
  </si>
  <si>
    <t>Prádlo, oděv a obuv</t>
  </si>
  <si>
    <t>Léky a zdravotnický materiál</t>
  </si>
  <si>
    <t>Ochranné pomůcky</t>
  </si>
  <si>
    <t>Potraviny</t>
  </si>
  <si>
    <t>Mzdové náhrady</t>
  </si>
  <si>
    <t>Odměny za užití počítačových programů</t>
  </si>
  <si>
    <t>Odměny za užití duševního vlastnictví</t>
  </si>
  <si>
    <t>Povinné pojistné na úrazové pojištění</t>
  </si>
  <si>
    <t>Povinné pojistné na veřejné zdravotní pojištění</t>
  </si>
  <si>
    <t>Povinné pojistné na sociální zabezpečení a příspěvek na státní politiku zaměstnanosti</t>
  </si>
  <si>
    <t>Odstupné</t>
  </si>
  <si>
    <t>Ostatní osobní výdaje</t>
  </si>
  <si>
    <t>Platy zaměstnanců v pracovním poměru</t>
  </si>
  <si>
    <t>Volby do zastupitelstev územních samosprávných celků</t>
  </si>
  <si>
    <t>Dary obyvatelstvu</t>
  </si>
  <si>
    <t>Neinvestiční nedotační transfery neziskovým a podobným organizacím</t>
  </si>
  <si>
    <t>Ostatní neinvestiční transfery neziskovým a podobným organizacím</t>
  </si>
  <si>
    <t>Ostatní povinné pojistné placené zaměstnavatelem</t>
  </si>
  <si>
    <t>Ostatní platby za provedenou práci jinde nezařazené</t>
  </si>
  <si>
    <t>Odměny členů zastupitelstev obcí a krajů</t>
  </si>
  <si>
    <t>Ostatní platy</t>
  </si>
  <si>
    <t>Mezinárodní spolupráce v oblasti požární ochrany a integrovaném záchranném systému</t>
  </si>
  <si>
    <t>Ostatní záležitosti požární ochrany</t>
  </si>
  <si>
    <t>Ostatní neinvestiční transfery jiným veřejným rozpočtům</t>
  </si>
  <si>
    <t>Neinvestiční transfery cizím příspěvkovým organizacím</t>
  </si>
  <si>
    <t>Neinvestiční transfery obecně prospěšným společnostem</t>
  </si>
  <si>
    <t>Neinvestiční transfery církvím a náboženským společnostem</t>
  </si>
  <si>
    <t>Neinvestiční transfery zřízeným příspěvkovým organizacím</t>
  </si>
  <si>
    <t>Terénní programy</t>
  </si>
  <si>
    <t>Neinvestiční příspěvky zřízeným příspěvkovým organizacím</t>
  </si>
  <si>
    <t>Služby následné péče, terapeutické komunity a kontaktní centra</t>
  </si>
  <si>
    <t>Nízkoprahová zařízení pro děti a mládež</t>
  </si>
  <si>
    <t>Azylové domy, nízkoprahová denní centra a noclehárny</t>
  </si>
  <si>
    <t>Domy na půl cesty</t>
  </si>
  <si>
    <t>Krizová pomoc</t>
  </si>
  <si>
    <t>Ostatní služby a činnosti v oblasti sociální péče</t>
  </si>
  <si>
    <t>Sociální služby poskytované ve zdravotnických zařízeních ústavní péče</t>
  </si>
  <si>
    <t>Neinvestiční transfery nefinančním podnikatelským subjektům - právnickým osobám</t>
  </si>
  <si>
    <t>Neinvestiční půjčené prostředky zřízeným příspěvkovým organizacím</t>
  </si>
  <si>
    <t>Denní stacionáře a centra denních služeb</t>
  </si>
  <si>
    <t>Týdenní stacionáře</t>
  </si>
  <si>
    <t>Průvodcovské a předčitatelské služby</t>
  </si>
  <si>
    <t>Tísňová péče</t>
  </si>
  <si>
    <t>Osobní asistence, pečovatelská služba a podpora samostatného bydlení</t>
  </si>
  <si>
    <t>Neinvestiční transfery nefinančním podnikatelským subjektům - fyzickým osobám</t>
  </si>
  <si>
    <t>Sociální rehabilitace</t>
  </si>
  <si>
    <t>Sociální péče a pomoc přistěhovalcům a vybraným etnikům</t>
  </si>
  <si>
    <t>Ostatní sociální péče a pomoc dětem a mládeži</t>
  </si>
  <si>
    <t>Zařízení pro děti vyžadující okamžitou pomoc</t>
  </si>
  <si>
    <t>Ústavy péče pro mládež</t>
  </si>
  <si>
    <t>Základní sociální poradenství</t>
  </si>
  <si>
    <t>Ostatní činnosti související se službami pro obyvatelstvo</t>
  </si>
  <si>
    <t xml:space="preserve">Ostatní neinvestiční transfery veřejným rozpočtům územní úrovně </t>
  </si>
  <si>
    <t>Ochrana druhů a stanovišť</t>
  </si>
  <si>
    <t>Využívání a zneškodňování nebezpečných odpadů</t>
  </si>
  <si>
    <t>Účelové neinvestiční transfery fyzickým osobám</t>
  </si>
  <si>
    <t>Monitoring ochrany ovzduší</t>
  </si>
  <si>
    <t>Změny technologií vytápění</t>
  </si>
  <si>
    <t>Neinvestiční transfery vysokým školám</t>
  </si>
  <si>
    <t>Neinvestiční nedotační transfery podnikatelským subjektům</t>
  </si>
  <si>
    <t>Neinvestiční transfery veřejným výzkumným institucím</t>
  </si>
  <si>
    <t>Ostatní speciální zdravotnická péče</t>
  </si>
  <si>
    <t xml:space="preserve">Prevence před drogami, alkoholem, nikotinem a jinými závislostmi </t>
  </si>
  <si>
    <t>Hygienická služba a ochrana veřejného zdraví</t>
  </si>
  <si>
    <t>Ostatní ústavní péče</t>
  </si>
  <si>
    <t>Ostatní záležitosti kultury, církví a sdělovacích prostředků</t>
  </si>
  <si>
    <t>Mezinárodní spolupráce v kultuře, církvích a sdělovacích prostředcích</t>
  </si>
  <si>
    <t>Ostatní záležitosti sdělovacích prostředků</t>
  </si>
  <si>
    <t>Rozhlas a televize</t>
  </si>
  <si>
    <t>Neinvestiční transfery obyvatelstvu nemající charakter daru</t>
  </si>
  <si>
    <t>Výstavní činnosti v kultuře</t>
  </si>
  <si>
    <t>Mezinárodní spolupráce ve vzdělávání</t>
  </si>
  <si>
    <t>Střediska volného času</t>
  </si>
  <si>
    <t>Vyšší odborné školy</t>
  </si>
  <si>
    <t>Ostatní zařízení související s výchovou a vzděláváním mládeže</t>
  </si>
  <si>
    <t>Domovy mládeže</t>
  </si>
  <si>
    <t>Internáty</t>
  </si>
  <si>
    <t>Školní družiny a kluby</t>
  </si>
  <si>
    <t>Ostatní školní stravování</t>
  </si>
  <si>
    <t>Konzervatoře</t>
  </si>
  <si>
    <t>Ostatní záležitosti základního vzdělávání</t>
  </si>
  <si>
    <t>První stupeň základních škol</t>
  </si>
  <si>
    <t>Základní školy</t>
  </si>
  <si>
    <t>Ostatní záležitosti civilní letecké dopravy</t>
  </si>
  <si>
    <t>Ostatní záležitosti železniční dopravy</t>
  </si>
  <si>
    <t>Výdaje na dopravní územní obslužnost</t>
  </si>
  <si>
    <t>Železniční dráhy</t>
  </si>
  <si>
    <t>Bezpečnost silničního provozu</t>
  </si>
  <si>
    <t>Záležitosti průmyslu, stavebnictví, obchodu a služeb jinde nezařazené</t>
  </si>
  <si>
    <t>Mezinárodní spolupráce v průmyslu, stavebnictví, obchodu a službách</t>
  </si>
  <si>
    <t>Neinvestiční transfery mezinárodním organizacím</t>
  </si>
  <si>
    <t>Neinvestiční půjčené prostředky nefinančním podnikatelským subjektům - právnickým osobám</t>
  </si>
  <si>
    <t>Neinvestiční transfery krajům</t>
  </si>
  <si>
    <t>Ostatní neinvestiční transfery podnikatelským subjektům</t>
  </si>
  <si>
    <t>Vnitřní obchod</t>
  </si>
  <si>
    <t>Podpora podnikání a inovací</t>
  </si>
  <si>
    <t>Neinvestiční půjčené prostředky obecně prospěšným organizacím</t>
  </si>
  <si>
    <t>Ostatní zemědělská a potravinářská činnost a rozvoj</t>
  </si>
  <si>
    <t>VÝDAJE</t>
  </si>
  <si>
    <t>PRŮMYSLOVÁ ZÓNA NAD BARBOROU CELKEM</t>
  </si>
  <si>
    <t>Předpoklad spoluúčasti ze státního rozpočtu. Usnesením vlády České republiky č. 824 ze dne 30.10.2013 rozhodla vláda České republiky o  možnosti čerpat v rámci „Programu na podporu podnikatelských nemovitostí a infrastruktury“ státní dotaci až do výše 750  mil.  Kč, při rozložení financování MSK 25 % a dotace max. 75 %. Dne 22. 7. 2015 se konalo zasedání vlády České republik, na kterém vláda svým usnesením č. 576 potvrdila své dřívější usnesení 824 z 30. 10. 2013 a souhlasila s přípravou a výstavbou Průmyslové zóny Nad Barborou a podporou investic.</t>
  </si>
  <si>
    <t>Průmyslová zóna Nad Barborou</t>
  </si>
  <si>
    <t>PRŮMYSLOVÁ ZÓNA NAD BARBOROU</t>
  </si>
  <si>
    <t>CELKEM</t>
  </si>
  <si>
    <t>VLASTNÍ SPRÁVNÍ ČINNOST KRAJE  A ČINNOST ZASTUPITELSTVA KRAJE CELKEM</t>
  </si>
  <si>
    <t>Pořízení osobního vozidla v rámci obnovy vozového parku a nového serveru pro hlasovací zařízení.</t>
  </si>
  <si>
    <t>Kapitálové výdaje – činnost zastupitelstva kraje</t>
  </si>
  <si>
    <t>Zastupitelstvo
kraje</t>
  </si>
  <si>
    <t>Dílčí projektová dokumentace.</t>
  </si>
  <si>
    <t>Rekonstrukce části budovy Krajského úřadu Moravskoslezského kraje  pro účely mateřské školy</t>
  </si>
  <si>
    <t>Pořízení osobních vozidel v rámci obnovy vozového parku, úpravy výtahů v budovách krajského úřadu, úprava telefonní ústředny.</t>
  </si>
  <si>
    <t>Ostatní kapitálové výdaje - činnost krajského úřadu</t>
  </si>
  <si>
    <t>Jedná se zejména o nákup přístupového aktivního prvku, dodávku a implementaci duálního diskového úložného systému, aktualizaci datových map, nákup licenti, dodávku a implementaci tiskového monitoringu, rozšíření informačního systému FAMA+ o aplikační řešení Energetického managementu.</t>
  </si>
  <si>
    <t>Kapitálové výdaje - ICT - činnost krajského úřadu</t>
  </si>
  <si>
    <t xml:space="preserve"> -</t>
  </si>
  <si>
    <t xml:space="preserve">Rekonstrukce budovy krajského úřadu </t>
  </si>
  <si>
    <t>Krajský úřad</t>
  </si>
  <si>
    <t>VLASTNÍ SPRÁVNÍ ČINNOST KRAJE A ČINNOST ZASTUPITELSTVA KRAJE</t>
  </si>
  <si>
    <t>ODVĚTVÍ ŽIVOTNÍHO PROSTŘEDÍ CELKEM</t>
  </si>
  <si>
    <t xml:space="preserve">Skutečné výdaje na pořízení majetku činily 71 tis. Kč. V lednu 2016 byla příspěvkovou organizací provedena vratka poskytnutých prostředků ve výši 4 tis. Kč. </t>
  </si>
  <si>
    <t>Pořízení měřícího přístroje (Moravskoslezské energetické centrum, příspěvková organizace, Ostrava)</t>
  </si>
  <si>
    <t xml:space="preserve">Skutečné výdaje na pořízení majetku činily 242 tis. Kč. V lednu 2016 byla příspěvkovou organizací provedena vratka poskytnutých prostředků ve výši 8 tis. Kč. </t>
  </si>
  <si>
    <t>Pořízení termokamery (Moravskoslezské energetické centrum, příspěvková organizace, Ostrava)</t>
  </si>
  <si>
    <t>ODVĚTVÍ ŽIVOTNÍHO PROSTŘEDÍ</t>
  </si>
  <si>
    <t>ODVĚTVÍ ZDRAVOTNICTVÍ CELKEM</t>
  </si>
  <si>
    <t>Pořízení vrtaček (Nemocnice Třinec, příspěvková organizace)</t>
  </si>
  <si>
    <t>Rekonstrukce budovy V - oddělení dlohodobé následné péče (Nemocnice ve Frýdku-Místku, příspěvková organizace)</t>
  </si>
  <si>
    <t>Vybudování pavilonu interních oborů-zhotovení projektové dokumentace, včetně DPH (Slezská nemocnice v Opavě, příspěvková organizace)</t>
  </si>
  <si>
    <t xml:space="preserve">Rozdíl do výše celkových výdajů na akci byl dokryt z vlastních zdrojů příspěvkové organizace. </t>
  </si>
  <si>
    <t>Vybudování pavilonu interních oborů-dovybavení (Slezská nemocnice v Opavě, příspěvková organizace)</t>
  </si>
  <si>
    <t>Stavební práce zabezpečující požární ochranu v pavilonu N ve Slezské nemocnici v Opavě, p.o. (Slezská nemocnice v Opavě, příspěvková organizace)</t>
  </si>
  <si>
    <t>Rekonstrukce vnitroareálové komunikace NEMOCNICE TŘINEC (Nemocnice Třinec, příspěvková organizace)</t>
  </si>
  <si>
    <t>Pořízení serveru a dvou licencí MS SQL Server 2014 Standard (Nemocnice s poliklinikou Karviná-Ráj, příspěvková organizace)</t>
  </si>
  <si>
    <t>Obměna varné technologie (Nemocnice Třinec, příspěvková organizace)</t>
  </si>
  <si>
    <t>Nová lékárna v budově E (Nemocnice ve Frýdku-Místku, příspěvková organizace)</t>
  </si>
  <si>
    <t>Výměna podlahových krytin – dětské oddělení (Nemocnice s poliklinikou Havířov, příspěvková organizace)</t>
  </si>
  <si>
    <t>Nákup budovy v areálu Nenocnice Třinec (Nemocnice Třinec, příspěvková organizace)</t>
  </si>
  <si>
    <t>Pavilon N-dovybavení příslušenstvím zdrojových napájecích jednotek (Slezská nemocnice v Opavě)</t>
  </si>
  <si>
    <t>Pořízení komunikačního propojení informačních systémů Medix a  Akord (Nemocnice ve Frýdku-Místku, příspěvková organizace)</t>
  </si>
  <si>
    <t>Dovybavení koupelen v pavilonu interních oborů ve Slezské nemocnici v Opavě (Slezská nemocnice v Opavě, příspěvková organizace)</t>
  </si>
  <si>
    <t>Pavilon chirurgických oborů - dovybavení (Nemocnice ve Frýdku-Místku, příspěvková organizace)</t>
  </si>
  <si>
    <t xml:space="preserve">Výměna rozvodů vody v křídle A1 a v monobloku Karviná (Nemocnice s poliklinikou Karviná-Ráj, příspěvková organizace) </t>
  </si>
  <si>
    <t>Rekonstrukce a modernizace rehabilitace (Odborný léčebný ústav Metylovice – Moravskoslezské sanatorium, příspěvková organizace)</t>
  </si>
  <si>
    <t>Výměna výtahů v objektech zdravotnického zařízení (Sdružené zdravotnické zařízení Krnov, příspěvková organizace)</t>
  </si>
  <si>
    <t>Modernizace operačních sálů Orlová (Nemocnice s poliklinikou Karviná-Ráj, příspěvková organizace)</t>
  </si>
  <si>
    <t>Rekonstrukce výtahů č. 7a č. 17 (Nemocnice s poliklinikou Havířov, příspěvková organizace)</t>
  </si>
  <si>
    <t>Rekonstrukce sociálních zařízení lůžkových oddělení (Nemocnice s poliklinikou Havířov, příspěvková organizace)</t>
  </si>
  <si>
    <t>Modernizace a rekonstrukce výtahů Karviná (Nemocnice s poliklinikou Karviná-Ráj, příspěvková organizace)</t>
  </si>
  <si>
    <t>Rekonstrukce plynové kotelny a modernizace rehabilitace (Odborný léčebný ústav Metylovice – Moravskoslezské sanatorium, příspěvková organizace)</t>
  </si>
  <si>
    <t>Přístroje pro Beskydské oční centrum a interní oddělení  (Nemocnice ve Frýdku – Místku, příspěvková organizace)</t>
  </si>
  <si>
    <t>Úprava kanalizace areálu Karviná (Nemocnice s poliklinikou Karviná – Ráj, příspěvková organizace)</t>
  </si>
  <si>
    <t>Pojistné plnění v odvětví zdravotnictví</t>
  </si>
  <si>
    <t>Rekonstrukce výtahů v blocích C , D , E (Nemocnice ve Frýdku – Místku, příspěvková organizace)</t>
  </si>
  <si>
    <t>Pavilon chirurgických oborů – technická infrastruktura  (Nemocnice ve Frýdku – Místku, příspěvková organizace)</t>
  </si>
  <si>
    <t>Výměna podlahových krytin (Nemocnice s poliklinikou Havířov, příspěvková organizace)</t>
  </si>
  <si>
    <t>Úpravy rozvodů mediplynů  Karviná (Nemocnice s poliklinikou Karviná-Ráj, příspěvková organizace)</t>
  </si>
  <si>
    <t>Rekonstrukce rozvodny vysokého napětí Karviná (Nemocnice s poliklinikou Karviná-Ráj, příspěvková organizace)</t>
  </si>
  <si>
    <t>Nemocnice s poliklinikou v Novém Jičíně - reinvestiční část nájemného a opravy</t>
  </si>
  <si>
    <t>Rekonstrukce výtahů - pracoviště Orlová (Nemocnice s poliklinikou Karviná-Ráj, příspěvková organizace)</t>
  </si>
  <si>
    <t>Rekonstrukce gynekologicko-porodního oddělení (Nemocnice s poliklinikou Karviná-Ráj, příspěvková organizace)</t>
  </si>
  <si>
    <t>ODVĚTVÍ ZDRAVOTNICTVÍ</t>
  </si>
  <si>
    <t>ODVĚTVÍ ŠKOLSTVÍ CELKEM</t>
  </si>
  <si>
    <t>Podpora sportu - příspěvkové organizace MSK (Sportovní gymnázium Dany a Emila Zátopkových, Ostrava, příspěvková organizace)</t>
  </si>
  <si>
    <t>Oprava podlahy v objektu ZUŠ (Základní umělecká škola J. A. Komenského, Studénka, příspěvková organizace)</t>
  </si>
  <si>
    <t>Demolice zemědělské hospodářské budovy (Dětský domov a Školní jídelna, Nový Jičín, Revoluční 56, příspěvková organizace)</t>
  </si>
  <si>
    <t xml:space="preserve">Rozdíl do výše celkových výdajů na akci byl dokryt z vlastních zdrojů příspěvkových organizací. </t>
  </si>
  <si>
    <t>Podpora zabezpečení škol a školských zařízení</t>
  </si>
  <si>
    <t>Podíl na nákladech spojených s připojením odběrného zařízení a se zajištěním požadovaného příkonu (Slezské gymnázium, Opava, příspěvková organizace)</t>
  </si>
  <si>
    <t>Obnova části oplocení v úseku s kovovým litinovým plotem v areálu zámku Velké Heraltice (Základní škola, Střední škola, Dětský domov, Školní jídelna a Internát, Velké Heraltice, Opavská 1, příspěvková organizace)</t>
  </si>
  <si>
    <t>Nástěnný zdvižný systém  pro tělesně postižené žáky (Střední škola prof. Zdeňka Matějčka, Ostrava-Poruba, 17. listopadu 1123, příspěvková organizace)</t>
  </si>
  <si>
    <t>Rekonstrukce ústředního topení školy a tělocvičny (Sportovní gymnázium Dany a Emila Zátopkových, Ostrava, příspěvková organizace)</t>
  </si>
  <si>
    <t>Nákup automobilů pro příspěvkové organizace v odvětví školství</t>
  </si>
  <si>
    <t>Výměna rozvodů vnitřního vodovodu (Gymnázium a Střední odborná škola, Frýdek-Místek, Cihelní 410, příspěvková organizace)</t>
  </si>
  <si>
    <t>Rekonstrukce ležatých rozvodů vody (Střední škola teleinformatiky, Ostrava, příspěvková organizace)</t>
  </si>
  <si>
    <t>Výměna elektrických akumulačních kamen (Dětský domov a Školní jídelna, Melč 4, příspěvková organizace)</t>
  </si>
  <si>
    <t>Sanace opěrné betonové zdi (Dětský domov Loreta a Školní jídelna, Fulnek, příspěvková organizace)</t>
  </si>
  <si>
    <t>Rekonstrukce vstupu a komplexní zabezpečení objektu (Obchodní akademie a Střední odborná škola logistická, Opava, příspěvková organizace)</t>
  </si>
  <si>
    <t>Oprava komunikace a parkovacích ploch před budovou sportovního centra (Střední škola a Základní škola, Havířov – Šumbark, příspěvková organizace)</t>
  </si>
  <si>
    <t>Výměna oken (Základní umělecká škola, Nový Jičín, Derkova 1, příspěvková organizace)</t>
  </si>
  <si>
    <t>Výměna otopných těles a osazení termostatických ventilů (Střední škola průmyslová a umělecká, Opava, příspěvková organizace)</t>
  </si>
  <si>
    <t>Provedení drenáže a izolace základových konstrukcí (Základní umělecká škola, Klimkovice, Lidická 5, příspěvková organizace)</t>
  </si>
  <si>
    <t>Rekonstrukce školní kuchyně (Střední zdravotnická škola a Vyšší odborná škola zdravotnická, Ostrava, příspěvková organizace)</t>
  </si>
  <si>
    <t>Odstranění havarijního stavu střechy (Mateřská škola logopedická, Ostrava-Poruba, U Školky 1621, příspěvková organizace)</t>
  </si>
  <si>
    <t>Oprava střechy a sanace krovů (Mendelovo gymnázium, Opava, příspěvková organizace)</t>
  </si>
  <si>
    <t>Rekonstrukce stávajících podlah v  tělocvičně ul. Tyršova a likvidace septiku (Albrechtova střední škola, Český Těšín, příspěvková organizace)</t>
  </si>
  <si>
    <t>Rekonstrukce elektroinstalace osvětlení (Základní škola, Ostrava-Zábřeh, Kpt. Vajdy 1a, příspěvková organizace)</t>
  </si>
  <si>
    <t>Oprava elektroinstalace v budově školy a laboratořích - 2. a 3. etapa (Střední škola technická a zemědělská, Nový Jičín, příspěvková organizace)</t>
  </si>
  <si>
    <t>Rekonstrukce sociálního zařízení v budově školy - 3. etapa (Střední škola automobilní, mechanizace a podnikání, Krnov, příspěvková organizace)</t>
  </si>
  <si>
    <t>Oprava visutých střech objektu tělocvičen a bazénu (Střední škola elektrostavební a dřevozpracující, Frýdek-Místek, příspěvková organizace)</t>
  </si>
  <si>
    <t>Vybudování venkovního výtahu (Základní škola a Praktická škola, Opava, Slezského odboje 5, příspěvková organizace)</t>
  </si>
  <si>
    <t>Rekonstrukce elektroinstalace (Mateřská škola pro zrakově postižené, Havířov-Město, Mozartova 2, příspěvková organizace)</t>
  </si>
  <si>
    <t>Změna místa napojení, úprava měření el.energie a rekonstrukce napájecích rozvodů  (Obchodní akademie a Vyšší odborná škola sociální, Ostrava-Mariánské Hory, příspěvková organizace)</t>
  </si>
  <si>
    <t>Rekonstrukce elektroinstalace (Střední škola, Základní škola a Mateřská škola, Frýdek-Místek, příspěvková organizace)</t>
  </si>
  <si>
    <t>Izolace a sanace základů budov (Mendelova střední škola, Nový Jičín, příspěvková organizace)</t>
  </si>
  <si>
    <t>Stavební úpravy a sanace zdiva v suterénu (Všeobecné a sportovní gymnázium, Bruntál, příspěvková organizace)</t>
  </si>
  <si>
    <t>Oprava střechy - budova A na ul. 1. máje (Střední zdravotnická škola a Vyšší odborná škola zdravotnická, Ostrava, příspěvková organizace)</t>
  </si>
  <si>
    <t>Oprava vnitřních rozvodů vody a sociálních zařízení (Gymnázium a Střední odborná škola, Nový Jičín, příspěvková organizace)</t>
  </si>
  <si>
    <t xml:space="preserve">Výměna oken (Gymnázium Petra Bezruče, Frýdek-Místek, příspěvková organizace) </t>
  </si>
  <si>
    <t>Rekonstrukce rozvodů (Střední průmyslová škola chemická akademika Heyrovského a Gymnázium, Ostrava, příspěvková organizace)</t>
  </si>
  <si>
    <t xml:space="preserve">Nákup konvektomatu s příslušenstvím </t>
  </si>
  <si>
    <t>Oprava střechy objektu Husova  (Střední škola, Bohumín, příspěvková organizace)</t>
  </si>
  <si>
    <t>Úpravy krytého bazénu (Střední škola a Základní škola, Havířov-Šumbark, příspěvková organizace</t>
  </si>
  <si>
    <t>Rekonstrukce budovy na ul. Opavská 22 ve Vítkově (Střední škola, Odry, příspěvková organizace) v rámci akce Výdaje spojené s optimalizací škol - PO v odvětví školství</t>
  </si>
  <si>
    <t xml:space="preserve">Gymnázium, Karviná, příspěvková organizace (694 tis. Kč), Základní škola a Praktická škola, Opava, Slezského odboje 5, příspěvková organizace (390 tis. Kč), Střední odborná škola, Bruntál, příspěvková organizace (429 tis. Kč). Rozdíl do výše celkových výdajů na akci byl dokryt z vlastních zdrojů příspěvkových  organizací. </t>
  </si>
  <si>
    <t>Výdaje spojené s optimalizací škol - PO v odvětví školství</t>
  </si>
  <si>
    <t xml:space="preserve">Dětský domov a Školní jídelna, Příbor, Masarykova 607, příspěvková organizace (250 tis. Kč), Základní škola, Ostrava-Zábřeh, Kpt. Vajdy 1a, příspěvková organizace (250 tis. Kč). Rozdíl do výše celkových výdajů na akci byl dokryt z vlastních zdrojů příspěvkové organizace. </t>
  </si>
  <si>
    <t>Reprodukce majetku kraje v odvětví školství</t>
  </si>
  <si>
    <t>Rekonstrukce střechy spojovacího koridoru (Střední zdravotnická škola a Vyšší odborná škola zdravotnická, Ostrava, příspěvková organizace)</t>
  </si>
  <si>
    <t>Rekonstrukce elektroinstalace objektů školy (Masarykova střední škola zemědělská a Vyšší odborná škola, Opava, příspěvková organizace)</t>
  </si>
  <si>
    <t>ODVĚTVÍ ŠKOLSTVÍ</t>
  </si>
  <si>
    <t>ODVĚTVÍ SOCIÁLNÍCH VĚCÍ CELKEM</t>
  </si>
  <si>
    <t>Dovybavení nové sociální služby Domov pro osoby se zdravotním postižením (Benjamín, příspěvková organizace, Petřvald)</t>
  </si>
  <si>
    <t>Čistička odpadních vod v chráněném bydlení v Sedlnici  (Zámek Nová Horka, příspěvková organizace, Studénka)</t>
  </si>
  <si>
    <t>Rekonstrukce odvodnění budovy v chráněném bydlení v Sedlnici (Zámek Nová Horka, příspěvková organizace, Studénka)</t>
  </si>
  <si>
    <t>Pořízení elektricky ovládané hydraulické zvedací plošiny (Sírius, příspěvková organizace, Opava)</t>
  </si>
  <si>
    <t>Vstupní systém s funkcí evakuačních únikových východů (Náš svět, příspěvková organizace, Pržno)</t>
  </si>
  <si>
    <t>Kolejnicový zvedací a asistenční systém na přepravu imobilních osob se zdravotním postižením  (Harmonie, příspěvková organizace, Krnov)</t>
  </si>
  <si>
    <t>Záchranný archeologický výzkum-novostavba objektu chráněného bydlení v Osoblaze (Harmonie, příspěvková organizace, Krnov)</t>
  </si>
  <si>
    <t>Nákup automobilů pro příspěvkové organizace v odvětví sociálních věcí</t>
  </si>
  <si>
    <t>Rekonstrukce stávajícího výtahu na evakuační (Domov Duha, příspěvková organizace, Nový Jičín)</t>
  </si>
  <si>
    <t>Dispoziční změny v hlavní budově (Domov Na zámku, příspěvková organizace, Kyjovice)</t>
  </si>
  <si>
    <t>Rekonstrukce stávajícího výtahu na evakuační (Zámek Dolní Životice, příspěvková organizace)</t>
  </si>
  <si>
    <t>Rekonstrukce stávajícího výtahu na evakuační (Nový domov, příspěvková organizace, Karviná)</t>
  </si>
  <si>
    <t xml:space="preserve"> - </t>
  </si>
  <si>
    <t>Úpravy venkovních ploch objektu na ul. Hornická v Ostravě (Centrum psychologické pomoci, příspěvková organizace, Karviná)</t>
  </si>
  <si>
    <t>Venkovní úpravy ploch objektu na ul. K. Śliwky, č. p. 620 (Centrum psychologické pomoci, příspěvková organizace, Karviná)</t>
  </si>
  <si>
    <t>Revitalizace budovy Domova Příbor (Domov Příbor, příspěvková organizace)</t>
  </si>
  <si>
    <t>Revitalizace budovy Domova Letokruhy (Domov Letokruhy, příspěvková organizace, Budišov nad Budišovkou)</t>
  </si>
  <si>
    <t>Zateplení budovy č.p. 410 (Domov Odry, příspěvková organizace)</t>
  </si>
  <si>
    <t>Humanizace zařízení - 1. a 2. etapa pavilonu A (Nový domov, příspěvková organizace, Karviná)</t>
  </si>
  <si>
    <t>Pořízení konvektomatu - příspěvkové organizace v odvětví sociálních věcí</t>
  </si>
  <si>
    <t xml:space="preserve">Akce bude v roce 2016 spolufinancována ze státního rozpočtu ve výši 24,1 mil. Kč. </t>
  </si>
  <si>
    <t>Rekonstrukce objektu Domova Vítkov (Domov Vítkov, příspěvková organizace, Vítkov)</t>
  </si>
  <si>
    <t>ODVĚTVÍ SOCIÁLNÍCH VĚCÍ</t>
  </si>
  <si>
    <t>ODVĚTVÍ CESTOVNÍHO RUCHU CELKEM</t>
  </si>
  <si>
    <t>Reprodukce majetku kraje v rámci prezentace kraje na výstavě EXPO 2015</t>
  </si>
  <si>
    <t xml:space="preserve">Reprodukce majetku kraje v odvětví cestovního ruchu </t>
  </si>
  <si>
    <t>ODVĚTVÍ CESTOVNÍHO RUCHU</t>
  </si>
  <si>
    <t>ODVĚTVÍ REGIONÁLNÍHO ROZVOJE CELKEM</t>
  </si>
  <si>
    <t>Reprodukce majetku kraje v odvětví regionálního rozvoje</t>
  </si>
  <si>
    <t>ODVĚTVÍ REGIONÁLNÍHO ROZVOJE</t>
  </si>
  <si>
    <t>ODVĚTVÍ KULTURY CELKEM</t>
  </si>
  <si>
    <t>Projektová dokumentace „NKP zámek Bruntál – Revitalizace saly terreny“  (Muzeum v Bruntále, příspěvková organizace)</t>
  </si>
  <si>
    <t>Nákup podílu na budově muzea včetně pozemků v Českém Těšíně (Muzeum Těšínska, příspěvková organizace)</t>
  </si>
  <si>
    <t>Vybavení expozic a keramické dílny v novém vstupním objektu v Archeoparku (Muzeum Těšínska, příspěvková organizace, Český Těšín)</t>
  </si>
  <si>
    <t>Oprava dřevěného mostu a dřevostaveb v Archeoparku (Muzeum Těšínska, příspěvková organizace)</t>
  </si>
  <si>
    <t>Program rozvoje muzejnictví v Moravskoslezském kraji - Muzeum Novojičínska, příspěvková organizace</t>
  </si>
  <si>
    <t>Program rozvoje muzejnictví v Moravskoslezském kraji - Galerie výtvarného umění v Ostravě, příspěvková organizace, Ostrava</t>
  </si>
  <si>
    <t>Reprodukce majetku v odvětví kultury realizované ze státního rozpočtu - obnova kulturní památky  (Muzeum v Bruntále, příspěvková organizace)</t>
  </si>
  <si>
    <t>Reprodukce majetku v odvětví kultury realizované ze státního rozpočtu - obnova národní kulturní památky (Muzeum v Bruntále, příspěvková organizace)</t>
  </si>
  <si>
    <t>Reprodukce majetku v odvětví kultury realizované ze státního rozpočtu - obnova movité kulturní památky (Muzeum v Bruntále, příspěvková organizace)</t>
  </si>
  <si>
    <t>Reprodukce majetku v odvětví kultury realizované ze státního rozpočtu - restaurování sbírkového předmětu (Muzeum v Bruntále, příspěvková organizace)</t>
  </si>
  <si>
    <t>Reprodukce majetku v odvětví kultury realizované ze státního rozpočtu - restaurování díla Anonym a Kristovo dětství (Muzeum Těšínska, příspěvková organizace)</t>
  </si>
  <si>
    <t>Reprodukce majetku v odvětví kultury realizované ze státního rozpočtu - Pořízení kompresoru, ateliérové lampy, vysavače a stolu (Galerie výtvarného umění v Ostravě, příspěvková organizace)</t>
  </si>
  <si>
    <t>Reprodukce majetku v odvětví kultury realizované ze státního rozpočtu - Výkup kulturních památek a předmětů kulturní hodnoty mimořádného významu (Galerie výtvarného umění v Ostravě, příspěvková organizace)</t>
  </si>
  <si>
    <t>Těšínské divadlo - Malá scéna (Těšínské divadlo Český Těšín, příspěvková organizace)</t>
  </si>
  <si>
    <t>Akce byla pro rok 2016 zařazena k financování z evropských zdrojů.</t>
  </si>
  <si>
    <t>Přístavba Domu umění – Galerie 21. století (Galerie výtvarného umění v Ostravě, příspěvková organizace, Ostrava)</t>
  </si>
  <si>
    <t>Nákup budovy v Novém Jičíně (Muzeum Novojičínska, příspěvková organizace)</t>
  </si>
  <si>
    <t>ODVĚTVÍ KULTURY</t>
  </si>
  <si>
    <t>ODVĚTVÍ KRIZOVÉHO ŘÍZENÍ CELKEM</t>
  </si>
  <si>
    <t>Jedná se zpravidla o dílčí  akce ukončené v daném kalendářním roce.</t>
  </si>
  <si>
    <t>Integrované bezpečnostní centrum Moravskoslezského kraje - dovybavení</t>
  </si>
  <si>
    <t>ODVĚTVÍ KRIZOVÉHO ŘÍZENÍ</t>
  </si>
  <si>
    <t>ODVĚTVÍ FINANCE A SPRÁVA MAJETKU CELKEM</t>
  </si>
  <si>
    <t>ARR - klimatizace</t>
  </si>
  <si>
    <t>Dodání a implementace softwarového nástroje nákupního systému.</t>
  </si>
  <si>
    <t>Výdaje související se sdílenými službami - investiční</t>
  </si>
  <si>
    <t xml:space="preserve">Jedná se o celkové náklady na realizaci investičních opatření, včetně úhrady úroků, služeb za energetický management a finančních prostředků pro zúčtování roku 2015. </t>
  </si>
  <si>
    <t>Realizace energetických úspor metodou EPC ve vybraných objektech Moravskoslezského kraje</t>
  </si>
  <si>
    <t>ODVĚTVÍ FINANCE A SPRÁVA MAJETKU</t>
  </si>
  <si>
    <t>ODVĚTVÍ DOPRAVY CELKEM</t>
  </si>
  <si>
    <t xml:space="preserve">Rekonstrukce mostu ev.č. 459-006 přes řeku Opavu ve městě Krnov </t>
  </si>
  <si>
    <t>Silnice III/4721 ul. Michálkovická a MK ul. Hladnovská a ul. Keltičkova - okružní křižovatka (Správa silnic Moravskoslezského kraje, příspěvková organizace, Ostrava)</t>
  </si>
  <si>
    <t>Opravy majetku realizované z pojistných náhrad v odvětví dopravy</t>
  </si>
  <si>
    <t>Jedná se o opakovaně realizovanou akci. Výdaje na akci celkem jsou u této akce pouze součtem výdajů let 2014 až 2015.</t>
  </si>
  <si>
    <t>Protihluková opatření na silnicích II. a III. tříd (Správa silnic Moravskoslezského kraje, příspěvková organizace, Ostrava)</t>
  </si>
  <si>
    <t xml:space="preserve">Jedná se o každoročně opakovaně realizovanou akci. Výdaje na akci celkem jsou u této akce pouze součtem výdajů let 2014 až 2016. Rozdíl do výše celkových výdajů na akci byl dokryt z vlastních zdrojů příspěvkové organizace. </t>
  </si>
  <si>
    <t>Souvislé opravy silnic II. a III. tříd (Správa silnic Moravskoslezského kraje, příspěvková organizace, Ostrava)</t>
  </si>
  <si>
    <t>ODVĚTVÍ DOPRAVY</t>
  </si>
  <si>
    <t>stát</t>
  </si>
  <si>
    <t>kraj</t>
  </si>
  <si>
    <t>2014</t>
  </si>
  <si>
    <t>před r. 2014</t>
  </si>
  <si>
    <t>po r. 2018</t>
  </si>
  <si>
    <t>Poznámka</t>
  </si>
  <si>
    <t>PLÁN.VÝDAJE V LETECH</t>
  </si>
  <si>
    <t>PLÁNOVANÉ VÝDAJE 2016</t>
  </si>
  <si>
    <t>VÝDAJE V ROCE 2015</t>
  </si>
  <si>
    <t>VÝDAJE V PŘEDCHOZÍCH LETECH</t>
  </si>
  <si>
    <t>VÝDAJE NA AKCI CELKEM</t>
  </si>
  <si>
    <t>Název akce</t>
  </si>
  <si>
    <t>PŘEHLED AKCÍ REPRODUKCE MAJETKU KRAJE Z VLASTNÍCH ZDROJŮ VČETNĚ DOTACÍ ZE STÁTNÍHO ROZPOČTU V ROCE 2015
A PRŮMYSLOVÉ ZÓNY NAD BARBOROU</t>
  </si>
  <si>
    <t>Odvětví životního prostředí celkem</t>
  </si>
  <si>
    <t>Příspěvky na ozdravné pobyty</t>
  </si>
  <si>
    <t>Program na podporu výměny kotlů</t>
  </si>
  <si>
    <t>Podpora dobrovolných aktivit v oblasti udržitelného rozvoje</t>
  </si>
  <si>
    <t xml:space="preserve">Drobné vodohospodářské akce </t>
  </si>
  <si>
    <t>Podpora hospodaření v lesích v Moravskoslezském kraji</t>
  </si>
  <si>
    <t>Odvětví zdravotnictví celkem</t>
  </si>
  <si>
    <t>Program na podporu projektů ve zdravotnictví</t>
  </si>
  <si>
    <t>Odvětví školství celkem</t>
  </si>
  <si>
    <t>Podpora environmentálního vzdělávání, výchovy a osvěty (EVVO)</t>
  </si>
  <si>
    <t>Podpora aktivit v oblastech využití volného času dětí a mládeže a celoživotního vzdělávání osob se zdravotním postižením</t>
  </si>
  <si>
    <t>Podpora sportu v Moravskoslezském kraji</t>
  </si>
  <si>
    <t>Odvětví sociálních věcí celkem</t>
  </si>
  <si>
    <t>1778+8406</t>
  </si>
  <si>
    <t>Program na podporu poskytování sociálních služeb</t>
  </si>
  <si>
    <t>Program na podporu komunitní práce a na zmírňování následků sociálního vyloučení v sociálně vyloučených lokalitách Moravskoslezského kraje</t>
  </si>
  <si>
    <t>Program na podporu neinvestičních aktivit z oblasti prevence kriminality</t>
  </si>
  <si>
    <t>Program na podporu zvýšení kvality sociálních služeb poskytovaných v Moravskoslezském kraji</t>
  </si>
  <si>
    <t>Program realizace specifických aktivit Moravskoslezského krajského plánu vyrovnávání příležitostí pro občany se zdravotním postižením</t>
  </si>
  <si>
    <t>Program protidrogové politiky kraje</t>
  </si>
  <si>
    <t>Program rozvoje sociálních služeb kraje, včetně navazujících činností a činností v oblasti sociálně právní ochrany dětí</t>
  </si>
  <si>
    <t>Program na podporu financování běžných výdajů souvisejících s poskytováním sociálních služeb</t>
  </si>
  <si>
    <t>1777+8407</t>
  </si>
  <si>
    <t>Program zajištění dostupnosti vybraných sociálních služeb v Moravskoslezském kraji</t>
  </si>
  <si>
    <t>Odvětví cestovního ruchu celkem</t>
  </si>
  <si>
    <t>Podpora turistických informačních center v Moravskoslezském kraji</t>
  </si>
  <si>
    <t>1743+8700</t>
  </si>
  <si>
    <t>Program na podporu technických atraktivit</t>
  </si>
  <si>
    <t>Úprava lyžařských běžeckých tras v Moravskoslezském kraji</t>
  </si>
  <si>
    <t>Podpora turistických oblastí v Moravskoslezském kraji</t>
  </si>
  <si>
    <t>Program na podporu systému destinačního managementu turistických oblastí</t>
  </si>
  <si>
    <t>Odvětví regionálního rozvoje celkem</t>
  </si>
  <si>
    <t>Program na zvýšení absorpční kapacity obcí a měst do 10 tis. obyvatel</t>
  </si>
  <si>
    <t>Program na podporu start ups v Moravskoslezském kraji</t>
  </si>
  <si>
    <t>Podpora Místních akčních skupin Moravskoslezského kraje</t>
  </si>
  <si>
    <t xml:space="preserve">Podpora obnovy a rozvoje venkova Moravskoslezského kraje </t>
  </si>
  <si>
    <t>Podpora podnikání</t>
  </si>
  <si>
    <t>Podpora vědy a výzkumu v Moravskoslezském kraji</t>
  </si>
  <si>
    <t xml:space="preserve">Program na podporu přípravy projektové dokumentace </t>
  </si>
  <si>
    <t>Program podpory financování akcí s podporou EU pro obce do 2 tis. obyvatel</t>
  </si>
  <si>
    <t>Odvětví kultury celkem</t>
  </si>
  <si>
    <t>Program podpory aktivit příslušníků národnostních menšin žijících na území Moravskoslezského kraje</t>
  </si>
  <si>
    <t xml:space="preserve">Program podpory aktivit v oblasti kultury </t>
  </si>
  <si>
    <t xml:space="preserve">Program obnovy kulturních památek a památkově chráněných nemovitostí v Moravskoslezském kraji </t>
  </si>
  <si>
    <t>Čerpání UR (%)</t>
  </si>
  <si>
    <t>Akce</t>
  </si>
  <si>
    <t>PŘEHLED DOTAČNÍCH PROGRAMŮ PODPOŘENÝCH Z ROZPOČTU KRAJE
V ROCE 2015</t>
  </si>
  <si>
    <t>PŘEHLED INDIVIDUÁLNÍCH DOTACÍ POSKYTNUTÝCH Z ROZPOČTU KRAJE V ROCE 2015</t>
  </si>
  <si>
    <t>Zdůvodnění případného nečerpání poskytnutých dotací je uvedeno v přehledech výdajů za jednotlivá odvětví (tabulky č. 8 - 19 této přílohy).</t>
  </si>
  <si>
    <t>Odvětví/účel použití</t>
  </si>
  <si>
    <t>Příjemce</t>
  </si>
  <si>
    <t>Centrum služeb pro silniční dopravu</t>
  </si>
  <si>
    <t>Konference Transport</t>
  </si>
  <si>
    <t>Sdružení pro rozvoj Moravskoslezského kraje z.s., Ostrava-Mariánské Hory a Hulváky</t>
  </si>
  <si>
    <t>Regionální rada rozvoje a spolupráce, Třinec</t>
  </si>
  <si>
    <t>Podpora aktivit obcí</t>
  </si>
  <si>
    <t xml:space="preserve">Město Bílovec </t>
  </si>
  <si>
    <t xml:space="preserve">Obec Hrabyně </t>
  </si>
  <si>
    <t xml:space="preserve">Obec Jeseník nad Odrou </t>
  </si>
  <si>
    <t>Obec Václavov u Bruntálu</t>
  </si>
  <si>
    <t>Ostrava, Stará Bělá</t>
  </si>
  <si>
    <t>Ostatní individuální dotace v odvětví dopravy</t>
  </si>
  <si>
    <t>OSTRAVA BEZPEČNÁ DOPRAVA!!!, Ostrava-Moravská Ostrava a Přívoz</t>
  </si>
  <si>
    <t>Odvětví dopravy celkem</t>
  </si>
  <si>
    <t>Činnost krajského sdružení hasičů Moravskoslezského kraje</t>
  </si>
  <si>
    <t>SH ČMS - krajské sdružení hasičů Moravskoslezského kraje, Ostrava-Zábřeh</t>
  </si>
  <si>
    <t xml:space="preserve">Podpora činnosti bezpečnostních a ostatních složek Moravskoslezského kraje       </t>
  </si>
  <si>
    <t>Krajské ředitelství policie Moravskoslezského kraje</t>
  </si>
  <si>
    <t>Podpora obcím a organizacím na úseku bezpečnosti a Integrovaného záchranného systému (IZS)</t>
  </si>
  <si>
    <t>Horská služba ČR  o.p.s., Špindlerův Mlýn</t>
  </si>
  <si>
    <t xml:space="preserve">Město Petřvald </t>
  </si>
  <si>
    <t>Místní skupina - R vodní záchranné služby Českého červeného kříže Nový Jičín, Nový Jičín</t>
  </si>
  <si>
    <t>Místní skupina Vodní záchranné služby Českého červeného kříže Frýdek-Místek, Frýdek-Místek</t>
  </si>
  <si>
    <t>Místní skupina Vodní záchranné služby Českého Červeného kříže, Ostrava-Svinov</t>
  </si>
  <si>
    <t>MS VZS ČČK BRUNTÁL, Bruntál</t>
  </si>
  <si>
    <t xml:space="preserve">Obec Dobrá </t>
  </si>
  <si>
    <t xml:space="preserve">Obec Horní Bludovice </t>
  </si>
  <si>
    <t xml:space="preserve">Obec Hrádek </t>
  </si>
  <si>
    <t xml:space="preserve">Obec Luboměř </t>
  </si>
  <si>
    <t xml:space="preserve">Obec Mosty u Jablunkova </t>
  </si>
  <si>
    <t xml:space="preserve">Obec Petřvald </t>
  </si>
  <si>
    <t>Oblastní spolek Českého červeného kříže Ostrava, Ostrava-Moravská Ostrava a Přívoz</t>
  </si>
  <si>
    <t>Příspěvek Hasičskému záchrannému sboru Moravskoslezského kraje na výstavbu a rekonstrukci hasičských stanic</t>
  </si>
  <si>
    <t>Hasičský záchranný sbor Moravskoslezského kraje</t>
  </si>
  <si>
    <t xml:space="preserve">Příspěvek obcím na financování potřeb jednotek sborů dobrovolných hasičů obcí </t>
  </si>
  <si>
    <t xml:space="preserve">Město Andělská Hora </t>
  </si>
  <si>
    <t xml:space="preserve">Město Bohumín </t>
  </si>
  <si>
    <t xml:space="preserve">Město Bruntál </t>
  </si>
  <si>
    <t xml:space="preserve">Město Brušperk </t>
  </si>
  <si>
    <t xml:space="preserve">Město Břidličná </t>
  </si>
  <si>
    <t>Město Budišov nad Budišovkou</t>
  </si>
  <si>
    <t xml:space="preserve">Město Český Těšín </t>
  </si>
  <si>
    <t xml:space="preserve">Město Dolní Benešov </t>
  </si>
  <si>
    <t>Město Frenštát pod Radhoštěm</t>
  </si>
  <si>
    <t>Město Frýdlant nad Ostravicí</t>
  </si>
  <si>
    <t xml:space="preserve">Město Fulnek </t>
  </si>
  <si>
    <t xml:space="preserve">Město Hlučín </t>
  </si>
  <si>
    <t xml:space="preserve">Město Horní Benešov </t>
  </si>
  <si>
    <t xml:space="preserve">Město Hradec nad Moravicí </t>
  </si>
  <si>
    <t xml:space="preserve">Město Jablunkov </t>
  </si>
  <si>
    <t xml:space="preserve">Město Klimkovice </t>
  </si>
  <si>
    <t xml:space="preserve">Město Kopřivnice </t>
  </si>
  <si>
    <t xml:space="preserve">Město Kravaře </t>
  </si>
  <si>
    <t xml:space="preserve">Město Krnov </t>
  </si>
  <si>
    <t xml:space="preserve">Město Město Albrechtice </t>
  </si>
  <si>
    <t xml:space="preserve">Město Nový Jičín </t>
  </si>
  <si>
    <t xml:space="preserve">Město Odry </t>
  </si>
  <si>
    <t xml:space="preserve">Město Orlová </t>
  </si>
  <si>
    <t xml:space="preserve">Město Paskov </t>
  </si>
  <si>
    <t xml:space="preserve">Město Příbor </t>
  </si>
  <si>
    <t xml:space="preserve">Město Rychvald </t>
  </si>
  <si>
    <t xml:space="preserve">Město Rýmařov </t>
  </si>
  <si>
    <t xml:space="preserve">Město Studénka </t>
  </si>
  <si>
    <t xml:space="preserve">Město Šenov </t>
  </si>
  <si>
    <t xml:space="preserve">Město Štramberk </t>
  </si>
  <si>
    <t xml:space="preserve">Město Třinec </t>
  </si>
  <si>
    <t xml:space="preserve">Město Vítkov </t>
  </si>
  <si>
    <t xml:space="preserve">Město Vratimov </t>
  </si>
  <si>
    <t xml:space="preserve">Město Vrbno pod Pradědem </t>
  </si>
  <si>
    <t xml:space="preserve">Městys Litultovice </t>
  </si>
  <si>
    <t xml:space="preserve">Městys Spálov </t>
  </si>
  <si>
    <t xml:space="preserve">Městys Suchdol nad Odrou </t>
  </si>
  <si>
    <t xml:space="preserve">Obec Albrechtice </t>
  </si>
  <si>
    <t xml:space="preserve">Obec Bartošovice </t>
  </si>
  <si>
    <t xml:space="preserve">Obec Baška </t>
  </si>
  <si>
    <t xml:space="preserve">Obec Bernartice nad Odrou </t>
  </si>
  <si>
    <t xml:space="preserve">Obec Bítov </t>
  </si>
  <si>
    <t xml:space="preserve">Obec Bohuslavice </t>
  </si>
  <si>
    <t xml:space="preserve">Obec Bolatice </t>
  </si>
  <si>
    <t xml:space="preserve">Obec Bordovice </t>
  </si>
  <si>
    <t xml:space="preserve">Obec Bravantice </t>
  </si>
  <si>
    <t xml:space="preserve">Obec Brumovice </t>
  </si>
  <si>
    <t xml:space="preserve">Obec Březová </t>
  </si>
  <si>
    <t xml:space="preserve">Obec Budišovice </t>
  </si>
  <si>
    <t xml:space="preserve">Obec Bukovec </t>
  </si>
  <si>
    <t xml:space="preserve">Obec Čeladná </t>
  </si>
  <si>
    <t>Obec Čermná</t>
  </si>
  <si>
    <t xml:space="preserve">Obec Darkovice </t>
  </si>
  <si>
    <t xml:space="preserve">Obec Dětmarovice </t>
  </si>
  <si>
    <t xml:space="preserve">Obec Dobroslavice </t>
  </si>
  <si>
    <t xml:space="preserve">Obec Dolní Domaslavice </t>
  </si>
  <si>
    <t xml:space="preserve">Obec Dolní Lhota </t>
  </si>
  <si>
    <t xml:space="preserve">Obec Dolní Lutyně </t>
  </si>
  <si>
    <t xml:space="preserve">Obec Dolní Moravice </t>
  </si>
  <si>
    <t xml:space="preserve">Obec Dolní Tošanovice </t>
  </si>
  <si>
    <t xml:space="preserve">Obec Doubrava </t>
  </si>
  <si>
    <t xml:space="preserve">Obec Dvorce </t>
  </si>
  <si>
    <t xml:space="preserve">Obec Háj ve Slezsku </t>
  </si>
  <si>
    <t xml:space="preserve">Obec Heřmánky </t>
  </si>
  <si>
    <t xml:space="preserve">Obec Hladké Životice </t>
  </si>
  <si>
    <t xml:space="preserve">Obec Hlavnice </t>
  </si>
  <si>
    <t xml:space="preserve">Obec Hlubočec </t>
  </si>
  <si>
    <t xml:space="preserve">Obec Hněvošice </t>
  </si>
  <si>
    <t xml:space="preserve">Obec Hodslavice </t>
  </si>
  <si>
    <t xml:space="preserve">Obec Holasovice </t>
  </si>
  <si>
    <t xml:space="preserve">Obec Horní Domaslavice </t>
  </si>
  <si>
    <t xml:space="preserve">Obec Horní Lomná </t>
  </si>
  <si>
    <t xml:space="preserve">Obec Horní Město </t>
  </si>
  <si>
    <t xml:space="preserve">Obec Horní Suchá </t>
  </si>
  <si>
    <t xml:space="preserve">Obec Chotěbuz </t>
  </si>
  <si>
    <t xml:space="preserve">Obec Jakartovice </t>
  </si>
  <si>
    <t>Obec Jakubčovice nad Odrou</t>
  </si>
  <si>
    <t xml:space="preserve">Obec Janovice </t>
  </si>
  <si>
    <t xml:space="preserve">Obec Jindřichov </t>
  </si>
  <si>
    <t xml:space="preserve">Obec Jistebník </t>
  </si>
  <si>
    <t xml:space="preserve">Obec Kaňovice </t>
  </si>
  <si>
    <t xml:space="preserve">Obec Karlova Studánka </t>
  </si>
  <si>
    <t xml:space="preserve">Obec Kateřinice </t>
  </si>
  <si>
    <t xml:space="preserve">Obec Kobeřice </t>
  </si>
  <si>
    <t xml:space="preserve">Obec Komorní Lhotka </t>
  </si>
  <si>
    <t xml:space="preserve">Obec Kozlovice </t>
  </si>
  <si>
    <t xml:space="preserve">Obec Kozmice </t>
  </si>
  <si>
    <t xml:space="preserve">Obec Krmelín </t>
  </si>
  <si>
    <t xml:space="preserve">Obec Kružberk </t>
  </si>
  <si>
    <t xml:space="preserve">Obec Kujavy </t>
  </si>
  <si>
    <t>Obec Kunčice pod Ondřejníkem</t>
  </si>
  <si>
    <t>Obec Kyjovice</t>
  </si>
  <si>
    <t xml:space="preserve">Obec Lhotka </t>
  </si>
  <si>
    <t>Obec Libhošť</t>
  </si>
  <si>
    <t xml:space="preserve">Obec Lichnov </t>
  </si>
  <si>
    <t xml:space="preserve">Obec Liptaň </t>
  </si>
  <si>
    <t xml:space="preserve">Obec Lomnice </t>
  </si>
  <si>
    <t xml:space="preserve">Obec Lučina </t>
  </si>
  <si>
    <t xml:space="preserve">Obec Ludgeřovice </t>
  </si>
  <si>
    <t xml:space="preserve">Obec Malá Morávka </t>
  </si>
  <si>
    <t xml:space="preserve">Obec Markvartovice </t>
  </si>
  <si>
    <t xml:space="preserve">Obec Melč </t>
  </si>
  <si>
    <t xml:space="preserve">Obec Metylovice </t>
  </si>
  <si>
    <t xml:space="preserve">Obec Mikolajice </t>
  </si>
  <si>
    <t xml:space="preserve">Obec Milíkov </t>
  </si>
  <si>
    <t xml:space="preserve">Obec Milotice nad Opavou </t>
  </si>
  <si>
    <t xml:space="preserve">Obec Mokré Lazce </t>
  </si>
  <si>
    <t xml:space="preserve">Obec Morávka </t>
  </si>
  <si>
    <t xml:space="preserve">Obec Moravskoslezský Kočov </t>
  </si>
  <si>
    <t xml:space="preserve">Obec Mořkov </t>
  </si>
  <si>
    <t xml:space="preserve">Obec Mošnov </t>
  </si>
  <si>
    <t xml:space="preserve">Obec Návsí </t>
  </si>
  <si>
    <t xml:space="preserve">Obec Neplachovice </t>
  </si>
  <si>
    <t xml:space="preserve">Obec Nižní Lhoty </t>
  </si>
  <si>
    <t xml:space="preserve">Obec Nošovice </t>
  </si>
  <si>
    <t xml:space="preserve">Obec Nové Sedlice </t>
  </si>
  <si>
    <t xml:space="preserve">Obec Olbramice </t>
  </si>
  <si>
    <t xml:space="preserve">Obec Osoblaha </t>
  </si>
  <si>
    <t xml:space="preserve">Obec Ostravice </t>
  </si>
  <si>
    <t xml:space="preserve">Obec Palkovice </t>
  </si>
  <si>
    <t xml:space="preserve">Obec Pazderna </t>
  </si>
  <si>
    <t>Obec Petrovice u Karviné</t>
  </si>
  <si>
    <t xml:space="preserve">Obec Písečná </t>
  </si>
  <si>
    <t xml:space="preserve">Obec Píšť </t>
  </si>
  <si>
    <t xml:space="preserve">Obec Pražmo </t>
  </si>
  <si>
    <t xml:space="preserve">Obec Pržno </t>
  </si>
  <si>
    <t xml:space="preserve">Obec Pstruží </t>
  </si>
  <si>
    <t xml:space="preserve">Obec Pustá Polom </t>
  </si>
  <si>
    <t xml:space="preserve">Obec Radkov </t>
  </si>
  <si>
    <t xml:space="preserve">Obec Raškovice </t>
  </si>
  <si>
    <t xml:space="preserve">Obec Ropice </t>
  </si>
  <si>
    <t xml:space="preserve">Obec Rybí </t>
  </si>
  <si>
    <t xml:space="preserve">Obec Ryžoviště </t>
  </si>
  <si>
    <t xml:space="preserve">Obec Řepiště </t>
  </si>
  <si>
    <t xml:space="preserve">Obec Sedliště </t>
  </si>
  <si>
    <t xml:space="preserve">Obec Sedlnice </t>
  </si>
  <si>
    <t xml:space="preserve">Obec Skotnice </t>
  </si>
  <si>
    <t xml:space="preserve">Obec Skřipov </t>
  </si>
  <si>
    <t xml:space="preserve">Obec Slatina </t>
  </si>
  <si>
    <t xml:space="preserve">Obec Slavkov </t>
  </si>
  <si>
    <t xml:space="preserve">Obec Slezské Rudoltice </t>
  </si>
  <si>
    <t xml:space="preserve">Obec Stará Ves nad Ondřejnicí </t>
  </si>
  <si>
    <t xml:space="preserve">Obec Staré Hamry </t>
  </si>
  <si>
    <t>Obec Staré Město</t>
  </si>
  <si>
    <t xml:space="preserve">Obec Starý Jičín </t>
  </si>
  <si>
    <t xml:space="preserve">Obec Stěbořice </t>
  </si>
  <si>
    <t xml:space="preserve">Obec Stonava </t>
  </si>
  <si>
    <t xml:space="preserve">Obec Strahovice </t>
  </si>
  <si>
    <t xml:space="preserve">Obec Světlá Hora </t>
  </si>
  <si>
    <t xml:space="preserve">Obec Šilheřovice </t>
  </si>
  <si>
    <t xml:space="preserve">Obec Štáblovice </t>
  </si>
  <si>
    <t xml:space="preserve">Obec Těrlicko </t>
  </si>
  <si>
    <t xml:space="preserve">Obec Těškovice </t>
  </si>
  <si>
    <t xml:space="preserve">Obec Tichá </t>
  </si>
  <si>
    <t xml:space="preserve">Obec Tísek </t>
  </si>
  <si>
    <t xml:space="preserve">Obec Trnávka </t>
  </si>
  <si>
    <t xml:space="preserve">Obec Trojanovice </t>
  </si>
  <si>
    <t xml:space="preserve">Obec Třemešná </t>
  </si>
  <si>
    <t xml:space="preserve">Obec Uhlířov </t>
  </si>
  <si>
    <t xml:space="preserve">Obec Úvalno </t>
  </si>
  <si>
    <t xml:space="preserve">Obec Václavovice </t>
  </si>
  <si>
    <t xml:space="preserve">Obec Velká Polom </t>
  </si>
  <si>
    <t xml:space="preserve">Obec Velké Albrechtice </t>
  </si>
  <si>
    <t xml:space="preserve">Obec Velké Heraltice </t>
  </si>
  <si>
    <t xml:space="preserve">Obec Velké Hoštice </t>
  </si>
  <si>
    <t xml:space="preserve">Obec Veřovice </t>
  </si>
  <si>
    <t xml:space="preserve">Obec Větřkovice </t>
  </si>
  <si>
    <t xml:space="preserve">Obec Vojkovice </t>
  </si>
  <si>
    <t xml:space="preserve">Obec Vražné </t>
  </si>
  <si>
    <t xml:space="preserve">Obec Vrchy </t>
  </si>
  <si>
    <t>Obec Vřesina</t>
  </si>
  <si>
    <t>Obec Vřesina - okres Ostrava</t>
  </si>
  <si>
    <t xml:space="preserve">Obec Vyšní Lhoty </t>
  </si>
  <si>
    <t xml:space="preserve">Obec Zátor </t>
  </si>
  <si>
    <t xml:space="preserve">Obec Závada </t>
  </si>
  <si>
    <t xml:space="preserve">Obec Závišice </t>
  </si>
  <si>
    <t xml:space="preserve">Obec Ženklava </t>
  </si>
  <si>
    <t xml:space="preserve">Statutární město Frýdek-Místek </t>
  </si>
  <si>
    <t xml:space="preserve">Statutární město Havířov </t>
  </si>
  <si>
    <t xml:space="preserve">Statutární město Karviná </t>
  </si>
  <si>
    <t xml:space="preserve">Statutární město Opava </t>
  </si>
  <si>
    <t xml:space="preserve">Statutární město Ostrava  </t>
  </si>
  <si>
    <t>Zachování a obnova válečných hrobů a pietních míst</t>
  </si>
  <si>
    <t>Farní sbor Slezské církve evangelické a. v. v Gutech, Třinec</t>
  </si>
  <si>
    <t xml:space="preserve">Obec Hukvaldy </t>
  </si>
  <si>
    <t xml:space="preserve">Obec Nová Pláň </t>
  </si>
  <si>
    <t xml:space="preserve">Obec Rohov </t>
  </si>
  <si>
    <t xml:space="preserve">Obec Roudno </t>
  </si>
  <si>
    <t xml:space="preserve">Obec Staříč </t>
  </si>
  <si>
    <t xml:space="preserve">Obec Sudice </t>
  </si>
  <si>
    <t xml:space="preserve">Obec Svobodné Heřmanice </t>
  </si>
  <si>
    <t xml:space="preserve">Obec Tvrdkov </t>
  </si>
  <si>
    <t>Ostatní individuální dotace v odvětví krizového řízení</t>
  </si>
  <si>
    <t>Fakultní nemocnice Ostrava</t>
  </si>
  <si>
    <t>Sbor dobrovolných hasičů Heřmánky, Heřmánky</t>
  </si>
  <si>
    <t>Sbor dobrovolných hasičů Jablunkov, Jablunkov</t>
  </si>
  <si>
    <t>Sbor dobrovolných hasičů Spálov, Spálov</t>
  </si>
  <si>
    <t>Sportovní klub Hasičského záchranného sboru Moravskoslezského kraje o.s., Ostrava-Jih</t>
  </si>
  <si>
    <t>Odvětví krizového řízení celkem</t>
  </si>
  <si>
    <t xml:space="preserve">Kulturní akce krajského a nadregionálního významu </t>
  </si>
  <si>
    <t>Colour Production, spol. s r. o., Dolní Lhota</t>
  </si>
  <si>
    <t>Dětský folklorní soubor Ostravička, Frýdek-Místek</t>
  </si>
  <si>
    <t>"Festival Poodří Františka Lýska", o.s., Ostrava-Stará Bělá</t>
  </si>
  <si>
    <t>Fond-Janáčkovy Hukvaldy, Ostrava-Moravská Ostrava a Přívoz</t>
  </si>
  <si>
    <t>Janáčkův máj, o.p.s. , Ostrava-Moravská Ostrava a Přívoz</t>
  </si>
  <si>
    <t>Klub žen Lhotka</t>
  </si>
  <si>
    <t>Matice slezská, místní odbor v Dolní Lomné, Dolní Lomná</t>
  </si>
  <si>
    <t>Matice Slezská, místní odbor v Opavě</t>
  </si>
  <si>
    <t>Místní skupina Polského kulturně-osvětového svazu v Jablunkově, Jablunkov</t>
  </si>
  <si>
    <t>Občanské sdružení "Sdružení Rómů Severní Moravy", Karviná</t>
  </si>
  <si>
    <t>Obec Štítina</t>
  </si>
  <si>
    <t>PaS de Theatre s.r.o., Ostrava-Přívoz</t>
  </si>
  <si>
    <t xml:space="preserve">Rusko-české vědecké a kulturní fórum, o.p.s., Ostrava </t>
  </si>
  <si>
    <t>Soubor lid. písní a tanců Valašský vojvoda Kozlovic, Kozlovice</t>
  </si>
  <si>
    <t>Svatováclavský hudební festival, Ostrava-Moravská Ostrava a Přívoz</t>
  </si>
  <si>
    <t>Tofel Zdeněk - ZDENY, Ostrava-Mariánské Hory a Hulváky</t>
  </si>
  <si>
    <t>Valašské folklórní sdružení, Vsetín</t>
  </si>
  <si>
    <t>Ocenění udělovaná v odvětví kultury</t>
  </si>
  <si>
    <t>Podpora individuálních akcí na obnovu kulturních památek a památek místního významu</t>
  </si>
  <si>
    <t>Římskokatolická farnost Čeladná, Čeladná</t>
  </si>
  <si>
    <t>Podpora neprofesionálního umění v Moravskoslezském kraji</t>
  </si>
  <si>
    <t>MAR production s.r.o., Stará Bělá</t>
  </si>
  <si>
    <t>Mgr. Halina Františáková, Ostrava-Moravská Ostrava a Přívoz</t>
  </si>
  <si>
    <t>Místní skupina Polského kulturně - osvětového svazu v Návsí, Návsí</t>
  </si>
  <si>
    <t>Podpora profesionálních divadel a profesionálního symfonického orchestru</t>
  </si>
  <si>
    <t>Divadelní společnost Petra Bezruče s.r.o., Moravská Ostrava a Přívoz</t>
  </si>
  <si>
    <t xml:space="preserve">Soutěže, festivaly a aktivity v oblasti kultury </t>
  </si>
  <si>
    <t>Alliance Francaise Ostrava, Ostrava-Moravská Ostrava a Přívoz</t>
  </si>
  <si>
    <t>ANGELUS AUREUS o.p.s., Ostrava-Slezská Ostrava</t>
  </si>
  <si>
    <t>Asociace řeckých obcí v České republice, Krnov</t>
  </si>
  <si>
    <t>Czech Architecture Week, s.r.o., Praha 2</t>
  </si>
  <si>
    <t>Česká tábornická unie VELKÁ RADA OBLASTI BESKYDY, Ostrava-Mor.Ostrava a Přívoz</t>
  </si>
  <si>
    <t>Diecézní charita ostravsko-opavská, Ostrava</t>
  </si>
  <si>
    <t>Fond pro opuštěné a handicapované děti, Mořkov</t>
  </si>
  <si>
    <t>GLOBAL NETWORKS s.r.o., Ostrava, Moravská Ostrava</t>
  </si>
  <si>
    <t>Ilona Kučerová, Ostrava</t>
  </si>
  <si>
    <t>Kulturárium, o. s., Brno</t>
  </si>
  <si>
    <t>Místní skupina Polského kulturně-osvětového svazu v Karviné-Fryštátě, Karviná</t>
  </si>
  <si>
    <t>MÚZA - sdružení základních uměleckých škol Moravskoslezského kraje, Orlová</t>
  </si>
  <si>
    <t>Národní památkový ústav</t>
  </si>
  <si>
    <t>Občanské sdružení "AVE", Český Těšín</t>
  </si>
  <si>
    <t>Občanské sdružení Jany Doležílkové, Ostrava</t>
  </si>
  <si>
    <t>Občanské sdružení ŠPINAVCI, Ostrava-Jih</t>
  </si>
  <si>
    <t xml:space="preserve">Obec Bystřice </t>
  </si>
  <si>
    <t xml:space="preserve">Obec Dívčí Hrad </t>
  </si>
  <si>
    <t>Ostravské centrum nové hudby, Ostrava</t>
  </si>
  <si>
    <t>Sdružení Permoník, Karviná</t>
  </si>
  <si>
    <t>Společnost MARIE z.s., Ostrava-Mar. Hory a Hulváky</t>
  </si>
  <si>
    <t>"Společnost pro Pobeskydí", Frýdek-Místek</t>
  </si>
  <si>
    <t>Společnost pro symfonickou a komorní hudbu ve Frýdku-Místku, Frýdek-Místek</t>
  </si>
  <si>
    <t>Sportovní klub policie Ostrava, Ostrava-Moravská Ostrava a Přívoz</t>
  </si>
  <si>
    <t>Ostatní individuální dotace v odvětví kultury</t>
  </si>
  <si>
    <t>ProMancus o.p.s., Ostrava-Přívoz</t>
  </si>
  <si>
    <t>ODVĚTVÍ PREZENTACE KRAJE A EDIČNÍ PLÁN</t>
  </si>
  <si>
    <t>Mezinárodní spolupráce</t>
  </si>
  <si>
    <t xml:space="preserve">Podpora akcí celokrajského významu </t>
  </si>
  <si>
    <t>Český svaz bojovníků za svobodu, o.s., Praha 2</t>
  </si>
  <si>
    <t>JAGELLO 2000, Ostrava-Mariánské Hory a Hulváky</t>
  </si>
  <si>
    <t>Klastr sociálních inovací a podniků - SINEC, Třinec</t>
  </si>
  <si>
    <t>Sdružení českých spotřebitelů, z.ú. , Praha 10 – Strašnice</t>
  </si>
  <si>
    <t>Svaz podnikatelů ve stavebnictví v České republice, Praha 1</t>
  </si>
  <si>
    <t>Ostatní individuální dotace v odvětví prezentace kraje a edičního plánu</t>
  </si>
  <si>
    <t>BENEWELL s.r.o., Praha 8</t>
  </si>
  <si>
    <t>Česko-polská obchodní komora Ostrava, Ostrava-Moravská Ostrava a Přívoz</t>
  </si>
  <si>
    <t>DTO CZ, s.r.o., Ostrava-Mar. Hory a Hulváky</t>
  </si>
  <si>
    <t>free.lepus.cz, Ostrava-Hrabůvka</t>
  </si>
  <si>
    <t>Klub plynárenské historie, Hlučín</t>
  </si>
  <si>
    <t>MONTANEX a.s., Ostrava Mariánské Hory a Hulváky</t>
  </si>
  <si>
    <t>Ostravský ruský dům, Ostrava, Moravská Ostrava a Přívoz</t>
  </si>
  <si>
    <t>Richard Langer, Plzeň 3</t>
  </si>
  <si>
    <t>Sbor dobrovolných hasičů Ostrava-Zábřeh, Ostrava-Jih</t>
  </si>
  <si>
    <t>Sdružení hasičů Čech, Moravy a Slezska, Sbor dobrovolných hasičů Větřkovice</t>
  </si>
  <si>
    <t>Televize Přerov s.r.o., Přerov</t>
  </si>
  <si>
    <t>Veteran Car Club Ostrava, Ostrava, Svinov</t>
  </si>
  <si>
    <t>Odvětví prezentace kraje a ediční plán celkem</t>
  </si>
  <si>
    <t>Podpora mobilit studentů VŠ a vědeckých pracovníků</t>
  </si>
  <si>
    <t>Ostravská univerzita v Ostravě</t>
  </si>
  <si>
    <t>Vysoká škola báňská - Technická univerzita Ostrava</t>
  </si>
  <si>
    <t>Podpora rozvojových aktivit v oblasti regionálního rozvoje</t>
  </si>
  <si>
    <t>Britská obchodní komora v České republice, Praha 1</t>
  </si>
  <si>
    <t>Euroregion Praděd - česká část, Bruntál</t>
  </si>
  <si>
    <t>FbC Frýdek - Místek, Frýdek-Místek</t>
  </si>
  <si>
    <t>Institut pro ženy, o.s., Krmelín</t>
  </si>
  <si>
    <t>Krajská hospodářská komora Moravskoslezského kraje, Ostrava-Mariánské Hory</t>
  </si>
  <si>
    <t>Národní strojírenský klastr, o.s., Ostrava</t>
  </si>
  <si>
    <t xml:space="preserve">Obec Staré Heřminovy </t>
  </si>
  <si>
    <t>Oddíl bojových umění Doubrava - H.P. Martial Gym o.s., Doubrava</t>
  </si>
  <si>
    <t>Region. sdružení pro česko-polskou spolupráci Těšínského Slezska, Český Těšín</t>
  </si>
  <si>
    <t>SANOPHARM CZ s.r.o., Ostrava-Plesná</t>
  </si>
  <si>
    <t>Sbor dobrovolných hasičů Komorní Lhotka, Komorní Lhotka</t>
  </si>
  <si>
    <t>Sdružení obcí Jablunkovska</t>
  </si>
  <si>
    <t>Sdružení obrany spotřebitelů Moravskoslezského kraje, Ostrava,Mor.Ostrava a Přívoz</t>
  </si>
  <si>
    <t>Sdružení Region Beskydy, Frýdek-Místek</t>
  </si>
  <si>
    <t xml:space="preserve">Spolek pro obnovu venkova Moravskoslezského kraje, Třanovice </t>
  </si>
  <si>
    <t>taneco a.s., Krnov</t>
  </si>
  <si>
    <t>TJ Milíkov, Milíkov</t>
  </si>
  <si>
    <t>Slezská diakonie, Český Těšín</t>
  </si>
  <si>
    <t>Ostatní individuální dotace v odvětví regionálního rozvoje</t>
  </si>
  <si>
    <t>Český rybářský svaz, z. s., územní svaz pro Severní Moravu a Slezsko, Ostrava-Mariánské Hory</t>
  </si>
  <si>
    <t>Český svaz chovatelů Základní organizace Třinec 1, Třinec</t>
  </si>
  <si>
    <t>Český svaz Wa-te jitsu do a bojových umění o.s., Ostrava-Vítkovice</t>
  </si>
  <si>
    <t>Dotace zájmovému sdružení právnických osob Dolní oblast VÍTKOVICE</t>
  </si>
  <si>
    <t>Dolní oblast VÍTKOVICE, Ostrava-Vítkovice</t>
  </si>
  <si>
    <t>Podpora předprojektové přípravy projektu Dolní oblast Vítkovice – „Kreativní centrum“</t>
  </si>
  <si>
    <t>Podpora významných akcí cestovního ruchu</t>
  </si>
  <si>
    <t>AnoTak z.s., Ostrava</t>
  </si>
  <si>
    <t>Ázerbájdžánské a kaspické kulturní fórum, Ostrava-Jih</t>
  </si>
  <si>
    <t>Centrála cestovního ruchu Východní Moravy, o.p.s., Zlín</t>
  </si>
  <si>
    <t>FEMININE s.r.o., Bruntál</t>
  </si>
  <si>
    <t>Geometry Global, s.r.o., Praha 7</t>
  </si>
  <si>
    <t>KČT oblast Moravskoslezská, Ostrava</t>
  </si>
  <si>
    <t>Klub 3xTOP.cz, z.s., Ostrava-Stará Bělá</t>
  </si>
  <si>
    <t>KO-FORMIKA CZ, s.r.o., Přerov</t>
  </si>
  <si>
    <t>Kováři Moravskoslezského kraje, o.s., Háj ve Slezsku</t>
  </si>
  <si>
    <t>Mikroregion Slezská Harta</t>
  </si>
  <si>
    <t>OUTDOORFILMS, s.r.o., Ostrava-Moravská Ostrava</t>
  </si>
  <si>
    <t>PAPILIO-advertising, spol. s r.o., Ostrava - Třebovice</t>
  </si>
  <si>
    <t>Sbor dobrovolných hasičů Hrčava, Hrčava</t>
  </si>
  <si>
    <t>SEPETNÁ v. o. s., Frýdek-Místek</t>
  </si>
  <si>
    <t>Seven Days Agency, s.r.o., Praha 3</t>
  </si>
  <si>
    <t>"Spolek Přátelé Vrbenska", Vrbno pod Pradědem</t>
  </si>
  <si>
    <t>TJ Sokol Hukvaldy, Hukvaldy</t>
  </si>
  <si>
    <t>Tomáš Trávník, Darkovice</t>
  </si>
  <si>
    <t>Železniční muzeum moravskoslezské, o.p.s., Ostrava-Moravská Ostrava a Přívoz</t>
  </si>
  <si>
    <t>Žijeme sportem, Ostrava-Radvanice a Bartovice</t>
  </si>
  <si>
    <t>Rozvojové aktivity v cestovním ruchu</t>
  </si>
  <si>
    <t>Jihomoravský kraj</t>
  </si>
  <si>
    <t>PUSTEVNY, s.r.o., Trojanovice 477</t>
  </si>
  <si>
    <t>SKI KLUB RD RÝMAŘOV, Rýmařov</t>
  </si>
  <si>
    <t>SKI Vítkovice-Bílá, Bílá</t>
  </si>
  <si>
    <t>Turistické značení</t>
  </si>
  <si>
    <t>Ostatní individuální dotace v odvětví cestovního ruchu</t>
  </si>
  <si>
    <t>Horské lázně Karlova Studánka, státní podnik</t>
  </si>
  <si>
    <t>JAVOR Morava s.r.o., Havířov, Šumbark</t>
  </si>
  <si>
    <t>Junák - svaz skautů a skautek ČR, Krajská rada Junáka Ostrava, Opava</t>
  </si>
  <si>
    <t>Mikeska Petr, Čeladná</t>
  </si>
  <si>
    <t>Mikroregion Hvozdnice</t>
  </si>
  <si>
    <t>Sdružení vojenské historie Těšínského Slezska, Vendryně</t>
  </si>
  <si>
    <t>Slezské zemské dráhy, o.p.s., Bohušov 15</t>
  </si>
  <si>
    <t>Podpora činností a celokrajských aktivit pro seniory Moravskoslezského kraje</t>
  </si>
  <si>
    <t>Krajská rada seniorů Moravskoslezského kraje, Ostrava-Moravská Ostrava a Přívoz</t>
  </si>
  <si>
    <t>Podpora projektů sociální prevence a sociálního začleňování s regionální působností v Moravskoslezském kraji</t>
  </si>
  <si>
    <t>Armáda spásy v České republice, z.s., Praha</t>
  </si>
  <si>
    <t>Filadelfie -Přístav Oldřichovice, Třinec</t>
  </si>
  <si>
    <t>FM solutions, a.s., Praha 5</t>
  </si>
  <si>
    <t>Potravinová banka v Ostravě, o.s., Ostrava-Jih</t>
  </si>
  <si>
    <t>Podpora romských kulturních a společenských aktivit</t>
  </si>
  <si>
    <t>Příjmy a výdaje za zrušené příspěvkové organizace v odvětví sociálních věcí</t>
  </si>
  <si>
    <t>Ostatní individuální dotace v odvětví sociálních věcí</t>
  </si>
  <si>
    <t xml:space="preserve">Asociace rodičů dětí s DMO a přidruženými neurologickými onemocněními ČR, Ostrava </t>
  </si>
  <si>
    <t xml:space="preserve">Evropský spolek pro OZP, Třinec </t>
  </si>
  <si>
    <t>Národní rada zdravotně postižených České republiky, Praha 7</t>
  </si>
  <si>
    <t>Osoblažský cech, o.p.s., Hlinka</t>
  </si>
  <si>
    <t>Svaz tělesně postižených v České republice, o.s. krajská organizace, Ostrava, Moravská Ostrava a Přívoz</t>
  </si>
  <si>
    <t>TRIANON, z.s., Český Těšín</t>
  </si>
  <si>
    <t>Hry "Olympiády dětí a mládeže"</t>
  </si>
  <si>
    <t>Moravskoslezská krajská organizace ČUS
Ostrava, Moravská Ostrava a Přívoz</t>
  </si>
  <si>
    <t>Podpora soutěží a přehlídek</t>
  </si>
  <si>
    <t>Asociace školních sportovních klubů ČR, Krajská rada MSK,  Český Těšín</t>
  </si>
  <si>
    <t>Podpora sportu a pohybových aktivit občanů Moravskoslezského kraje</t>
  </si>
  <si>
    <t>1. FK Spartak Jablunkov, Jablunkov</t>
  </si>
  <si>
    <t>AMK Hlučín - Automotoklub, Hlučín</t>
  </si>
  <si>
    <t>Beskydská šachová škola, Frýdek-Místek</t>
  </si>
  <si>
    <t>BIKE 2000, Ostrava-Hrabůvka</t>
  </si>
  <si>
    <t>CENTRUM INDIVIDUÁLNÍCH SPORTŮ OSTRAVA, Ostrava-Moravská Ostrava a Přívoz</t>
  </si>
  <si>
    <t>Česká olympijská a.s., Praha</t>
  </si>
  <si>
    <t>Česká sportovní a.s., Praha 1</t>
  </si>
  <si>
    <t>Česká unie sportu, z.s., Praha</t>
  </si>
  <si>
    <t>Český tenisový svaz vozíčkářů, Brno-Královo Pole</t>
  </si>
  <si>
    <t>ČESKÝ TENISOVÝ SVAZ, PRAHA 7</t>
  </si>
  <si>
    <t>Český volejbalový svaz, Praha 6</t>
  </si>
  <si>
    <t>DAVID MORAVEC HOCKEY ACADEMY, z.s., Ostrava-Zábřeh</t>
  </si>
  <si>
    <t>Fotbalová asociace České republiky, Praha 6</t>
  </si>
  <si>
    <t>Fotbalový klub Tísek, Tísek</t>
  </si>
  <si>
    <t>Futsal club Ostrava, z.s., Horní Datyně</t>
  </si>
  <si>
    <t>Handicap Sport Club Havířov, Havířov</t>
  </si>
  <si>
    <t>HC AZ Havířov 2010, Havířov</t>
  </si>
  <si>
    <t xml:space="preserve">HC Havířov 2010 s.r.o., Havířov </t>
  </si>
  <si>
    <t>HC Studénka, Studénka</t>
  </si>
  <si>
    <t>HOCKEY CLUB OCELÁŘI TŘINEC, a.s., Třinec</t>
  </si>
  <si>
    <t>HOKEJOVÝ KLUB - HC VÍTKOVICE STEEL a.s., Ostrava-Jih</t>
  </si>
  <si>
    <t>Hrádecký tenisový klub, Hrádek</t>
  </si>
  <si>
    <t>Jezdecký klub voltiž Albertovec, Bolatice</t>
  </si>
  <si>
    <t>Junák - svaz skautů a skautek ČR, okres Nový Jičín</t>
  </si>
  <si>
    <t>K+K LABYRINT OSTRAVA o.s., Ostrava-Moravská Ostrava a Přívoz</t>
  </si>
  <si>
    <t>Kabal team Karviná o.s., Karviná</t>
  </si>
  <si>
    <t>Lezení do škol o.s., Slaný</t>
  </si>
  <si>
    <t>"Lítací jelen", Pstruží</t>
  </si>
  <si>
    <t>Maniak aerobik Havířov, o.s., Havířov</t>
  </si>
  <si>
    <t>Miroslav Spáčil, Opava,Kateřinky</t>
  </si>
  <si>
    <t>NA KOLE DĚTEM - nadační fond Josefa Zimovčáka, Veselí nad Moravou</t>
  </si>
  <si>
    <t>Nadační fond na podporu fotbalové mládeže Moravskoslezského kraje, Ostrava-Přívoz</t>
  </si>
  <si>
    <t>Okresní rada Asociace školních sportovních klubů ČR Opava, Opava</t>
  </si>
  <si>
    <t>Ostravský Maraton z.s., Ostrava-Poruba</t>
  </si>
  <si>
    <t>POLAR televize Ostrava, s.r.o.,Ostrava, Mariánské Hory a Hulváky</t>
  </si>
  <si>
    <t>ROCK ART STUDIO s.r.o., Frýdek-Místek</t>
  </si>
  <si>
    <t>RWR s.r.o., Vřesina okr. Ostrava</t>
  </si>
  <si>
    <t>SDRUŽENÍ SPORTOVNÍCH KLUBŮ VÍTKOVICE, Ostrava</t>
  </si>
  <si>
    <t>Severomoravský tenisový svaz, Ostrava-Mariánské Hory a Přívoz</t>
  </si>
  <si>
    <t>Společnost pro podporu lidí s mentálním postižením v České republice, o.s. Krajská organizace SPMP ČR Moravskoslezský kraj, Havířov, Podlesí</t>
  </si>
  <si>
    <t>Sportovní basketbalová škola Ostrava o.s., Ostrava-Jih</t>
  </si>
  <si>
    <t>Sportovní klub FC Hlučín, z.s., Hlučín</t>
  </si>
  <si>
    <t>Sportovní klub Návsí, Návsí</t>
  </si>
  <si>
    <t>Sportovní klub Slavia Orlová, Orlová</t>
  </si>
  <si>
    <t>Tanec, sport a pohyb, z.s., Bohumín, Skřečoň</t>
  </si>
  <si>
    <t>Tělocvičná jednota Sokol Klimkovice, Klimkovice</t>
  </si>
  <si>
    <t>TK PLUS SPORT a.s., Prostějov</t>
  </si>
  <si>
    <t>TTV Sport Group s.r.o., Praha 6 Dejvice</t>
  </si>
  <si>
    <t>Volejbalový klub Ostrava, z.s., Ostrava-Moravská Ostrava</t>
  </si>
  <si>
    <t>Podpora talentů</t>
  </si>
  <si>
    <t>ABF, a.s., Praha 1, Nové Město</t>
  </si>
  <si>
    <t>Česká hlava PROMO s.r.o., Svatý Jan pod Skalou</t>
  </si>
  <si>
    <t>ČESKÁ SPOLEČNOST CHEMICKÁ, Praha 1</t>
  </si>
  <si>
    <t>Český svaz aerobiku a fitness FISAF.cz, z. s., Praha</t>
  </si>
  <si>
    <t>Český svaz chovatelů Základní organizace chovatelů okrasného ptactva Ostrava-Zábřeh</t>
  </si>
  <si>
    <t>Nadační fond GAUDEAMUS, Cheb</t>
  </si>
  <si>
    <t>OR AŠSK Nový Jičín, Bartošovice</t>
  </si>
  <si>
    <t>PYGMALION, s.r.o., Český Těšín</t>
  </si>
  <si>
    <t>Radioklub Opava, Opava</t>
  </si>
  <si>
    <t>Student Cyber Games, Brno</t>
  </si>
  <si>
    <t>Základní škola a mateřská škola Hello s.r.o.</t>
  </si>
  <si>
    <t>Významné akce kraje - využití volného času dětí a mládeže</t>
  </si>
  <si>
    <t>Asociace středoškolských klubů České republiky, o.s., Brno-střed</t>
  </si>
  <si>
    <t>EXAGE, spol. s r.o., Ostrava-Mariánské Hory a Hulváky</t>
  </si>
  <si>
    <t>Klub přátel školy, Havířov-Prostřední Suchá</t>
  </si>
  <si>
    <t>Ostravské výstavy, a.s., Výstaviště Černá louka Ostrava</t>
  </si>
  <si>
    <t>Rada dětí a mládeže Moravskoslezského kraje-RADAMOK</t>
  </si>
  <si>
    <t>Konference, sympózia a aktivity v oblasti zdravotnictví</t>
  </si>
  <si>
    <t>DANTER - reklama a potisk, s.r.o., Ostrava-Slezská Ostrava</t>
  </si>
  <si>
    <t>HEALTHCARE INSTITUTE o.p.s., Ostrava-Jih</t>
  </si>
  <si>
    <t>Naděje pro každého o.s., Ostrava-Moravská Ostrava a Přívoz</t>
  </si>
  <si>
    <t>Občanské sdružení Dítě s diabetem, Ostrava-Jih</t>
  </si>
  <si>
    <t>Protialkoholní záchytná stanice</t>
  </si>
  <si>
    <t>Umísťování dětí vyžadujících specializovanou péči</t>
  </si>
  <si>
    <t>Ostatní individuální dotace v odvětví zdravotnictví</t>
  </si>
  <si>
    <t>Andělé Stromu života pobočný spolek Moravskoslezský kraj, Nový Jičín</t>
  </si>
  <si>
    <t>Moravskoslezská unie neslyšících, zapsaný spolek, Ostrava</t>
  </si>
  <si>
    <t>Občanské sdružení Počteníčko s babičkou, Ostrava-Jih</t>
  </si>
  <si>
    <t>Oblastní spolek Českého červeného kříže Ostrava, Moravská Ostrava a Přívoz</t>
  </si>
  <si>
    <t>Informační systém o znečištění ovzduší</t>
  </si>
  <si>
    <t>Český hydrometeorologický ústav</t>
  </si>
  <si>
    <t>Zdravotní ústav se sídlem v Ostravě</t>
  </si>
  <si>
    <t xml:space="preserve">Kofinancování projektů </t>
  </si>
  <si>
    <t>Kolektivní systémy zpětného odběru elektrozařízení</t>
  </si>
  <si>
    <t xml:space="preserve">ASEKOL s.r.o., Praha </t>
  </si>
  <si>
    <t>MOTÝL MEDIA s.r.o., Valašské Meziříčí</t>
  </si>
  <si>
    <t>Odstraňování následků havárií dle zákona o vodách</t>
  </si>
  <si>
    <t>Péče o chráněné druhy živočichů</t>
  </si>
  <si>
    <t>ZO ČSOP NOVÝ JIČÍN 70/02 , Nový Jičín</t>
  </si>
  <si>
    <t>ZO ČSOP Sovinecko, Břidličná</t>
  </si>
  <si>
    <t>Podpora prevence před povodněmi</t>
  </si>
  <si>
    <t>Povodí Odry, státní podnik, Ostrava-Moravská Ostrava  a Přívoz</t>
  </si>
  <si>
    <t xml:space="preserve">Podpora včelařství v Moravskoslezském kraji </t>
  </si>
  <si>
    <t>Český svaz včelařů, o.s. okresní organizace Bruntál</t>
  </si>
  <si>
    <t>Český svaz včelařů, o.s. okresní organizace Frýdek - Místek</t>
  </si>
  <si>
    <t>Český svaz včelařů, o.s. okresní organizace Karviná, Petrovice u Karviné</t>
  </si>
  <si>
    <t>Český svaz včelařů, o.s. okresní organizace Nový Jičín</t>
  </si>
  <si>
    <t>Český svaz včelařů, o.s., okresní organizace Opava</t>
  </si>
  <si>
    <t>OV Českého svazu včelařů Ostrava, Ostrava - Moravská Ostrava a Přívoz</t>
  </si>
  <si>
    <t>Podpora vodohospodářských projektů</t>
  </si>
  <si>
    <t xml:space="preserve">Obec Petrovice </t>
  </si>
  <si>
    <t xml:space="preserve">Obec Písek </t>
  </si>
  <si>
    <t>Propagace v oblasti zemědělství</t>
  </si>
  <si>
    <t>Krajské sdružení NS MAS ČR Moravskoslezského kraje, Hradec nad Moravicí</t>
  </si>
  <si>
    <t>Regionální agrární komora Ostravsko, Opava</t>
  </si>
  <si>
    <t xml:space="preserve">Propagace v oblasti životního prostředí </t>
  </si>
  <si>
    <t>BUVI Promotion s.r.o., Opava</t>
  </si>
  <si>
    <t>Česká ZOO, Ostrava-Poruba</t>
  </si>
  <si>
    <t>Českomoravská myslivecká jednota okresní myslivecký spolek Bruntál, Bruntál</t>
  </si>
  <si>
    <t>Českomoravská myslivecká jednota okresní myslivecký spolek Frýdek-Místek</t>
  </si>
  <si>
    <t>Českomoravská myslivecká jednota, o.s., okresní myslivecký spolek Nový Jičín, Kunín</t>
  </si>
  <si>
    <t>Český svaz včelařů, o.s., základní organizace Sedliště</t>
  </si>
  <si>
    <t>Envir &amp; Power Ostrava a.s., Ostrava-Martinov</t>
  </si>
  <si>
    <t>Moravský lesnický klastr, o.s., Ostrava-Jih, Zábřeh</t>
  </si>
  <si>
    <t>Nadace na pomoc zvířatům, Ostrava-Poruba</t>
  </si>
  <si>
    <t>Regionální centrum EIA s.r.o., Ostrava 1</t>
  </si>
  <si>
    <t>Sdružení pro rozvoj Moravskoslezského kraje z.s., Mariánské Hory a Hulváky</t>
  </si>
  <si>
    <t>Územní sdružení Českého zahrádkářského svazu Karviná</t>
  </si>
  <si>
    <t>Ostatní individuální dotace v odvětví životního prostředí</t>
  </si>
  <si>
    <t>Myslivecký spolek NOVINA, Bocanovice</t>
  </si>
  <si>
    <t>FINANCE A SPRÁVA MAJETKU</t>
  </si>
  <si>
    <t>Dotace na spolufinancování projektů Technické pomoci a nezpůsobilých výdajů Regionální rady regionu soudržnosti Moravskoslezsko</t>
  </si>
  <si>
    <t>Regionální rada regionu soudržnosti Moravskoslezsko</t>
  </si>
  <si>
    <t>Finance a správa majetku celkem</t>
  </si>
  <si>
    <t xml:space="preserve">PŘEHLED AKCÍ MSK A GLOBÁLNÍCH GRANTŮ SPOLUFINANCOVANÝCH Z EVROPSKÝCH FINANČNÍCH ZDROJŮ S ČERPÁNÍM VÝDAJŮ V ROCE 2015      </t>
  </si>
  <si>
    <t xml:space="preserve">číslo akce </t>
  </si>
  <si>
    <t>Celkové výdaje</t>
  </si>
  <si>
    <t>Skutečné výdaje v roce</t>
  </si>
  <si>
    <t>Očekávaná výše dotace z EU a ST         %</t>
  </si>
  <si>
    <t>ODVĚTVÍ DOPRAVY:</t>
  </si>
  <si>
    <t>Letiště Leoše Janáčka Ostrava, kolejové napojení</t>
  </si>
  <si>
    <t>Letiště Leoše Janáčka Ostrava, integrované výjezdové centrum</t>
  </si>
  <si>
    <t>Letiště Leoše Janáčka Ostrava, ostatní zpevněné plochy - světlotechnika</t>
  </si>
  <si>
    <t>Letiště Leoše Janáčka Ostrava, kolejové napojení – doprovodná struktura I.</t>
  </si>
  <si>
    <t>Letiště Leoše Janáčka Ostrava, kolejové napojení – doprovodná struktura II.</t>
  </si>
  <si>
    <t>Rekonstrukce a modernizace silnic II. a III. tříd - IROP 2015</t>
  </si>
  <si>
    <t xml:space="preserve">Silnice II/452 Bruntál - Mezina </t>
  </si>
  <si>
    <t xml:space="preserve">Silnice II/462 Vítkov - Větřkovice </t>
  </si>
  <si>
    <t>Silnice III/4785 prodloužená Bílovecká</t>
  </si>
  <si>
    <t>Silnice 2013 - I. etapa</t>
  </si>
  <si>
    <t>Silnice 2013 - II. etapa</t>
  </si>
  <si>
    <t>Silnice 2013 - IV. etapa</t>
  </si>
  <si>
    <t>Silnice 2014 - I. etapa</t>
  </si>
  <si>
    <t>Silnice 2014 - II. etapa</t>
  </si>
  <si>
    <t>Silnice 2014 - III. etapa</t>
  </si>
  <si>
    <t>Silnice 2014 - IV. etapa</t>
  </si>
  <si>
    <t>Silnice 2014 - V. etapa</t>
  </si>
  <si>
    <t>Silnice 2014 - VI. etapa</t>
  </si>
  <si>
    <t>Silnice 2015 - 7 staveb</t>
  </si>
  <si>
    <t>Silnice 2015 - Mariánskohorská</t>
  </si>
  <si>
    <t>Zlepšení dostupnosti pohraniční oblasti modernizací silnice v úseku Sciborzyce Wielkie - Hněvošice</t>
  </si>
  <si>
    <t>ODVĚTVÍ KRIZOVÉHO ŘÍZENÍ:</t>
  </si>
  <si>
    <t>CHEMICKÝ MONITORING – CHEMON</t>
  </si>
  <si>
    <t>Integrované výjezdové centrum Ostrava-Jih</t>
  </si>
  <si>
    <t>Nákup dopravních automobilů pro JPO</t>
  </si>
  <si>
    <t>Nákup hasičských vozidel se zařízením pro výrobu a dopravu pěny</t>
  </si>
  <si>
    <t>Nákup prvosledových hasičských vozidel se speciální IT technikou</t>
  </si>
  <si>
    <t>Nákup hasičské výškové techniky</t>
  </si>
  <si>
    <t>Výjezdové centrum jednotky Sboru dobrovolných hasičů Města Albrechtice a Zdravotnické záchranné služby MSK</t>
  </si>
  <si>
    <t>Výstavba integrovaného výjezdového centra v Třinci</t>
  </si>
  <si>
    <t>ODVĚTVÍ KULTURY:</t>
  </si>
  <si>
    <t>Archeopark Chotěbuz - 2. část</t>
  </si>
  <si>
    <t>Hrad Sovinec – zpřístupnění barokního opevnění a podzemní chodby</t>
  </si>
  <si>
    <t>ODVĚTVÍ REGIONÁLNÍHO ROZVOJE:</t>
  </si>
  <si>
    <t>Moravskoslezský pakt zaměstnanosti: Mezinárodní výměna zkušeností a příkladů dobré praxe při rozvoji místních partnerství na podporu zaměstnanosti</t>
  </si>
  <si>
    <t>Partnerstvím ke zvýšení zaměstnanosti</t>
  </si>
  <si>
    <t>Přeshraniční kooperační síť pro rozvoj podnikání a trhu práce</t>
  </si>
  <si>
    <t xml:space="preserve">Technická pomoc - Podpora propagačních a informačních aktivit v OPPS ČR-PR </t>
  </si>
  <si>
    <t>ODVĚTVÍ CESTOVNÍHO RUCHU:</t>
  </si>
  <si>
    <t>Cestuj a poznávej Moravskoslezský kraj - s chutí</t>
  </si>
  <si>
    <t>Gastroturistika</t>
  </si>
  <si>
    <t>Jak šmakuje Moravskoslezsko</t>
  </si>
  <si>
    <t>Jesenická magistrála</t>
  </si>
  <si>
    <t>Moravskoslezský kraj - kraj plný zážitků III</t>
  </si>
  <si>
    <t>ODVĚTVÍ SOCIÁLNÍCH VĚCÍ:</t>
  </si>
  <si>
    <t xml:space="preserve">1. etapa transformace zámku Jindřichov ve Slezsku </t>
  </si>
  <si>
    <t xml:space="preserve">2. etapa transformace organizace Marianum </t>
  </si>
  <si>
    <t>3. etapa transformace organizace Marianum A</t>
  </si>
  <si>
    <t>3. etapa transformace organizace Marianum B</t>
  </si>
  <si>
    <t>4. etapa transformace organizace Marianum</t>
  </si>
  <si>
    <t>Evaluace poskytování sociálních služeb v Moravskoslezském kraji</t>
  </si>
  <si>
    <t>Nákup lůžek a matrací pro sociální zařízení</t>
  </si>
  <si>
    <t>Novostavba domova pro osoby se zdravotním postižením v Havířově</t>
  </si>
  <si>
    <t>Optimalizace sítě služeb sociální prevence v Moravskoslezském kraji</t>
  </si>
  <si>
    <t>Plánování sociálních služeb II</t>
  </si>
  <si>
    <t>Podpora péče o ohrožené děti</t>
  </si>
  <si>
    <t>Podpora procesu transformace pobytových sociálních služeb v Moravskoslezském kraji II</t>
  </si>
  <si>
    <t>Podpora sociálních služeb v sociálně vyloučených lokalitách Moravskoslezského kraje II</t>
  </si>
  <si>
    <t>Podpora sociálních služeb v sociálně vyloučených lokalitách III</t>
  </si>
  <si>
    <t>Podpora vzdělávání a supervize v sociální oblasti v MSK II</t>
  </si>
  <si>
    <t>Podpora vzdělávání v sociální oblasti v MSK III</t>
  </si>
  <si>
    <t>Poradna pro pěstounskou péči v Karviné</t>
  </si>
  <si>
    <t>Poradna pro pěstounskou péči v Ostravě</t>
  </si>
  <si>
    <t>Pořízení vozidel do objektů sociálních zařízení</t>
  </si>
  <si>
    <t>Rekonstrukce domova pro osoby se zdravotním postižením ve Frýdku-Místku</t>
  </si>
  <si>
    <t>Rekonstrukce objektu na domov pro osoby se zdravotním postižením, Sírius Opava</t>
  </si>
  <si>
    <t>Rekonstrukce objektu v Českém Těšíně na chráněné bydlení</t>
  </si>
  <si>
    <t>Specifické intervence pro mladistvé závislé na návykových látkách</t>
  </si>
  <si>
    <t>Transformace zámku Dolní Životice A</t>
  </si>
  <si>
    <t>Transformace zámku Nová Horka</t>
  </si>
  <si>
    <t>ODVĚTVÍ ŠKOLSTVÍ:</t>
  </si>
  <si>
    <t>Atraktivnější výuka zahradnických oborů</t>
  </si>
  <si>
    <t>Diagnostické nástroje, ICT a pomůcky pro pedagogicko-psychologické poradny</t>
  </si>
  <si>
    <t>Energetické úspory ve školách a školských zařízeních zřizovaných Moravskoslezským krajem</t>
  </si>
  <si>
    <t>0,0 (2)</t>
  </si>
  <si>
    <t>Energetické úspory SOŠ Český Těšín, budova školy Tyršova</t>
  </si>
  <si>
    <t>Envitalent</t>
  </si>
  <si>
    <t>From Dropout to Inclusion (Od vyloučení k začlenění)</t>
  </si>
  <si>
    <t>GG - Další vzdělávání pracovníků škol a školských zařízení v Moravskoslezském kraji II</t>
  </si>
  <si>
    <t>GG - Další vzdělávání pracovníků škol v kraji Moravskoslezském</t>
  </si>
  <si>
    <t>GG - Podpora nabídky dalšího vzdělávání v Moravskoslezském kraji</t>
  </si>
  <si>
    <t>GG - Rovné příležitosti dětí a žáků ve vzdělávání v Moravskoslezském kraji II</t>
  </si>
  <si>
    <t>GG - Zvyšování kvality ve vzdělávání v Moravskoslezském kraji II</t>
  </si>
  <si>
    <t>Gymnázium a Střední odborná škola, Rýmařov, příspěvková organizace</t>
  </si>
  <si>
    <t>Gymnázium a Střední odborná škola, Rýmařov, příspěvková organizace (budova gymnázia s přístavbou a budova tělocvičny)</t>
  </si>
  <si>
    <t>Jazykové učebny středních odborných škol</t>
  </si>
  <si>
    <t>Krajský akční plán rozvoje vzdělávání Moravskoslezského kraje</t>
  </si>
  <si>
    <t>Mentor-lektor</t>
  </si>
  <si>
    <t>Modernizace chemických laboratoří na SPŠ chemické v Ostravě</t>
  </si>
  <si>
    <t>Modernizace výuky a podmínek pro výuku v základních uměleckých školách</t>
  </si>
  <si>
    <t>Modernizace výuky instalatérských oborů</t>
  </si>
  <si>
    <t>Modernizace výuky ve zdravotnických oborech</t>
  </si>
  <si>
    <t>Modernizace, rekonstrukce a výstavba sportovišť vzdělávacích zařízení II</t>
  </si>
  <si>
    <t>Modernizace, rekonstrukce a výstavba sportovišť vzdělávacích zařízení IV</t>
  </si>
  <si>
    <t>Modernizace, rekonstrukce a výstavba sportovišť vzdělávacích zařízení V</t>
  </si>
  <si>
    <t>Napříč krajem s mládeží</t>
  </si>
  <si>
    <t>Podpora jazykového vzdělávání ve středních školách</t>
  </si>
  <si>
    <t>Podpora přírodovědného a technického vzdělávání v Moravskoslezském kraji</t>
  </si>
  <si>
    <t>Podpora přírodovědných předmětů</t>
  </si>
  <si>
    <t>Podpora strojírenských oborů</t>
  </si>
  <si>
    <t>Podpora vzdělávání žáků se speciálními vzdělávacími potřebami</t>
  </si>
  <si>
    <t>Přírodovědné laboratoře</t>
  </si>
  <si>
    <t>Přírodovědné laboratoře v gymnáziích</t>
  </si>
  <si>
    <t xml:space="preserve">Přírodovědné učebny a laboratoře ve středních odborných školách </t>
  </si>
  <si>
    <t>Zateplení - Střední škola zemědělství a služeb, příspěvková organizace, Město Albrechtice</t>
  </si>
  <si>
    <t>Technická pomoc pro globální grant OP VK - Řízení, kontrola, monitorování a hodnocení globálních grantů v Moravskoslezském kraji II</t>
  </si>
  <si>
    <t>Technická pomoc pro globální grant OP VK - Zvýšení absorpční kapacity subjektů implementujících program Moravskoslezského kraje II</t>
  </si>
  <si>
    <t>Technická pomoc pro globální grant OP VK - Informovanost a publicita GG OP Moravskoslezského kraje II</t>
  </si>
  <si>
    <t>Teoretické a praktické vzdělávání ve zdravotnických školách a zdravotnických zařízeních</t>
  </si>
  <si>
    <t>Vybudování dílen ve Střední škole technické a zemědělské, Nový Jičín</t>
  </si>
  <si>
    <t>Výstavba fóliovniků v Opavě</t>
  </si>
  <si>
    <t>Zateplení areálu Gymnázia a Střední průmyslové školy elektrotechniky a informatiky ve Frenštátě pod Radhoštěm na ul. Křižíkova</t>
  </si>
  <si>
    <t>Zateplení budovy Odborného učiliště a Praktické školy v Hlučíně na ul. ČSA</t>
  </si>
  <si>
    <t>Zateplení Dětského domova na ulici Čelakovského v Havířově - Podlesí</t>
  </si>
  <si>
    <t>Zateplení Gymnázia Havířov-Podlesí</t>
  </si>
  <si>
    <t>Zateplení Gymnázia Mikuláše Koperníka v Bílovci</t>
  </si>
  <si>
    <t>Zateplení Gymnázia v Ostravě-Zábřehu na ul. Volgogradská</t>
  </si>
  <si>
    <t>Zateplení Gymnázia ve Frýdlantu nad Ostravicí</t>
  </si>
  <si>
    <t>Zateplení Matičního gymnázia v Ostravě</t>
  </si>
  <si>
    <t>Zateplení Obchodní akademie v Ostravě-Porubě</t>
  </si>
  <si>
    <t>Zateplení objektu dílen Střední školy elektrotechnické v Ostravě</t>
  </si>
  <si>
    <t>Zateplení SOŠ a SOU podnikání a služeb v Jablunkově - budova na ulici Školní</t>
  </si>
  <si>
    <t>Zateplení SOŠ a SOU podnikání a služeb v Jablunkově - budova na ulici Zahradní</t>
  </si>
  <si>
    <t>Zateplení sportovního centra Střední školy a Základní školy v Havířově - Šumbarku</t>
  </si>
  <si>
    <t>Zateplení Sportovního gymnázia Dany a Emila Zátopkových v Ostravě</t>
  </si>
  <si>
    <t>Zateplení Střední odborné školy v Bruntále</t>
  </si>
  <si>
    <t>Zateplení Střední průmyslové školy a Obchodní akademie v Bruntále (areál na ul. Kavalcova)</t>
  </si>
  <si>
    <t>Zateplení Střední školy technické a dopravní v Ostravě-Vítkovicích</t>
  </si>
  <si>
    <t>Zateplení Střední školy techniky a služeb v Karviné</t>
  </si>
  <si>
    <t>Zateplení Střední školy zahradnické v Ostravě - SPV na ulici U Hrůbků</t>
  </si>
  <si>
    <t>Zateplení Střední zdravotnické školy a Vyšší odborné školy zdravotnické v Ostravě (areál na ul. 1. máje)</t>
  </si>
  <si>
    <t>Zateplení tělocvičny Wichterlova gymnázia v Ostravě-Porubě</t>
  </si>
  <si>
    <t>Zateplení vybraných budov Vyšší odborné školy, Střední odborné školy a Středního odborného učiliště v Kopřivnici</t>
  </si>
  <si>
    <t>Zateplení vybraných objektů Střední odborné školy dopravy a cestovního ruchu v Krnově</t>
  </si>
  <si>
    <t>Zateplení Základní školy v Ostravě-Zábřehu na ul. Kpt. Vajdy</t>
  </si>
  <si>
    <t>Zateplení Základní umělecké školy Viléma Petrželky v Ostravě-Hrabůvce</t>
  </si>
  <si>
    <t>Zateplení ZUŠ Leoše Janáčka ve Frýdlantu nad Ostravicí</t>
  </si>
  <si>
    <t>Zlepšení podmínek pro praktické vyučování žáků v technicky zaměřených oborech středního vzdělávání v Ostravě</t>
  </si>
  <si>
    <t>ODVĚTVÍ ZDRAVOTNICTVÍ:</t>
  </si>
  <si>
    <t xml:space="preserve">Ekologizace zdravotnických zařízení zřizovaných Moravskoslezským krajem </t>
  </si>
  <si>
    <r>
      <t xml:space="preserve">0,0 </t>
    </r>
    <r>
      <rPr>
        <vertAlign val="superscript"/>
        <sz val="8"/>
        <rFont val="Tahoma"/>
        <family val="2"/>
        <charset val="238"/>
      </rPr>
      <t>(2)</t>
    </r>
  </si>
  <si>
    <t>Krajský standardizovaný projekt zdravotnické záchranné služby Moravskoslezského kraje</t>
  </si>
  <si>
    <t>Nákup lůžek a matrací do nemocnic zřizovaných Moravskoslezským krajem</t>
  </si>
  <si>
    <t>Obnovení  přístrojové techniky ve zdravotnických zařízeních</t>
  </si>
  <si>
    <t>Pavilon chirurgických oborů v Nemocnici ve Frýdku-Místku, p.o.</t>
  </si>
  <si>
    <t>Přístrojové vybavení iktového centra Sdruženého zdravotnického zařízení Krnov</t>
  </si>
  <si>
    <t>Rekonstrukce geriatrického oddělení  v Nemocnici s poliklinikou Havířov, příspěvková organizace</t>
  </si>
  <si>
    <t>Rekonstrukce gynekologicko-porodního oddělení v Nemocnici s poliklinikou Karviná - Ráj, p.o.</t>
  </si>
  <si>
    <t>Sanitní vozy a služby eHealth</t>
  </si>
  <si>
    <t>Vybudování centra komplexní paliativní a geriatrické péče v LDN a OOP v Městě Albrechtice (Sdružené zdravotnické zařízení Krnov, příspěvková organizace)</t>
  </si>
  <si>
    <t>Vybudování pavilonu interních oborů v Opavě</t>
  </si>
  <si>
    <t>Zateplení vybraných objektů Nemocnice s poliklinikou Havířov</t>
  </si>
  <si>
    <t>Zateplení vybraných objektů Nemocnice s poliklinikou v Novém Jičíně</t>
  </si>
  <si>
    <t>Zateplení vybraných objektů nemocnice v Karviné - Ráji</t>
  </si>
  <si>
    <t>ODVĚTVÍ ŽIVOTNÍHO PROSTŘEDÍ:</t>
  </si>
  <si>
    <t>Parkové úpravy v areálu OLÚ Metylovice, Moravskoslezského sanatoria,p.o.</t>
  </si>
  <si>
    <t>Snížení prašnosti v okolí komunikací ve vlastnictví Moravskoslezského kraje</t>
  </si>
  <si>
    <t>ODVĚTVÍ VLASTNÍ SPRÁVNÍ ČINNOST KRAJE A ČINNOST ZASTUPITELSTVA KRAJE:</t>
  </si>
  <si>
    <t>E-Government Moravskoslezského kraje (II. - VI. část výzvy)</t>
  </si>
  <si>
    <t>Optimalizace řídicích a kontrolních systémů v oblasti výkonu zřizovatelských funkcí</t>
  </si>
  <si>
    <t>Rozvoj e-Government služeb v Moravskoslezském kraji</t>
  </si>
  <si>
    <t>Rozvoj kvality řízení a good governance na KÚ MSK</t>
  </si>
  <si>
    <t xml:space="preserve">Strategie systémové spolupráce veřejných institucí MSK, Slezského a Opolského vojvodství </t>
  </si>
  <si>
    <t>Využití energie slunce pro ohřev vody v budovách krajského úřadu</t>
  </si>
  <si>
    <t xml:space="preserve">         (2) Jedná se o projekty realizované příspěvkovými organizacemi (příjemci dotace), u kterých se Moravskoslezský kraj zavázal financovat jejich podíl.  </t>
  </si>
  <si>
    <t>PŘEHLED ÚČELOVÝCH DOTACÍ ZE STÁTNÍHO ROZPOČTU PODLÉHAJÍCÍCH FINANČNÍMU VYPOŘÁDÁNÍ ZA ROK 2015</t>
  </si>
  <si>
    <t>v Kč</t>
  </si>
  <si>
    <t>Poskytovatel dotace</t>
  </si>
  <si>
    <t>UZ</t>
  </si>
  <si>
    <t>Popis</t>
  </si>
  <si>
    <r>
      <t xml:space="preserve">Poskytnuto v roce 2015 </t>
    </r>
    <r>
      <rPr>
        <sz val="8"/>
        <rFont val="Tahoma"/>
        <family val="2"/>
        <charset val="238"/>
      </rPr>
      <t>(a předešlých letech)</t>
    </r>
  </si>
  <si>
    <t>Vráceno do SR v průběhu roku 2015</t>
  </si>
  <si>
    <t>Vráceno při FV v roce 2016</t>
  </si>
  <si>
    <t>Vráceno z příjmu 2016</t>
  </si>
  <si>
    <t>Vráceno z přebytku 2015</t>
  </si>
  <si>
    <t>Nedočerpáno ISPROFIN</t>
  </si>
  <si>
    <t>K použití v roce 2016</t>
  </si>
  <si>
    <t>Ministerstvo kultury</t>
  </si>
  <si>
    <t>Podpora obnovy kulturních památek prostřednictvím obcí s rozšířenou působností - NIV</t>
  </si>
  <si>
    <t>ISO C Výkupy předmětů - podprogram č. 134 514 - neinvestiční</t>
  </si>
  <si>
    <t>ISO D Preventivní ochrana před vlivy prostředí - podprogram č. 134 515 - neinvestiční</t>
  </si>
  <si>
    <t>Veřejné informační služby knihoven - neinvestice</t>
  </si>
  <si>
    <t>Kulturní aktivity</t>
  </si>
  <si>
    <t>Program restaurování movitých kulturních památek</t>
  </si>
  <si>
    <t>Záchrana architektonického dědictví - neivestice - program 434312</t>
  </si>
  <si>
    <t>Program státní podpory profesionálních divadel a stálých profesionálních symfonických orchestrů a pěveckých sborů</t>
  </si>
  <si>
    <t>ISO D Preventivní ochrana před vlivy prostředí - podprogram č. 134 515 - investiční</t>
  </si>
  <si>
    <t>Ministerstvo zdravotnictví</t>
  </si>
  <si>
    <t>Specializační vzdělávání zdravotnických pracovníků - rezidenční místa - neinvestice</t>
  </si>
  <si>
    <t>Připravenost poskytovatele ZZS na řešení mimořádných událostí a krizových situací</t>
  </si>
  <si>
    <t>Specializační vzdělávání nelékařů</t>
  </si>
  <si>
    <t>35005 35889</t>
  </si>
  <si>
    <t>Integrovaný operační program - projekt realizovaný příspěvkovou organizací</t>
  </si>
  <si>
    <t>Ministerstvo práce a sociálních věcí</t>
  </si>
  <si>
    <t>Neinvestiční nedávkové transfery podle zákona č. 108/2006 Sb., o sociálních službách</t>
  </si>
  <si>
    <t>Transfer na státní příspěvek zřizovatelům zařízení pro děti vyžadující okamžitou pomoc</t>
  </si>
  <si>
    <t>Příspěvek na výkon sociální práce (s výjimkou sociálně-právní ochrany dětí)</t>
  </si>
  <si>
    <t>13003 13899</t>
  </si>
  <si>
    <t>Integrovaný operační program</t>
  </si>
  <si>
    <t>Operační program Lidské zdroje a zaměstnanost - projekty realizované krajem</t>
  </si>
  <si>
    <t>Operační program Lidské zdroje a zaměstnanost - projekty realizované příspěvkovými organizacemi</t>
  </si>
  <si>
    <t>Ministerstvo školství, mládeže a tělovýchovy</t>
  </si>
  <si>
    <t>Rozvojový program MŠMT pro děti - cizince ze 3. zemí</t>
  </si>
  <si>
    <t>Vybavení škol pomůckami kompenzačního a rehabilizačního charakteru</t>
  </si>
  <si>
    <t>Podpora organizace a ukončování středního vzdělávání maturitní zkouškou na vybraných školách v podzimním zkušebním období</t>
  </si>
  <si>
    <t>Excelence středních škol</t>
  </si>
  <si>
    <t>Podpora zavádění diagnostických nástrojů</t>
  </si>
  <si>
    <t>Podpora implementace Etické výchovy</t>
  </si>
  <si>
    <t>Rozvojový program Podpora logopedické prevence v předškolním vzdělávání</t>
  </si>
  <si>
    <t>Podpora odborného vzdělávání</t>
  </si>
  <si>
    <t>Rozvojový program na podporu školních psychologů, speciálních pedagogů a metodiků - specialistů</t>
  </si>
  <si>
    <t>Zvýšení platů pracovníků regionálního školství</t>
  </si>
  <si>
    <t>Zvýšení platů pracovníků soukromého a církevního školství</t>
  </si>
  <si>
    <t>Zabezpečení škol a školských zařízení</t>
  </si>
  <si>
    <t>Zvýšení odměňování pracovníků regionálního školství v roce 2015</t>
  </si>
  <si>
    <t>Program sociální prevence a prevence kriminality</t>
  </si>
  <si>
    <t>Dotace pro soukromé školy</t>
  </si>
  <si>
    <t>Projekty romské komunity</t>
  </si>
  <si>
    <t>Program protidrogové politiky</t>
  </si>
  <si>
    <t>Soutěže</t>
  </si>
  <si>
    <t>Spolupráce s francouzskými, vlámskými a španělskými školami</t>
  </si>
  <si>
    <t>Asistenti pedagogů v soukromých a církevních speciálních školách</t>
  </si>
  <si>
    <t>Evropská jazyková cena</t>
  </si>
  <si>
    <t>Přímé náklady na vzdělávání</t>
  </si>
  <si>
    <t>Přímé náklady na vzdělávání - sportovní gymnázia</t>
  </si>
  <si>
    <t>Bezplatná příprava dětí azylantů, účastníků řízení o azyl a dětí osob se státní příslučností jiného členského státu EU k začlenění do základního vzdělávání</t>
  </si>
  <si>
    <t>Asistenti pedagogů pro děti, žáky a studenty se sociálním znevýhodněním</t>
  </si>
  <si>
    <t xml:space="preserve">Operační program Vzdělávání pro konkurenceschopnost - projekt realizovaný krajem </t>
  </si>
  <si>
    <t>33019  33123</t>
  </si>
  <si>
    <t>Operační program Vzdělávání pro konkurenceschopnost - projekty realizované příspěvkovými organizacemi</t>
  </si>
  <si>
    <t>Ministerstvo zemědělství</t>
  </si>
  <si>
    <t>Meliorace a hrazení bystřin v lesích dle § 35 odst 1 a 3 lestního zákona (investice)</t>
  </si>
  <si>
    <t>Meliorace a hrazení bystřin v lesích podle § 35 odst. 1 a 3 lesního zákona</t>
  </si>
  <si>
    <t xml:space="preserve">Ministerstvo životního prostředí a Státní fond životního prostředí </t>
  </si>
  <si>
    <t>15370 15835 90877 90001</t>
  </si>
  <si>
    <t>Státní fond dopravní infrastruktury</t>
  </si>
  <si>
    <t>Financování dopravní infrastruktury - neinvestice</t>
  </si>
  <si>
    <t>Financování dopravní infrastruktury - investice</t>
  </si>
  <si>
    <t>Úřad vlády ČR</t>
  </si>
  <si>
    <t>Podpora koordinátorů rómských poradců</t>
  </si>
  <si>
    <t>Ministerstvo vnitra</t>
  </si>
  <si>
    <t>Neinvestiční transfery krajům podle § 27 zákona č. 133/1985 Sb., o požární ochraně</t>
  </si>
  <si>
    <t>Podpora prevence kriminality - program č. 114080 - neinvestice</t>
  </si>
  <si>
    <t>Regionální operační program - projekty realizované krajem</t>
  </si>
  <si>
    <t>Ministerstvo dopravy</t>
  </si>
  <si>
    <t>Příspěvek na ztrátu dopravce z provozu veřejné osobní drážní dopravy</t>
  </si>
  <si>
    <t>Ministerstvo financí</t>
  </si>
  <si>
    <t>Účelové dotace na výdaje spojené s volbami do zastupitelstev v obcích</t>
  </si>
  <si>
    <t xml:space="preserve">Náhrady škod způsobených vybranými zvláště chráněnými živočichy </t>
  </si>
  <si>
    <t>Účelová dotace krajům na likvidaci léčiv</t>
  </si>
  <si>
    <t>Účelová dotace krajům - TBC</t>
  </si>
  <si>
    <t>Výkupy pozemků pod krajskými komunikacemi</t>
  </si>
  <si>
    <r>
      <t xml:space="preserve">Použito v roce 2015        </t>
    </r>
    <r>
      <rPr>
        <sz val="8"/>
        <rFont val="Tahoma"/>
        <family val="2"/>
        <charset val="238"/>
      </rPr>
      <t xml:space="preserve"> (a předešlých letech)</t>
    </r>
  </si>
  <si>
    <r>
      <t xml:space="preserve">Nedočerpáno v roce 2015 </t>
    </r>
    <r>
      <rPr>
        <sz val="8"/>
        <rFont val="Tahoma"/>
        <family val="2"/>
        <charset val="238"/>
      </rPr>
      <t>(a předešlých letech)</t>
    </r>
  </si>
  <si>
    <t>Celkem Ministerstvo kultury</t>
  </si>
  <si>
    <t>Celkem Ministerstvo zdravotnictví</t>
  </si>
  <si>
    <t>Celkem Ministerstvo práce a sociálních věcí</t>
  </si>
  <si>
    <t>Celkem Ministerstvo školství, mládeže a tělovýchovy</t>
  </si>
  <si>
    <t>Celkem Ministerstvo zemědělství</t>
  </si>
  <si>
    <t xml:space="preserve">Celkem Ministerstvo životního prostředí a Státní fond životního prostředí </t>
  </si>
  <si>
    <t>Celkem Státní fond dopravní infrastruktury</t>
  </si>
  <si>
    <t>Celkem Úřad vlády ČR</t>
  </si>
  <si>
    <t>Celkem Ministerstvo vnitra</t>
  </si>
  <si>
    <t>Celkem Ministerstvo dopravy</t>
  </si>
  <si>
    <t>Celkem Ministerstvo financí</t>
  </si>
  <si>
    <t xml:space="preserve">Ostatní neinvestiční dotace obcím a krajům </t>
  </si>
  <si>
    <t>Zvyšování kvality řízení v úřadech územní veřejné správy - EU</t>
  </si>
  <si>
    <t>Výsledek hospodaření za rok 2015 u příspěvkové organizace v odvětví dopravy</t>
  </si>
  <si>
    <t>IČ</t>
  </si>
  <si>
    <t>Název</t>
  </si>
  <si>
    <t>Výsledek hospodaření 2015</t>
  </si>
  <si>
    <t>Správa silnic Moravskoslezského kraje, příspěvková organizace, Ostrava</t>
  </si>
  <si>
    <t>Příspěvkové organizace v odvětví dopravy celkem</t>
  </si>
  <si>
    <t>Výsledek hospodaření za rok 2015 u příspěvkových organizací v odvětví kultury</t>
  </si>
  <si>
    <t>00100579</t>
  </si>
  <si>
    <t>Moravskoslezská vědecká knihovna v Ostravě, příspěvková organizace</t>
  </si>
  <si>
    <t>00373231</t>
  </si>
  <si>
    <t>Galerie výtvarného umění v Ostravě, příspěvková organizace</t>
  </si>
  <si>
    <t>00100536</t>
  </si>
  <si>
    <t>Těšínské divadlo Český Těšín, příspěvková organizace</t>
  </si>
  <si>
    <t>00305847</t>
  </si>
  <si>
    <t>Muzeum Těšínska, příspěvková organizace</t>
  </si>
  <si>
    <t>00095630</t>
  </si>
  <si>
    <t>Muzeum Beskyd Frýdek-Místek, příspěvková organizace</t>
  </si>
  <si>
    <t>00095354</t>
  </si>
  <si>
    <t>Muzeum v Bruntále, příspěvková organizace</t>
  </si>
  <si>
    <t>00096296</t>
  </si>
  <si>
    <t>Muzeum Novojičínska, příspěvková organizace</t>
  </si>
  <si>
    <t>Příspěvkové organizace v odvětví kultury celkem</t>
  </si>
  <si>
    <t>Výsledek hospodaření za rok 2015 u příspěvkových organizací v odvětví sociálních věcí</t>
  </si>
  <si>
    <t>00846350</t>
  </si>
  <si>
    <t>Sagapo, příspěvková organizace, Bruntál</t>
  </si>
  <si>
    <t>00846384</t>
  </si>
  <si>
    <t>Harmonie, příspěvková organizace, Krnov</t>
  </si>
  <si>
    <t>00847046</t>
  </si>
  <si>
    <t>Náš svět, příspěvková organizace, Frýdlant nad Ostravicí</t>
  </si>
  <si>
    <t>00847330</t>
  </si>
  <si>
    <t>Nový domov, příspěvková organizace, Karviná</t>
  </si>
  <si>
    <t>00847348</t>
  </si>
  <si>
    <t>Domov Březiny, příspěvková organizace, Petřvald</t>
  </si>
  <si>
    <t>00847372</t>
  </si>
  <si>
    <t>Domov Jistoty, příspěvková organizace, Bohumín</t>
  </si>
  <si>
    <t>00847461</t>
  </si>
  <si>
    <t>Benjamín, příspěvková organizace, Petřvald</t>
  </si>
  <si>
    <t>00847267</t>
  </si>
  <si>
    <t>Centrum psychologické pomoci, příspěvková organizace, Karviná</t>
  </si>
  <si>
    <t>48804860</t>
  </si>
  <si>
    <t>Zámek Nová Horka, příspěvková organizace, Studénka</t>
  </si>
  <si>
    <t>48804878</t>
  </si>
  <si>
    <t>Domov Příbor, příspěvková organizace</t>
  </si>
  <si>
    <t>48804894</t>
  </si>
  <si>
    <t>Domov Odry, příspěvková organizace</t>
  </si>
  <si>
    <t>48804843</t>
  </si>
  <si>
    <t>Domov Hortenzie, příspěvková organizace, Frenštát pod Radhoštěm</t>
  </si>
  <si>
    <t>48804886</t>
  </si>
  <si>
    <t>Domov Duha, příspěvková organizace, Nový Jičín</t>
  </si>
  <si>
    <t>48804908</t>
  </si>
  <si>
    <t>Domov Paprsek, příspěvková organizace, Nový Jičín</t>
  </si>
  <si>
    <t>00016772</t>
  </si>
  <si>
    <t>Domov Bílá Opava, příspěvková organizace, Opava</t>
  </si>
  <si>
    <t>71197052</t>
  </si>
  <si>
    <t>Zámek Dolní Životice, příspěvková organizace</t>
  </si>
  <si>
    <t>71197044</t>
  </si>
  <si>
    <t>Fontána, příspěvková organizace, Hlučín</t>
  </si>
  <si>
    <t>71197036</t>
  </si>
  <si>
    <t>Sírius, příspěvková organizace, Opava</t>
  </si>
  <si>
    <t>71197061</t>
  </si>
  <si>
    <t>Marianum, příspěvková organizace, Opava</t>
  </si>
  <si>
    <t>71197001</t>
  </si>
  <si>
    <t>Domov Na zámku, příspěvková organizace, Kyjovice</t>
  </si>
  <si>
    <t>71196951</t>
  </si>
  <si>
    <t>Domov Vítkov, příspěvková organizace</t>
  </si>
  <si>
    <t>71197010</t>
  </si>
  <si>
    <t>Domov Letokruhy, příspěvková organizace, Budišov nad Budišovkou</t>
  </si>
  <si>
    <t>Příspěvkové organizace v odvětví sociálních věcí celkem</t>
  </si>
  <si>
    <t>Výsledek hospodaření za rok 2015 u příspěvkových organizací v odvětví školství</t>
  </si>
  <si>
    <t>00842761</t>
  </si>
  <si>
    <t>Matiční gymnázium, Ostrava, příspěvková organizace</t>
  </si>
  <si>
    <t>00842753</t>
  </si>
  <si>
    <t>Gymnázium Hladnov a Jazyková škola s právem státní jazykové zkoušky, Ostrava, příspěvková organizace</t>
  </si>
  <si>
    <t>00842745</t>
  </si>
  <si>
    <t xml:space="preserve">Gymnázium, Ostrava-Hrabůvka, příspěvková organizace        </t>
  </si>
  <si>
    <t>00602159</t>
  </si>
  <si>
    <t>Gymnázium  Olgy Havlové, Ostrava-Poruba, příspěvková organizace</t>
  </si>
  <si>
    <t>00842702</t>
  </si>
  <si>
    <t>Wichterlovo gymnázium, Ostrava-Poruba, příspěvková organizace</t>
  </si>
  <si>
    <t>00842737</t>
  </si>
  <si>
    <t>Gymnázium, Ostrava-Zábřeh, Volgogradská 6a, příspěvková organizace</t>
  </si>
  <si>
    <t>61989011</t>
  </si>
  <si>
    <t>Jazykové gymnázium Pavla Tigrida, Ostrava-Poruba, příspěvková organizace</t>
  </si>
  <si>
    <t>00602060</t>
  </si>
  <si>
    <t>Sportovní gymnázium Dany a Emila Zátopkových, Ostrava, příspěvková organizace</t>
  </si>
  <si>
    <t>Gymnázium Františka Živného, Bohumín, Jana Palacha 794, příspěvková organizace</t>
  </si>
  <si>
    <t>Gymnázium, Český Těšín, příspěvková organizace</t>
  </si>
  <si>
    <t>Polské gymnázium - Polskie Gimnazjum im. Juliusza Słowackiego, Český Těšín, příspěvková organizace</t>
  </si>
  <si>
    <t>Gymnázium, Havířov-Město, Komenského 2, příspěvková organizace</t>
  </si>
  <si>
    <t>Gymnázium, Havířov-Podlesí, příspěvková organizace</t>
  </si>
  <si>
    <t>Gymnázium, Karviná, příspěvková organizace</t>
  </si>
  <si>
    <t>Gymnázium a Obchodní akademie, Orlová, příspěvková organizace</t>
  </si>
  <si>
    <t>00601667</t>
  </si>
  <si>
    <t>Gymnázium Mikuláše Koperníka, Bílovec, příspěvková organizace</t>
  </si>
  <si>
    <t>00601659</t>
  </si>
  <si>
    <t>Gymnázium a Střední průmyslová škola elektrotechniky a informatiky, Frenštát pod Radhoštěm, příspěvková organizace</t>
  </si>
  <si>
    <t>00601675</t>
  </si>
  <si>
    <t>Gymnázium a Střední odborná škola, Nový Jičín, příspěvková organizace</t>
  </si>
  <si>
    <t>00601641</t>
  </si>
  <si>
    <t>Masarykovo gymnázium, Příbor, příspěvková organizace</t>
  </si>
  <si>
    <t>47813091</t>
  </si>
  <si>
    <t>Gymnázium Josefa Kainara, Hlučín,  příspěvková organizace</t>
  </si>
  <si>
    <t>Mendelovo gymnázium, Opava, příspěvková organizace</t>
  </si>
  <si>
    <t>47813075</t>
  </si>
  <si>
    <t>Slezské gymnázium, Opava, příspěvková organizace</t>
  </si>
  <si>
    <t>00601411</t>
  </si>
  <si>
    <t>Gymnázium Petra Bezruče, Frýdek-Místek, příspěvková organizace</t>
  </si>
  <si>
    <t>00846881</t>
  </si>
  <si>
    <t>Gymnázium a Střední odborná škola, Frýdek-Místek, Cihelní 410, příspěvková organizace</t>
  </si>
  <si>
    <t>00601403</t>
  </si>
  <si>
    <t>Gymnázium, Frýdlant nad Ostravicí, nám. T. G. Masaryka 1260, příspěvková organizace,</t>
  </si>
  <si>
    <t>00601390</t>
  </si>
  <si>
    <t>Gymnázium, Třinec, příspěvková organizace</t>
  </si>
  <si>
    <t>00601357</t>
  </si>
  <si>
    <t>Všeobecné a sportovní gymnázium, Bruntál, příspěvková organizace</t>
  </si>
  <si>
    <t>00601349</t>
  </si>
  <si>
    <t>Gymnázium, Krnov, příspěvková organizace</t>
  </si>
  <si>
    <t>00601331</t>
  </si>
  <si>
    <t>Gymnázium a Střední škola, Rýmařov, příspěvková organizace</t>
  </si>
  <si>
    <t>00602132</t>
  </si>
  <si>
    <t>Střední průmyslová škola elektrotechniky a informatiky, Ostrava, příspěvková organizace</t>
  </si>
  <si>
    <t>00602124</t>
  </si>
  <si>
    <t>Střední průmyslová škola chemická akademika Heyrovského a Gymnázium, Ostrava, příspěvková organizace</t>
  </si>
  <si>
    <t>00602116</t>
  </si>
  <si>
    <t>Střední průmyslová škola stavební, Ostrava, příspěvková organizace</t>
  </si>
  <si>
    <t>00602141</t>
  </si>
  <si>
    <t>Střední průmyslová škola,  Ostrava-Vítkovice, příspěvková organizace</t>
  </si>
  <si>
    <t>00602086</t>
  </si>
  <si>
    <t>Obchodní akademie a Vyšší odborná škola sociální, Ostrava-Mariánské Hory, příspěvková organizace</t>
  </si>
  <si>
    <t>00602094</t>
  </si>
  <si>
    <t>Obchodní akademie, Ostrava-Poruba, příspěvková organizace</t>
  </si>
  <si>
    <t>00602027</t>
  </si>
  <si>
    <t xml:space="preserve">Střední zahradnická škola, Ostrava, příspěvková organizace </t>
  </si>
  <si>
    <t>00602078</t>
  </si>
  <si>
    <t>Janáčkova konzervatoř a Gymnázium v Ostravě, příspěvková organizace</t>
  </si>
  <si>
    <t>00602051</t>
  </si>
  <si>
    <t>Střední umělecká škola, Ostrava, příspěvková organizace</t>
  </si>
  <si>
    <t>00600920</t>
  </si>
  <si>
    <t>Střední zdravotnická škola a Vyšší odborná škola zdravotnická, Ostrava, příspěvková organizace</t>
  </si>
  <si>
    <t>Střední průmyslová škola elektrotechnická, Havířov, příspěvková organizace</t>
  </si>
  <si>
    <t>Střední průmyslová škola stavební, Havířov, příspěvková organizace</t>
  </si>
  <si>
    <t>Střední průmyslová škola, Karviná, příspěvková organizace</t>
  </si>
  <si>
    <t>Obchodní akademie, Český Těšín, příspěvková organizace</t>
  </si>
  <si>
    <t>00844985</t>
  </si>
  <si>
    <t>Střední zdravotnická škola, Karviná, příspěvková organizace</t>
  </si>
  <si>
    <t>00601624</t>
  </si>
  <si>
    <t>Vyšší odborná škola, Střední odborná škola a Střední odborné učiliště, Kopřivnice, příspěvková organizace</t>
  </si>
  <si>
    <t>00845027</t>
  </si>
  <si>
    <t>Mendelova střední škola, Nový Jičín, příspěvková organizace</t>
  </si>
  <si>
    <t>00601152</t>
  </si>
  <si>
    <t>Střední zdravotnická škola, Opava, příspěvková organizace</t>
  </si>
  <si>
    <t>Obchodní akademie a Střední odborná škola logistická, Opava, příspěvková organizace</t>
  </si>
  <si>
    <t>Střední průmyslová škola stavební, Opava, příspěvková organizace</t>
  </si>
  <si>
    <t>Střední škola průmyslová a umělecká, Opava, příspěvková organizace</t>
  </si>
  <si>
    <t>Masarykova střední škola zemědělská a Vyšší odborná škola, Opava, příspěvková organizace</t>
  </si>
  <si>
    <t>00601381</t>
  </si>
  <si>
    <t>Střední průmyslová škola, Obchodní akademie a Jazyková škola s právem státní jazykové zkoušky, Frýdek-Místek, příspěvková organizace</t>
  </si>
  <si>
    <t>00561151</t>
  </si>
  <si>
    <t>Střední zdravotnická škola, Frýdek-Místek, příspěvková organizace</t>
  </si>
  <si>
    <t>Střední odborná škola dopravy a cestovního ruchu, Krnov, příspěvková organizace</t>
  </si>
  <si>
    <t>00601292</t>
  </si>
  <si>
    <t>Střední pedagogická škola a Střední zdravotnická škola, Krnov, příspěvková organizace</t>
  </si>
  <si>
    <t>00601322</t>
  </si>
  <si>
    <t>Střední průmyslová škola a Obchodní akademie, Bruntál, příspěvková organizace</t>
  </si>
  <si>
    <t>70947911</t>
  </si>
  <si>
    <t>Střední odborná škola waldorfská, Ostrava, příspěvková organizace</t>
  </si>
  <si>
    <t>72547651</t>
  </si>
  <si>
    <t>Střední škola hotelnictví a služeb a Vyšší odborná škola, Opava, příspěvková organizace</t>
  </si>
  <si>
    <t>00845329</t>
  </si>
  <si>
    <t>Střední škola teleinformatiky, Ostrava, příspěvková organizace</t>
  </si>
  <si>
    <t>00845213</t>
  </si>
  <si>
    <t>Střední škola stavební a dřevozpracující, Ostrava, příspěvková organizace</t>
  </si>
  <si>
    <t>00577260</t>
  </si>
  <si>
    <t>Střední škola společného stravování, Ostrava-Hrabůvka, příspěvková organizace</t>
  </si>
  <si>
    <t>Střední škola technická a dopravní, Ostrava-Vítkovice, příspěvková organizace</t>
  </si>
  <si>
    <t>Střední škola elektrotechnická, Ostrava, Na Jízdárně 30, příspěvková organizace</t>
  </si>
  <si>
    <t>00575933</t>
  </si>
  <si>
    <t>Střední škola služeb a podnikání, Ostrava-Poruba, příspěvková organizace</t>
  </si>
  <si>
    <t>Střední škola, Bohumín, příspěvková organizace</t>
  </si>
  <si>
    <t>Střední škola technických oborů, Havířov-Šumbark, Lidická 1a/600, příspěvková organizace</t>
  </si>
  <si>
    <t>Střední škola, Havířov-Prostřední Suchá, příspěvková organizace</t>
  </si>
  <si>
    <t>Střední škola, Havířov-Šumbark, Sýkorova 1/613, příspěvková organizace</t>
  </si>
  <si>
    <t>00577235</t>
  </si>
  <si>
    <t>Albrechtova střední škola, Český Těšín, příspěvková organizace</t>
  </si>
  <si>
    <t>Střední škola techniky a služeb, Karviná, příspěvková organizace</t>
  </si>
  <si>
    <t>13644297</t>
  </si>
  <si>
    <t>Střední škola a Základní škola, Havířov-Šumbark, příspěvková organizace</t>
  </si>
  <si>
    <t>00576441</t>
  </si>
  <si>
    <t>Hotelová škola, Frenštát pod Radhoštěm, příspěvková organizace</t>
  </si>
  <si>
    <t>00848077</t>
  </si>
  <si>
    <t>Střední škola technická a zemědělská, Nový Jičín, příspěvková organizace</t>
  </si>
  <si>
    <t>00577910</t>
  </si>
  <si>
    <t>Střední škola, Odry, příspěvková organizace</t>
  </si>
  <si>
    <t>00601594</t>
  </si>
  <si>
    <t>Odborné učiliště a Praktická škola, Nový Jičín, příspěvková organizace</t>
  </si>
  <si>
    <t>Střední odborné učiliště stavební, Opava, příspěvková organizace</t>
  </si>
  <si>
    <t>00845299</t>
  </si>
  <si>
    <t>Střední škola technická, Opava, Kolofíkovo nábřeží 51, příspěvková organizace</t>
  </si>
  <si>
    <t>00601837</t>
  </si>
  <si>
    <t>Odborné učiliště a Praktická škola, Hlučín, příspěvková organizace</t>
  </si>
  <si>
    <t>00844691</t>
  </si>
  <si>
    <t>Střední odborná škola, Frýdek-Místek, příspěvková organizace</t>
  </si>
  <si>
    <t>13644301</t>
  </si>
  <si>
    <t>Střední škola elektrostavební a dřevozpracující, Frýdek-Místek, příspěvková organizace</t>
  </si>
  <si>
    <t>00577243</t>
  </si>
  <si>
    <t>Střední škola gastronomie, oděvnictví a služeb, Frýdek-Místek, příspěvková organizace</t>
  </si>
  <si>
    <t>Střední škola automobilní, Krnov, příspěvková organizace</t>
  </si>
  <si>
    <t>00846279</t>
  </si>
  <si>
    <t xml:space="preserve">Střední škola průmyslová, Krnov, příspěvková organizace        </t>
  </si>
  <si>
    <t>Střední odborná škola, Bruntál, příspěvková organizace</t>
  </si>
  <si>
    <t>00100307</t>
  </si>
  <si>
    <t>Střední škola zemědělství a služeb, Město Albrechtice, příspěvková organizace</t>
  </si>
  <si>
    <t>00100340</t>
  </si>
  <si>
    <t>Střední odborná škola a Střední odborné učiliště podnikání a služeb, Jablunkov, Školní 416, příspěvková organizace,</t>
  </si>
  <si>
    <t>Mateřská škola logopedická, Ostrava-Poruba, U Školky 1621, příspěvková organizace</t>
  </si>
  <si>
    <t>Mateřská škola logopedická, Ostrava-Poruba, Na Robinsonce 1646, příspěvková organizace</t>
  </si>
  <si>
    <t>00601985</t>
  </si>
  <si>
    <t>Základní škola pro sluchově postižené a Mateřská škola pro sluchově postižené, Ostrava-Poruba, příspěvková organizace</t>
  </si>
  <si>
    <t>00601977</t>
  </si>
  <si>
    <t>Dětský domov a Školní jídelna, Ostrava-Slezská Ostrava, Na Vizině 28, příspěvková organizace</t>
  </si>
  <si>
    <t>Střední škola prof. Zdeňka Matějčka, Ostrava-Poruba, příspěvková organizace</t>
  </si>
  <si>
    <t>Mateřská škola Paraplíčko, Havířov, příspěvková organizace</t>
  </si>
  <si>
    <t>Mateřská škola Klíček, Karviná-Hranice, Einsteinova 2849, příspěvková organizace</t>
  </si>
  <si>
    <t>Základní škola speciální a Mateřská škola speciální, Nový Jičín, Komenského 64, příspěvková organizace</t>
  </si>
  <si>
    <t>Mateřská škola Eliška, Opava, příspěvková organizace</t>
  </si>
  <si>
    <t>Základní škola a Mateřská škola, Ostrava-Poruba, Ukrajinská 19, příspěvková organizace</t>
  </si>
  <si>
    <t>Základní škola, Ostrava-Zábřeh, Kpt. Vajdy 1a, příspěvková organizace</t>
  </si>
  <si>
    <t>Základní škola, Ostrava-Hrabůvka, U Haldy 66, příspěvková organizace</t>
  </si>
  <si>
    <t>64628205</t>
  </si>
  <si>
    <t>Základní škola, Ostrava-Mariánské Hory, Karasova 6, příspěvková organizace</t>
  </si>
  <si>
    <t>Základní škola, Ostrava-Poruba, Čkalovova 942, příspěvková organizace</t>
  </si>
  <si>
    <t>Střední škola, Základní škola a Mateřská škola, Karviná, příspěvková organizace</t>
  </si>
  <si>
    <t>Základní škola a Mateřská škola, Nový Jičín, Dlouhá 54, příspěvková organizace</t>
  </si>
  <si>
    <t>Základní škola a Mateřská škola Motýlek, Kopřivnice, Smetanova 1122, příspěvková organizace</t>
  </si>
  <si>
    <t>Základní škola, Frenštát pod Radhoštěm, Tyršova 1053, příspěvková organizace</t>
  </si>
  <si>
    <t>Dětský domov Loreta a Školní jídelna, Fulnek, příspěvková organizace</t>
  </si>
  <si>
    <t>Základní škola Floriána Bayera, Kopřivnice, Štramberská 189, příspěvková organizace</t>
  </si>
  <si>
    <t>Základní škola, Opava, Havlíčkova 1, příspěvková organizace</t>
  </si>
  <si>
    <t>Základní škola při zdravotnickém zařízení a Mateřská škola při zdravotnickém zařízení, Opava, Olomoucká 88, příspěvková organizace</t>
  </si>
  <si>
    <t>Základní škola, Hlučín, Gen. Svobody 8, příspěvková organizace</t>
  </si>
  <si>
    <t>Základní škola a Praktická škola, Opava, Slezského odboje 5, příspěvková organizace</t>
  </si>
  <si>
    <t>Dětský domov a Školní jídelna, Radkov-Dubová 141, příspěvková organizace</t>
  </si>
  <si>
    <t>Základní škola, Střední škola, Dětský domov, Školní jídelna a Internát, Velké Heraltice, Opavská 1, příspěvková organizace</t>
  </si>
  <si>
    <t>Základní škola, Vítkov, nám. J. Zajíce č. 1, příspěvková organizace</t>
  </si>
  <si>
    <t>69610134</t>
  </si>
  <si>
    <t>Střední škola, Základní škola a Mateřská škola, Frýdek-Místek, příspěvková organizace</t>
  </si>
  <si>
    <t>Základní škola a Mateřská škola, Frýdlant nad Ostravicí, Náměstí 7, příspěvková organizace</t>
  </si>
  <si>
    <t>Střední škola, Základní škola a Mateřská škola, Třinec, Jablunkovská 241, příspěvková organizace</t>
  </si>
  <si>
    <t>00852619</t>
  </si>
  <si>
    <t>Základní škola, Dětský domov, Školní družina a Školní jídelna, Vrbno p. Pradědem, nám. Sv. Michala 17, příspěvková organizace</t>
  </si>
  <si>
    <t>60802669</t>
  </si>
  <si>
    <t>Základní škola, Bruntál, Rýmařovská 15, příspěvková organizace</t>
  </si>
  <si>
    <t>Základní škola, Město Albrechtice, Hašlerova 2, příspěvková organizace</t>
  </si>
  <si>
    <t>Základní škola, Rýmařov, Školní náměstí 1, příspěvková organizace</t>
  </si>
  <si>
    <t>71172050</t>
  </si>
  <si>
    <t>Základní škola, Ostrava-Slezská Ostrava, Na Vizině 28, příspěvková organizace</t>
  </si>
  <si>
    <t>61989207</t>
  </si>
  <si>
    <t>Základní umělecká škola, Ostrava - Moravská Ostrava, Sokolská třída 15, příspěvková organizace</t>
  </si>
  <si>
    <t>61989185</t>
  </si>
  <si>
    <t>Základní umělecká škola Eduarda Marhuly, Ostrava - Mariánské Hory, Hudební 6, příspěvková organizace</t>
  </si>
  <si>
    <t>61989177</t>
  </si>
  <si>
    <t>Základní umělecká škola, Ostrava - Petřkovice, Hlučínská 7, příspěvková organizace</t>
  </si>
  <si>
    <t>61989193</t>
  </si>
  <si>
    <t>Základní umělecká škola Edvarda Runda, Ostrava - Slezská Ostrava, Keltičkova 4, příspěvková organizace</t>
  </si>
  <si>
    <t>61989223</t>
  </si>
  <si>
    <t>Základní umělecká škola Viléma Petrželky, Ostrava - Hrabůvka, Edisonova 90, příspěvková organizace</t>
  </si>
  <si>
    <t>63731983</t>
  </si>
  <si>
    <t>Základní umělecká škola, Ostrava - Zábřeh, Sologubova 9/A, příspěvková organizace</t>
  </si>
  <si>
    <t>64628116</t>
  </si>
  <si>
    <t>Základní umělecká škola Leoše Janáčka, Ostrava - Vítkovice, příspěvková organizace</t>
  </si>
  <si>
    <t>64628221</t>
  </si>
  <si>
    <t>Základní umělecká škola, Ostrava - Poruba, J. Valčíka 4413, příspěvková organizace</t>
  </si>
  <si>
    <t>61989231</t>
  </si>
  <si>
    <t>Základní umělecká škola Heleny Salichové, Ostrava - Polanka n/O, 1. května 330, příspěvková organizace</t>
  </si>
  <si>
    <t>62331701</t>
  </si>
  <si>
    <t>Základní umělecká škola, Bohumín - Nový Bohumín, Žižkova 620, příspěvková organizace</t>
  </si>
  <si>
    <t>68899106</t>
  </si>
  <si>
    <t>Základní umělecká škola Pavla Kalety, Český Těšín, příspěvková organizace</t>
  </si>
  <si>
    <t>62331663</t>
  </si>
  <si>
    <t>Základní umělecká škola Bohuslava Martinů, Havířov - Město, Na Schodech 1, příspěvková organizace</t>
  </si>
  <si>
    <t>62331647</t>
  </si>
  <si>
    <t>Základní umělecká škola Leoše Janáčka, Havířov, příspěvková organizace</t>
  </si>
  <si>
    <t>Základní umělecká škola Bedřicha Smetany, Karviná - Mizerov, příspěvková organizace</t>
  </si>
  <si>
    <t>Základní umělecká škola J. R. Míši, Orlová, příspěvková organizace</t>
  </si>
  <si>
    <t>Základní umělecká škola, Rychvald, Orlovská 495, příspěvková organizace</t>
  </si>
  <si>
    <t>Základní umělecká škola, Bílovec, Pivovarská 124, příspěvková organizace</t>
  </si>
  <si>
    <t>Základní umělecká škola, Frenštát pod Radhoštěm, Tyršova 955, příspěvková organizace</t>
  </si>
  <si>
    <t>Základní umělecká škola, Klimkovice, Lidická 5, příspěvková organizace</t>
  </si>
  <si>
    <t>Základní umělecká škola Zdeňka Buriana, Kopřivnice, příspěvková organizace</t>
  </si>
  <si>
    <t>Základní umělecká škola, Nový Jičín, Derkova 1, příspěvková organizace</t>
  </si>
  <si>
    <t>Základní umělecká škola, Odry, příspěvková organizace</t>
  </si>
  <si>
    <t>Základní umělecká škola, Příbor, Lidická 50, příspěvková organizace</t>
  </si>
  <si>
    <t>Základní umělecká škola J. A. Komenského, Studénka, příspěvková organizace</t>
  </si>
  <si>
    <t>Základní umělecká škola Vladislava Vančury, Háj ve Slezsku, příspěvková organizace</t>
  </si>
  <si>
    <t>00849910</t>
  </si>
  <si>
    <t>Základní umělecká škola Pavla Josefa Vejvanovského, Hlučín, příspěvková organizace</t>
  </si>
  <si>
    <t>Základní umělecká škola, Hradec nad Moravicí, Zámecká 313, příspěvková organizace</t>
  </si>
  <si>
    <t>Základní umělecká škola Václava Kálika, Opava, Nádražní okruh 11, příspěvková organizace</t>
  </si>
  <si>
    <t>Základní umělecká škola, Opava, Solná 8, příspěvková organizace</t>
  </si>
  <si>
    <t>Základní umělecká škola, Vítkov, Lidická 639, příspěvková organizace</t>
  </si>
  <si>
    <t>Základní umělecká škola Leoše Janáčka, Frýdlant nad Ostravicí, příspěvková organizace</t>
  </si>
  <si>
    <t>Základní umělecká škola, Jablunkov, Mariánské náměstí 1, příspěvková organizace</t>
  </si>
  <si>
    <t>Základní umělecká škola, Třinec, Třanovského 596, příspěvková organizace</t>
  </si>
  <si>
    <t>Základní umělecká škola, Bruntál, nám. J. Žižky 6, příspěvková organizace</t>
  </si>
  <si>
    <t>Základní umělecká škola, Krnov, Hlavní náměstí 9, příspěvková organizace</t>
  </si>
  <si>
    <t>60780487</t>
  </si>
  <si>
    <t>Základní umělecká škola, Město Abrechtice, Tyršova 1, příspěvková organizace</t>
  </si>
  <si>
    <t>00852481</t>
  </si>
  <si>
    <t>Základní umělecká škola, Rýmařov, Čapkova 6, příspěvková organizace</t>
  </si>
  <si>
    <t>00847925</t>
  </si>
  <si>
    <t>Krajské středisko volného času JUVENTUS, Karviná, příspěvková organizace</t>
  </si>
  <si>
    <t>Pedagogicko-psychologická poradna, Ostrava-Zábřeh, příspěvková organizace</t>
  </si>
  <si>
    <t>00602001</t>
  </si>
  <si>
    <t>Domov mládeže a Školní jídelna-výdejna, Ostrava-Hrabůvka, Krakovská 1095, příspěvková organizace</t>
  </si>
  <si>
    <t>Pedagogicko-psychologická poradna, Karviná, příspěvková organizace</t>
  </si>
  <si>
    <t>Pedagogicko-psychologická poradna, Nový Jičín, příspěvková organizace</t>
  </si>
  <si>
    <t>62330403</t>
  </si>
  <si>
    <t>Krajské zařízení pro další vzdělávání pedagogických pracovníků a informační centrum, Nový Jičín, příspěvková organizace</t>
  </si>
  <si>
    <t>00098752</t>
  </si>
  <si>
    <t>Školní statek, Opava, příspěvková organizace</t>
  </si>
  <si>
    <t>00849936</t>
  </si>
  <si>
    <t>Pedagogicko-psychologická poradna, Opava, příspěvková organizace</t>
  </si>
  <si>
    <t>47813369</t>
  </si>
  <si>
    <t>Zařízení školního stravování Matiční dům, Opava, Rybí trh 7-8, příspěvková organizace</t>
  </si>
  <si>
    <t>Pedagogicko-psychologická poradna, Frýdek-Místek, příspěvková organizace</t>
  </si>
  <si>
    <t>Pedagogicko-psychologická poradna, Bruntál, příspěvková organizace</t>
  </si>
  <si>
    <t>Dětský domov Úsměv a Školní jídelna, Ostrava-Hrabová, Reymontova 2a, příspěvková organizace</t>
  </si>
  <si>
    <t>Dětský domov a Školní jídelna, Havířov-Podlesí, Čelakovského 1, příspěvková organizace</t>
  </si>
  <si>
    <t xml:space="preserve">Dětský domov SRDCE a Školní jídelna, Karviná-Fryštát,Vydmuchov 10, příspěvková organizace </t>
  </si>
  <si>
    <t>Dětský domov a Školní jídelna, Nový Jičín, Revoluční 56, příspěvková organizace</t>
  </si>
  <si>
    <t>Dětský domov a Školní jídelna, Příbor, Masarykova 607, příspěvková organizace</t>
  </si>
  <si>
    <t>Dětský domov a Školní jídelna, Budišov nad Budišovkou, příspěvková organizace</t>
  </si>
  <si>
    <t>Dětský domov a Školní jídelna, Melč 4, příspěvková organizace</t>
  </si>
  <si>
    <t>Dětský domov a Školní jídelna, Opava, Rybí trh 14, příspěvková organizace</t>
  </si>
  <si>
    <t>Dětský domov a Školní jídelna, Frýdek-Místek, příspěvková organizace</t>
  </si>
  <si>
    <t>Dětský domov a Školní jídelna, Čeladná 87, příspěvková organizace</t>
  </si>
  <si>
    <t>00852732</t>
  </si>
  <si>
    <t>Dětský domov a Školní jídelna, Lichnov 253, příspěvková organizace</t>
  </si>
  <si>
    <t>Střední škola, Vítkov-Podhradí, příspěvková organizace</t>
  </si>
  <si>
    <t>Základní škola,  Bílovec, Wolkerova 911, příspěvková organizace</t>
  </si>
  <si>
    <t>Příspěvkové organizace v odvětví školství celkem</t>
  </si>
  <si>
    <t>Výsledek hospodaření za rok 2015 u příspěvkových organizací v odvětví zdravotnictví</t>
  </si>
  <si>
    <t>00844641</t>
  </si>
  <si>
    <t>Sdružené zdravotnické zařízení Krnov, příspěvková organizace</t>
  </si>
  <si>
    <t>63024594</t>
  </si>
  <si>
    <t>Dětský domov Janovice u Rýmařova, příspěvková organizace</t>
  </si>
  <si>
    <t>00534188</t>
  </si>
  <si>
    <t>Nemocnice ve Frýdku-Místku, příspěvková organizace</t>
  </si>
  <si>
    <t>00534242</t>
  </si>
  <si>
    <t>Nemocnice Třinec, příspěvková organizace</t>
  </si>
  <si>
    <t>00534200</t>
  </si>
  <si>
    <t>Odborný léčebný ústav Metylovice - Moravskoslezské sanatorium, příspěvková organizace</t>
  </si>
  <si>
    <t>00844853</t>
  </si>
  <si>
    <t>Nemocnice s poliklinikou Karviná-Ráj, příspěvková organizace</t>
  </si>
  <si>
    <t>00844896</t>
  </si>
  <si>
    <t>Nemocnice s poliklinikou Havířov, příspěvková organizace</t>
  </si>
  <si>
    <t>47813750</t>
  </si>
  <si>
    <t>Slezská nemocnice v Opavě, příspěvková organizace</t>
  </si>
  <si>
    <t>68177992</t>
  </si>
  <si>
    <t>Dětské centrum Čtyřlístek, příspěvková organizace, Opava</t>
  </si>
  <si>
    <t>Zdravotnická záchranná služba Moravskoslezského kraje, příspěvková organizace, Ostrava</t>
  </si>
  <si>
    <t>Příspěvkové organizace v odvětví zdravotnictví celkem</t>
  </si>
  <si>
    <t>Výsledek hospodaření za rok 2015 u příspěvkové organizace v odvětví životního prostředí</t>
  </si>
  <si>
    <t>Moravskoslezské energetické centrum, příspěvková organizace, Ostrava</t>
  </si>
  <si>
    <t>Příspěvkové organizace v odvětví životní prostředí celkem</t>
  </si>
  <si>
    <t>SUMÁŘ ÚČETNÍCH VÝKAZŮ ZA ROK 2015</t>
  </si>
  <si>
    <t>ROZVAHA MORAVSKOSLEZSKÉHO KRAJE včetně příspěvkových organizací (v tis. Kč)</t>
  </si>
  <si>
    <t>Položka výkazu</t>
  </si>
  <si>
    <t>Syntetický účet</t>
  </si>
  <si>
    <t>OBDOBÍ</t>
  </si>
  <si>
    <t>BĚŽNÉ</t>
  </si>
  <si>
    <t>MINULÉ</t>
  </si>
  <si>
    <t>BRUTTO</t>
  </si>
  <si>
    <t>KOREKCE</t>
  </si>
  <si>
    <t>NETTO</t>
  </si>
  <si>
    <t>Aktiva celkem</t>
  </si>
  <si>
    <t>A.</t>
  </si>
  <si>
    <t>Stálá aktiva</t>
  </si>
  <si>
    <t>A.I.</t>
  </si>
  <si>
    <t>Dlouhodobý nehmotný majetek</t>
  </si>
  <si>
    <t>A.I.1.</t>
  </si>
  <si>
    <t>Nehmotné výsledky výzkumu a vývoje</t>
  </si>
  <si>
    <t>012</t>
  </si>
  <si>
    <t>A.I.2.</t>
  </si>
  <si>
    <t>Software</t>
  </si>
  <si>
    <t>013</t>
  </si>
  <si>
    <t>A.I.3.</t>
  </si>
  <si>
    <t>014</t>
  </si>
  <si>
    <t>A.I.4.</t>
  </si>
  <si>
    <t>Povolenky na emise a preferenční limity</t>
  </si>
  <si>
    <t>015</t>
  </si>
  <si>
    <t>A.I.5.</t>
  </si>
  <si>
    <t>Drobný dlouhodobý nehmotný majetek</t>
  </si>
  <si>
    <t>018</t>
  </si>
  <si>
    <t>A.I.6.</t>
  </si>
  <si>
    <t>Ostatní dlouhodobý nehmotný majetek</t>
  </si>
  <si>
    <t>019</t>
  </si>
  <si>
    <t>A.I.7.</t>
  </si>
  <si>
    <t>Nedokončený dlouhodobý nehmotný majetek</t>
  </si>
  <si>
    <t>041</t>
  </si>
  <si>
    <t>A.I.8.</t>
  </si>
  <si>
    <t>Uspořádací účet technického zhodnocení dlouhodobého nehmotného majetku</t>
  </si>
  <si>
    <t>044</t>
  </si>
  <si>
    <t>A.I.9.</t>
  </si>
  <si>
    <t>Poskytnuté zálohy na dlouhodobý nehmotný majetek</t>
  </si>
  <si>
    <t>051</t>
  </si>
  <si>
    <t>A.I.10.</t>
  </si>
  <si>
    <t>Dlouhodobý nehmotný majetek určený k prodeji</t>
  </si>
  <si>
    <t>035</t>
  </si>
  <si>
    <t>A.II.</t>
  </si>
  <si>
    <t>Dlouhodobý hmotný majetek</t>
  </si>
  <si>
    <t>A.II.1.</t>
  </si>
  <si>
    <t>031</t>
  </si>
  <si>
    <t>A.II.2.</t>
  </si>
  <si>
    <t>Kulturní předměty</t>
  </si>
  <si>
    <t>032</t>
  </si>
  <si>
    <t>A.II.3.</t>
  </si>
  <si>
    <t>Stavby</t>
  </si>
  <si>
    <t>021</t>
  </si>
  <si>
    <t>A.II.4.</t>
  </si>
  <si>
    <t>Samostatné hmotné movité věci a soubory hmotných movitých věcí</t>
  </si>
  <si>
    <t>022</t>
  </si>
  <si>
    <t>A.II.5.</t>
  </si>
  <si>
    <t>Pěstitelské celky trvalých porostů</t>
  </si>
  <si>
    <t>025</t>
  </si>
  <si>
    <t>A.II.6.</t>
  </si>
  <si>
    <t>Drobný dlouhodobý hmotný majetek</t>
  </si>
  <si>
    <t>028</t>
  </si>
  <si>
    <t>A.II.7.</t>
  </si>
  <si>
    <t>Ostatní dlouhodobý hmotný majetek</t>
  </si>
  <si>
    <t>029</t>
  </si>
  <si>
    <t>A.II.8.</t>
  </si>
  <si>
    <t>Nedokončený dlouhodobý hmotný majetek</t>
  </si>
  <si>
    <t>042</t>
  </si>
  <si>
    <t>A.II.9.</t>
  </si>
  <si>
    <t>Uspořádací účet technického zhodnocení dlouhodobého hmotného majetku</t>
  </si>
  <si>
    <t>045</t>
  </si>
  <si>
    <t>A.II.10.</t>
  </si>
  <si>
    <t>Poskytnuté zálohy na dlouhodobý hmotný majetek</t>
  </si>
  <si>
    <t>052</t>
  </si>
  <si>
    <t>A.II.11.</t>
  </si>
  <si>
    <t>Dlouhodobý hmotný majetek určený k prodeji</t>
  </si>
  <si>
    <t>036</t>
  </si>
  <si>
    <t>A.III.</t>
  </si>
  <si>
    <t>Dlouhodobý finanční majetek</t>
  </si>
  <si>
    <t>A.III.1.</t>
  </si>
  <si>
    <t>Majetkové účasti v osobách s rozhodujícím vlivem</t>
  </si>
  <si>
    <t>061</t>
  </si>
  <si>
    <t>A.III.2.</t>
  </si>
  <si>
    <t>Majetkové účasti v osobách s podstatným vlivem</t>
  </si>
  <si>
    <t>062</t>
  </si>
  <si>
    <t>A.III.3.</t>
  </si>
  <si>
    <t>Dluhové cenné papíry držené do splatnosti</t>
  </si>
  <si>
    <t>063</t>
  </si>
  <si>
    <t>A.III.4.</t>
  </si>
  <si>
    <t>Dlouhodobé půjčky</t>
  </si>
  <si>
    <t>067</t>
  </si>
  <si>
    <t>A.III.5.</t>
  </si>
  <si>
    <t>Termínované vklady dlouhodobé</t>
  </si>
  <si>
    <t>068</t>
  </si>
  <si>
    <t>A.III.6.</t>
  </si>
  <si>
    <t>Ostatní dlouhodobý finanční majetek</t>
  </si>
  <si>
    <t>069</t>
  </si>
  <si>
    <t>A.III.7.</t>
  </si>
  <si>
    <t>Pořizovaný dlouhodobý finanční majetek</t>
  </si>
  <si>
    <t>043</t>
  </si>
  <si>
    <t>A.III.8.</t>
  </si>
  <si>
    <t>Poskytnuté zálohy na dlouhodobý finanční majetek</t>
  </si>
  <si>
    <t>053</t>
  </si>
  <si>
    <t>A.IV.</t>
  </si>
  <si>
    <t>Dlouhodobé pohledávky</t>
  </si>
  <si>
    <t>A.IV.1.</t>
  </si>
  <si>
    <t>Poskytnuté návratné finanční výpomoci dlouhodobé</t>
  </si>
  <si>
    <t>462</t>
  </si>
  <si>
    <t>A.IV.2.</t>
  </si>
  <si>
    <t>Dlouhodobé pohledávky z postoupených úvěrů</t>
  </si>
  <si>
    <t>464</t>
  </si>
  <si>
    <t>A.IV.3.</t>
  </si>
  <si>
    <t>Dlouhodobé poskytnuté zálohy</t>
  </si>
  <si>
    <t>465</t>
  </si>
  <si>
    <t>A.IV.4.</t>
  </si>
  <si>
    <t>Dlouhodobé pohledávky z ručení</t>
  </si>
  <si>
    <t>466</t>
  </si>
  <si>
    <t>A.IV.5.</t>
  </si>
  <si>
    <t>Ostatní dlouhodobé pohledávky</t>
  </si>
  <si>
    <t>469</t>
  </si>
  <si>
    <t>A.IV.6.</t>
  </si>
  <si>
    <t>Dlouhodobé poskytnuté zálohy na transfery</t>
  </si>
  <si>
    <t>471</t>
  </si>
  <si>
    <t>A.IV.7.</t>
  </si>
  <si>
    <t>Zprostředkování dlouhodobých transferů</t>
  </si>
  <si>
    <t>475</t>
  </si>
  <si>
    <t>B.</t>
  </si>
  <si>
    <t>Oběžná aktiva</t>
  </si>
  <si>
    <t>B.I.</t>
  </si>
  <si>
    <t>Zásoby</t>
  </si>
  <si>
    <t>B.I.1.</t>
  </si>
  <si>
    <t>Pořízení materiálu</t>
  </si>
  <si>
    <t>111</t>
  </si>
  <si>
    <t>B.I.2.</t>
  </si>
  <si>
    <t>Materiál na skladě</t>
  </si>
  <si>
    <t>112</t>
  </si>
  <si>
    <t>B.I.3.</t>
  </si>
  <si>
    <t>Materiál na cestě</t>
  </si>
  <si>
    <t>119</t>
  </si>
  <si>
    <t>B.I.4.</t>
  </si>
  <si>
    <t>Nedokončená výroba</t>
  </si>
  <si>
    <t>121</t>
  </si>
  <si>
    <t>B.I.5.</t>
  </si>
  <si>
    <t>Polotovary vlastní výroby</t>
  </si>
  <si>
    <t>122</t>
  </si>
  <si>
    <t>B.I.6.</t>
  </si>
  <si>
    <t>Výrobky</t>
  </si>
  <si>
    <t>123</t>
  </si>
  <si>
    <t>B.I.7.</t>
  </si>
  <si>
    <t>Pořízení zboží</t>
  </si>
  <si>
    <t>131</t>
  </si>
  <si>
    <t>B.I.8.</t>
  </si>
  <si>
    <t>Zboží na skladě</t>
  </si>
  <si>
    <t>132</t>
  </si>
  <si>
    <t>B.I.9.</t>
  </si>
  <si>
    <t>Zboží na cestě</t>
  </si>
  <si>
    <t>138</t>
  </si>
  <si>
    <t>B.I.10.</t>
  </si>
  <si>
    <t>Ostatní zásoby</t>
  </si>
  <si>
    <t>139</t>
  </si>
  <si>
    <t>B.II.</t>
  </si>
  <si>
    <t>Krátkodobé pohledávky</t>
  </si>
  <si>
    <t>B.II.1.</t>
  </si>
  <si>
    <t>Odběratelé</t>
  </si>
  <si>
    <t>311</t>
  </si>
  <si>
    <t>B.II.2.</t>
  </si>
  <si>
    <t>Směnky k inkasu</t>
  </si>
  <si>
    <t>312</t>
  </si>
  <si>
    <t>B.II.3.</t>
  </si>
  <si>
    <t>Pohledávky za eskontované cenné papíry</t>
  </si>
  <si>
    <t>313</t>
  </si>
  <si>
    <t>B.II.4.</t>
  </si>
  <si>
    <t>Krátkodobé poskytnuté zálohy</t>
  </si>
  <si>
    <t>314</t>
  </si>
  <si>
    <t>B.II.5.</t>
  </si>
  <si>
    <t>Jiné pohledávky z hlavní činnosti</t>
  </si>
  <si>
    <t>315</t>
  </si>
  <si>
    <t>B.II.6.</t>
  </si>
  <si>
    <t>Poskytnuté návratné finanční výpomoci krátkodobé</t>
  </si>
  <si>
    <t>316</t>
  </si>
  <si>
    <t>B.II.7.</t>
  </si>
  <si>
    <t>Krátkodobé pohledávky z postoupených úvěrů</t>
  </si>
  <si>
    <t>317</t>
  </si>
  <si>
    <t>B.II.8.</t>
  </si>
  <si>
    <t>Pohledávky z přerozdělovaných daní</t>
  </si>
  <si>
    <t>319</t>
  </si>
  <si>
    <t>B.II.9.</t>
  </si>
  <si>
    <t>Pohledávky za zaměstnanci</t>
  </si>
  <si>
    <t>335</t>
  </si>
  <si>
    <t>B.II.10.</t>
  </si>
  <si>
    <t>Sociální zabezpečení</t>
  </si>
  <si>
    <t>336</t>
  </si>
  <si>
    <t>B.II.11.</t>
  </si>
  <si>
    <t>Zdravotní pojištění</t>
  </si>
  <si>
    <t>337</t>
  </si>
  <si>
    <t>B.II.12.</t>
  </si>
  <si>
    <t>Důchodové spoření</t>
  </si>
  <si>
    <t>338</t>
  </si>
  <si>
    <t>B.II.13.</t>
  </si>
  <si>
    <t>Daň z příjmů</t>
  </si>
  <si>
    <t>341</t>
  </si>
  <si>
    <t>B.II.14.</t>
  </si>
  <si>
    <t>Ostatní daně, poplatky a jiná obdobná peněžitá plnění</t>
  </si>
  <si>
    <t>342</t>
  </si>
  <si>
    <t>B.II.15.</t>
  </si>
  <si>
    <t>343</t>
  </si>
  <si>
    <t>B.II.16.</t>
  </si>
  <si>
    <t>Pohledávky za osobami mimo vybrané vládní instituce</t>
  </si>
  <si>
    <t>344</t>
  </si>
  <si>
    <t>B.II.17.</t>
  </si>
  <si>
    <t>Pohledávky za vybranými ústředními vládními institucemi</t>
  </si>
  <si>
    <t>346</t>
  </si>
  <si>
    <t>B.II.18.</t>
  </si>
  <si>
    <t>Pohledávky za vybranými místními vládními institucemi</t>
  </si>
  <si>
    <t>348</t>
  </si>
  <si>
    <t>B.II.23.</t>
  </si>
  <si>
    <t>Krátkodobé pohledávky z ručení</t>
  </si>
  <si>
    <t>361</t>
  </si>
  <si>
    <t>B.II.24.</t>
  </si>
  <si>
    <t>Pevné termínové operace a opce</t>
  </si>
  <si>
    <t>363</t>
  </si>
  <si>
    <t>B.II.25.</t>
  </si>
  <si>
    <t>Pohledávky z finančního zajištění</t>
  </si>
  <si>
    <t>365</t>
  </si>
  <si>
    <t>B.II.26.</t>
  </si>
  <si>
    <t>Pohledávky z vydaných dluhopisů</t>
  </si>
  <si>
    <t>367</t>
  </si>
  <si>
    <t>B.II.27.</t>
  </si>
  <si>
    <t>Krátkodobé poskytnuté zálohy na transfery</t>
  </si>
  <si>
    <t>373</t>
  </si>
  <si>
    <t>B.II.28.</t>
  </si>
  <si>
    <t>Zprostředkování krátkodobých transferů</t>
  </si>
  <si>
    <t>375</t>
  </si>
  <si>
    <t>B.II.29.</t>
  </si>
  <si>
    <t>Náklady příštích období</t>
  </si>
  <si>
    <t>381</t>
  </si>
  <si>
    <t>B.II.30.</t>
  </si>
  <si>
    <t>Příjmy příštích období</t>
  </si>
  <si>
    <t>385</t>
  </si>
  <si>
    <t>B.II.31.</t>
  </si>
  <si>
    <t>Dohadné účty aktivní</t>
  </si>
  <si>
    <t>388</t>
  </si>
  <si>
    <t>B.II.32.</t>
  </si>
  <si>
    <t>Ostatní krátkodobé pohledávky</t>
  </si>
  <si>
    <t>377</t>
  </si>
  <si>
    <t>B.III.</t>
  </si>
  <si>
    <t>Krátkodobý finanční majetek</t>
  </si>
  <si>
    <t>B.III.1.</t>
  </si>
  <si>
    <t>Majetkové cenné papíry k obchodování</t>
  </si>
  <si>
    <t>251</t>
  </si>
  <si>
    <t>B.III.2.</t>
  </si>
  <si>
    <t>Dluhové cenné papíry k obchodování</t>
  </si>
  <si>
    <t>253</t>
  </si>
  <si>
    <t>B.III.3.</t>
  </si>
  <si>
    <t>Jiné cenné papíry</t>
  </si>
  <si>
    <t>256</t>
  </si>
  <si>
    <t>B.III.4.</t>
  </si>
  <si>
    <t>Termínované vklady krátkodobé</t>
  </si>
  <si>
    <t>244</t>
  </si>
  <si>
    <t>B.III.5.</t>
  </si>
  <si>
    <t>Jiné běžné účty</t>
  </si>
  <si>
    <t>245</t>
  </si>
  <si>
    <t>B.III.9.</t>
  </si>
  <si>
    <t>Běžný účet</t>
  </si>
  <si>
    <t>241</t>
  </si>
  <si>
    <t>B.III.10.</t>
  </si>
  <si>
    <t>Běžný účet FKSP</t>
  </si>
  <si>
    <t>243</t>
  </si>
  <si>
    <t>B.III.11.</t>
  </si>
  <si>
    <t>Základní běžný účet územních samosprávných celků</t>
  </si>
  <si>
    <t>231</t>
  </si>
  <si>
    <t>B.III.12.</t>
  </si>
  <si>
    <t>Běžné účty fondů územních samosprávných celků</t>
  </si>
  <si>
    <t>236</t>
  </si>
  <si>
    <t>B.III.15.</t>
  </si>
  <si>
    <t>Ceniny</t>
  </si>
  <si>
    <t>263</t>
  </si>
  <si>
    <t>B.III.16.</t>
  </si>
  <si>
    <t>Peníze na cestě</t>
  </si>
  <si>
    <t>262</t>
  </si>
  <si>
    <t>B.III.17.</t>
  </si>
  <si>
    <t>Pokladna</t>
  </si>
  <si>
    <t>261</t>
  </si>
  <si>
    <t>Pasiva celkem</t>
  </si>
  <si>
    <t>C.</t>
  </si>
  <si>
    <t>Vlastní kapitál</t>
  </si>
  <si>
    <t>C.I.</t>
  </si>
  <si>
    <t>Jmění účetní jednotky a upravující položky</t>
  </si>
  <si>
    <t>C.I.1.</t>
  </si>
  <si>
    <t>Jmění účetní jednotky</t>
  </si>
  <si>
    <t>401</t>
  </si>
  <si>
    <t>C.I.3.</t>
  </si>
  <si>
    <t>Transfery na pořízení dlouhodobého majetku</t>
  </si>
  <si>
    <t>403</t>
  </si>
  <si>
    <t>C.I.4.</t>
  </si>
  <si>
    <t>Kurzové rozdíly</t>
  </si>
  <si>
    <t>405</t>
  </si>
  <si>
    <t>C.I.5.</t>
  </si>
  <si>
    <t>Oceňovací rozdíly při prvotním použití metody</t>
  </si>
  <si>
    <t>406</t>
  </si>
  <si>
    <t>C.I.6.</t>
  </si>
  <si>
    <t>Jiné oceňovací rozdíly</t>
  </si>
  <si>
    <t>407</t>
  </si>
  <si>
    <t>C.I.7.</t>
  </si>
  <si>
    <t>Opravy předcházejících účetních období</t>
  </si>
  <si>
    <t>408</t>
  </si>
  <si>
    <t>C.II.</t>
  </si>
  <si>
    <t>Fondy účetní jednotky</t>
  </si>
  <si>
    <t>C.II.1.</t>
  </si>
  <si>
    <t>Fond odměn</t>
  </si>
  <si>
    <t>411</t>
  </si>
  <si>
    <t>C.II.2.</t>
  </si>
  <si>
    <t>Fond kulturních a sociálních potřeb</t>
  </si>
  <si>
    <t>412</t>
  </si>
  <si>
    <t>C.II.3.</t>
  </si>
  <si>
    <t>Rezervní fond tvořený ze zlepšeného výsledku hospodaření</t>
  </si>
  <si>
    <t>413</t>
  </si>
  <si>
    <t>C.II.4.</t>
  </si>
  <si>
    <t>Rezervní fond z ostatních titulů</t>
  </si>
  <si>
    <t>414</t>
  </si>
  <si>
    <t>C.II.5.</t>
  </si>
  <si>
    <t>Fond reprodukce majetku, investiční fond</t>
  </si>
  <si>
    <t>416</t>
  </si>
  <si>
    <t>C.II.6.</t>
  </si>
  <si>
    <t>Ostatní fondy</t>
  </si>
  <si>
    <t>419</t>
  </si>
  <si>
    <t>C.III.</t>
  </si>
  <si>
    <t>Výsledek hospodaření</t>
  </si>
  <si>
    <t>C.III.1.</t>
  </si>
  <si>
    <t>Výsledek hospodaření běžného účetního období</t>
  </si>
  <si>
    <t>C.III.2.</t>
  </si>
  <si>
    <t>Výsledek hospodaření ve schvalovacím řízení</t>
  </si>
  <si>
    <t>431</t>
  </si>
  <si>
    <t>C.III.3.</t>
  </si>
  <si>
    <t>Výsledek hospodaření předcházejících účetních období</t>
  </si>
  <si>
    <t>432</t>
  </si>
  <si>
    <t>D.</t>
  </si>
  <si>
    <t>Cizí zdroje</t>
  </si>
  <si>
    <t>D.I.</t>
  </si>
  <si>
    <t>Rezervy</t>
  </si>
  <si>
    <t>D.I.1.</t>
  </si>
  <si>
    <t>441</t>
  </si>
  <si>
    <t>D.II.</t>
  </si>
  <si>
    <t>Dlouhodobé závazky</t>
  </si>
  <si>
    <t>D.II.1.</t>
  </si>
  <si>
    <t>Dlouhodobé úvěry</t>
  </si>
  <si>
    <t>451</t>
  </si>
  <si>
    <t>D.II.2.</t>
  </si>
  <si>
    <t>Přijaté návratné finanční výpomoci dlouhodobé</t>
  </si>
  <si>
    <t>452</t>
  </si>
  <si>
    <t>D.II.3.</t>
  </si>
  <si>
    <t>Dlouhodobé závazky z vydaných dluhopisů</t>
  </si>
  <si>
    <t>453</t>
  </si>
  <si>
    <t>D.II.4.</t>
  </si>
  <si>
    <t>Dlouhodobé přijaté zálohy</t>
  </si>
  <si>
    <t>455</t>
  </si>
  <si>
    <t>D.II.5.</t>
  </si>
  <si>
    <t>Dlouhodobé závazky z ručení</t>
  </si>
  <si>
    <t>456</t>
  </si>
  <si>
    <t>D.II.6.</t>
  </si>
  <si>
    <t>Dlouhodobé směnky k úhradě</t>
  </si>
  <si>
    <t>457</t>
  </si>
  <si>
    <t>D.II.7.</t>
  </si>
  <si>
    <t>Ostatní dlouhodobé závazky</t>
  </si>
  <si>
    <t>459</t>
  </si>
  <si>
    <t>D.II.8.</t>
  </si>
  <si>
    <t>Dlouhodobé přijaté zálohy na transfery</t>
  </si>
  <si>
    <t>472</t>
  </si>
  <si>
    <t>D.II.9.</t>
  </si>
  <si>
    <t>D.III.</t>
  </si>
  <si>
    <t>Krátkodobé závazky</t>
  </si>
  <si>
    <t>D.III.1.</t>
  </si>
  <si>
    <t>Krátkodobé úvěry</t>
  </si>
  <si>
    <t>281</t>
  </si>
  <si>
    <t>D.III.2.</t>
  </si>
  <si>
    <t>Eskontované krátkodobé dluhopisy (směnky)</t>
  </si>
  <si>
    <t>282</t>
  </si>
  <si>
    <t>D.III.3.</t>
  </si>
  <si>
    <t>Krátkodobé závazky z vydaných dluhopisů</t>
  </si>
  <si>
    <t>283</t>
  </si>
  <si>
    <t>D.III.4.</t>
  </si>
  <si>
    <t>Jiné krátkodobé půjčky</t>
  </si>
  <si>
    <t>289</t>
  </si>
  <si>
    <t>D.III.5.</t>
  </si>
  <si>
    <t>Dodavatelé</t>
  </si>
  <si>
    <t>321</t>
  </si>
  <si>
    <t>D.III.6.</t>
  </si>
  <si>
    <t>Směnky k úhradě</t>
  </si>
  <si>
    <t>322</t>
  </si>
  <si>
    <t>D.III.7.</t>
  </si>
  <si>
    <t>Krátkodobé přijaté zálohy</t>
  </si>
  <si>
    <t>324</t>
  </si>
  <si>
    <t>D.III.8.</t>
  </si>
  <si>
    <t>Závazky z dělené správy</t>
  </si>
  <si>
    <t>325</t>
  </si>
  <si>
    <t>D.III.9.</t>
  </si>
  <si>
    <t>Přijaté návratné finanční výpomoci krátkodobé</t>
  </si>
  <si>
    <t>326</t>
  </si>
  <si>
    <t>D.III.10.</t>
  </si>
  <si>
    <t>Zaměstnanci</t>
  </si>
  <si>
    <t>331</t>
  </si>
  <si>
    <t>D.III.11.</t>
  </si>
  <si>
    <t>Jiné závazky vůči zaměstnancům</t>
  </si>
  <si>
    <t>333</t>
  </si>
  <si>
    <t>D.III.12.</t>
  </si>
  <si>
    <t>D.III.13.</t>
  </si>
  <si>
    <t>D.III.14.</t>
  </si>
  <si>
    <t>D.III.15.</t>
  </si>
  <si>
    <t>D.III.16.</t>
  </si>
  <si>
    <t>D.III.17.</t>
  </si>
  <si>
    <t>D.III.18.</t>
  </si>
  <si>
    <t>Závazky k osobám mimo vybrané vládní instituce</t>
  </si>
  <si>
    <t>345</t>
  </si>
  <si>
    <t>D.III.19.</t>
  </si>
  <si>
    <t>Závazky k vybraným ústředním vládním institucím</t>
  </si>
  <si>
    <t>347</t>
  </si>
  <si>
    <t>D.III.20.</t>
  </si>
  <si>
    <t>Závazky k vybraným místním vládním institucím</t>
  </si>
  <si>
    <t>349</t>
  </si>
  <si>
    <t>D.III.27.</t>
  </si>
  <si>
    <t>Krátkodobé závazky z ručení</t>
  </si>
  <si>
    <t>362</t>
  </si>
  <si>
    <t>D.III.28.</t>
  </si>
  <si>
    <t>D.III.30.</t>
  </si>
  <si>
    <t>Závazky z finančního zajištění</t>
  </si>
  <si>
    <t>366</t>
  </si>
  <si>
    <t>D.III.31.</t>
  </si>
  <si>
    <t>Závazky z upsaných nesplacených cenných papírů a podílů</t>
  </si>
  <si>
    <t>368</t>
  </si>
  <si>
    <t>D.III.32.</t>
  </si>
  <si>
    <t>Krátkodobé přijaté zálohy na transfery</t>
  </si>
  <si>
    <t>374</t>
  </si>
  <si>
    <t>D.III.33.</t>
  </si>
  <si>
    <t>D.III.34.</t>
  </si>
  <si>
    <t>Výdaje příštích období</t>
  </si>
  <si>
    <t>383</t>
  </si>
  <si>
    <t>D.III.35.</t>
  </si>
  <si>
    <t>Výnosy příštích období</t>
  </si>
  <si>
    <t>384</t>
  </si>
  <si>
    <t>D.III.36.</t>
  </si>
  <si>
    <t>Dohadné účty pasivní</t>
  </si>
  <si>
    <t>389</t>
  </si>
  <si>
    <t>D.III.37.</t>
  </si>
  <si>
    <t>Ostatní krátkodobé závazky</t>
  </si>
  <si>
    <t>378</t>
  </si>
  <si>
    <t>ÚČETNÍ VÝKAZY ZA ROK 2015</t>
  </si>
  <si>
    <t>ROZVAHA MORAVSKOSLEZSKÉHO KRAJE bez příspěvkových organizací (v tis. Kč)</t>
  </si>
  <si>
    <t>ROZVAHA PŘÍSPĚVKOVÝCH ORGANIZACÍ KRAJE (v tis. Kč)</t>
  </si>
  <si>
    <t>VÝKAZ ZISKU A ZTRÁTY PŘÍSPĚVKOVÝCH ORGANIZACÍ KRAJE (v tis. Kč)</t>
  </si>
  <si>
    <t>BĚŽNÉ OBDOBÍ</t>
  </si>
  <si>
    <t>MINULÉ OBDOBÍ</t>
  </si>
  <si>
    <t>Hlavní činnost</t>
  </si>
  <si>
    <t>Hospodářská činnost</t>
  </si>
  <si>
    <t>NÁKLADY CELKEM</t>
  </si>
  <si>
    <t>Náklady z činnosti</t>
  </si>
  <si>
    <t>Spotřeba materiálu</t>
  </si>
  <si>
    <t>501</t>
  </si>
  <si>
    <t>Spotřeba energie</t>
  </si>
  <si>
    <t>502</t>
  </si>
  <si>
    <t>Spotřeba jiných neskladovatelných dodávek</t>
  </si>
  <si>
    <t>503</t>
  </si>
  <si>
    <t>Prodané zboží</t>
  </si>
  <si>
    <t>504</t>
  </si>
  <si>
    <t>Aktivace dlouhodobého majetku</t>
  </si>
  <si>
    <t>506</t>
  </si>
  <si>
    <t>Aktivace oběžného majetku</t>
  </si>
  <si>
    <t>507</t>
  </si>
  <si>
    <t>Změna stavu zásob vlastní výroby</t>
  </si>
  <si>
    <t>508</t>
  </si>
  <si>
    <t>511</t>
  </si>
  <si>
    <t>Cestovné</t>
  </si>
  <si>
    <t>512</t>
  </si>
  <si>
    <t>Náklady na reprezentaci</t>
  </si>
  <si>
    <t>513</t>
  </si>
  <si>
    <t>A.I.11.</t>
  </si>
  <si>
    <t>Aktivace vnitroorganizačních služeb</t>
  </si>
  <si>
    <t>516</t>
  </si>
  <si>
    <t>A.I.12.</t>
  </si>
  <si>
    <t>Ostatní služby</t>
  </si>
  <si>
    <t>518</t>
  </si>
  <si>
    <t>A.I.13.</t>
  </si>
  <si>
    <t>Mzdové náklady</t>
  </si>
  <si>
    <t>521</t>
  </si>
  <si>
    <t>A.I.14.</t>
  </si>
  <si>
    <t>Zákonné sociální pojištění</t>
  </si>
  <si>
    <t>524</t>
  </si>
  <si>
    <t>A.I.15.</t>
  </si>
  <si>
    <t>Jiné sociální pojištění</t>
  </si>
  <si>
    <t>525</t>
  </si>
  <si>
    <t>A.I.16.</t>
  </si>
  <si>
    <t>Zákonné sociální náklady</t>
  </si>
  <si>
    <t>527</t>
  </si>
  <si>
    <t>A.I.17.</t>
  </si>
  <si>
    <t>Jiné sociální náklady</t>
  </si>
  <si>
    <t>528</t>
  </si>
  <si>
    <t>A.I.18.</t>
  </si>
  <si>
    <t>Daň silniční</t>
  </si>
  <si>
    <t>531</t>
  </si>
  <si>
    <t>A.I.19.</t>
  </si>
  <si>
    <t>Daň z nemovitostí</t>
  </si>
  <si>
    <t>532</t>
  </si>
  <si>
    <t>A.I.20.</t>
  </si>
  <si>
    <t>Jiné daně a poplatky</t>
  </si>
  <si>
    <t>538</t>
  </si>
  <si>
    <t>A.I.22.</t>
  </si>
  <si>
    <t>Smluvní pokuty a úroky z prodlení</t>
  </si>
  <si>
    <t>541</t>
  </si>
  <si>
    <t>A.I.23.</t>
  </si>
  <si>
    <t>Jiné pokuty a penále</t>
  </si>
  <si>
    <t>542</t>
  </si>
  <si>
    <t>A.I.24.</t>
  </si>
  <si>
    <t>Dary a jiná bezúplatná předání</t>
  </si>
  <si>
    <t>543</t>
  </si>
  <si>
    <t>A.I.25.</t>
  </si>
  <si>
    <t>Prodaný materiál</t>
  </si>
  <si>
    <t>544</t>
  </si>
  <si>
    <t>A.I.26.</t>
  </si>
  <si>
    <t>Manka a škody</t>
  </si>
  <si>
    <t>547</t>
  </si>
  <si>
    <t>A.I.27.</t>
  </si>
  <si>
    <t>Tvorba fondů</t>
  </si>
  <si>
    <t>548</t>
  </si>
  <si>
    <t>A.I.28.</t>
  </si>
  <si>
    <t>Odpisy dlouhodobého majetku</t>
  </si>
  <si>
    <t>551</t>
  </si>
  <si>
    <t>A.I.29.</t>
  </si>
  <si>
    <t>Prodaný dlouhodobý nehmotný majetek</t>
  </si>
  <si>
    <t>552</t>
  </si>
  <si>
    <t>A.I.30.</t>
  </si>
  <si>
    <t>Prodaný dlouhodobý hmotný majetek</t>
  </si>
  <si>
    <t>553</t>
  </si>
  <si>
    <t>A.I.31.</t>
  </si>
  <si>
    <t>Prodané pozemky</t>
  </si>
  <si>
    <t>554</t>
  </si>
  <si>
    <t>A.I.32.</t>
  </si>
  <si>
    <t>Tvorba a zúčtování rezerv</t>
  </si>
  <si>
    <t>555</t>
  </si>
  <si>
    <t>A.I.33.</t>
  </si>
  <si>
    <t>Tvorba a zúčtování opravných položek</t>
  </si>
  <si>
    <t>556</t>
  </si>
  <si>
    <t>A.I.34.</t>
  </si>
  <si>
    <t>Náklady z vyřazených pohledávek</t>
  </si>
  <si>
    <t>557</t>
  </si>
  <si>
    <t>A.I.35.</t>
  </si>
  <si>
    <t>Náklady z drobného dlouhodobého majetku</t>
  </si>
  <si>
    <t>558</t>
  </si>
  <si>
    <t>A.I.36.</t>
  </si>
  <si>
    <t>Ostatní náklady z činnosti</t>
  </si>
  <si>
    <t>549</t>
  </si>
  <si>
    <t>Finanční náklady</t>
  </si>
  <si>
    <t>Prodané cenné papíry a podíly</t>
  </si>
  <si>
    <t>561</t>
  </si>
  <si>
    <t>Úroky</t>
  </si>
  <si>
    <t>562</t>
  </si>
  <si>
    <t>Kurzové ztráty</t>
  </si>
  <si>
    <t>563</t>
  </si>
  <si>
    <t>Náklady z přecenění reálnou hodnotou</t>
  </si>
  <si>
    <t>564</t>
  </si>
  <si>
    <t>Ostatní finanční náklady</t>
  </si>
  <si>
    <t>569</t>
  </si>
  <si>
    <t>Náklady na transfery</t>
  </si>
  <si>
    <t>Náklady vybraných ústředních vládních institucí na transfery</t>
  </si>
  <si>
    <t>571</t>
  </si>
  <si>
    <t>Náklady vybraných místních vládních institucí na transfery</t>
  </si>
  <si>
    <t>572</t>
  </si>
  <si>
    <t>A.V.</t>
  </si>
  <si>
    <t>A.V.1.</t>
  </si>
  <si>
    <t>591</t>
  </si>
  <si>
    <t>A.V.2.</t>
  </si>
  <si>
    <t>Dodatečné odvody daně z příjmů</t>
  </si>
  <si>
    <t>595</t>
  </si>
  <si>
    <t>VÝNOSY CELKEM</t>
  </si>
  <si>
    <t>Výnosy z činnosti</t>
  </si>
  <si>
    <t>Výnosy z prodeje vlastních výrobků</t>
  </si>
  <si>
    <t>601</t>
  </si>
  <si>
    <t>Výnosy z prodeje služeb</t>
  </si>
  <si>
    <t>602</t>
  </si>
  <si>
    <t>Výnosy z pronájmu</t>
  </si>
  <si>
    <t>603</t>
  </si>
  <si>
    <t>Výnosy z prodaného zboží</t>
  </si>
  <si>
    <t>604</t>
  </si>
  <si>
    <t>Jiné výnosy z vlastních výkonů</t>
  </si>
  <si>
    <t>609</t>
  </si>
  <si>
    <t>641</t>
  </si>
  <si>
    <t>642</t>
  </si>
  <si>
    <t>B.I.11.</t>
  </si>
  <si>
    <t>Výnosy z vyřazených pohledávek</t>
  </si>
  <si>
    <t>643</t>
  </si>
  <si>
    <t>B.I.12.</t>
  </si>
  <si>
    <t>Výnosy z prodeje materiálu</t>
  </si>
  <si>
    <t>644</t>
  </si>
  <si>
    <t>B.I.13.</t>
  </si>
  <si>
    <t>Výnosy z prodeje dlouhodobého nehmotného majetku</t>
  </si>
  <si>
    <t>645</t>
  </si>
  <si>
    <t>B.I.14.</t>
  </si>
  <si>
    <t>Výnosy z prodeje dlouhodobého hmotného majetku kromě pozemků</t>
  </si>
  <si>
    <t>646</t>
  </si>
  <si>
    <t>B.I.15.</t>
  </si>
  <si>
    <t>Výnosy z prodeje pozemků</t>
  </si>
  <si>
    <t>647</t>
  </si>
  <si>
    <t>B.I.16.</t>
  </si>
  <si>
    <t>Čerpání fondů</t>
  </si>
  <si>
    <t>648</t>
  </si>
  <si>
    <t>B.I.17.</t>
  </si>
  <si>
    <t>Ostatní výnosy z činnosti</t>
  </si>
  <si>
    <t>649</t>
  </si>
  <si>
    <t>Finanční výnosy</t>
  </si>
  <si>
    <t>Výnosy z prodeje cenných papírů a podílů</t>
  </si>
  <si>
    <t>661</t>
  </si>
  <si>
    <t>662</t>
  </si>
  <si>
    <t>Kurzové zisky</t>
  </si>
  <si>
    <t>663</t>
  </si>
  <si>
    <t>Výnosy z přecenění reálnou hodnotou</t>
  </si>
  <si>
    <t>664</t>
  </si>
  <si>
    <t>Ostatní finanční výnosy</t>
  </si>
  <si>
    <t>669</t>
  </si>
  <si>
    <t>B.IV.</t>
  </si>
  <si>
    <t>Výnosy z transferů</t>
  </si>
  <si>
    <t>B.IV.1.</t>
  </si>
  <si>
    <t>Výnosy vybraných ústředních vládních institucí z transferů</t>
  </si>
  <si>
    <t>671</t>
  </si>
  <si>
    <t>B.IV.2.</t>
  </si>
  <si>
    <t>Výnosy vybraných místních vládních institucí z transferů</t>
  </si>
  <si>
    <t>672</t>
  </si>
  <si>
    <t>VÝSLEDEK HOSPODAŘENÍ</t>
  </si>
  <si>
    <t>C.1.</t>
  </si>
  <si>
    <t>Výsledek hospodaření před zdaněním</t>
  </si>
  <si>
    <t>C.2.</t>
  </si>
  <si>
    <t>ROZVAHA PŘÍSPĚVKOVÉ ORGANIZACE V ODVĚTVÍ DOPRAVY (v tis. Kč)</t>
  </si>
  <si>
    <t>VÝKAZ ZISKU A ZTRÁTY PŘÍSPĚVKOVÉ ORGANIZACE V ODVĚTVÍ DOPRAVY (v tis. Kč)</t>
  </si>
  <si>
    <t>ROZVAHA PŘÍSPĚVKOVÝCH ORGANIZACÍ V ODVĚTVÍ KULTURY (v tis. Kč)</t>
  </si>
  <si>
    <t>VÝKAZ ZISKU A ZTRÁTY PŘÍSPĚVKOVÝCH ORGANIZACÍ V ODVĚTVÍ KULTURY (v tis. Kč)</t>
  </si>
  <si>
    <t>ROZVAHA PŘÍSPĚVKOVÝCH ORGANIZACÍ V ODVĚTVÍ SOCIÁLNÍCH VĚCÍ (v tis. Kč)</t>
  </si>
  <si>
    <t>VÝKAZ ZISKU A ZTRÁTY PŘÍSPĚVKOVÝCH ORGANIZACÍ V ODVĚTVÍ SOCIÁLNÍCH VĚCÍ (v tis. Kč)</t>
  </si>
  <si>
    <t>Číslo položky</t>
  </si>
  <si>
    <t>ROZVAHA PŘÍSPĚVKOVÝCH ORGANIZACÍ V ODVĚTVÍ ŠKOLSTVÍ (v tis. Kč)</t>
  </si>
  <si>
    <t>VÝKAZ ZISKU A ZTRÁTY PŘÍSPĚVKOVÝCH ORGANIZACÍ V ODVĚTVÍ ŠKOLSTVÍ (v tis. Kč)</t>
  </si>
  <si>
    <t>ROZVAHA PŘÍSPĚVKOVÝCH ORGANIZACÍ V ODVĚTVÍ ZDRAVOTNICTVÍ (v tis. Kč)</t>
  </si>
  <si>
    <t>VÝKAZ ZISKU A ZTRÁTY PŘÍSPĚVKOVÝCH ORGANIZACÍ V ODVĚTVÍ ZDRAVOTNICTVÍ (v tis. Kč)</t>
  </si>
  <si>
    <t>ROZVAHA PŘÍSPĚVKOVÝCH ORGANIZACÍ V ODVĚTVÍ ŽIVOTNÍ PROSTŘEDÍ (v tis. Kč)</t>
  </si>
  <si>
    <t>VÝKAZ ZISKU A ZTRÁTY PŘÍSPĚVKOVÉ ORGANIZACE V ODVĚTVÍ ŽIVOTNÍ PROSTŘEDÍ (v tis. Kč)</t>
  </si>
  <si>
    <t>Humanizace domova pro seniory na ul. Rooseveltově v Opavě</t>
  </si>
  <si>
    <t>Pozn.: Proloženým písmem jsou označeny projekty realizované v programovém období 2014 - 2020.</t>
  </si>
  <si>
    <t xml:space="preserve">         (1)  Odhad předpokládaných výdajů pro rok 2016 - 2020</t>
  </si>
  <si>
    <r>
      <t xml:space="preserve">Očekávané výdaje v dalších letech </t>
    </r>
    <r>
      <rPr>
        <b/>
        <vertAlign val="superscript"/>
        <sz val="8"/>
        <rFont val="Tahoma"/>
        <family val="2"/>
        <charset val="238"/>
      </rPr>
      <t>(1)</t>
    </r>
  </si>
  <si>
    <t>Operační program Životní prostředí</t>
  </si>
  <si>
    <r>
      <t>2)</t>
    </r>
    <r>
      <rPr>
        <sz val="8"/>
        <rFont val="Tahoma"/>
        <family val="2"/>
        <charset val="238"/>
      </rPr>
      <t xml:space="preserve"> Ve sloupci Čerpáno jsou uvedeny poskytnuté příspěvky v roce 2015 snížené o případné vyúčtované vratky v závěru roku 2015 nebo počátkem roku 2016.</t>
    </r>
  </si>
  <si>
    <r>
      <t>1)</t>
    </r>
    <r>
      <rPr>
        <sz val="8"/>
        <rFont val="Tahoma"/>
        <family val="2"/>
        <charset val="238"/>
      </rPr>
      <t xml:space="preserve"> Schválený rozpočet dotace je snížen o částku vrácených prostředků do rozpočtu kraje, která byla následně použita v rozpočtu výdajů (opětovně v daném roce).</t>
    </r>
  </si>
  <si>
    <t>Celkový součet - příspěvková organizace
v odvětví životního prostředí</t>
  </si>
  <si>
    <t>Příspěvek na provoz v odvětví životního prostředí - příspěvkové organizace kraje</t>
  </si>
  <si>
    <t>Pořízení termokamery</t>
  </si>
  <si>
    <t>Pořízení měřícího přístroje</t>
  </si>
  <si>
    <t>Příspěvková organizace v odvětví životního prostředí</t>
  </si>
  <si>
    <t>Celkový součet - příspěvkové organizace
v odvětví zdravotnictví</t>
  </si>
  <si>
    <t>Zajištění lékařské pohotovostní služby</t>
  </si>
  <si>
    <t>Výdaje související s provozem Integrovaného bezpečnostního centra Moravskoslezského kraje</t>
  </si>
  <si>
    <t>Příspěvek na provoz v odvětví zdravotnictví - příspěvkové organizace kraje - krytí odpisů</t>
  </si>
  <si>
    <t xml:space="preserve">Příspěvek na provoz v odvětví zdravotnictví - příspěvkové organizace kraje </t>
  </si>
  <si>
    <t>Protialkoholní záchytná stanice - příspěvkové organizace MSK</t>
  </si>
  <si>
    <t>Zdravotnická záchranná služba Moravskoslezského kraje, příspěvková organizace</t>
  </si>
  <si>
    <t>Vybudování pavilonu interních oborů-zhotovení projektové dokumentace, včetně DPH</t>
  </si>
  <si>
    <t>Vybudování pavilonu interních oborů-dovybavení</t>
  </si>
  <si>
    <t>Účelové dotace krajům na likvidace léčiv</t>
  </si>
  <si>
    <t>Stavební práce zabezpečující požární ochranu v pavilonu N ve Slezské nemocnici v Opavě, p.o.</t>
  </si>
  <si>
    <t xml:space="preserve">Specializační vzdělávání nelékařů </t>
  </si>
  <si>
    <t>Preventivní programy v oblasti zdravotnictví</t>
  </si>
  <si>
    <t>Pavilon N-dovybavení příslušenstvím zdrojových napájecích jednotek</t>
  </si>
  <si>
    <t>Koupelny pro imobilní pacienty</t>
  </si>
  <si>
    <t>Individuální projekty realizované v rámci Operačního programu Lidské zdroje a zaměstnanost</t>
  </si>
  <si>
    <t>Dovybavení koupelen v pavilonu interních oborů ve Slezské nemocnici v Opavě</t>
  </si>
  <si>
    <t>Čističky odpadních vod - výstavba a demolice</t>
  </si>
  <si>
    <t>Výměna výtahů v objektech zdravotnického zařízení</t>
  </si>
  <si>
    <t>Vybudování centra komplexní paliativní a geriatrické péče v LDN a OOP v Městě Albrechtice</t>
  </si>
  <si>
    <t xml:space="preserve">Náklady spojené s vyplácením stipendií pro studenty lékařských fakult  </t>
  </si>
  <si>
    <t>Dotační program – Program na podporu poskytování sociálních služeb – PO kraje</t>
  </si>
  <si>
    <t>Rekonstrukce plynové kotelny a modernizace rehabilitace</t>
  </si>
  <si>
    <t>Rekonstrukce a modernizace rehabilitace</t>
  </si>
  <si>
    <t>Dětský stacionář</t>
  </si>
  <si>
    <t>Rekonstrukce výtahů v blocích C, D, E</t>
  </si>
  <si>
    <t>Rekonstrukce budovy V - oddělení dlohodobé následné péče</t>
  </si>
  <si>
    <t>Přístroje pro Beskydské oční centrum a interní oddělení</t>
  </si>
  <si>
    <t>Pořízení komunikačního propojení informačních systémů Medix a Akord</t>
  </si>
  <si>
    <t>Pavilon chirurgických oborů – technická infrastruktura</t>
  </si>
  <si>
    <t>Pavilon chirurgických oborů - dovybavení</t>
  </si>
  <si>
    <t xml:space="preserve">Ostatní účelový příspěvek na provoz v odvětví zdravotnictví - příspěvkové organizace kraje  </t>
  </si>
  <si>
    <t>Nová lékárna v budově E</t>
  </si>
  <si>
    <t>Stanice sociálních lůžek</t>
  </si>
  <si>
    <t>Rekonstrukce vnitroareálové komunikace NEMOCNICE TŘINEC</t>
  </si>
  <si>
    <t>Pořízení vrtaček</t>
  </si>
  <si>
    <t>Obměna varné technologie</t>
  </si>
  <si>
    <t>Výměna rozvodů vody v křídle A1 a v monobloku Karviná</t>
  </si>
  <si>
    <t>Úpravy rozvodů mediplynů  Karviná</t>
  </si>
  <si>
    <t>Úprava kanalizace areálu Karviná</t>
  </si>
  <si>
    <t>Rekonstrukce výtahů - pracoviště Orlová</t>
  </si>
  <si>
    <t>Rekonstrukce rozvodny vysokého napětí Karviná</t>
  </si>
  <si>
    <t>Rekonstrukce gynekologicko-porodního oddělení</t>
  </si>
  <si>
    <t>Pořízení serveru a dvou licencí MS SQL Server 2014 Standard</t>
  </si>
  <si>
    <t>Modernizace operačních sálů Orlová</t>
  </si>
  <si>
    <t>Modernizace a rekonstrukce výtahů Karviná</t>
  </si>
  <si>
    <t>Ekologizace zdravotnických zařízení zřizovaných Moravskoslezským krajem</t>
  </si>
  <si>
    <t>Výměna podlahových krytin – dětské oddělení</t>
  </si>
  <si>
    <t>Výměna podlahových krytin</t>
  </si>
  <si>
    <t>Rekonstrukce výtahů č. 7 a č. 17</t>
  </si>
  <si>
    <t>Rekonstrukce sociálních zařízení lůžkových oddělení</t>
  </si>
  <si>
    <t>Rekonstrukce geriatrického oddělení  v Nemocnici s poliklinikou Havířov, p.o.</t>
  </si>
  <si>
    <t>Pořízení dětských postýlek a dětských lůžek</t>
  </si>
  <si>
    <t>Oprava stavby pergoly a světelného nápisu</t>
  </si>
  <si>
    <t>Transfery na státní příspěvek zřizovatelům zařízení pro děti vyžadující okamžitou pomoc</t>
  </si>
  <si>
    <t>Dětské centrum Čtyřlístek, příspěvková organizace</t>
  </si>
  <si>
    <t>Příspěvkové organizace v odvětví zdravotnictví</t>
  </si>
  <si>
    <t>Celkový součet - příspěvkové organizace
v odvětví školství</t>
  </si>
  <si>
    <t>Příspěvek na provoz v odvětví školství - příspěvkové organizace kraje - krytí odpisů</t>
  </si>
  <si>
    <t xml:space="preserve">Příspěvek na provoz v odvětví školství - příspěvkové organizace kraje   </t>
  </si>
  <si>
    <t>Základní umělecká škola, Ostrava - Zábřeh, Sologubova 9A, příspěvková organizace</t>
  </si>
  <si>
    <t>Podpora talentů - příspěvkové organizace MSK</t>
  </si>
  <si>
    <t>Výměna oken</t>
  </si>
  <si>
    <t>Řešení dopadů institucionální a oborové optimalizace sítě škol a školských zařízení včetně udržení dostupnosti vzdělávání a zajištění nových kapacit</t>
  </si>
  <si>
    <t>Základní umělecká škola, Město Albrechtice, Tyršova 1, příspěvková organizace</t>
  </si>
  <si>
    <t>Provedení drenáže a izolace základových konstrukcí</t>
  </si>
  <si>
    <t>Podpora soutěží a přehlídek - příspěvkové organizace MSK</t>
  </si>
  <si>
    <t>Oprava podlahy v objektu ZUŠ</t>
  </si>
  <si>
    <t xml:space="preserve">Ostatní účelový příspěvek na provoz v odvětví školství - příspěvkové organizace kraje    </t>
  </si>
  <si>
    <t>Individuální projekty realizované v rámci Operačního programu Vzdělávání pro konkurenceschopnost</t>
  </si>
  <si>
    <t>Asistenti pedagogů pro děti se sociálním znevýhodněním</t>
  </si>
  <si>
    <t>Obnova části oplocení v úseku s kovovým litinovým plotem v areálu zámku Velké Heraltice</t>
  </si>
  <si>
    <t>Vybavení škol pomůckami kompenzačního a rehabilitačního charakteru</t>
  </si>
  <si>
    <t>Rekonstrukce elektroinstalace osvětlení</t>
  </si>
  <si>
    <t>Globální grant OP VK - Rovné příležitosti dětí a žáků ve vzdělávání v Moravskoslezském kraji II</t>
  </si>
  <si>
    <t xml:space="preserve">Školní psychologové, školní speciální pedagogové  </t>
  </si>
  <si>
    <t>Základní škola speciální, Ostrava-Slezská Ostrava, příspěvková organizace</t>
  </si>
  <si>
    <t>Vybudování venkovního výtahu</t>
  </si>
  <si>
    <t>Základní škola a Mateřská škola při lázních, Klimkovice, příspěvková organizace</t>
  </si>
  <si>
    <t>Dotační program - Podpora environmentálního vzdělávání, výchovy a osvěty (EVVO)</t>
  </si>
  <si>
    <t>Globální grant OP VK - Zvyšování kvality ve vzdělávání v Moravskoslezském kraji II</t>
  </si>
  <si>
    <t>Stavební úpravy a sanace zdiva v suterénu</t>
  </si>
  <si>
    <t>Rekonstrukce školní kuchyně</t>
  </si>
  <si>
    <t>Rekonstrukce střechy spojovacího koridoru</t>
  </si>
  <si>
    <t>Oprava střechy - budova A na ul. 1. máje</t>
  </si>
  <si>
    <t xml:space="preserve">Individuální projekty v rámci ROP - příspěvkové organizace kraje  </t>
  </si>
  <si>
    <t>Rekonstrukce elektroinstalace</t>
  </si>
  <si>
    <t>Významné akce kraje - využití volného času dětí a mládeže - příspěvkové organizace MSK</t>
  </si>
  <si>
    <t>Odstranění havarijního stavu střechy</t>
  </si>
  <si>
    <t>Rekonstrukce ležatých rozvodů vody</t>
  </si>
  <si>
    <t xml:space="preserve">Globální grant OP VK - Podpora nabídky dalšího vzdělávání v kraji Moravskoslezském </t>
  </si>
  <si>
    <t>Globální grant OP VK - Další vzdělávání pracovníků škol a školských zařízení v Moravskoslezském kraji II</t>
  </si>
  <si>
    <t>Vybudování dílen ve Střední škole technické a zemědělské, Nový Jičín, příspěvkové organizaci</t>
  </si>
  <si>
    <t>Oprava elektroinstalace v budově školy a laboratořích - 2. a 3. etapa</t>
  </si>
  <si>
    <t>Výměna otopných těles a osazení termostatických ventilů</t>
  </si>
  <si>
    <t>Nástěnný zdvižný systém  pro tělesně postižené žáky</t>
  </si>
  <si>
    <t>Oprava visutých střech objektu tělocvičen a bazénu</t>
  </si>
  <si>
    <t>Rekonstrukce sociálního zařízení v budově školy - 3. etapa</t>
  </si>
  <si>
    <t>Úpravy krytého bazénu</t>
  </si>
  <si>
    <t>Oprava komunikace a parkovacích ploch před budovou sportovního centra</t>
  </si>
  <si>
    <t>Střední průmyslová škola, Ostrava-Vítkovice, příspěvková organizace</t>
  </si>
  <si>
    <t>Rekonstrukce rozvodů</t>
  </si>
  <si>
    <t>Rekonstrukce ústředního topení školy a tělocvičny</t>
  </si>
  <si>
    <t>Podpora sportu - příspěvkové organizace MSK</t>
  </si>
  <si>
    <t>Podíl na nákladech spojených s připojením odběrného zařízení a se zajištěním požadovaného příkonu</t>
  </si>
  <si>
    <t>Program sociální prevence a prevence kriminality</t>
  </si>
  <si>
    <t>Změna místa napojení, úprava měření el.energie a rekonstrukce napájecích rozvodů</t>
  </si>
  <si>
    <t>Rekonstrukce vstupu a komplexní zabezpečení objektu</t>
  </si>
  <si>
    <t>Oprava střechy a sanace krovů</t>
  </si>
  <si>
    <t>Izolace a sanace základů budov</t>
  </si>
  <si>
    <t>Ostatní neinvestiční dotace obcím a krajům</t>
  </si>
  <si>
    <t xml:space="preserve">Ostatní účelový příspěvek na provoz v odvětví kultury - příspěvkové organizace kraje  </t>
  </si>
  <si>
    <t>Podpora environmentálního vzdělávání, výchovy a osvěty (EVVO) – konference - příspěvkové organizace MSK</t>
  </si>
  <si>
    <t>Ochranné obložení stěn tělocvičny</t>
  </si>
  <si>
    <t>Realizace oslav 70. výročí osvobození území Moravskoslezského kraje</t>
  </si>
  <si>
    <t>Gymnázium Olgy Havlové, Ostrava-Poruba, příspěvková organizace</t>
  </si>
  <si>
    <t>Spolupráce s francouzskými, vlámskými a španělskými školami</t>
  </si>
  <si>
    <t>Rekonstrukce osobního výtahu</t>
  </si>
  <si>
    <t>Oprava vnitřních rozvodů vody a sociálních zařízení</t>
  </si>
  <si>
    <t>Výměna rozvodů vnitřního vodovodu</t>
  </si>
  <si>
    <t xml:space="preserve">Dětský domov Úsměv a Školní jídelna, Ostrava-Slezská Ostrava, Bukovanského 25, příspěvková organizace </t>
  </si>
  <si>
    <t>Sanace opěrné betonové zdi</t>
  </si>
  <si>
    <t>Dětský domov a Školní jídelna, Ostrava-Hrabová, Reymontova 2a, příspěvková organizace</t>
  </si>
  <si>
    <t>Demolice zemědělské hospodářské budovy</t>
  </si>
  <si>
    <t>Výměna elektrických akumulačních kamen</t>
  </si>
  <si>
    <t>Rekonstrukce stávajících podlah v  tělocvičně ul. Tyršova a likvidace septiku</t>
  </si>
  <si>
    <t>Projektová dokumentace na úpravu vytápění</t>
  </si>
  <si>
    <t>Příspěvkové organizace v odvětví školství</t>
  </si>
  <si>
    <t>Celkový součet - příspěvkové organizace
v odvětví sociálních věcí</t>
  </si>
  <si>
    <t>Rekonstrukce odvodnění budovy v chráněném bydlení v Sedlnici</t>
  </si>
  <si>
    <t xml:space="preserve">Příspěvek na provoz příspěvkovým organizacím v odvětví sociálních věcí - dofinancování provozu  </t>
  </si>
  <si>
    <t>Příspěvek na provoz odvětví sociálních věcí - příspěvkové organizace kraje - krytí odpisů</t>
  </si>
  <si>
    <t xml:space="preserve">Příspěvek na provoz odvětví sociálních věcí - příspěvkové organizace kraje   </t>
  </si>
  <si>
    <t>Čistička odpadních vod v chráněném bydlení v Sedlnici</t>
  </si>
  <si>
    <t>Zámek Nová Horka, příspěvková organizace</t>
  </si>
  <si>
    <t>Rekonstrukce stávajícího výtahu na evakuační</t>
  </si>
  <si>
    <t>Pořízení elektricky ovládané hydraulické zvedací plošiny</t>
  </si>
  <si>
    <t>Sírius, příspěvková organizace</t>
  </si>
  <si>
    <t>Sociálně terapeutické dílny a zázemí pro vedení organizace Sagapo v Bruntále</t>
  </si>
  <si>
    <t>Chráněné bydlení organizace Sagapo v Bruntále</t>
  </si>
  <si>
    <t>Dotační program – Program zajištění dostupnosti vybraných sociálních služeb v Moravskoslezském kraji – PO kraje</t>
  </si>
  <si>
    <t>Domov pro osoby se zdravotním postižením organizace Sagapo v Bruntále</t>
  </si>
  <si>
    <t>Sagapo, příspěvková organizace</t>
  </si>
  <si>
    <t>Nový domov, příspěvková organizace</t>
  </si>
  <si>
    <t>Vstupní systém s funkcí evakuačních únikových východů</t>
  </si>
  <si>
    <t>Náš svět, příspěvková organizace</t>
  </si>
  <si>
    <t>Marianum, příspěvková organizace</t>
  </si>
  <si>
    <t>Záchranný archeologický výzkum-novostavba objektu chráněného bydlení v Osoblaze</t>
  </si>
  <si>
    <t>Kolejnicový zvedací a asistenční systém na přepravu imobilních osob se zdravotním postižením</t>
  </si>
  <si>
    <t>Harmonie, příspěvková organizace</t>
  </si>
  <si>
    <t>Fontána, příspěvková organizace</t>
  </si>
  <si>
    <t>Rekonstrukce výtahu v budově na ul. Máchova 19, Nový Jičín</t>
  </si>
  <si>
    <t>Domov Paprsek, příspěvková organizace</t>
  </si>
  <si>
    <t>Vybudování čističky odpadních vod</t>
  </si>
  <si>
    <t>Oprava fasády budovy Domova Na zámku čp. 1</t>
  </si>
  <si>
    <t>Dispoziční změny v hlavní budově</t>
  </si>
  <si>
    <t>Domov Na zámku, příspěvková organizace</t>
  </si>
  <si>
    <t>Domov Letokruhy, příspěvková organizace</t>
  </si>
  <si>
    <t>Úpravy objektu na ul. Šunychelská včetně vybudování bydlení komunitního typu</t>
  </si>
  <si>
    <t>Pořízení elektrické požární signalizace</t>
  </si>
  <si>
    <t>Domov Jistoty, příspěvková organizace</t>
  </si>
  <si>
    <t>Domov Hortenzie, příspěvková organizace</t>
  </si>
  <si>
    <t>Domov Duha, příspěvková organizace</t>
  </si>
  <si>
    <t>Domov Březiny, příspěvková organizace</t>
  </si>
  <si>
    <t>Domov Bílá Opava, příspěvková organizace</t>
  </si>
  <si>
    <t>Venkovní úpravy ploch objektu na ul. K. Śliwky, č. p. 620</t>
  </si>
  <si>
    <t>Úpravy venkovních ploch objektu na ul. Hornická v Ostravě</t>
  </si>
  <si>
    <t>Příprava a posuzování žadatelů o náhradní rodinnou péči</t>
  </si>
  <si>
    <t>Centrum psychologické pomoci, příspěvková organizace</t>
  </si>
  <si>
    <t>Dovybavení nové sociální služby Domov pro osoby se zdravotním postižením</t>
  </si>
  <si>
    <t>Benjamín, příspěvková organizace</t>
  </si>
  <si>
    <t>Příspěvkové organizace v odvětví sociálních věcí</t>
  </si>
  <si>
    <t>Celkový součet - příspěvkové organizace
v odvětví kultury</t>
  </si>
  <si>
    <t>Těšínské divadlo - Malá scéna</t>
  </si>
  <si>
    <t>Příspěvek na provoz v odvětví kultury - příspěvkové organizace kraje - krytí odpisů</t>
  </si>
  <si>
    <t xml:space="preserve">Příspěvek na provoz v odvětví kultury - příspěvkové organizace kraje   </t>
  </si>
  <si>
    <t>Kulturní akce krajského a nadregionálního významu v příspěvkových organizacích MSK</t>
  </si>
  <si>
    <t>Reprodukce majetku kraje v odvětví kultury realizovaná ze státního rozpočtu</t>
  </si>
  <si>
    <t>Projektová dokumentace „NKP zámek Bruntál – Revitalizace saly terreny"</t>
  </si>
  <si>
    <t>Program rozvoje muzejnictví v Moravskoslezském kraji - příspěvkové organizace MSK</t>
  </si>
  <si>
    <t>Kulturní akce k 70. výročí ostravsko-opavské operace a osvobození Moravskoslezského kraje</t>
  </si>
  <si>
    <t xml:space="preserve">Dotační program - Program na podporu technických atraktivit - příspěvkové organizace MSK </t>
  </si>
  <si>
    <t>Vybavení expozic a keramické dílny v novém vstupním objektu v Archeoparku</t>
  </si>
  <si>
    <t>Veřejné informační služby knihoven - neivestice</t>
  </si>
  <si>
    <t xml:space="preserve">Podpora akcí v oblasti kultury pro občany se zdravotním postižením   </t>
  </si>
  <si>
    <t>Oprava dřevěného mostu a dřevostaveb v Archeoparku</t>
  </si>
  <si>
    <t>Regionální funkce knihoven - příspěvkové organizace MSK</t>
  </si>
  <si>
    <t>Nákup a ochrana knihovního fondu a nákup licencí k databázím</t>
  </si>
  <si>
    <t>Příspěvkové organizace v odvětví kultury</t>
  </si>
  <si>
    <t>Celkový součet - příspěvková organizace
v odvětví dopravy</t>
  </si>
  <si>
    <t>Výdaje související s vrácením finančních prostředků z uzavřených smluv o  budoucích smlouvách o zřízení věcného břemene - příspěvek na provoz</t>
  </si>
  <si>
    <t>Souvislé opravy silnic II. a III. tříd</t>
  </si>
  <si>
    <t>Silnice III/4721 ul. Michálkovická a MK ul. Hladnovská a ul. Keltičkova - okružní křižovatka</t>
  </si>
  <si>
    <t>Příspěvek na provoz v odvětví dopravy - příspěvkové organizace kraje - krytí odpisů</t>
  </si>
  <si>
    <t>Příspěvek na provoz v odvětví dopravy - příspěvkové organizace kraje</t>
  </si>
  <si>
    <t>Příprava staveb a vypořádání pozemků</t>
  </si>
  <si>
    <t>Protihluková opatření na silnicích II. a III. tříd</t>
  </si>
  <si>
    <t>Správa silnic Moravskoslezského kraje, příspěvková organizace</t>
  </si>
  <si>
    <t>Příspěvková organizace v odvětví dopravy</t>
  </si>
  <si>
    <t>Účel použití</t>
  </si>
  <si>
    <r>
      <t xml:space="preserve">Čerpáno </t>
    </r>
    <r>
      <rPr>
        <b/>
        <vertAlign val="superscript"/>
        <sz val="8"/>
        <rFont val="Tahoma"/>
        <family val="2"/>
        <charset val="238"/>
      </rPr>
      <t>2)</t>
    </r>
  </si>
  <si>
    <r>
      <t xml:space="preserve">Schváleno </t>
    </r>
    <r>
      <rPr>
        <b/>
        <vertAlign val="superscript"/>
        <sz val="8"/>
        <rFont val="Tahoma"/>
        <family val="2"/>
        <charset val="238"/>
      </rPr>
      <t>1)</t>
    </r>
  </si>
  <si>
    <t>Přehled poskytnutých finančních prostředků příspěvkovým organizacím kraje</t>
  </si>
  <si>
    <t>Přehled poskytnutých finančních prostředků obcím, dobrovolným svazkům obcí, krajům a jiným veřejným rozpočtům</t>
  </si>
  <si>
    <t>Obce a města:</t>
  </si>
  <si>
    <t>Dotační program - Podpora hospodaření v lesích v Moravskoslezském kraji</t>
  </si>
  <si>
    <t>Dotační program - Podpora turistických informačních center v  Moravskoslezském kraji</t>
  </si>
  <si>
    <t>Dotační program - Program na podporu poskytování sociálních služeb</t>
  </si>
  <si>
    <t>Dotační program - Program na podporu přípravy projektové dokumentace</t>
  </si>
  <si>
    <t xml:space="preserve">Dotační program - Podpora aktivit v oblastech využití volného času dětí a mládeže a celoživotního vzdělávání osob se zdravotním postižením </t>
  </si>
  <si>
    <t xml:space="preserve">Dotační program - Program podpory aktivit v oblasti kultury </t>
  </si>
  <si>
    <t>Dotační program – Program zajištění dostupnosti vybraných sociálních služeb v Moravskoslezském kraji</t>
  </si>
  <si>
    <t>Podpora tříděného sběru</t>
  </si>
  <si>
    <t xml:space="preserve">Dotační program - Program podpory aktivit příslušníků národnostních menšin žijících na území Moravskoslezského kraje </t>
  </si>
  <si>
    <t>Regionální funkce knihoven</t>
  </si>
  <si>
    <t xml:space="preserve">Dotační program - Program obnovy kulturních památek a památkově chráněných nemovitostí v Moravskoslezském kraji </t>
  </si>
  <si>
    <t>Dotační program - Podpora dobrovolných aktivit v oblasti udržitelného rozvoje</t>
  </si>
  <si>
    <t>Dotační program - Podpora sportu v Moravskoslezském kraji</t>
  </si>
  <si>
    <t xml:space="preserve">Město Janov </t>
  </si>
  <si>
    <t>Dotační program - Podpora turistických oblastí v Moravskoslezském kraji</t>
  </si>
  <si>
    <t>Dotační program - Příspěvky na ozdravné pobyty</t>
  </si>
  <si>
    <t>Dotační program - Program na podporu technických atraktivit</t>
  </si>
  <si>
    <t>Dotační program - Program rozvoje sociálních služeb kraje, včetně navazujících činností a činností v oblasti sociálně právní ochrany dětí</t>
  </si>
  <si>
    <t>Dotační program - Program na zvýšení absorpční kapacity obcí a měst do 10 tis. obyvatel</t>
  </si>
  <si>
    <t>Dotační program - Podpora obnovy a rozvoje venkova Moravskoslezského kraje</t>
  </si>
  <si>
    <t xml:space="preserve">Obec Bělá </t>
  </si>
  <si>
    <t xml:space="preserve">Obec Bílov </t>
  </si>
  <si>
    <t xml:space="preserve">Obec Bocanovice </t>
  </si>
  <si>
    <t xml:space="preserve">Obec Bohušov </t>
  </si>
  <si>
    <t>Dotační program - Drobné vodohospodářské akce</t>
  </si>
  <si>
    <t xml:space="preserve">Obec Býkov-Láryšov </t>
  </si>
  <si>
    <t xml:space="preserve">Obec Čaková </t>
  </si>
  <si>
    <t xml:space="preserve">Obec Čavisov </t>
  </si>
  <si>
    <t xml:space="preserve">Obec Děhylov </t>
  </si>
  <si>
    <t xml:space="preserve">Obec Dolní Lomná </t>
  </si>
  <si>
    <t xml:space="preserve">Obec Dolní Životice </t>
  </si>
  <si>
    <t xml:space="preserve">Obec Heřmanice u Oder </t>
  </si>
  <si>
    <t>Vesnice roku</t>
  </si>
  <si>
    <t xml:space="preserve">Obec Hlinka </t>
  </si>
  <si>
    <t xml:space="preserve">Obec Hnojník </t>
  </si>
  <si>
    <t xml:space="preserve">Obec Holčovice </t>
  </si>
  <si>
    <t xml:space="preserve">Obec Horní Lhota </t>
  </si>
  <si>
    <t>Dotační program - Úprava lyžařských běžeckých tras v Moravskoslezském kraji</t>
  </si>
  <si>
    <t xml:space="preserve">Obec Horní Životice </t>
  </si>
  <si>
    <t xml:space="preserve">Obec Hostašovice </t>
  </si>
  <si>
    <t xml:space="preserve">Obec Hošťálkovy </t>
  </si>
  <si>
    <t xml:space="preserve">Obec Hrčava </t>
  </si>
  <si>
    <t xml:space="preserve">Obec Chlebičov </t>
  </si>
  <si>
    <t xml:space="preserve">Obec Jezdkovice </t>
  </si>
  <si>
    <t xml:space="preserve">Obec Karlovice </t>
  </si>
  <si>
    <t xml:space="preserve">Obec Košařiska </t>
  </si>
  <si>
    <t xml:space="preserve">Obec Krásná </t>
  </si>
  <si>
    <t xml:space="preserve">Obec Křišťanovice </t>
  </si>
  <si>
    <t xml:space="preserve">Obec Kunín </t>
  </si>
  <si>
    <t>Obec Leskovec nad Moravicí</t>
  </si>
  <si>
    <t>Obec Lhotka u Litultovic</t>
  </si>
  <si>
    <t xml:space="preserve">Obec Malá Štáhle </t>
  </si>
  <si>
    <t xml:space="preserve">Obec Mezina </t>
  </si>
  <si>
    <t>Dotace - Úprava lyžařských běžeckých tras v oblasti Morávky</t>
  </si>
  <si>
    <t xml:space="preserve">Obec Nové Heřminovy </t>
  </si>
  <si>
    <t xml:space="preserve">Obec Oldřišov </t>
  </si>
  <si>
    <t xml:space="preserve">Obec Otice </t>
  </si>
  <si>
    <t xml:space="preserve">Obec Razová </t>
  </si>
  <si>
    <t xml:space="preserve">Obec Rusín </t>
  </si>
  <si>
    <t xml:space="preserve">Obec Služovice </t>
  </si>
  <si>
    <t xml:space="preserve">Obec Smilovice </t>
  </si>
  <si>
    <t xml:space="preserve">Obec Stará Ves </t>
  </si>
  <si>
    <t>Obec Staré Město (okres Bruntál)</t>
  </si>
  <si>
    <t>Obec Staré Město (okres Frýdek-Místek)</t>
  </si>
  <si>
    <t xml:space="preserve">Obec Staré Těchanovice </t>
  </si>
  <si>
    <t xml:space="preserve">Obec Střítež </t>
  </si>
  <si>
    <t xml:space="preserve">Obec Svatoňovice </t>
  </si>
  <si>
    <t>Obec Šenov u Nového Jičína</t>
  </si>
  <si>
    <t xml:space="preserve">Obec Štěpánkovice </t>
  </si>
  <si>
    <t xml:space="preserve">Obec Třanovice </t>
  </si>
  <si>
    <t xml:space="preserve">Obec Třebom </t>
  </si>
  <si>
    <t xml:space="preserve">Obec Valšov </t>
  </si>
  <si>
    <t xml:space="preserve">Obec Vendryně </t>
  </si>
  <si>
    <t xml:space="preserve">Obec Vysoká </t>
  </si>
  <si>
    <t xml:space="preserve">Obec Zbyslavice </t>
  </si>
  <si>
    <t xml:space="preserve">Obec Žabeň </t>
  </si>
  <si>
    <t xml:space="preserve">Obec Životice </t>
  </si>
  <si>
    <t xml:space="preserve">Ostrava, Jih </t>
  </si>
  <si>
    <t>Ostrava, Mariánské Hory a Hulváky</t>
  </si>
  <si>
    <t>Ostrava, Michálkovice</t>
  </si>
  <si>
    <t>Ostrava, Moravská Ostrava a Přívoz</t>
  </si>
  <si>
    <t>Předškolní vzdělávání dětí zaměstnanců Moravskoslezského kraje</t>
  </si>
  <si>
    <t>Ostrava, Poruba</t>
  </si>
  <si>
    <t>Ostrava, Proskovice</t>
  </si>
  <si>
    <t>Dotační program - Program protidrogové politiky kraje</t>
  </si>
  <si>
    <t>Dotační program – Podpora systému destinačního managementu turistických oblastí</t>
  </si>
  <si>
    <t>Telekomunikace a datové přenosy pro Integrované bezpečnostní centrum Moravskoslezského kraje</t>
  </si>
  <si>
    <t>Celkový součet - obce a města</t>
  </si>
  <si>
    <t>Dobrovolné svazky obcí:</t>
  </si>
  <si>
    <t>Dobrovolný svazek obcí Mikroregion Žermanické a Těrlické přehrady</t>
  </si>
  <si>
    <t>Mikroregion - Sdružení obcí Osoblažska</t>
  </si>
  <si>
    <t>Dotace - Zajištění páteční a víkendové vlakové dopravy na trati č. 314 Opava – Jakartovice – Svobodné Heřmanice v období od 3. 7. 2015 – 28. 9. 2015</t>
  </si>
  <si>
    <t>Mikroregion Krnovsko</t>
  </si>
  <si>
    <t>Mikroregion Matice slezská Háj ve Slezsku</t>
  </si>
  <si>
    <t>Mikroregion Opavsko severozápad</t>
  </si>
  <si>
    <t>Region Poodří</t>
  </si>
  <si>
    <t>Region Slezská brána</t>
  </si>
  <si>
    <t>Sdružení měst a obcí povodí Ondřejnice Brušperk</t>
  </si>
  <si>
    <t>Sdružení obcí Hlučínska</t>
  </si>
  <si>
    <t>Sdružení obcí povodí Stonávky</t>
  </si>
  <si>
    <t>Sdružení obcí Rýmařovska</t>
  </si>
  <si>
    <t>Venkovský mikroregion Moravice</t>
  </si>
  <si>
    <t>Celkový součet - dobrovolné svazky obcí</t>
  </si>
  <si>
    <t>Obce a města v jiných krajích:</t>
  </si>
  <si>
    <t>Statutární město Brno</t>
  </si>
  <si>
    <t>Celkový součet - obce a města v jiných krajích</t>
  </si>
  <si>
    <t>Kraje:</t>
  </si>
  <si>
    <t>Celkový součet - kraje</t>
  </si>
  <si>
    <t>Jiné veřejné rozpočty:</t>
  </si>
  <si>
    <t>Dotační program - Podpora vědy a výzkumu v Moravskoslezském kraji</t>
  </si>
  <si>
    <t xml:space="preserve">Dotace - 5. Trilaterální sympozium s tématem Medicína katastrof </t>
  </si>
  <si>
    <t>Výdaje související s provozem stanice Integrovaného výjezdového centra Nošovice</t>
  </si>
  <si>
    <t>Základní škola pro tělesně postižené, Opava, Dostojevského 12</t>
  </si>
  <si>
    <t>Celkový součet - jiné veřejné rozpočty</t>
  </si>
  <si>
    <t>Zahraničí:</t>
  </si>
  <si>
    <t>Opolská nadace mezinárodních iniciativ / Opolska Fundacja Inicjatyw Międzynarodowych (Polská republika)</t>
  </si>
  <si>
    <t>Opolské vojvodství - Województwo Opolskie (Polská republika)</t>
  </si>
  <si>
    <t>Slezské vojvodství - Województwo Śląskie (Polská republika)</t>
  </si>
  <si>
    <t>Celkový součet - zahraničí</t>
  </si>
  <si>
    <r>
      <t>2)</t>
    </r>
    <r>
      <rPr>
        <sz val="8"/>
        <rFont val="Tahoma"/>
        <family val="2"/>
        <charset val="238"/>
      </rPr>
      <t xml:space="preserve"> Ve sloupci Čerpáno jsou uvedeny poskytnuté dotace v roce 2015 snížené o případné vyúčtované vratky v závěru roku 2015 nebo počátkem roku 2016.</t>
    </r>
  </si>
  <si>
    <t>Vypořádání finančních vztahů k ostatním fyzickým a právnickým osobám (včetně prostředků poskytnutých soukromým školám)</t>
  </si>
  <si>
    <t>1. SC Vítkovice o.s., Ostrava-Poruba</t>
  </si>
  <si>
    <t>1.FBC Karviná, Karviná</t>
  </si>
  <si>
    <t>1st English, s.r.o., Ostrava, Moravská Ostrava a Přívoz</t>
  </si>
  <si>
    <t>1st International School of Ostrava - základní škola a gymnázium, s.r.o.</t>
  </si>
  <si>
    <t>2. JUDO CLUB BANÍK OSTRAVA o.s., Ostrava-Jih</t>
  </si>
  <si>
    <t>2K-BIKE CLUB ODRY, Odry</t>
  </si>
  <si>
    <t>3 THETA ASE, s.r.o., Český Těšín</t>
  </si>
  <si>
    <t>4MEDi - Centrum buněčné terapie a diagnostiky a. s., Ostrava-Moravská Ostrava a Přívoz</t>
  </si>
  <si>
    <t>Dotační program - Podpora podnikání</t>
  </si>
  <si>
    <t>AB Digital s.r.o., Prušánky</t>
  </si>
  <si>
    <t>ABHITECH ENERGYCON s.r.o., Ostrava-Radvanice a Bartovice</t>
  </si>
  <si>
    <t>ACCENDO - Centrum pro vědu a výzkum, o.p.s., Ostrava</t>
  </si>
  <si>
    <t>ADAM - Autistické děti a my, Havířov</t>
  </si>
  <si>
    <t>Dotační program - Program realizace specifických aktivit Moravskoslezského krajského plánu vyrovnávání příležitostí pro občany se zdravotním postižením</t>
  </si>
  <si>
    <t>ADRA o.p.s., Praha 5</t>
  </si>
  <si>
    <t>Advey services s. r. o., Ostrava-Pustkovec</t>
  </si>
  <si>
    <t>Dotační program - Program na podporu start ups v Moravskoslezském kraji</t>
  </si>
  <si>
    <t>Aeroklub FRÝDLANT n.O., občanské sdružení, Frýdlant nad Ostravicí</t>
  </si>
  <si>
    <t>Affiliate Group s.r.o., Petrovice u Karviné</t>
  </si>
  <si>
    <t>AG Synerko, s.r.o., Ostrava Mariánské Hory a Hulváky</t>
  </si>
  <si>
    <t>Agentura pro regionální rozvoj, a.s., Ostrava-Moravská Ostrava a Přívoz</t>
  </si>
  <si>
    <t>Činnosti zajišťované Agenturou pro regionální rozvoj</t>
  </si>
  <si>
    <t>Agentura Slunce, o.p.s., Ostrava-Poruba</t>
  </si>
  <si>
    <t>AGRO-EKO spol. s r.o., Albrechtice</t>
  </si>
  <si>
    <t>AHOL - Střední odborná škola gastronomie, turismu a lázeňství, školská právnická osoba</t>
  </si>
  <si>
    <t xml:space="preserve">AHOL -Střední odborná škola, s.r.o. </t>
  </si>
  <si>
    <t xml:space="preserve">AHOL-Vyšší odborná škola, o.p.s.    </t>
  </si>
  <si>
    <t>AHRA - Consulting s.r.o., Frýdek-Místek</t>
  </si>
  <si>
    <t>AK 1324, s.r.o., Krásná</t>
  </si>
  <si>
    <t xml:space="preserve">Akademický ústav Karviná, z.ú. </t>
  </si>
  <si>
    <t>Akademie FC Baník Ostrava z. s., Ostrava-Slezská Ostrava</t>
  </si>
  <si>
    <t>AlFi, z.s., Ostrava-Petřkovice</t>
  </si>
  <si>
    <t xml:space="preserve">Dotační program - Program na podporu zvýšení kvality sociálních služeb poskytovaných v Moravskoslezském kraji </t>
  </si>
  <si>
    <t>All4Customer, s.r.o., Ostrava-Slezská Ostrava</t>
  </si>
  <si>
    <t xml:space="preserve">Althaia o.p.s., Bruntál </t>
  </si>
  <si>
    <t>Dotace - Projekt „MOBILNÍ HOSPIC Strom života“</t>
  </si>
  <si>
    <t>Anilox service s.r.o., Rychvald</t>
  </si>
  <si>
    <t>ANIMA VIVA o.s., Opava</t>
  </si>
  <si>
    <t>APROPO, Havířov-Šumbark</t>
  </si>
  <si>
    <t xml:space="preserve">Dotační program - Program na podporu projektů ve zdravotnictví </t>
  </si>
  <si>
    <t>AquaKlim, s.r.o., Ostrava-Mor. Ostrava  a Přívoz</t>
  </si>
  <si>
    <t>Argent, vzdělávací agentura s.r.o., Ostrava, Poruba</t>
  </si>
  <si>
    <t>Argutec, s.r.o., Ostrava-Poruba</t>
  </si>
  <si>
    <t>Archifabrika s.r.o., Opava</t>
  </si>
  <si>
    <t>ARKA CZ, o.s., Ostrava</t>
  </si>
  <si>
    <t>Dotační program - Program na podporu financování běžných výdajů souvisejících s poskytováním sociálních služeb</t>
  </si>
  <si>
    <t>ARRIVA MORAVA a.s.</t>
  </si>
  <si>
    <t>Dopravní obslužnost - linková doprava</t>
  </si>
  <si>
    <t>Arrows, o.s., Opava</t>
  </si>
  <si>
    <t>Artikul system s.r.o., Dobrá</t>
  </si>
  <si>
    <t>Asociace malých debrujárů České republiky, spolek, Bučovice</t>
  </si>
  <si>
    <t>Asociace pomáhající lidem s autismem-APLA Praha, Střední Čechy o.s., Praha</t>
  </si>
  <si>
    <t>Asociace rodičů a přátel zdravotně postižených dětí v ČR, klub Stonožka Ostrava, Ostrava-Hrabůvka</t>
  </si>
  <si>
    <t>Asociace rodičů a přátel zdravotně postižených dětí v ČR, z.s. Klub Zvoneček, Odry</t>
  </si>
  <si>
    <t>Dotace - Projekt "Držíme spolu 2016"</t>
  </si>
  <si>
    <t>Asociace školních sportovních klubů ČR, Školní sportovní klub při Gymnáziu Petra Bezruče, Frýdek-Místek</t>
  </si>
  <si>
    <t>Asociace TOM ČR, TOM 4207 KADAO, Opava</t>
  </si>
  <si>
    <t>Asociace TRIGON, Ostrava-Poruba</t>
  </si>
  <si>
    <t>Astrid, o.p.s.,Ostrava, Hulváky</t>
  </si>
  <si>
    <t>AstrumQ Interactive, s.r.o., Ostrava</t>
  </si>
  <si>
    <t>Ata engineering CZ s.r.o., Ostrava-Poruba</t>
  </si>
  <si>
    <t>ATEKO, s. r. o., Ostrava, Mariánské Hory a Hulváky</t>
  </si>
  <si>
    <t>ATEsystem s.r.o., Ostrava-Poruba</t>
  </si>
  <si>
    <t>Atletický klub Emila Zátopka Kopřivnice, Kopřivnice</t>
  </si>
  <si>
    <t>Atletický oddíl Slavia Havířov, z.s., Havířov</t>
  </si>
  <si>
    <t>AVE ART Ostrava, soukromá Střední umělecká škola a Základní umělecká škola, s.r.o.</t>
  </si>
  <si>
    <t>AVE INNOVATION s.r.o., Ostrava-Heřmanice</t>
  </si>
  <si>
    <t>AZ kov-komaxit, s.r.o., Pržno</t>
  </si>
  <si>
    <t>Baby club Kenny, s.r.o., Třinec</t>
  </si>
  <si>
    <t>BASKET OSTRAVA, Ostrava-Moravská Ostrava a Přivoz</t>
  </si>
  <si>
    <t>Basketbalový klub NH Ostrava o.s., Ostrava-Moravská Ostrava a Přívoz</t>
  </si>
  <si>
    <t>BAV klub Příbor, středisko volného času, s.r.o.</t>
  </si>
  <si>
    <t>Bc. Jiří Leták, Havířov</t>
  </si>
  <si>
    <t>BEIDEA s.r.o., Bolatice</t>
  </si>
  <si>
    <t>Dotace - Realizace oslavného koncertu Big Bandu Felixe Slováčka k příležitosti „Oslav 70. výročí ukončení II. světové války a osvobození Československé republiky“</t>
  </si>
  <si>
    <t xml:space="preserve">Beskyd DZR, o.p.s., Frýdek-Místek </t>
  </si>
  <si>
    <t>BESKYDSKÝ TENISOVÝ KLUB, Frýdlant nad Ostravicí</t>
  </si>
  <si>
    <t>BeTulip Factory s.r.o., Ostrava-Vítkovice</t>
  </si>
  <si>
    <t>Bezpečnostně právní akademie Ostrava, s. r. o., střední škola</t>
  </si>
  <si>
    <t>Bezpečnostně technologický klastr o.s., Ostrava-Jih</t>
  </si>
  <si>
    <t xml:space="preserve">Bílá holubice-občanské sdružení na podporu umělecké a sociální integrace občanů se zdravotním postižením, Ostrava, Mariánské Hory a Hulváky </t>
  </si>
  <si>
    <t>Bílovecká nemocnice, a.s., Bílovec</t>
  </si>
  <si>
    <t>Bílý kruh bezpečí, z.s., Praha 5</t>
  </si>
  <si>
    <t>Bílý nosorožec, o.p.s., Ostrava-Moravská Ostrava</t>
  </si>
  <si>
    <t>BioHENEX s.r.o., Petrovice u Karviné</t>
  </si>
  <si>
    <t>Biskupství ostravsko-opavské, Ostrava-Moravská Ostrava a Přívoz</t>
  </si>
  <si>
    <t>Blackberry, s.r.o.,  Štramberk</t>
  </si>
  <si>
    <t>Bohumínská městská nemocnice, a.s., Bohumín</t>
  </si>
  <si>
    <t>BORCAD cz s.r.o., Fryčovice</t>
  </si>
  <si>
    <t>Braci s.r.o., Praha</t>
  </si>
  <si>
    <t>Bruntálská dílna Polárka o.p.s., Bruntál</t>
  </si>
  <si>
    <t>Bunkr, o.p.s., Třinec</t>
  </si>
  <si>
    <t>CANNACURA, s.r.o., Slušovice</t>
  </si>
  <si>
    <t>CAUTUM s.r.o., Praha 3</t>
  </si>
  <si>
    <t>CBB Styl, s. r. o., Ostrava</t>
  </si>
  <si>
    <t>CENTROM, občanské sdružení, Ostrava-Jih</t>
  </si>
  <si>
    <t>Centrum mladé rodiny - BOBEŠ, Bohumín</t>
  </si>
  <si>
    <t>Centrum nové naděje, Frýdek-Místek</t>
  </si>
  <si>
    <t>Centrum pro dětský sluch Tamtam, o.p.s., Praha 5</t>
  </si>
  <si>
    <t>Centrum pro rodinu a sociální péči, Ostrava</t>
  </si>
  <si>
    <t>Centrum pro rozvoj péče o duševní zdraví Moravskoslezského kraje, Ostrava-Poruba</t>
  </si>
  <si>
    <t>Centrum pro zdravotně postižené Moravskoslezského kraje, Ostrava-Moravská Ostrava  a Přívoz</t>
  </si>
  <si>
    <t>Dotační program - Program na podporu neinvestičních aktivit z oblasti  prevence kriminality</t>
  </si>
  <si>
    <t>Centrum služeb pro neslyšící a nedoslýchavé, o.p.s., Ostrava-Moravská Ostrava a Přívoz</t>
  </si>
  <si>
    <t>Centrum sociálních služeb Ostrava, o.p.s.,Ostrava, Mariánské Hory a Hulváky</t>
  </si>
  <si>
    <t>Cestovní kancelář BOŠ s r.o., Ostrava-Moravská Ostrava a Přívoz</t>
  </si>
  <si>
    <t>Církevní středisko mládeže sv. Jana Boska, Havířov</t>
  </si>
  <si>
    <t>Církevní základní škola svaté Ludmily v Hradci nad Moravicí</t>
  </si>
  <si>
    <t>CODEA, spol. s r.o., Ostrava-Mariánské Hory a Hulváky</t>
  </si>
  <si>
    <t>Comenius Fulnek, o.s., Fulnek</t>
  </si>
  <si>
    <t>Compass Management Consulting, s.r.o., Frýdlant nad Ostravicí</t>
  </si>
  <si>
    <t>ČBF - Oblast Severní Morava, evidenční číslo ČBF 09. Ostrava-Moravská Ostrava a Přívoz</t>
  </si>
  <si>
    <t>Česká asociace dětských Bobath terapeutů, Ostrava</t>
  </si>
  <si>
    <t>Česká provincie Kongregace Dcer Božské Lásky, Opava</t>
  </si>
  <si>
    <t>Česká společnost pro osvětlování, Ostrava-Poruba</t>
  </si>
  <si>
    <t>České dráhy, a.s., Praha 1</t>
  </si>
  <si>
    <t>Dopravní obslužnost - drážní doprava</t>
  </si>
  <si>
    <t>Česko-polská obchodní komora, Ostrava- Moravská Ostrava a Přívoz</t>
  </si>
  <si>
    <t>Dotace - XXI. Setkání podnikatelů</t>
  </si>
  <si>
    <t>Český rybářský svaz, místní organizace Frýdlant nad Ostravicí, Frýdlant nad Ostravicí</t>
  </si>
  <si>
    <t>Dotace - Výstavba rybářského školícího a informačního centra</t>
  </si>
  <si>
    <t>Český svaz biatlonu, klub Olomouc, Olomouc</t>
  </si>
  <si>
    <t>Český svaz házené, Praha 7</t>
  </si>
  <si>
    <t>Dotace - Pořádání soutěže ve zpěvu harckých kanárů</t>
  </si>
  <si>
    <t>Dotace - Okresní výstava drobného zvířectva</t>
  </si>
  <si>
    <t>Dotace - Včelařské kroužky mládeže v okrese Frýdek-Místek</t>
  </si>
  <si>
    <t>Český svaz včelařů, o.s. okresní organizace Karviná
Petrovice u Karviné</t>
  </si>
  <si>
    <t>Český svaz včelařů, o.s., základní organizace Kopřivnice</t>
  </si>
  <si>
    <t>Dotace - Sportovní činnost ČSWABU</t>
  </si>
  <si>
    <t xml:space="preserve">ČSAD Frýdek-Místek a. s. </t>
  </si>
  <si>
    <t xml:space="preserve">ČSAD Havířov a. s. </t>
  </si>
  <si>
    <t>ČSAD Karviná a. s.</t>
  </si>
  <si>
    <t xml:space="preserve">ČSAD Vsetín a. s. </t>
  </si>
  <si>
    <t>Čtyřleté a osmileté gymnázium, s.r.o.</t>
  </si>
  <si>
    <t>D3Soft Future s.r.o., Ostrava-Mariánské Hory</t>
  </si>
  <si>
    <t>D3Soft s.r.o., Ostrava-Vítkovice</t>
  </si>
  <si>
    <t>Dagmar Žouželková, Andělská Hora</t>
  </si>
  <si>
    <t>Danelle Company, s.r.o., Ostrava, Poruba</t>
  </si>
  <si>
    <t>Daniško Kristián Bc., Šenov u Nového Jičína</t>
  </si>
  <si>
    <t>DC VISION, s.r.o., Opava, Předměstí</t>
  </si>
  <si>
    <t>Dělnická tělocvičná jednota Polanka nad Odrou, o.s., Ostrava-Polanka nad Odrou</t>
  </si>
  <si>
    <t>Denisa Kulkusová, Ostrava-Moravská Ostrava a Přívoz</t>
  </si>
  <si>
    <t>Destinační management turistické oblasti Beskydy-Valašsko, o.p.s., Frýdek-Místek</t>
  </si>
  <si>
    <t>Destinační management turistické oblasti Poodří - Moravské Kravařsko, o.p.s., Fulnek</t>
  </si>
  <si>
    <t>DĚTSKÉ KRIZOVÉ CENTRUM, o.s., Praha 5</t>
  </si>
  <si>
    <t>Devimex s.r.o., Ostrava-Poruba</t>
  </si>
  <si>
    <t>Diakonie ČCE - středisko v Ostravě, Ostrava - Vítkovice</t>
  </si>
  <si>
    <t>Diakonie ČCE - Středisko v Rýmařově, Rýmařov</t>
  </si>
  <si>
    <t>DIDEDAnce - taneční studio, Ostrava-Jih</t>
  </si>
  <si>
    <t>Dotační program - Program na podporu komunitní práce a na zmírňování následků sociálního vyloučení v sociálně vyloučených lokalitách Moravskoslezského kraje</t>
  </si>
  <si>
    <t>Divadelní společnost Petra Bezruče s.r.o., Ostrava-Moravská Ostrava a Přívoz</t>
  </si>
  <si>
    <t>Dodávky automatizace, spol. s r.o., Ostrava-Vítkovice</t>
  </si>
  <si>
    <t>DomA - domácí asistence, Kobeřice</t>
  </si>
  <si>
    <t>DOMINO cz, o. p. s., Zlín</t>
  </si>
  <si>
    <t>Domov sv. Jana Křtitele, s.r.o., Frýdek-Místek</t>
  </si>
  <si>
    <t>Dopravní podnik Ostrava a.s., Ostrava-Moravská Ostrava a Přívoz</t>
  </si>
  <si>
    <t>Dream Factory Ostrava, Frýdek-Místek</t>
  </si>
  <si>
    <t>Dotace - Cena za mimořádný přínos v oboru gerontologie</t>
  </si>
  <si>
    <t>DUDA s.r.o., Bolatice</t>
  </si>
  <si>
    <t>Dům seniorů "POHODA", o. p. s., Orlová</t>
  </si>
  <si>
    <t>DŽIVIPEN, Opava</t>
  </si>
  <si>
    <t>E&amp;H services a.s., Praha 1</t>
  </si>
  <si>
    <t>ECOFER s.r.o., Třinec</t>
  </si>
  <si>
    <t>EDLiT s.r.o., Třinec, Staré Město</t>
  </si>
  <si>
    <t>EDUCA - Střední odborná škola, s.r.o.</t>
  </si>
  <si>
    <t>EDUCAnet - Soukromé gymnázium Ostrava, s.r.o.</t>
  </si>
  <si>
    <t>EDUCO CENTRUM s.r.o., Krnov</t>
  </si>
  <si>
    <t>EDUflex s.r.o., Šenov u Nového Jičína</t>
  </si>
  <si>
    <t>Eduwork o.s., Ostrava-Jih</t>
  </si>
  <si>
    <t>E-expert, spol. s r.o., Ostrava-Moravská Ostrava a Přívoz</t>
  </si>
  <si>
    <t>EKOM CZ a.s., Praha 15</t>
  </si>
  <si>
    <t>EKOVERMES-PECL, s.r.o., Pustějov</t>
  </si>
  <si>
    <t>ELCOM, a. s., Praha 4</t>
  </si>
  <si>
    <t>Elim Opava, o.p.s., Opava</t>
  </si>
  <si>
    <t>ELVAC EKOTECHNIKA s.r.o., Ostrava-Vítkovice</t>
  </si>
  <si>
    <t>Enviom servis s.r.o., Mořkov</t>
  </si>
  <si>
    <t>Epanastatis Prusalis, Ostrava-Poruba</t>
  </si>
  <si>
    <t>Ergon - Chráněná dílna, Český Těšín</t>
  </si>
  <si>
    <t>E-Studuj s.r.o., Ostrava</t>
  </si>
  <si>
    <t>Euroface Consulting s.r.o., Kroměříž</t>
  </si>
  <si>
    <t>Eurotopia Opava, o. p. s., Opava</t>
  </si>
  <si>
    <t>Dotace - Projekt „Podané ruce“</t>
  </si>
  <si>
    <t>FA PRAKTIK s.r.o. Středisko praktického vyučování</t>
  </si>
  <si>
    <t>Farní sbor Českobratrské církve evangelické v Ostravě, Ostrava-Moravská Ostrava a Přívoz</t>
  </si>
  <si>
    <t>FBK Škorpioni Ostrava, Ostrava</t>
  </si>
  <si>
    <t>FC Slavoj Olympia Bruntál z.s., Bruntál</t>
  </si>
  <si>
    <t>FERMBIO 3, s.r.o., Ostrava-Vítkovice</t>
  </si>
  <si>
    <t>Figure Skating Club Kopřivnice, o.s., Kopřivnice</t>
  </si>
  <si>
    <t>Filadelfia - práce s dětmi a mládeží, Frýdek-Místek</t>
  </si>
  <si>
    <t>FIRE GROUP s.r.o., Nový Jičín</t>
  </si>
  <si>
    <t>FIT Sports Club o.s., Opava</t>
  </si>
  <si>
    <t>FitCraft Energy s.r.o., Opava</t>
  </si>
  <si>
    <t>Florbal Havířov, Havířov</t>
  </si>
  <si>
    <t>FLTC Europe a.s., Ostrava-Moravská Ostrava a Přívoz</t>
  </si>
  <si>
    <t>FOKUS-OPAVA, Svobodné Heřmanice</t>
  </si>
  <si>
    <t>FOND OHROŽENÝCH DĚTÍ, Praha 1</t>
  </si>
  <si>
    <t>Dotace - Projekt „VII. Setkání dětí opuštěných a dětí s postižením“</t>
  </si>
  <si>
    <t>FONSIL, spol. s r.o., Kopřivnice-Vlčovice</t>
  </si>
  <si>
    <t>Dotace - Realizace pořádání závodu „Hyundai Perun SkyMarathon“</t>
  </si>
  <si>
    <t>Futra, Orlová, Lutyně</t>
  </si>
  <si>
    <t>Galaxie-Centrum pomoci, Karviná</t>
  </si>
  <si>
    <t>GALILEO SCHOOL - bilingvní  mateřská škola a základní škola, s.r.o.</t>
  </si>
  <si>
    <t>GGC Energy, s.r.o., Havířov, Prostřední Suchá</t>
  </si>
  <si>
    <t>Girova turismus, s.r.o., Bukovec</t>
  </si>
  <si>
    <t>GME s.r.o., Ostrava-Moravská Ostrava a Přívoz</t>
  </si>
  <si>
    <t>GOODWILL - vyšší odborná škola, s.r.o.</t>
  </si>
  <si>
    <t>GRACENT-vzdělávací a poradenské centrum, v.o.s., Ostrava-Jih, Zábřeh</t>
  </si>
  <si>
    <t>Green Print CZ s.r.o., Třinec</t>
  </si>
  <si>
    <t>GW Train Regio a.s., Ústí nad Labem - Střekov</t>
  </si>
  <si>
    <t>GX SOLUTIONS BOHEMIA, s.r.o., Čestlice</t>
  </si>
  <si>
    <t>Gymnázium BESKYDY MOUNTAIN ACADEMY, s.r.o.</t>
  </si>
  <si>
    <t>Gymnázium Jana Šabršuly s.r.o.</t>
  </si>
  <si>
    <t>HAMER, spol. s r.o., Třinec</t>
  </si>
  <si>
    <t>HANDBALL CLUB BANÍK KARVINÁ</t>
  </si>
  <si>
    <t>Handicap centrum Škola života Frýdek-Místek, o.p.s., Frýdek-Místek</t>
  </si>
  <si>
    <t>ha-vel family s.r.o., Ostrava, Moravská Ostrava a Přívoz</t>
  </si>
  <si>
    <t>HAZARD - country dance club, Ostrava, Poruba</t>
  </si>
  <si>
    <t>HC OCELÁŘI TŘINEC žáci o.s., Třinec</t>
  </si>
  <si>
    <t>Hello language centre, s.r.o., Ostrava-Mariánské Hory</t>
  </si>
  <si>
    <t>HELP-IN, o.p.s. Bruntál</t>
  </si>
  <si>
    <t>Hnutí Duha Jeseník, Jeseník</t>
  </si>
  <si>
    <t>HOKEJOVÁ ŠKOLA - OSTRAVA, o.s., Ostrava-Jih</t>
  </si>
  <si>
    <t>HOKEJOVÝ KLUB - HC VÍTKOVICE STEEL, Ostrava</t>
  </si>
  <si>
    <t>Hokejový klub Frýdek-Místek, Frýdek-Místek</t>
  </si>
  <si>
    <t>Dotace - Orientační značení areálu Horských lázní Karlova Studánka</t>
  </si>
  <si>
    <t>Hotelová škola a Obchodní akademie Havířov s.r.o.</t>
  </si>
  <si>
    <t>Hutní montáže - SvarServiS, s.r.o., Ostrava, Mariánské Hory a Hulváky</t>
  </si>
  <si>
    <t>Charita Bohumín, Bohumín</t>
  </si>
  <si>
    <t>Charita Český Těšín</t>
  </si>
  <si>
    <t>Charita Frenštát pod Radhoštěm</t>
  </si>
  <si>
    <t>Charita Frýdek-Místek</t>
  </si>
  <si>
    <t>Charita Hlučín</t>
  </si>
  <si>
    <t>Charita Jablunkov, Jablunkov</t>
  </si>
  <si>
    <t>Charita Kopřivnice</t>
  </si>
  <si>
    <t>Charita Krnov, Krnov</t>
  </si>
  <si>
    <t>Charita Nový Jičín, Nový Jičín</t>
  </si>
  <si>
    <t>Charita Odry, Odry</t>
  </si>
  <si>
    <t>Charita Opava</t>
  </si>
  <si>
    <t>Charita Ostrava</t>
  </si>
  <si>
    <t>Charita Studénka, Studénka</t>
  </si>
  <si>
    <t>Charita sv. Alexandra, Ostrava</t>
  </si>
  <si>
    <t>Charita Třinec, Třinec</t>
  </si>
  <si>
    <t>IHAS s.r.o., Ostrava-Moravská Ostrava a Přívoz</t>
  </si>
  <si>
    <t>IMCoPharma a.s., Bílovec</t>
  </si>
  <si>
    <t>In IUSTITIA, o.p.s., Praha</t>
  </si>
  <si>
    <t>ING Corporation, spol. s r.o., Frýdlant nad Ostravicí</t>
  </si>
  <si>
    <t>Ing. Jana Blažejová, Býkov-Láryšov, Láryšov</t>
  </si>
  <si>
    <t>Ing. Lucie Houthoofdtová, Dobroslavice</t>
  </si>
  <si>
    <t>INGEA recyklace, s.r.o., Ostrava-Mariánské Hory a Hulváky</t>
  </si>
  <si>
    <t>InnoGen s.r.o., Ludgeřovice</t>
  </si>
  <si>
    <t>INWIRO s.r.o., Zbyslavice</t>
  </si>
  <si>
    <t>IPS Konstrukt, spol. s r.o., Ostrava, Mariánské Hory a Hulváky</t>
  </si>
  <si>
    <t>IS Sports team, Ostrava-Poruba</t>
  </si>
  <si>
    <t>ISSA CZECH s.r.o., Ostrava-Moravská Ostrava a Přívoz</t>
  </si>
  <si>
    <t>ITA, spol. s r.o., Ostrava Mariánské Hory a Hulváky</t>
  </si>
  <si>
    <t>IUVENTAS - Soukromé gymnázium a Střední odborná škola, s.r.o.</t>
  </si>
  <si>
    <t>Iveta Svobodová, Heřmanovice</t>
  </si>
  <si>
    <t>Dotace - Vydání publikace pod pracovním názvem "Kapitoly z historie severní Moravy a Slezska"</t>
  </si>
  <si>
    <t>Jedlička COMPUTERS s.r.o., Hradec nad Moravicí</t>
  </si>
  <si>
    <t>Jezdecký klub Baník Ostrava, Ostrava-Stará Bělá</t>
  </si>
  <si>
    <t>Jezdecký klub Sviadnov, o.s.,Sviadnov, Pod Štandlem 413</t>
  </si>
  <si>
    <t>Jezdecký klub Velká Polom o.s., Velká Polom</t>
  </si>
  <si>
    <t>JINAK, o.p.s., Brantice</t>
  </si>
  <si>
    <t>JK BRANTICE, Brantice</t>
  </si>
  <si>
    <t>JK Vělopolí z.s., Vělopolí</t>
  </si>
  <si>
    <t>Josef Figura, Malá Morávka 256</t>
  </si>
  <si>
    <t>Dotace - Rekonstrukce skautské mohyly Ivančena</t>
  </si>
  <si>
    <t>Juniorský maratonský klub, o.s., Praha 7</t>
  </si>
  <si>
    <t>K2 atmitec s.r.o., Ostrava-Moravská Ostrava a Přívoz</t>
  </si>
  <si>
    <t>KAFIRA o.p.s., Opava</t>
  </si>
  <si>
    <t>KARATE TYGR SHOTOKAN, z.s., Ostrava-Poruba</t>
  </si>
  <si>
    <t xml:space="preserve">Karel Brendl, Čermná ve Slezsku </t>
  </si>
  <si>
    <t>KČT Moravská Ostrava, Ostrava-Moravská Ostrava a Přívoz</t>
  </si>
  <si>
    <t>KLACR o.s., Ostrava-Moravská Ostrava a Přívoz</t>
  </si>
  <si>
    <t>Klub 3xTOP.cz, z.s., Stará Bělá</t>
  </si>
  <si>
    <t xml:space="preserve">Klub bechtěreviků ČR z.s., Praha </t>
  </si>
  <si>
    <t>Klub biatlonu Břidličná</t>
  </si>
  <si>
    <t>Klub celiakie pro Ostravu a Moravskoslezský kraj, z. s., Ostrava-Proskovice</t>
  </si>
  <si>
    <t>Klub dráhového golfu 2000 - Ostrava, Ostrava-Jih</t>
  </si>
  <si>
    <t>Klub plaveckých sportů Ostrava, Ostrava-Poruba</t>
  </si>
  <si>
    <t>Dotace - 1. ročník mezinárodní konference Zemní plyn – Energie ze země - CNG palivo budoucnosti</t>
  </si>
  <si>
    <t>KLUB VODNÍHO LYŽOVÁNÍ HAVÍŘOV o.s., Havířov Město</t>
  </si>
  <si>
    <t>Klub vojenské historie Bohumín, Bohumín</t>
  </si>
  <si>
    <t>Knihkupectví GLOBUS s. r. o., Frenštát pod Radhoštěm</t>
  </si>
  <si>
    <t>"KOLEČKO o.s.", Ostrava-Plesná</t>
  </si>
  <si>
    <t>Koliba, Košařiska</t>
  </si>
  <si>
    <t>Komunitní škola Bartošovice, o.s., Bartošovice</t>
  </si>
  <si>
    <t>Kongres Poláků v České republice, Český Těšín</t>
  </si>
  <si>
    <t>Konvent sester alžbětinek v Jablunkově</t>
  </si>
  <si>
    <t>Koordinátor ODIS s.r.o., Ostrava-Moravská Ostrava a Přívoz</t>
  </si>
  <si>
    <t>Činnosti zajišťované obchodní společností Koordinátor ODIS, s.r.o.</t>
  </si>
  <si>
    <t>KORU Consulting s.r.o., Ostrava, Martinov</t>
  </si>
  <si>
    <t>Kraso klub Havířov</t>
  </si>
  <si>
    <t>Krizové a kontaktní centrum "Pod slunečníkem", Opava</t>
  </si>
  <si>
    <t>Krizové centrum Ostrava, o.s., Ostrava-Moravská Ostrava a Přívoz</t>
  </si>
  <si>
    <t>Krystal Help o.s., Krnov</t>
  </si>
  <si>
    <t>Kultura pro Slezskou Ostravu, o.s., Ostrava, Slezská Ostrava</t>
  </si>
  <si>
    <t>KUPSON spol. s r.o., Opava</t>
  </si>
  <si>
    <t>KVADOS, a.s., Ostrava-Moravská Ostrava a Přívoz</t>
  </si>
  <si>
    <t>Kvalifikační a presonální agentura o.p.s., Třinec</t>
  </si>
  <si>
    <t>KVS EKODIVIZE a.s., Horní Benešov</t>
  </si>
  <si>
    <t>Kýpus Ján - BUS s.r.o., Karviná</t>
  </si>
  <si>
    <t>LabControl s.r.o., Opava, Suché Lazce</t>
  </si>
  <si>
    <t>LAMMB technology s.r.o., Ostrava-Vítkovice</t>
  </si>
  <si>
    <t>Laskovská Nataša, Ostrava-Výškovice</t>
  </si>
  <si>
    <t>Lázně Darkov, a.s., Karviná-Hranice</t>
  </si>
  <si>
    <t>Leemon Concept, s. r. o., Frýdek-Místek</t>
  </si>
  <si>
    <t xml:space="preserve">Lenka Jarnotová, Nové Lublice </t>
  </si>
  <si>
    <t>Lesy České republiky, s.p., Hradec Králové</t>
  </si>
  <si>
    <t>Meliorace a hrazení bystřin v lesích dle § 35 odst 1 a 3 lesního zákona</t>
  </si>
  <si>
    <t>Meliorace a hrazení bystřin v lesích dle § 35 odst 1 a 3 lesního zákona (investice)</t>
  </si>
  <si>
    <t>LET´S FLY s.r.o., Mošnov 407</t>
  </si>
  <si>
    <t>Letiště Ostrava, a.s.</t>
  </si>
  <si>
    <t>Zajištění hasičské záchranné služby, bezpečnosti a ostrahy letiště</t>
  </si>
  <si>
    <t>Lexikona, Krnov</t>
  </si>
  <si>
    <t>LIBROS OSTRAVA, spol. s r.o., Ostrava</t>
  </si>
  <si>
    <t>LIGA o.p.s. Bruntál, Dr.E.Beneše 1497/21</t>
  </si>
  <si>
    <t>Lightdrop, s.r.o., Ostrava-Moravská Ostrava</t>
  </si>
  <si>
    <t>Lyžařský klub Veřovice</t>
  </si>
  <si>
    <t>MAFLEX-CZ s.r.o., Mosty u Jablunkova</t>
  </si>
  <si>
    <t>Mácha Vladan, Nový Jičín</t>
  </si>
  <si>
    <t>MAS Frýdlantsko - Beskydy z.s., Čeladná</t>
  </si>
  <si>
    <t xml:space="preserve">Dotační program - Podpora Místních akčních skupin Moravskoslezského kraje </t>
  </si>
  <si>
    <t>MAS Jablunkovsko, z. s., Bystřice</t>
  </si>
  <si>
    <t>MAS Lašsko, z. s., Štramberk</t>
  </si>
  <si>
    <t>MAS Slezská brána, z. s., Řepiště</t>
  </si>
  <si>
    <t>Máš čas?, občanské sdružení, Kopřivnice</t>
  </si>
  <si>
    <t>MATERIÁLOVÝ A METALURGICKÝ VÝZKUM s.r.o., Ostrava-Vítkovice</t>
  </si>
  <si>
    <t>Mateřská škola a Základní škola DUHA s.r.o.</t>
  </si>
  <si>
    <t>Mateřská škola AGEL s.r.o.</t>
  </si>
  <si>
    <t>Mateřská škola Bludovice</t>
  </si>
  <si>
    <t>Mateřská škola Čtyřlístek, s.r.o.</t>
  </si>
  <si>
    <t>Mateřská škola Hájov s.r.o.</t>
  </si>
  <si>
    <t>Mateřská škola HAPPY DAY s.r.o.</t>
  </si>
  <si>
    <t xml:space="preserve">Mateřská škola Klíček Krnov </t>
  </si>
  <si>
    <t>Mateřská škola Kouzelný svět</t>
  </si>
  <si>
    <t>Mateřská škola Learn N´Play Academy, s.r.o.</t>
  </si>
  <si>
    <t xml:space="preserve">Mateřská škola Liduška, s.r.o. </t>
  </si>
  <si>
    <t>Mateřská škola Liščata, s.r.o.</t>
  </si>
  <si>
    <t>Mateřská škola Majdalenka</t>
  </si>
  <si>
    <t>Mateřská škola MATEŘINKA s.r.o.</t>
  </si>
  <si>
    <t>Mateřská škola MONTE</t>
  </si>
  <si>
    <t>Mateřská škola Montevláček</t>
  </si>
  <si>
    <t>Mateřská škola novojičínská Beruška, spol. s r. o.</t>
  </si>
  <si>
    <t>Mateřská škola Orlík, s.r.o.</t>
  </si>
  <si>
    <t>MATEŘSKÁ ŠKOLA PALOVÁČEK, s.r.o.</t>
  </si>
  <si>
    <t>Mateřská škola Petrklíč s.r.o.</t>
  </si>
  <si>
    <t>Mateřská škola Radost, s.r.o.</t>
  </si>
  <si>
    <t>Mateřská škola se zdravotnickou péčí, s.r.o.</t>
  </si>
  <si>
    <t>Mateřská škola SOKRATES, s.r.o.</t>
  </si>
  <si>
    <t>Mateřská škola ZDRAVÍ s.r.o.</t>
  </si>
  <si>
    <t>Dotace - Projekt "Výměna vodovodního potrubí, venkovního osvětlení a souvisejících elektrických rozvodů"</t>
  </si>
  <si>
    <t>MATUŠ TRADE s.r.o., Veřovice</t>
  </si>
  <si>
    <t xml:space="preserve">MBA Kontakt, spol.s r.o., Ostrava 8 </t>
  </si>
  <si>
    <t>mcePharma s. r. o., Bílovec</t>
  </si>
  <si>
    <t>MEARING s.r.o., Ostrava-Slezská Ostrava</t>
  </si>
  <si>
    <t>MěDP Opava a. s.</t>
  </si>
  <si>
    <t>MENS SANA o.s., Ostrava</t>
  </si>
  <si>
    <t>Mensa České republiky, Praha 5</t>
  </si>
  <si>
    <t>MEPAC CZ, s.r.o., Třinec</t>
  </si>
  <si>
    <t>Messo Com s.r.o., Praha</t>
  </si>
  <si>
    <t xml:space="preserve">Městský fotbalový klub Frýdek - Místek z.s. </t>
  </si>
  <si>
    <t>Městský fotbalový klub Karviná, Karviná-Hranice</t>
  </si>
  <si>
    <t>Mezinárodní obchodní akademie Ostrava, s.r.o.</t>
  </si>
  <si>
    <t>mForce s.r.o., Praha</t>
  </si>
  <si>
    <t>MIKASA z. s., Ostrava-Jih</t>
  </si>
  <si>
    <t>Dotace - Úprava lyžařských běžeckých tras na Ondřejníku</t>
  </si>
  <si>
    <t>Místní akční skupina Bohumínsko, z.s., Bohumín</t>
  </si>
  <si>
    <t>Místní akční skupina Hlučínsko o.s., Hlučín</t>
  </si>
  <si>
    <t>Místní akční skupina Hrubý Jeseník, Bruntál</t>
  </si>
  <si>
    <t>Místní akční skupina Opavsko, Hradec nad Moravicí</t>
  </si>
  <si>
    <t>Místní akční skupina Pobeskydí - zájmové sdružení právnických osob, Třanovice</t>
  </si>
  <si>
    <t>Místní akční skupina Regionu Poodří, Bartošovice</t>
  </si>
  <si>
    <t>Místní skupina Polského kulturně-osvětového svazu v Havířově-Bludovicích, Havířov,Bludovice</t>
  </si>
  <si>
    <t>Místo pro děti, Ostrava, Poruba, Čs. exilu 670</t>
  </si>
  <si>
    <t>Mobilní hospic Ondrášek, o.p.s., Ostrava-Poruba</t>
  </si>
  <si>
    <t>Modern Entrepreneur s.r.o., Ostrava-Vítkovice</t>
  </si>
  <si>
    <t>Modrý kříž v České republice, Český Těšín</t>
  </si>
  <si>
    <t>Monika Wawrzyczková, Havířov, Dolní Datyně</t>
  </si>
  <si>
    <t>Dotace - Vydání publikace „Bez nároku na slávu“</t>
  </si>
  <si>
    <t>Moravskoslezská krajská asociace Sport pro všechny, Ostrava-Moravská Ostrava a Přívoz</t>
  </si>
  <si>
    <t>Moravskoslezská krajská organizace ČUS Ostrava, Moravská Ostrava a Přívoz</t>
  </si>
  <si>
    <t>Moravskoslezská obchodní akademie, s.r.o.</t>
  </si>
  <si>
    <t>Moravskoslezská společnost pro ochranu přírody a myslivost o.p.s.. Ostrava-Jih</t>
  </si>
  <si>
    <t>Dotace - Projekt „Půjčovna kompenzačních pomůcek pro sluchově postižené“</t>
  </si>
  <si>
    <t>Moravskoslezský automobilový klastr, o.s., Ostrava-Mariánské Hory</t>
  </si>
  <si>
    <t>Moravskoslezský energetický klastr, občanské sdružení, Mošnov</t>
  </si>
  <si>
    <t>Moravskoslezský krajský fotbalový svaz, Ostrava-Moravská Ostrava a Přívoz</t>
  </si>
  <si>
    <t>Moravskoslezský krajský svaz jachtingu o.s., Ostrava-Moravská Ostrava a Přívoz</t>
  </si>
  <si>
    <t>Moravskoslezský krajský triatlonový svaz o.s., Ostrava, Moravská Ostrava a Přívoz</t>
  </si>
  <si>
    <t>MORE, s.r.o., Praha-Běchovice</t>
  </si>
  <si>
    <t>MRŇOUSKOVA MATEŘSKÁ ŠKOLA</t>
  </si>
  <si>
    <t>Dotace - Podpora pro Myslivecký spolek NOVINA</t>
  </si>
  <si>
    <t>Na Výminku s.r.o., Ostrava-Jih, Zábřeh</t>
  </si>
  <si>
    <t>Nano4people s.r.o., Paskov</t>
  </si>
  <si>
    <t>NanoTrade s.r.o., Olomouc</t>
  </si>
  <si>
    <t>NÁRODNÍ DŘEVAŘSKÝ KLASTR, z.s., Ostrava</t>
  </si>
  <si>
    <t>Dotace - Konference „Podpora pečujících osob“</t>
  </si>
  <si>
    <t>Nemocnice Český Těšín a.s., Český Těšín, Ostravská 783</t>
  </si>
  <si>
    <t>Nestátní denní zařízení DUHA, o.p.s., Orlová</t>
  </si>
  <si>
    <t>Netles Business, s.r.o., Praha 2</t>
  </si>
  <si>
    <t>NEVIS BAU CZ s.r.o., Opava</t>
  </si>
  <si>
    <t>Nová šance, z. s.,  Ostrava-Koblov</t>
  </si>
  <si>
    <t>Občanské sdružení Anabell, Brno</t>
  </si>
  <si>
    <t>Občanské sdružení EducationTalentCulture, Český Těšín</t>
  </si>
  <si>
    <t>Občanské sdružení Edukana, Ostrava, Moravská Ostrava a Přívoz</t>
  </si>
  <si>
    <t>Občanské sdružení Heřmánek, Karviná, Staré Město</t>
  </si>
  <si>
    <t>Občanské sdružení KARAVANA, Třinec</t>
  </si>
  <si>
    <t>Občanské sdružení Kulturní Ostrava, Ostrava-Jih</t>
  </si>
  <si>
    <t>Občanské sdružení Madleine, Frýdek-Místek</t>
  </si>
  <si>
    <t>Občanské sdružení Mladý tenista, Bílovec</t>
  </si>
  <si>
    <t>Občanské sdružení ONŽ - pomoc a poradenství pro ženy a dívky, Praha 2</t>
  </si>
  <si>
    <t>Občanské sdružení PANT, Polanka nad Odrou</t>
  </si>
  <si>
    <t>Dotace - Projekt "Počteníčko s babičkou"</t>
  </si>
  <si>
    <t>Obec Slovákov v Karviné, Karviná</t>
  </si>
  <si>
    <t>Obchodní akademie Karviná, s.r.o.</t>
  </si>
  <si>
    <t>Oblastní spolek Českého červeného kříže Karviná, Karviná</t>
  </si>
  <si>
    <t>Dotace - Projekt „Oceňování bezpříspěvkových dárců krve Zlatým křížem 2. třídy“</t>
  </si>
  <si>
    <t>Dotace - Mistrovství České a Slovenské republiky ADCC 2014</t>
  </si>
  <si>
    <t>Oddíl Lyžování Budišov nad Budišovkou, Budišov nad Budišovkou</t>
  </si>
  <si>
    <t>OCHI - INŽENÝRING, spol. s r.o., Ostrava-Vítkovice</t>
  </si>
  <si>
    <t>OKA flight services s.r.o., Studénka, Butovice</t>
  </si>
  <si>
    <t>Okresní hospodářská komora Karviná, Karviná</t>
  </si>
  <si>
    <t>ONKO-Naděje, sdružení onkologických pacientů Karviná</t>
  </si>
  <si>
    <t>OPEN HOUSE, Bruntál</t>
  </si>
  <si>
    <t>OPORA DĚTEM, Frýdlant nad Ostravicí</t>
  </si>
  <si>
    <t>Organizační výbor GRACIA ČEZ EDĚ, Orlová</t>
  </si>
  <si>
    <t>Osoblažská dopravní společnost, s. r. o.,  Krnov</t>
  </si>
  <si>
    <t>Dotace - Projekt "Projektový manažer – krok k úspěšnému rozvoji Osoblažska"</t>
  </si>
  <si>
    <t>Dotace - Organizace, příprava a průběh etapové zastávky v Ostravě mezinárodního závodu elektromobilů Electric Marathon 2015 (Kyjev - Monte Carlo)</t>
  </si>
  <si>
    <t>Ostrava Chess o.s., Ostrava, Moravská Ostrava a Přívoz</t>
  </si>
  <si>
    <t>Ostrava Steelers, Ostrava-Svinov</t>
  </si>
  <si>
    <t>OSTRAVICE SPORT a.s., Ostravice</t>
  </si>
  <si>
    <t>Ostravská LTS, a.s., Ostrava-Vítkovice</t>
  </si>
  <si>
    <t>Ostravská organizace vozíčkářů, Ostrava</t>
  </si>
  <si>
    <t>Ostravská sportovní Akademie. Ostrava-Poruba</t>
  </si>
  <si>
    <t>Ostravský informační servis, s.r.o., Ostrava-Moravská Ostrava a Přívoz</t>
  </si>
  <si>
    <t>Dotace - Úhrada nákladů spojených s nájmem nebytových prostor na adrese Havlíčkovo nábřeží 2728/38, 702 00 Ostrava, a za účelem pronájmu prostor pro uspořádání koncertních vystoupení</t>
  </si>
  <si>
    <t>Osvětová beseda, obecně prospěšná společnost, Praha</t>
  </si>
  <si>
    <t>OV Českého svazu včelařů Ostrava,Ostrava - Moravská Ostrava a Přívoz</t>
  </si>
  <si>
    <t>Pavučina o.p.s., Ostrava-Kunčičky</t>
  </si>
  <si>
    <t>Pečovatelská služba OASA Nový Jičín, o.p.s., Nový Jičín</t>
  </si>
  <si>
    <t>Pečovatelská služba OASA Opava, o.p.s., Raduň</t>
  </si>
  <si>
    <t>PERAS - ski s.r.o., Ludvíkov</t>
  </si>
  <si>
    <t>PEZ - projekce energetických zařízení s.r.o., Ostrava-Martinov</t>
  </si>
  <si>
    <t>photo nophoto z.s., Ostrava-Poruba</t>
  </si>
  <si>
    <t>Plavecký klub Nový Jičín, z.s., Nový Jičín</t>
  </si>
  <si>
    <t>Podané ruce - osobní asistence, Frýdek-Místek</t>
  </si>
  <si>
    <t>Podhorská nemocnice a.s., Rýmařov</t>
  </si>
  <si>
    <t>POE EDUCO, spol. s r.o., Nový Jičín</t>
  </si>
  <si>
    <t>Polský kulturně-osvětový svaz v České republice, Český Těšín</t>
  </si>
  <si>
    <t>Poradna pro občanství/Občanská a lidská práva, Praha 2</t>
  </si>
  <si>
    <t>POSEJDON, o.s., Dolní Lutyně</t>
  </si>
  <si>
    <t>Povodí Odry, státní podnik, Moravská Ostrava  a Přívoz</t>
  </si>
  <si>
    <t>PRAPOS, Ostrava-Jih</t>
  </si>
  <si>
    <t>PrimMat - Soukromá střední škola podnikatelská, s.r.o.</t>
  </si>
  <si>
    <t>PRISCO s.r.o., Ostrava</t>
  </si>
  <si>
    <t>ProFaktum, s.r.o., Český Těšín</t>
  </si>
  <si>
    <t>PROFICIO, o.s., Rybí</t>
  </si>
  <si>
    <t>Projektově.CZ s.r.o., Ostrava-Poruba</t>
  </si>
  <si>
    <t>Dotace - Projekt „6. ročník festivalu Nad oblaky – Každý může být hvězdou“</t>
  </si>
  <si>
    <t>PRVNÍ SKI-SPORT, a.s., Bruntál</t>
  </si>
  <si>
    <t>První soukromá základní umělecká škola MIS music o.p.s.</t>
  </si>
  <si>
    <t xml:space="preserve">Přátelé Osoblažska, Vysoká, Bartultovice </t>
  </si>
  <si>
    <t xml:space="preserve">Přírodovědné gymnázium Ostrava, s.r.o.  </t>
  </si>
  <si>
    <t>PTS Josef Solnař, s.r.o., Ostrava- Nová Ves</t>
  </si>
  <si>
    <t>Pyrex, spol. s r.o., Havířov</t>
  </si>
  <si>
    <t>PZKO, Nebory</t>
  </si>
  <si>
    <t>Radomír Levý, Vysoká, Bartultovice</t>
  </si>
  <si>
    <t>Railsformers s.r.o., Ostrava-Pustkovec</t>
  </si>
  <si>
    <t xml:space="preserve">Ranč Solný potok, Město Albrechtice Hynčice </t>
  </si>
  <si>
    <t>RAPA SPEED MOTOR s.r.o., Odry</t>
  </si>
  <si>
    <t xml:space="preserve">RB Střední odborné učiliště autooprávárenské, s.r.o.  </t>
  </si>
  <si>
    <t>Regionální kulturní, vzdělávácí a rekvalifikační centrum, o.s., O-Mor. Ostrava a Přívoz</t>
  </si>
  <si>
    <t>Dotace - Generel cyklistické dopravy v regionu Jablunkovska, Třinecka, Těšínska</t>
  </si>
  <si>
    <t>Regionální svaz hokejbalu pro Moravskoslezský, Olomoucký a Zlínský kraj, Ostrava-Poruba</t>
  </si>
  <si>
    <t>REINTEGRA, Krnov</t>
  </si>
  <si>
    <t>Renarkon, o. p. s., Moravská Ostrava a Přívoz</t>
  </si>
  <si>
    <t>Renáta Skalíková, Jindřichov</t>
  </si>
  <si>
    <t>Dotace - Organizace krajského kola projektu „Cena Ď v Moravskoslezském kraji 2015“</t>
  </si>
  <si>
    <t>Rodinné a komunitní centrum Chaloupka o.s., Ostrava, Moravská Ostrava a Přívoz</t>
  </si>
  <si>
    <t>Rodinné centrum KAŠTÁNEK, Ostrava-Poruba</t>
  </si>
  <si>
    <t>Romodrom o.p.s., Praha 1</t>
  </si>
  <si>
    <t>ROSKA OSTRAVA, regionální organizace Unie Roska v ČR</t>
  </si>
  <si>
    <t>ROZKOŠ bez RIZIKA, Brno</t>
  </si>
  <si>
    <t>Rozvoj Krnovska o.p.s., Krnov</t>
  </si>
  <si>
    <t>RPIC-ViP s.r.o., Ostrava, Mariánské Hory a Hulváky</t>
  </si>
  <si>
    <t>RSE Project s.r.o., Ostrava-Vítkovice</t>
  </si>
  <si>
    <t>RSI SOFT s.r.o., Baška, Hodoňovice</t>
  </si>
  <si>
    <t>RÝMAŘOVSKO o.p.s., Rýmařov</t>
  </si>
  <si>
    <t>Řecká obec Karviná</t>
  </si>
  <si>
    <t>Řecká obec Krnov-město, Krnov</t>
  </si>
  <si>
    <t>Římskokatolická farnost Kujavy, Bílovec</t>
  </si>
  <si>
    <t>Římskokatolická farnost Ludgeřovice</t>
  </si>
  <si>
    <t>Římskokatolická farnost Raduň</t>
  </si>
  <si>
    <t>Římskokatolická farnost Spálov, Spálov</t>
  </si>
  <si>
    <t>Římskokatolická farnost Starý Jičín, Starý Jičín</t>
  </si>
  <si>
    <t>Římskokatolická farnost Třemešná, Třemešná</t>
  </si>
  <si>
    <t>S.T.O.P. Ostrava-Moravská Ostrava a Přívoz</t>
  </si>
  <si>
    <t>SALUS o.p.s., Kopřivnice</t>
  </si>
  <si>
    <t>Samostatný kmenový a klubový svaz Dakota, Ostrava</t>
  </si>
  <si>
    <t>Sanatorium Jablunkov, a.s., Jablunkov</t>
  </si>
  <si>
    <t>Podpora parku Sanatoria Jablunkov, a.s.</t>
  </si>
  <si>
    <t>Sbor Církve adventistů sedmého dne Třinec, Třinec</t>
  </si>
  <si>
    <t>Dotace - Úhrada nákladů souvisejících s pořízením praporu</t>
  </si>
  <si>
    <t>Dotace - Úhrada nákladů souvisejících s organizací hasičských soutěží</t>
  </si>
  <si>
    <t>Dotace - Zajištění oslav 125. výročí od založení Sboru dobrovolných hasičů Ostrava-Zábřeh</t>
  </si>
  <si>
    <t>Dotace - Pořízení slavnostního vyšívaného hasičského praporu</t>
  </si>
  <si>
    <t>SC Ostrava, Ostrava-Přívoz</t>
  </si>
  <si>
    <t>Sdružení - BES, Ostrava-Poruba</t>
  </si>
  <si>
    <t>Dotace - Uspořádání „XIII. mezinárodního setkání výrobců a sběratelů hlavolamů a jiných kuriozit“</t>
  </si>
  <si>
    <t>Sdružení hasičů Čech, Moravy a Slezska, Ústřední hasičská škola Jánské Koupele, Staré Těchanovice</t>
  </si>
  <si>
    <t>Sdružení maminek Sluníčko o.s., Petrovice u Karviné</t>
  </si>
  <si>
    <t>Sdružení polské mládeže v ČR, Český Těšín</t>
  </si>
  <si>
    <t>Sdružení přátel polské knihy, Český Těšín</t>
  </si>
  <si>
    <t>Sdružení sociálních asistentů, Ostrava-Mariánské Hory a Hulváky</t>
  </si>
  <si>
    <t>Sdružení úpolových sportů, Krnov</t>
  </si>
  <si>
    <t>Dotace - Military centrum</t>
  </si>
  <si>
    <t>Seniorcentrum OASA, s.r.o., Petřvald</t>
  </si>
  <si>
    <t>SG - Geoinženýring s.r.o., Ostrava-Moravská Ostrava a Přívoz</t>
  </si>
  <si>
    <t>SHIFT s.r.o., Ostrava-Stará Bělá</t>
  </si>
  <si>
    <t>Sjednocená organizace nevidomých a slabozrakých ČR, Praha 1</t>
  </si>
  <si>
    <t>SK K2 o.s., Frýdek-Místek</t>
  </si>
  <si>
    <t>SKI Bílá - Služby s.r.o., Bílá 173</t>
  </si>
  <si>
    <t>SKSB Ostrava, Ostrava-Poruba</t>
  </si>
  <si>
    <t>Sladký &amp; Nevřiva s.r.o., Nový Jičín</t>
  </si>
  <si>
    <t>Dotace - Projekt "Diakonické vzdělávací centrum"</t>
  </si>
  <si>
    <t>SLEZSKÁ HUMANITA, obecně prospěšná společnost, Karviná</t>
  </si>
  <si>
    <t>Slezská univerzita v Opavě</t>
  </si>
  <si>
    <t>Dotace - Provoz vlaků Slezských zemských drah</t>
  </si>
  <si>
    <t>Slezský klub stomiků Ostrava</t>
  </si>
  <si>
    <t>Slezský soubor Heleny Salichové, Ostrava-Poruba</t>
  </si>
  <si>
    <t>Slezský svaz zdravotně postižených, Hradec nad Moravicí</t>
  </si>
  <si>
    <t>Služby Dobrého Pastýře, soukromé sdružení křesťanů, Ludgeřovice</t>
  </si>
  <si>
    <t>SNAKES OSTRAVA, Ostrava-Plesná</t>
  </si>
  <si>
    <t>SocioFactor s.r.o., Ostrava, Přívoz, Moravská Ostrava a Přívoz</t>
  </si>
  <si>
    <t>SOLBIEN a.s., Ostrava-Pustkovec</t>
  </si>
  <si>
    <t>SOUKROMÁ MATEŘSKÁ ŠKOLA  TOVÁRNÍ s.r.o.</t>
  </si>
  <si>
    <t>SOUKROMÁ MATEŘSKÁ ŠKOLA BAMBINO s.r.o.</t>
  </si>
  <si>
    <t>Soukromá mateřská škola Sluníčko Ostrava Poruba</t>
  </si>
  <si>
    <t>Soukromá obchodní akademie Opava s.r.o.</t>
  </si>
  <si>
    <t>Soukromá střední odborná škola Frýdek-Místek, s. r. o.</t>
  </si>
  <si>
    <t>Soukromá střední odborná škola PRIMA s.r.o.</t>
  </si>
  <si>
    <t>Soukromá střední škola podnikatelská, s.r.o., Opava</t>
  </si>
  <si>
    <t>Soukromá střední škola PRAKTIK s.r.o.</t>
  </si>
  <si>
    <t>Soukromá třinecká obchodní akademie a hotelová škola, spol. s r. o.</t>
  </si>
  <si>
    <t xml:space="preserve">Soukromá vyšší odborná škola podnikatelská, s.r.o.  </t>
  </si>
  <si>
    <t>Soukromá základní škola a mateřská škola, s.r.o.</t>
  </si>
  <si>
    <t>Soukromá základní škola PIANETA, s.r.o.</t>
  </si>
  <si>
    <t>Soukromá základní škola speciální pro žáky s více vadami, Ostrava, s.r.o.</t>
  </si>
  <si>
    <t xml:space="preserve">Soukromá základní škola, spol. s r.o. </t>
  </si>
  <si>
    <t>Soukromá základní umělecká škola MUSICALE v.o.s.</t>
  </si>
  <si>
    <t>Soukromá základní umělecká škola TUTTI MUSIC, spol. s r. o.</t>
  </si>
  <si>
    <t>Soukromé středisko praktického výučování RENOVA, o.p.s. Milotice nad Opavou</t>
  </si>
  <si>
    <t>Speciální škola Diakonie ČCE Ostrava, Ostrava-Vítkovice</t>
  </si>
  <si>
    <t>Speciální technologie, s.r.o., Ostrava-Slezská Ostrava</t>
  </si>
  <si>
    <t>Spirála o.p.s., Ostrava-Jih</t>
  </si>
  <si>
    <t>Společenství Romů na Moravě, Romano jekhetaniben pre Morava, Frýdek-Místek</t>
  </si>
  <si>
    <t>Společně-Jekhetane, Ostrava</t>
  </si>
  <si>
    <t>Společnost pro podporu lidí s mentálním postižením Ostrava, z.s., Ostrava-Poruba</t>
  </si>
  <si>
    <t>Spolek Tulipán, Frýdek-Místek</t>
  </si>
  <si>
    <t>Spolkový dům Mariany Berlové, Bruntál</t>
  </si>
  <si>
    <t>Sport mladých, o.p.s., Ostrava-Jih</t>
  </si>
  <si>
    <t>Sportovní klub Frýdlant nad Ostravicí, Frýdlant nad Ostravicí</t>
  </si>
  <si>
    <t>Dotace - Úhrada nákladů souvisejících s organizací významných sportovních soutěží a účastí na nich</t>
  </si>
  <si>
    <t>Sportovní klub JANTAR Opava, Opava</t>
  </si>
  <si>
    <t>Sportovní klub Lapačka, Šenov</t>
  </si>
  <si>
    <t>Sportovní klub policie Frýdek-Místek, Frýdek-Místek</t>
  </si>
  <si>
    <t>Sportovní klub Policie Olomouc, Olomouc</t>
  </si>
  <si>
    <t>Sportovní klub při Gymnáziu Vrbno pod Pradědem</t>
  </si>
  <si>
    <t>Sportovní klub SIPA SPORT Opava, Opava</t>
  </si>
  <si>
    <t>Sportovní klub SK Ostrava, Ostrava-Jih</t>
  </si>
  <si>
    <t>Sportovní klub stolního tenisu Baník Havířov, Havířov-Šumbark</t>
  </si>
  <si>
    <t>Sportovní klub vozíčkářů, Ostrava</t>
  </si>
  <si>
    <t>Sportovní klub Vzpěračská škola Oty Zaremby Horní Suchá, Horní Suchá</t>
  </si>
  <si>
    <t>Sportovní události v Ostravě, Fryčovice</t>
  </si>
  <si>
    <t>Stinchcombe Technology, s.r.o., Ostrava-Nová Bělá</t>
  </si>
  <si>
    <t xml:space="preserve">STRÁNSKÉ, Rýmařov - Stránské </t>
  </si>
  <si>
    <t>Středisko pracovní rehabilitace - denní stacionář, o.p.s., Ostrava-Poruba</t>
  </si>
  <si>
    <t>Středisko rané péče SPRP Ostrava, Ostrava-Mor.Ostrava a Přívoz</t>
  </si>
  <si>
    <t>Střední odborná škla Třineckých železáren</t>
  </si>
  <si>
    <t>Střední odborná škola NET OFFICE Orlová, spol. s r.o.</t>
  </si>
  <si>
    <t>Střední odborná škola ochrany osob a majetku s.r.o.</t>
  </si>
  <si>
    <t>Střední odborná škola umělecká a gymnázium, s.r.o.</t>
  </si>
  <si>
    <t>Střední odborné učiliště DAKOL, s.r.o.</t>
  </si>
  <si>
    <t>Střední škola ekonomicko-podnikatelská Studénka, o. p. s.</t>
  </si>
  <si>
    <t>Střední škola hotelnictví, gastronomie a služeb SČMSD Šilheřovice, s.r.o.</t>
  </si>
  <si>
    <t>Střední škola informačních technologií, s.r.o.</t>
  </si>
  <si>
    <t>Střední škola podnikatelská Klimkovice s.r.o.</t>
  </si>
  <si>
    <t xml:space="preserve">Střední škola uměleckých řemesel, s.r.o.  </t>
  </si>
  <si>
    <t>Střední umělecká škola varhanářská o.p.s.</t>
  </si>
  <si>
    <t>Střední uměleckoprůmyslová škola, s.r.o.</t>
  </si>
  <si>
    <t>SVÁŘEČSKÁ ŠKOLA KRAVAŘE s.r.o., Kravaře</t>
  </si>
  <si>
    <t>Svatováclavský hudební festival, Moravská Ostrava a Přívoz</t>
  </si>
  <si>
    <t>Svaz diabetiků ČR, Územní organizace Ostrava-Jih, Ostrava-Jih</t>
  </si>
  <si>
    <t>Svaz Maďarů žijících v českých zemích, Praha 10</t>
  </si>
  <si>
    <t>Svaz postižených civilizačními chorobami v České republice, z. s., Praha 8</t>
  </si>
  <si>
    <t>Dotace - Projekt "Slavnostní seminář k 25. výročí založení STP v ČR"</t>
  </si>
  <si>
    <t>Svět vzdělávání - síť místních center celoživotního vzdělávání, Slezská Ostrava</t>
  </si>
  <si>
    <t>ŠERM OSTRAVA, Ostrava-Poruba</t>
  </si>
  <si>
    <t>Škola manažerského rozvoje s.r.o., Ostrava, Poruba</t>
  </si>
  <si>
    <t>Škola života o.p.s., Nový Jičín</t>
  </si>
  <si>
    <t>Školní sportovní klub IR PROGRES, Bílovec</t>
  </si>
  <si>
    <t>Školní sportovní klub Ostrava o.s., Ostrava, Poruba</t>
  </si>
  <si>
    <t>ŠSK Beskydy, o.s., Školní sportovní klub BESKYDY o.s., Frýdek-Místek</t>
  </si>
  <si>
    <t>T.J. Frenštát pod Radhoštěm, Frenštát pod Radhoštěm</t>
  </si>
  <si>
    <t>Tábornický oddíl mládeže BVÚ, Ostrava</t>
  </si>
  <si>
    <t>Taneční studio Vítkovice,o.s., Ostrava-Jih</t>
  </si>
  <si>
    <t>Dotace - Výroba dokumentárního snímku "Poválečný kmotr“</t>
  </si>
  <si>
    <t>Tělocvičná jednota Sokol Frenštát p. R., Frenštát pod Radhoštěm</t>
  </si>
  <si>
    <t>Tělocvičná jednota Sokol Opava</t>
  </si>
  <si>
    <t>Tělocvičná jednota SOKOL Poruba, Ostrava-Poruba</t>
  </si>
  <si>
    <t>Tělocvičná jednota Sokol Vítkovice, Ostrava-Vítkovice</t>
  </si>
  <si>
    <t>Tělovýchovná jednota Mariánské Hory, Ostrava-Mariánské Hory a Hulváky</t>
  </si>
  <si>
    <t>Tělovýchovná jednota Olympia Bruntál</t>
  </si>
  <si>
    <t>Tělovýchovná jednota Ostrava, Ostrava, Moravská Ostrava a Přívoz</t>
  </si>
  <si>
    <t>Tělovýchovná jednota Slezan Opava, Opava</t>
  </si>
  <si>
    <t>Tělovýchovná jednota Třineckých železáren, Třinec</t>
  </si>
  <si>
    <t>Tělovýchovná jednota VOKD Ostrava - Poruba, Ostrava-Poruba</t>
  </si>
  <si>
    <t>Tenisový klub Havířov, z.s., Havířov Šumbark</t>
  </si>
  <si>
    <t>TENNO CZ s.r.o., Karviná, Fryštát</t>
  </si>
  <si>
    <t>TEPLOTECHNA Ostrava a.s., Ostrava-Slezská Ostrava</t>
  </si>
  <si>
    <t>THeatr ludem, Ostrava-Moravská Ostrava a Přívoz</t>
  </si>
  <si>
    <t>Thermo Sanace s.r.o., Ostrava-Kunčičky</t>
  </si>
  <si>
    <t>TJ GYMNÁZIUM HLADNOV, Ostrava-Slezská Ostrava</t>
  </si>
  <si>
    <t>TJ Jäkl Karviná, Karviná</t>
  </si>
  <si>
    <t>TJ Krnov, Krnov</t>
  </si>
  <si>
    <t>TJ Kunčičky, Ostrava-Kunčičky</t>
  </si>
  <si>
    <t>TJ ODRY, o.s., Odry</t>
  </si>
  <si>
    <t>TJ Spartak Jablunkov, Jablunkov</t>
  </si>
  <si>
    <t>TK Elán Třinec o.s., Třinec</t>
  </si>
  <si>
    <t>Tomáš Kos, Třinec</t>
  </si>
  <si>
    <t>Top Function s.r.o., Ostrava-Pustkovec</t>
  </si>
  <si>
    <t>TQM-holding. s.r.o., Opava</t>
  </si>
  <si>
    <t>Trakce, a.s., Ostrava-Moravská Ostrava a Přívoz</t>
  </si>
  <si>
    <t>TRDLA - divadelní společnost absolutních neherců, Havířov</t>
  </si>
  <si>
    <t>Dotace - Projekt „Digitalizace knih – šance pro ženy s handicapem!“</t>
  </si>
  <si>
    <t>TRIBO, o.s., Ostrava-Poruba</t>
  </si>
  <si>
    <t>TRISIA, a. s., Třinec</t>
  </si>
  <si>
    <t>TRISOL farm s.r.o., Bolatice</t>
  </si>
  <si>
    <t>Třinecké vzdělávání, s.r.o., Třinec</t>
  </si>
  <si>
    <t>TUČŇÁKOVA ŠKOLKA-mateřská škola, s.r.o.</t>
  </si>
  <si>
    <t>Turistické sdružení Stopař, Ostrava-Poruba</t>
  </si>
  <si>
    <t>Turistický oddíl mládeže č.1309 - Žlutý kvítek, Palkovice</t>
  </si>
  <si>
    <t>TyfloCentrum Ostrava, o.p.s.</t>
  </si>
  <si>
    <t>Tyfloservis o. p. s., Praha 1</t>
  </si>
  <si>
    <t>UnikaCentrum, o.p.s., Karviná, Mizerov</t>
  </si>
  <si>
    <t>Univerzitní mateřská škola VŠB-TUO</t>
  </si>
  <si>
    <t>Ústav geoniky AV ČR, v.v.i., Ostrava-Poruba</t>
  </si>
  <si>
    <t>VADE MECUM BOHEMIAE s.r.o., Odry</t>
  </si>
  <si>
    <t>VaKo machining s.r.o., Ostrava-Kunčičky</t>
  </si>
  <si>
    <t>Valenta Jiří, Olomouc, Hodolany</t>
  </si>
  <si>
    <t>VeryVision, s.r.o., Ostrava, Moravská Ostrava a Přívoz</t>
  </si>
  <si>
    <t>Dotace - Realizace mezinárodní soutěže historických vozidel „Moravia Rallye 2015"</t>
  </si>
  <si>
    <t>VIA ALTERA poradna pro systemickou praxi, Horní Bludovice</t>
  </si>
  <si>
    <t>Vila Vančurova o.p.s., Opava</t>
  </si>
  <si>
    <t>Vítkovice - výzkum a vývoj - technické aplikace a. s., Ostrava-Poruba</t>
  </si>
  <si>
    <t>VÍTKOVICE GEARWORKS a.s., Ostrava-Vítkovice</t>
  </si>
  <si>
    <t>VÍTKOVICKÁ STŘEDNÍ PRŮMYSLOVÁ ŠKOLA</t>
  </si>
  <si>
    <t>Volejbalový klub Ostrava, z.s., Moravská Ostrava</t>
  </si>
  <si>
    <t>VRUTEX kovovýroba s.r.o., Opava</t>
  </si>
  <si>
    <t>VVUÚ, a.s. Ostrava-Radvanice</t>
  </si>
  <si>
    <t>Vysoká škola podnikání, a. s., Ostrava-Slezská Ostrava</t>
  </si>
  <si>
    <t>Vysoká škola sociálně správní, Institut celoživotního vzdělávání Havířov, o.p.s., Havířov</t>
  </si>
  <si>
    <t>Vyšší odborná škola a jazyková škola s právem státní jazykové školy SOKRATES, s.r.o.</t>
  </si>
  <si>
    <t>Vyšší odborná škola DAKOL a střední škola DAKOL, o.p.s.</t>
  </si>
  <si>
    <t>Vyšší odborná škola Havířov s.r.o.</t>
  </si>
  <si>
    <t>Vyšší odborná škola Jana Ámose Komenského</t>
  </si>
  <si>
    <t>Vzájemné soužití o.p.s., Ostrava</t>
  </si>
  <si>
    <t>Vzdělávací centrum Hello s.r.o., Ostrava-Mariánské Hory a Hulváky</t>
  </si>
  <si>
    <t>Vzdělávání a rozvoj dospělých s.r.o., Havířov</t>
  </si>
  <si>
    <t>Webvalley s.r.o., Ostrava-Slezská Ostrava</t>
  </si>
  <si>
    <t>XTDN s.r.o., Ostrava</t>
  </si>
  <si>
    <t>Young Life Česká republika o.s., Praha 13 Stodůlky</t>
  </si>
  <si>
    <t>Základní škola a Mateřská škola Monty School</t>
  </si>
  <si>
    <t>Základní škola AMOS, školská právnická osoba</t>
  </si>
  <si>
    <t>Základní škola Galaxie s.r.o.</t>
  </si>
  <si>
    <t>Základní škola logopedická s.r.o.</t>
  </si>
  <si>
    <t>Základní škola PRIGO, s.r.o.</t>
  </si>
  <si>
    <t>Základní škola, Ostrava-Výškovice, s.r.o.</t>
  </si>
  <si>
    <t>Základní umělecká škola  A PLUS, spol. s r.o.</t>
  </si>
  <si>
    <t>ZÁKLADNÍ UMĚLECKÁ ŠKOLA  s.r.o.</t>
  </si>
  <si>
    <t>ZK Design a.s., Velká Polom</t>
  </si>
  <si>
    <t>ZO ČSOP Onyx, Tichá</t>
  </si>
  <si>
    <t>Železniční muzeum moravskoslezské, o.p.s.Ostrava-Moravská Ostrava a Přívoz,</t>
  </si>
  <si>
    <t>Židovská obec v Ostrava, Ostrava-Mariánské Hory</t>
  </si>
  <si>
    <r>
      <t xml:space="preserve">1) </t>
    </r>
    <r>
      <rPr>
        <sz val="8"/>
        <rFont val="Tahoma"/>
        <family val="2"/>
        <charset val="238"/>
      </rPr>
      <t>Schválený rozpočet dotace je snížen o částku vrácených prostředků do rozpočtu kraje, která byla následně použita v rozpočtu výdajů (opětovně v daném roce).</t>
    </r>
  </si>
  <si>
    <r>
      <t xml:space="preserve">2) </t>
    </r>
    <r>
      <rPr>
        <sz val="8"/>
        <rFont val="Tahoma"/>
        <family val="2"/>
        <charset val="238"/>
      </rPr>
      <t>Ve sloupci čerpáno jsou uvedeny poskytnuté dotace v roce 2015 snížené o případné vyúčtované vratky v závěru roku 2015 nebo počátkem roku 2016.</t>
    </r>
  </si>
  <si>
    <t>Přehled poskytnutých finančních prostředků příspěvkovým organizacím obcí dle zákona č. 561/2004 Sb., o předškolním, základním, středním, vyšším odborném a jiném vzdělávání (školský zákon), v platném znění</t>
  </si>
  <si>
    <t>Příjemce (příspěvková organizace obce)</t>
  </si>
  <si>
    <t>Přímé náklady
na vzdělávání</t>
  </si>
  <si>
    <r>
      <t>Ostatní financované projekty</t>
    </r>
    <r>
      <rPr>
        <b/>
        <vertAlign val="superscript"/>
        <sz val="8"/>
        <rFont val="Tahoma"/>
        <family val="2"/>
        <charset val="238"/>
      </rPr>
      <t xml:space="preserve"> *)</t>
    </r>
  </si>
  <si>
    <r>
      <t>Schváleno</t>
    </r>
    <r>
      <rPr>
        <b/>
        <vertAlign val="superscript"/>
        <sz val="8"/>
        <rFont val="Tahoma"/>
        <family val="2"/>
        <charset val="238"/>
      </rPr>
      <t xml:space="preserve"> 1)</t>
    </r>
  </si>
  <si>
    <r>
      <t>Čerpáno</t>
    </r>
    <r>
      <rPr>
        <b/>
        <vertAlign val="superscript"/>
        <sz val="8"/>
        <rFont val="Tahoma"/>
        <family val="2"/>
        <charset val="238"/>
      </rPr>
      <t xml:space="preserve"> 2)</t>
    </r>
  </si>
  <si>
    <t>Alternativní mateřská škola Ostrava - Mariánské Hory, U Dvoru 22a, příspěvková organizace</t>
  </si>
  <si>
    <t>ASTERIX - středisko volného času Havířov, příspěvková organizace</t>
  </si>
  <si>
    <t>ASTRA, centrum volného času, Frenštát p. R., příspěvková organizace</t>
  </si>
  <si>
    <t>Centrum volného času Kravaře, příspěvková organizace</t>
  </si>
  <si>
    <t>Dům dětí a mládeže Bílovec, Tovární 188, příspěvková organizace</t>
  </si>
  <si>
    <t>Dům dětí a mládeže Bohumín, příspěvková organizace</t>
  </si>
  <si>
    <t>Dům dětí a mládeže Bystřice 106, okr. Frýdek-Místek, příspěvková organizace</t>
  </si>
  <si>
    <t>Dům dětí a mládeže Český Těšín Hrabinská 33, příspěvková organizace</t>
  </si>
  <si>
    <t>Dům dětí a mládeže Hlučín, příspěvková organizace</t>
  </si>
  <si>
    <t>Dům dětí a mládeže Kopřivnice, Kpt. Jaroše 1077, příspěvková organizace</t>
  </si>
  <si>
    <t>Dům dětí a mládeže Ostrava-Poruba, příspěvková organizace</t>
  </si>
  <si>
    <t>Dům dětí a mládeže Rychvald, Školní 1600, příspěvková organizace</t>
  </si>
  <si>
    <t>Dům dětí a mládeže Vratimov, příspěvková organizace</t>
  </si>
  <si>
    <t>Dům dětí a mládeže, Jablunkov, Dukelská 145, příspěvková organizace</t>
  </si>
  <si>
    <t>Dům dětí a mládeže, Orlová, příspěvková organizace</t>
  </si>
  <si>
    <t>Dům dětí a mládeže, Třinec, příspěvková organizace</t>
  </si>
  <si>
    <t>Firemní školka města Ostravy, příspěvková organizace</t>
  </si>
  <si>
    <t>Jubilejní Masarykova základní škola a mateřská škola Sedliště</t>
  </si>
  <si>
    <t>Jubilejní Masarykova základní škola a mateřská škola, Třinec, příspěvková organizace</t>
  </si>
  <si>
    <t>Jubilejní základní škola prezidenta Masaryka a Mateřská škola Trojanovice, okres Nový Jičín, příspěvková organizace</t>
  </si>
  <si>
    <t>Křesťanská mateřská škola Ostrava - Mariánské Hory, U Dvoru 22, příspěvková organizace</t>
  </si>
  <si>
    <t>LUNA Příbor, středisko volného času, příspěvková organizace</t>
  </si>
  <si>
    <t>Masarykova základní škola a Mateřská škola Bohumín, Seifertova 601, okres Karviná, příspěvková organizace</t>
  </si>
  <si>
    <t>Masarykova základní škola a mateřská škola Český Těšín</t>
  </si>
  <si>
    <t>Masarykova Základní škola a mateřská škola Hnojník 120,okres Frýdek-Místek, příspěvková organizace</t>
  </si>
  <si>
    <t>Masarykova základní škola a mateřská škola Melč, okres Opava, příspěvková organizace</t>
  </si>
  <si>
    <t>Masarykova základní škola Návsí, příspěvková organizace</t>
  </si>
  <si>
    <t>Mateřská škola - Przedszkole Jablunkov, Školní 800, příspěvková organizace</t>
  </si>
  <si>
    <t>Mateřská škola - Przedszkole Vendryně č.1, okres Frýdek-Místek, příspěvková organizace</t>
  </si>
  <si>
    <t>Mateřská škola - Przedszkole, Vendryně, Zaolší 615, okres Frýdek-Místek, příspěvková organizace</t>
  </si>
  <si>
    <t>Mateřská škola „U kamarádů“, Havířov - Podlesí, Čelakovského 4/1240, příspěvková organizace</t>
  </si>
  <si>
    <t>Mateřská škola Bartošovice okres Nový Jičín, příspěvková organizace</t>
  </si>
  <si>
    <t>Mateřská škola Beruška Frýdek-Místek, Nad Lipinou 2318</t>
  </si>
  <si>
    <t>Mateřská škola Bílá, okres Frýdek-Místek, příspěvková organizace</t>
  </si>
  <si>
    <t>Mateřská škola Bocanovice 19, okres Frýdek-Místek, příspěvková organizace</t>
  </si>
  <si>
    <t>Mateřská škola Bordovice, příspěvková organizace</t>
  </si>
  <si>
    <t>Mateřská škola Bruntál, Komenského 7, příspěvková organizace</t>
  </si>
  <si>
    <t>Mateřská škola Bruntál, Okružní 23, příspěvková organizace</t>
  </si>
  <si>
    <t>Mateřská škola Bruntál, Pionýrská 9, příspěvková organizace</t>
  </si>
  <si>
    <t>Mateřská škola Bruntál, Smetanova 21, příspěvková organizace</t>
  </si>
  <si>
    <t>Mateřská škola Bruntál, U Rybníka 3, příspěvková organizace</t>
  </si>
  <si>
    <t>Mateřská škola Brušperk, Sportovní 520, příspěvková organizace</t>
  </si>
  <si>
    <t>Mateřská škola Břidličná,Hřbitovní 439,okres Bruntál,příspěvková organizace</t>
  </si>
  <si>
    <t>Mateřská škola Budišov nad Budišovkou, okres Opava, příspěvková organizace</t>
  </si>
  <si>
    <t>Mateřská škola Čeladenská beruška, příspěvková organizace</t>
  </si>
  <si>
    <t>Mateřská škola Čeladná, příspěvková organizace</t>
  </si>
  <si>
    <t>Mateřská škola Čryřlístek Odry, příspěvková organizace</t>
  </si>
  <si>
    <t>Mateřská škola Čtyřlístek Ostrava-Poruba, Skautská 1082, příspěvková organizace</t>
  </si>
  <si>
    <t>Mateřská škola Čtyřlístek, Třinec, Oldřichovice 670, příspěvková organizace</t>
  </si>
  <si>
    <t>Mateřská škola Dětský svět, Opava, příspěvková organizace</t>
  </si>
  <si>
    <t>Mateřská škola Dívčí Hrad s odloučeným pracovištěm Hlinka, příspěvková organizace</t>
  </si>
  <si>
    <t>Mateřská škola Dobrá, okres Frýdek-Místek, příspěvková organizace</t>
  </si>
  <si>
    <t>Mateřská škola Dobroslavice, příspěvková organizace</t>
  </si>
  <si>
    <t>Mateřská škola Dolní Benešov, Osada míru, příspěvková oganizace</t>
  </si>
  <si>
    <t>Mateřská škola Dolní Lhota, příspěvková organizace</t>
  </si>
  <si>
    <t>Mateřská škola Doubrava, okres Karviná, příspěvková organizace</t>
  </si>
  <si>
    <t>Mateřská škola Fryčovice 451, příspěvková organizace</t>
  </si>
  <si>
    <t>Mateřská škola Frýdek-Místek, Anenská 656, příspěvková organizace</t>
  </si>
  <si>
    <t>Mateřská škola Frýdek-Místek, Josefa Myslivečka 1883</t>
  </si>
  <si>
    <t>Mateřská škola Frýdlant nad Ostravicí, ul. Janáčkova 1444, okres Frýdek-Místek, příspěvková organizace</t>
  </si>
  <si>
    <t>Mateřská škola Háj ve Slezsku, příspěvková organizace</t>
  </si>
  <si>
    <t>Mateřská škola Harmonie Ostrava - Hrabůvka, Zlepšovatelů 27, příspěvková organizace</t>
  </si>
  <si>
    <t>Mateřská škola Havířov - Město, Čs. armády 5/201</t>
  </si>
  <si>
    <t>Mateřská škola Havířov - Město, Horymírova 7/1194</t>
  </si>
  <si>
    <t>Mateřská škola Havířov - Město, Lípová 15</t>
  </si>
  <si>
    <t>Mateřská škola Havířov - Město, Puškinova 7a/908</t>
  </si>
  <si>
    <t>Mateřská škola Havířov - Město, Radniční 7/619</t>
  </si>
  <si>
    <t>Mateřská škola Havířov - Město, Resslova 2/497</t>
  </si>
  <si>
    <t>Mateřská škola Havířov - Město, Sukova 2a</t>
  </si>
  <si>
    <t>Mateřská škola Havířov - Město, Švabinského 7/993, příspěvková organizace</t>
  </si>
  <si>
    <t>Mateřská škola Havířov - Město, U Stromovky 60</t>
  </si>
  <si>
    <t>Mateřská škola Havířov - Podlesí, Balzacova 2/1190</t>
  </si>
  <si>
    <t>Mateřská škola Havířov - Podlesí, E.Holuba 7/1403, příspěvková organizace</t>
  </si>
  <si>
    <t>Mateřská škola Havířov - Podlesí, Kosmonautů 4/1319</t>
  </si>
  <si>
    <t>Mateřská škola Havířov - Podlesí, Přímá 8/1333, příspěvková organizace</t>
  </si>
  <si>
    <t>Mateřská škola Havířov - Prostřední Suchá, U Topolů 3/688, příspěvková organizace</t>
  </si>
  <si>
    <t>Mateřská škola Havířov - Šumbark, Mládí 23/1147</t>
  </si>
  <si>
    <t>Mateřská škola Havířov - Šumbark, Moravská 14/404, příspěvková organizace</t>
  </si>
  <si>
    <t>Mateřská škola Havířov - Šumbark, Petřvaldská 32/262</t>
  </si>
  <si>
    <t>Mateřská škola Havířov - Šumbark, U Jeslí 4/894, příspěvková organizace</t>
  </si>
  <si>
    <t>Mateřská škola Havířov- Šumbark, Okružní 1a/1070, příspěvková organizace</t>
  </si>
  <si>
    <t>Mateřská škola Hlučín, Cihelní, příspěvková organizace</t>
  </si>
  <si>
    <t>Mateřská škola Hlučín, Severní, příspěvková organizace</t>
  </si>
  <si>
    <t>Mateřská škola Holasovice, příspěvková organizace</t>
  </si>
  <si>
    <t>Mateřská škola Holčovice, okres Bruntál, příspěvková organizace</t>
  </si>
  <si>
    <t>Mateřská škola Horní Domaslavice, příspěvková organizace</t>
  </si>
  <si>
    <t>Mateřská škola Horní Životice, okres Bruntál, příspěvková organizace</t>
  </si>
  <si>
    <t>Mateřská škola Hradec nad Moravicí, okres Opava, příspěvková organizace</t>
  </si>
  <si>
    <t>Mateřská škola Jablunkov, Školní 800, příspěvková organizace</t>
  </si>
  <si>
    <t>Mateřská škola Jakartovice, příspěvková organizace</t>
  </si>
  <si>
    <t xml:space="preserve">Mateřská škola Jeseník nad Odrou, okres Nový Jičín, příspěvková organizace </t>
  </si>
  <si>
    <t>Mateřská škola Jezdkovice</t>
  </si>
  <si>
    <t>Mateřská škola Jistebník, okres Nový Jičín, příspěvková organizace</t>
  </si>
  <si>
    <t>Mateřská škola Kamarád, Příbor, Frenštátská 1370</t>
  </si>
  <si>
    <t>Mateřská škola Karla Čapka 12a Krnov, okres Bruntál, příspěvková organizace</t>
  </si>
  <si>
    <t>Mateřská škola Karviná - Hranice Slovenská 2872</t>
  </si>
  <si>
    <t>Mateřská škola Karviná - Mizerov Centrum 2314</t>
  </si>
  <si>
    <t>Mateřská škola Karviná - Mizerov Čajkovského 2215</t>
  </si>
  <si>
    <t>Mateřská škola Karviná - Mizerov Kpt. Jaroše 2224</t>
  </si>
  <si>
    <t>Mateřská škola Karviná - Mizerov Na Kopci 2099</t>
  </si>
  <si>
    <t>Mateřská škola Karviná - Nové Město Dvořákova 1622</t>
  </si>
  <si>
    <t>Mateřská škola Karviná - Nové Město Spojka 1389</t>
  </si>
  <si>
    <t>Mateřská škola Karviná - Ráj Školská 431</t>
  </si>
  <si>
    <t>Mateřská škola Karviná - Ráj U Mateřské školy 2/360</t>
  </si>
  <si>
    <t>Mateřská škola Karviná - Ráj V Aleji 20/761</t>
  </si>
  <si>
    <t>Mateřská škola Kaštánek Návsí, příspěvková organizace</t>
  </si>
  <si>
    <t>Mateřská škola Kateřinice, příspěvková organizace</t>
  </si>
  <si>
    <t>Mateřská škola Klimkovice, příspěvková organizace</t>
  </si>
  <si>
    <t>Mateřská škola Klubíčko Ostrava-Hrabová, Příborská 28, příspěvková organizace</t>
  </si>
  <si>
    <t>Mateřská škola Kravaře, Petra z Kravař, příspěvková organizace</t>
  </si>
  <si>
    <t>Mateřská škola Kravaře-Kouty, příspěvková organizace</t>
  </si>
  <si>
    <t>Mateřská škola Krmelín, příspěvková organizace</t>
  </si>
  <si>
    <t>Mateřská škola Krnov, Hlubčická 89, okres Bruntál, příspěvková organizace</t>
  </si>
  <si>
    <t>Mateřská škola Krnov, Jiráskova 43, okres Bruntál, příspěvková organizace</t>
  </si>
  <si>
    <t>Mateřská škola Krnov, Maxima Gorkého 22, okres Bruntál, příspěvková organizace</t>
  </si>
  <si>
    <t>Mateřská škola Krnov, Mikulášská 8, okres Bruntál, příspěvková organizace</t>
  </si>
  <si>
    <t>Mateřská škola Krnov, náměstí Míru 12, okres Bruntál, příspěvková organizace</t>
  </si>
  <si>
    <t>Mateřská škola Krnov, Svatováclavská 13, okres Bruntál, příspěvková organizace</t>
  </si>
  <si>
    <t>Mateřská škola Krnov, Žižkova 34, okres Bruntál, příspěvková organizace</t>
  </si>
  <si>
    <t>Mateřská škola křesťanská Opava, Mnišská - příspěvková organizace</t>
  </si>
  <si>
    <t>Mateřská škola Lhotka, příspěvková organizace</t>
  </si>
  <si>
    <t>Mateřská škola Litultovice, příspěvková organizace</t>
  </si>
  <si>
    <t>Mateřská škola Ludgeřovice, příspěvková organizace</t>
  </si>
  <si>
    <t>Mateřská škola Máj Nový Jičín, K. Čapka 6</t>
  </si>
  <si>
    <t>Mateřská škola Malá Morávka, okres Bruntál, příspěvková organizace</t>
  </si>
  <si>
    <t>Mateřská škola Markvartovice, příspěvková organizace</t>
  </si>
  <si>
    <t>Mateřská škola Mateřídouška Frýdek-Místek, J. Božana 3141</t>
  </si>
  <si>
    <t>Mateřská škola Město Albrechtice,příspěvková organizace</t>
  </si>
  <si>
    <t>Mateřská škola Milotice nad Opavou, okres Bruntál, příspěvková organizace</t>
  </si>
  <si>
    <t>Mateřská škola Mokré Lazce, příspěvková organizace</t>
  </si>
  <si>
    <t>Mateřská škola Moravskoslezský Kočov, příspěvková organizace</t>
  </si>
  <si>
    <t>Mateřská škola Mosty u Jablunkova, Střed 788, příspěvková organizace</t>
  </si>
  <si>
    <t>Mateřská škola Nové Lublice, příspěvková organizace</t>
  </si>
  <si>
    <t>Mateřská škola Oborná, příspěvková organizace</t>
  </si>
  <si>
    <t>Mateřská škola Oldřišov, okres Opava, příspěvková organizace</t>
  </si>
  <si>
    <t>Mateřská škola Opava, Edvarda Beneše - příspěvková organizace</t>
  </si>
  <si>
    <t>Mateřská škola Opava, Havlíčkova - příspěvková organizace</t>
  </si>
  <si>
    <t>Mateřská škola Opava, Heydukova - příspěvková organizace</t>
  </si>
  <si>
    <t>Mateřská škola Opava, Na Pastvisku - příspěvková organizace</t>
  </si>
  <si>
    <t>Mateřská škola Opava, Pekařská - příspěvková organizace</t>
  </si>
  <si>
    <t>Mateřská škola Opava, Riegerova - příspěvková organizace</t>
  </si>
  <si>
    <t>Mateřská škola Orlová - Lutyně K. Dvořáčka 1228 okres Karviná, příspěvková organizace</t>
  </si>
  <si>
    <t>Mateřská škola Orlová - Lutyně Na Vyhlídce 1143 okres Karviná, příspěvková organizace</t>
  </si>
  <si>
    <t>Mateřská škola Orlová - Lutyně Okružní 917 okres Karviná, příspěvková organizace</t>
  </si>
  <si>
    <t>Mateřská škola Ostrava - Dubina, A. Gavlase 12A, příspěvková organizace</t>
  </si>
  <si>
    <t>Mateřská škola Ostrava - Dubina, F. Formana 13, příspěvková organizace</t>
  </si>
  <si>
    <t>Mateřská škola Ostrava - Hrabůvka, Adamusova 7, příspěvková organizace</t>
  </si>
  <si>
    <t>Mateřská škola Ostrava - Výškovice, Staňkova 2, příspěvková organizace</t>
  </si>
  <si>
    <t>Mateřská škola Ostrava - Zábřeh, Volgogradská 4, příspěvková organizace</t>
  </si>
  <si>
    <t>Mateřská škola Ostrava, Blahoslavova 6, příspěvková organizace</t>
  </si>
  <si>
    <t>Mateřská škola Ostrava, Dvořákova 4, příspěvková organizace</t>
  </si>
  <si>
    <t>Mateřská škola Ostrava, Hornická 43A, příspěvková organizace</t>
  </si>
  <si>
    <t>Mateřská škola Ostrava, Křižíkova 18, příspěvková organizace</t>
  </si>
  <si>
    <t>Mateřská škola Ostrava, Lechowiczova 8, příspěvková organizace</t>
  </si>
  <si>
    <t>Mateřská škola Ostrava, Poděbradova 19, příspěvková organizace</t>
  </si>
  <si>
    <t>Mateřská škola Ostrava, Repinova 19, příspěvková organizace</t>
  </si>
  <si>
    <t>Mateřská škola Ostrava, Šafaříkova 9, příspěvková organizace</t>
  </si>
  <si>
    <t>Mateřská škola Ostrava, Špálova 32, příspěvková organizace</t>
  </si>
  <si>
    <t>Mateřská škola Ostrava, Varenská 2a, příspěvková organizace</t>
  </si>
  <si>
    <t>Mateřská škola Ostrava-Bartovice, Za Ještěrkou 8, příspěvková organizace</t>
  </si>
  <si>
    <t>Mateřská škola Ostrava-Heřmanice, Požární 8/61, příspěvková organizace</t>
  </si>
  <si>
    <t>Mateřská škola Ostrava-Hulváky, Matrosovova 14/A, příspěvková organizace</t>
  </si>
  <si>
    <t>Mateřská škola Ostrava-Mariánské Hory, Gen. Janka 1/1236, příspěvková organizace</t>
  </si>
  <si>
    <t>Mateřská škola Ostrava-Mariánské Hory, Zelená 73/A, příspěvková organizace</t>
  </si>
  <si>
    <t>Mateřská škola Ostrava-Martinov, příspěvková organizace</t>
  </si>
  <si>
    <t>Mateřská škola Ostrava-Michálkovice, Sládečkova 80, příspěvková organizace</t>
  </si>
  <si>
    <t>Mateřská škola Ostrava-Nová Bělá, Kokešova 22, příspěvková organizace</t>
  </si>
  <si>
    <t>Mateřská škola Ostrava-Petřkovice, U Kaple 670, příspěvková organizace</t>
  </si>
  <si>
    <t>Mateřská škola Ostrava-Plesná, příspěvková organizace</t>
  </si>
  <si>
    <t>Mateřská škola Ostrava-Polanka nad Odrou, Malostranská 124, příspěvková organizace</t>
  </si>
  <si>
    <t>Mateřská škola Ostrava-Poruba, Čs. exilu 670, příspěvková organizace</t>
  </si>
  <si>
    <t>Mateřská škola Ostrava-Poruba, Dětská 920, příspěvková organizace</t>
  </si>
  <si>
    <t>Mateřská škola Ostrava-Poruba, Dvorní 763, příspěvková organizace</t>
  </si>
  <si>
    <t>Mateřská škola Ostrava-Poruba, Jana Šoupala 1611, příspěvková organizace</t>
  </si>
  <si>
    <t>Mateřská škola Ostrava-Poruba, Nezvalovo nám. 856, příspěvková organizace</t>
  </si>
  <si>
    <t>Mateřská škola Ostrava-Poruba, Oty Synka 1834, příspěvková organizace</t>
  </si>
  <si>
    <t>Mateřská škola Ostrava-Poruba, Sokolovská 1168, příspěvková organizace</t>
  </si>
  <si>
    <t>Mateřská škola Ostrava-Poruba, Ukrajinská 1530-1531, příspěvková organizace</t>
  </si>
  <si>
    <t>Mateřská škola Ostrava-Poruba, V. Makovského 4429, příspěvková organizace</t>
  </si>
  <si>
    <t>Mateřská škola Ostrava-Radvanice, Těšínská 279, příspěvková organizace</t>
  </si>
  <si>
    <t>Mateřská škola Ostrava-Stará Bělá, příspěvková organizace</t>
  </si>
  <si>
    <t>Mateřská škola Ostrava-Vítkovice, Prokopa Velikého 37, příspěvková organizace</t>
  </si>
  <si>
    <t>Mateřská škola Ostrava-Zábřeh, Za Školou 1, příspěvková organizace</t>
  </si>
  <si>
    <t>Mateřská škola Paskov,příspěvková organizace</t>
  </si>
  <si>
    <t>Mateřská škola Petřvald, 2. května 1654, příspěvková organizace</t>
  </si>
  <si>
    <t>Mateřská škola Pohádka Frýdek-Místek, Třanovského 404</t>
  </si>
  <si>
    <t>Mateřská škola Pražmo, příspěvková organizace, okres Frýdek-Místek</t>
  </si>
  <si>
    <t>Mateřská škola Příbor, Pionýrů 1519, okres Nový Jičín, příspěvková organizace</t>
  </si>
  <si>
    <t>Mateřská škola Rohov, příspěvková organizace</t>
  </si>
  <si>
    <t>Mateřská škola Rybí, okres Nový Jičín, příspěvková organizace</t>
  </si>
  <si>
    <t>Mateřská škola Rychvald, Mírová 1744, okres Karviná, příspěvková organizace</t>
  </si>
  <si>
    <t>Mateřská škola Rýmařov, 1. máje 11, okres Bruntál</t>
  </si>
  <si>
    <t>Mateřská škola Rýmařov, Janovice, Zámecký park 6, okres Bruntál</t>
  </si>
  <si>
    <t>Mateřská škola Rýmařov, Jelínkova 3, příspěvková organizace</t>
  </si>
  <si>
    <t>Mateřská škola Rýmařov, Revoluční 30, okres Bruntál</t>
  </si>
  <si>
    <t xml:space="preserve">Mateřská škola Sady Nový Jičín, Revoluční 52 </t>
  </si>
  <si>
    <t>Mateřská škola se speciální třídou Bohumín-Nový Bohumín, Nerudova 1040, příspěvková organizace</t>
  </si>
  <si>
    <t>Mateřská škola Sedmikrásky, Opava, příspěvková organizace</t>
  </si>
  <si>
    <t>Mateřská škola Skotnice, příspěvková organizace</t>
  </si>
  <si>
    <t>Mateřská škola Slezská Ostrava, Bohumínská 68, příspěvková organizace</t>
  </si>
  <si>
    <t>Mateřská škola Slezská Ostrava, Komerční 22a, příspěvková organizace</t>
  </si>
  <si>
    <t>Mateřská škola Slezská Ostrava, Zámostní 31, příspěvková organizace</t>
  </si>
  <si>
    <t>Mateřská škola Slunečnice, Krnov, příspěvková organizace</t>
  </si>
  <si>
    <t>Mateřská škola Sluníčko Opava, Krnovská - příspěvková organizace</t>
  </si>
  <si>
    <t>Mateřská škola Sněženka Frýdek-Místek, Josefa Lady 1790</t>
  </si>
  <si>
    <t>Mateřská škola Srdíčko Opava, Zborovská - příspěvková organizace</t>
  </si>
  <si>
    <t>Mateřská škola Staré Heřminovy, okres Bruntál, příspěvková organizace</t>
  </si>
  <si>
    <t>Mateřská škola Staré Město, okres Bruntál, příspěvková organizace</t>
  </si>
  <si>
    <t>Mateřská škola Starý Jičín, příspěvková organizace</t>
  </si>
  <si>
    <t>Mateřská škola Stěbořice, příspěvková organizace</t>
  </si>
  <si>
    <t>Mateřská škola Studénka</t>
  </si>
  <si>
    <t>Mateřská škola Šenov, příspěvková organizace</t>
  </si>
  <si>
    <t>Mateřská škola Trojlístek Nový Jičín, Trlicova 8</t>
  </si>
  <si>
    <t>Mateřská škola Velká Štáhle, příspěvková organizace</t>
  </si>
  <si>
    <t>Mateřská škola Velké Hoštice, okres Opava, příspěvková organizace</t>
  </si>
  <si>
    <t>Mateřská škola Vendryně č.1, okres Frýdek-Místek, příspěvková organizace</t>
  </si>
  <si>
    <t>Mateřská škola Vítkov, Husova 629, okres Opava, příspěvková organizac</t>
  </si>
  <si>
    <t>Mateřská škola Vratimov, Na Vyhlídce 25</t>
  </si>
  <si>
    <t>Mateřská škola Vrbno pod Pradědem, Jesenická 448, okres Bruntál, příspěvková organizace</t>
  </si>
  <si>
    <t>Mateřská škola Vrbno pod Pradědem, Ve Svahu 578, okres Bruntál, příspěvková organizace</t>
  </si>
  <si>
    <t>Mateřská škola Vyšní Lhoty, okres Frýdek-Místek, příspěvková organizace</t>
  </si>
  <si>
    <t>Mateřská škola, Na Jízdárně 19a, příspěvková organizace</t>
  </si>
  <si>
    <t>Mateřská škola, Nedbalova</t>
  </si>
  <si>
    <t>Mateřská škola, Olbrachtova</t>
  </si>
  <si>
    <t>Mateřská škola, Třinec, Nerudova 313, příspěvková organizace</t>
  </si>
  <si>
    <t>Mateřská škola, Třinec, Slezská 778, příspěvková organizace</t>
  </si>
  <si>
    <t>Mateřská škola, Žižkova</t>
  </si>
  <si>
    <t>Mateřské školy Kopřivnice okres Nový Jičín, příspěvková organizace</t>
  </si>
  <si>
    <t>Polská základní škola - Polska Szkoła Podstawowa im. Wisławy Szymborskiej, Vendryně, příspěvková organizace</t>
  </si>
  <si>
    <t>Středisko volného času Bruntál, příspěvková organizace</t>
  </si>
  <si>
    <t>Středisko volného času Budišov nad Budišovkou, příspěvková organizace</t>
  </si>
  <si>
    <t>Středisko volného času Fokus, Nový Jičín</t>
  </si>
  <si>
    <t>Středisko volného času Klíč, příspěvková organizace</t>
  </si>
  <si>
    <t>Středisko volného času Korunka Ostrava-Mariánské Hory, příspěvková organizace</t>
  </si>
  <si>
    <t>Středisko volného času Méďa, Krnov, Dobrovského 16, příspěvková organizace</t>
  </si>
  <si>
    <t>Středisko volného času Ostrava-Moravská Ostrava, příspěvková organizace</t>
  </si>
  <si>
    <t>Středisko volného času Ostrava-Zábřeh, příspěvková organizace</t>
  </si>
  <si>
    <t>Středisko volného času Rýmařov, okres Bruntál</t>
  </si>
  <si>
    <t>Středisko volného času Vítkov, příspěvková organizace</t>
  </si>
  <si>
    <t>Středisko volného času, Opava, příspěvková organizace</t>
  </si>
  <si>
    <t>Školní jídelna Jablunkov, Lesní 190, příspěvková organizace</t>
  </si>
  <si>
    <t>Školní jídelna Komenského, Příbor, ul. Komenského čp. 458</t>
  </si>
  <si>
    <t>Školní jídelna Krnov, Albrechtická 2, okres Bruntál, příspěvková organizace</t>
  </si>
  <si>
    <t>Školní jídelna Krnov, náměstí Hrdinů 1, okres Bruntál, příspěvková organizace</t>
  </si>
  <si>
    <t>Školní jídelna Slavkov, příspěvková organizace</t>
  </si>
  <si>
    <t>Základní škola  a Mateřská škola Cihelní, Karviná, příspěvková organizace</t>
  </si>
  <si>
    <t>Základní škola a gymnázium Vítkov, příspěvková organizace</t>
  </si>
  <si>
    <t>Základní škola a Mateřská škola Albrechtice</t>
  </si>
  <si>
    <t>Základní škola a Mateřská škola Albrechtičky, příspěvková organizace</t>
  </si>
  <si>
    <t>Základní škola a Mateřská škola Aloise Jiráska Dolní Lutyně Komenského 1000 okres Karviná, příspěvková organizace</t>
  </si>
  <si>
    <t>Základní škola a Mateřská škola Andělská Hora, okres Bruntál</t>
  </si>
  <si>
    <t>Základní škola a mateřská škola Bělá, okres Opava, příspěvková organizace</t>
  </si>
  <si>
    <t>Základní škola a Mateřská škola Bernartice nad Odrou, příspěvková organizace</t>
  </si>
  <si>
    <t>Základní škola a Mateřská škola Bílov, okres Nový Jičín, příspěvková organizace</t>
  </si>
  <si>
    <t>Základní škola a Mateřská škola Bílovec, Komenského 701/3, příspěvková organizace</t>
  </si>
  <si>
    <t>Základní škola a Mateřská škola Bohumín - Skřečoň, 1. máje 217, okres Karviná, příspěvková organizace</t>
  </si>
  <si>
    <t>Základní škola a Mateřská škola Bohumín Bezručova 190 okres Karviná, příspěvková organizace</t>
  </si>
  <si>
    <t>Základní škola a Mateřská škola Bohumín, Čs. armády 1026, okres Karviná, příspěvková organizace</t>
  </si>
  <si>
    <t>Základní škola a Mateřská škola Bohumín, tř. Dr. E. Beneše 456, okres Karviná, příspěvková organizace</t>
  </si>
  <si>
    <t>Základní škola a mateřská škola Bohuslavice, příspěvková organizace</t>
  </si>
  <si>
    <t>Základní škola a Mateřská škola Bolaticce, příspěvková organizace</t>
  </si>
  <si>
    <t>Základní škola a Mateřská škola Branka u Opavy, příspěvková organizace</t>
  </si>
  <si>
    <t>Základní škola a Mateřská škola Brantice, okres Bruntál, příspěvková organizace</t>
  </si>
  <si>
    <t>Základní škola a Mateřská škola Bravantice, příspěvková organizace</t>
  </si>
  <si>
    <t>Základní škola a Mateřská škola Brumovice, okres Opava, příspěvková organizace</t>
  </si>
  <si>
    <t>Základní škola a Mateřská škola Bruzovice</t>
  </si>
  <si>
    <t>Základní škola a Mateřská škola Březová, okres Opava, příspěvková organizace</t>
  </si>
  <si>
    <t>Základní škola a Mateřská škola Bukovec, příspěvková organizace</t>
  </si>
  <si>
    <t>Základní škola a mateřská škola Bystřice 848, okres Frýdek-Místek, příspěvková organizace</t>
  </si>
  <si>
    <t>Základní škola a Mateřská škola Český Těšín Hrabina, příspěvková organizace</t>
  </si>
  <si>
    <t>Základní škola a mateřská škola Český Těšín Kontešinec, příspěvková organizace</t>
  </si>
  <si>
    <t>Základní škola a mateřská škola Český Těšín Pod Zvonek, příspěvková organizace</t>
  </si>
  <si>
    <t>Základní škola a Mateřská škola Darkovice, příspěvková organizace</t>
  </si>
  <si>
    <t>Základní škola a Mateřská škola Dělnická, Karviná, příspěvková organizace</t>
  </si>
  <si>
    <t>Základní škola a Mateřská škola Dětřichov nad Bystřicí, okres Bruntál, příspěvková organizace</t>
  </si>
  <si>
    <t>Základní škola a mateřská škola Dobratice, okres Frýdek-Místek, příspěvková organizace</t>
  </si>
  <si>
    <t>Základní škola a Mateřská škola Dolní Domaslavice, okres Frýdek-Místek, příspěvková organizace</t>
  </si>
  <si>
    <t>Základní škola a Mateřská škola Dolní Lomná 149, příspěvková organizace</t>
  </si>
  <si>
    <t>Základní škola a Mateřská škola Dolní Moravice, okres Bruntál, příspěvková organizace</t>
  </si>
  <si>
    <t>Základní škola a Mateřská škola Dolní Životice, příspěvková organizace</t>
  </si>
  <si>
    <t>Základní škola a Mateřská škola Družby, Karviná, příspěvková organizace</t>
  </si>
  <si>
    <t>Základní škola a mateřská škola Dvorce, okres Bruntál, příspěvková organizace</t>
  </si>
  <si>
    <t>Základní škola a Mateřská škola Františka Palackého Hodslavice, příspěvková organizace</t>
  </si>
  <si>
    <t>Základní škola a Mateřská škola Frenštát pod Radhoštěm, Tyršova 913, okres Nový Jičín</t>
  </si>
  <si>
    <t>Základní škola a Mateřská škola Frenštát pod Radhoštěm, Záhuní 408, okres Nový Jičín</t>
  </si>
  <si>
    <t>Základní škola a mateřská škola Frýdek-Místek - Skalice 192, příspěvková organizace</t>
  </si>
  <si>
    <t>Základní škola a mateřská škola Frýdek-Místek, El. Krásnohorské 2254</t>
  </si>
  <si>
    <t>Základní škola a mateřská škola Frýdek-Místek, Jana Čapka 2555</t>
  </si>
  <si>
    <t>Základní škola a mateřská škola Frýdek-Místek, Lískovec, K Sedlištím 320</t>
  </si>
  <si>
    <t>Základní škola a mateřská škola Frýdek-Místek-Chlebovice, Pod Kabáticí 107, příspěvková organizace</t>
  </si>
  <si>
    <t>Základní škola a mateřská škola Gustawa Przeczka s polským jazykem vyučovacím, Třinec, Nádražní 10, příspěvková organizace</t>
  </si>
  <si>
    <t>Základní škola a mateřská škola Hať, příspěvková organizace</t>
  </si>
  <si>
    <t>Základní škola a Mateřská škola Havířov - Bludovice, Frýdecká, příspěvková organizace</t>
  </si>
  <si>
    <t>Základní škola a Mateřská škola Havířov - Město, Na Nábřeží, příspěvková organizace</t>
  </si>
  <si>
    <t>Základní škola a Mateřská škola Havířov - Životice, Zelená, příspěvková organizace</t>
  </si>
  <si>
    <t>Základní škola a Mateřská škola Hladké Životice, příspěvková organizace</t>
  </si>
  <si>
    <t>Základní škola a Mateřská škola Hlavnice, okres Opava, příspěvková organizace</t>
  </si>
  <si>
    <t>Základní škola a mateřská škola Hlučín - Bobrovníky, příspěvková organizace</t>
  </si>
  <si>
    <t>Základní škola a mateřská škola Hlučín-Darkovičky, příspěvková organizace</t>
  </si>
  <si>
    <t>Základní škola a Mateřská škola Hněvošice, okres Opava, příspěvková organizace</t>
  </si>
  <si>
    <t>Základní škola a Mateřská škola Horní Benešov, okres Bruntál, příspěvková organizace</t>
  </si>
  <si>
    <t>Základní škola a Mateřská škola Horní Bludovice, příspěvková organizace</t>
  </si>
  <si>
    <t>Základní škola a Mateřská škola Horní Město, okres Bruntál, příspěvková organizace</t>
  </si>
  <si>
    <t>Základní škola a mateřská škola Horní Suchá, příspěvková organizace</t>
  </si>
  <si>
    <t>Základní škola a Mateřská škola Hostašovice, příspěvková organizace</t>
  </si>
  <si>
    <t>Základní škola a Mateřská škola Hošťálkovy, okres Bruntál, příspěvková organizace</t>
  </si>
  <si>
    <t>Základní škola a Mateřská škola Hrabyně, okres Opava, příspěvková organizace</t>
  </si>
  <si>
    <t>Základní škola a Mateřská škola Hrádek 144, okres Frýdek-Místek, příspěvková organizace</t>
  </si>
  <si>
    <t>Základní škola a Mateřská škola Chlebičov, příspěvková organizace</t>
  </si>
  <si>
    <t>Základní škola a Mateřská škola Chotěbuz, příspěvková organizace</t>
  </si>
  <si>
    <t>Základní škola a Mateřská škola Chuchelná, příspěvková organizace</t>
  </si>
  <si>
    <t>Základní škola a Mateřská škola Jakubčovice nad Odrou okres Nový Jičín, příspěvková organizace</t>
  </si>
  <si>
    <t>Základní škola a Mateřská škola Jindřichov, okres Bruntál</t>
  </si>
  <si>
    <t>Základní škola a mateřská škola Karla Svolinského, Kunčice pod Ondřejníkem</t>
  </si>
  <si>
    <t>Základní škola a Mateřská škola Karlova Studánka, okres Bruntál, příspěvková organizace</t>
  </si>
  <si>
    <t>Základní škola a Mateřská škola Karlovice, okres Bruntál</t>
  </si>
  <si>
    <t>Základní škola a mateřská škola Kobeřice, okres Opava, příspěvková organizace</t>
  </si>
  <si>
    <t>Základní škola a Mateřská škola Kopřivnice, 17. listopadu 1225 okres Nový Jičín, příspěvková organizace</t>
  </si>
  <si>
    <t>Základní škola a Mateřská škola Kozlovice, příspěvková organizace</t>
  </si>
  <si>
    <t>Základní škola a mateřská škola Kozmice, okres Opava, příspěvková organizace</t>
  </si>
  <si>
    <t>Základní škola a Mateřská škola Kujavy, okres Nový Jičín, příspěvková organizace</t>
  </si>
  <si>
    <t>Základní škola a Mateřská škola Kunín, okres Nový Jičín, příspěvková organizace</t>
  </si>
  <si>
    <t>Základní škola a Mateřská škola Kyjovice, příspěvková organizace</t>
  </si>
  <si>
    <t>Základní škola a Mateřská škola Leoše Janáčka Hukvaldy, příspěvková organizace</t>
  </si>
  <si>
    <t>Základní škola a Mateřská škola Lichnov, okres Bruntál, příspěvková organi</t>
  </si>
  <si>
    <t>Základní škola a Mateřská škola Lichnov, okres Nový Jičín, příspěvková organizace</t>
  </si>
  <si>
    <t>Základní škola a Mateřská škola Litultovice, okres Opava, příspěvková organizace</t>
  </si>
  <si>
    <t>Základní škola a Mateřská škola Lomnice, okres Bruntál, příspěvková organizace</t>
  </si>
  <si>
    <t>Základní škola a mateřská škola Lučina, okres Frýdek-Místek, příspěvková organizace</t>
  </si>
  <si>
    <t>Základní škola a mateřská škola Ludgeřovice, příspěvková organizace</t>
  </si>
  <si>
    <t>Základní škola a Mateřská škola Majakovského, Karviná, příspěvková organizace</t>
  </si>
  <si>
    <t>Základní škola a Mateřská škola Mankovice, příspěvková organizace</t>
  </si>
  <si>
    <t>Základní škola a Mateřská škola Mendelova, Karviná, příspěvková organizace</t>
  </si>
  <si>
    <t>Základní škola a Mateřská škola Milíkov, příspěvková organizace</t>
  </si>
  <si>
    <t>Základní škola a mateřská škola Morávka, příspěvková organizace</t>
  </si>
  <si>
    <t>Základní škola a Mateřská škola Mořkov okres Nový Jičín, příspěvková organizace</t>
  </si>
  <si>
    <t>Základní škola a mateřská škola Mosty u Jablunkova 750, příspěvková organizace</t>
  </si>
  <si>
    <t>Základní škola a Mateřská škola Mošnov, příspěvková organizace</t>
  </si>
  <si>
    <t>Základní škola a mateřská škola MUDr. Emílie Lukášové Ostrava-Hrabůvka, Klegova 29, příspěvková organizace</t>
  </si>
  <si>
    <t>Základní škola a mateřská škola Naděje Frýdek-Místek, Škarabelova 562</t>
  </si>
  <si>
    <t>Základní škola a Mateřská škola Neplachovice, okres Opava, příspěvková organizace</t>
  </si>
  <si>
    <t>Základní škola a mateřská škola Nošovice, příspěvková organizace</t>
  </si>
  <si>
    <t>Základní škola a mateřská škola Nýdek, příspěvková organizace</t>
  </si>
  <si>
    <t>Základní škola a mateřská škola obce Zbyslavice, příspěvková organizace</t>
  </si>
  <si>
    <t>Základní škola a mateřská škola Olbramice, příspěvková organizace</t>
  </si>
  <si>
    <t>Základní škola a Mateřská škola Opava - Komárov - příspěvková organizace</t>
  </si>
  <si>
    <t>Základní škola a Mateřská škola Opava - Suché Lazce - příspěvková organizace</t>
  </si>
  <si>
    <t>Základní škola a Mateřská škola Opava - Vávrovice - příspěvková organizace</t>
  </si>
  <si>
    <t>Základní škola a Mateřská škola Opava-Malé Hoštice - příspěvková organizace</t>
  </si>
  <si>
    <t>Základní škola a mateřská škola Ostrava, Ostrčilova 1, příspěvková organizace</t>
  </si>
  <si>
    <t>Základní škola a mateřská škola Ostrava-Bělský Les, B. Dvorského 1, příspěvková organizace</t>
  </si>
  <si>
    <t>Základní škola a mateřská škola Ostrava-Dubina, V. Košaře 6, příspěvková organizace</t>
  </si>
  <si>
    <t>Základní škola a mateřská škola Ostrava-Hošťálkovice, Výhledy 210, příspěvková organizace</t>
  </si>
  <si>
    <t>Základní škola a mateřská škola Ostrava-Hrabůvka, A. Kučery 20, příspěvková organizace</t>
  </si>
  <si>
    <t>Základní škola a mateřská škola Ostrava-Hrabůvka, Krestova 36, příspěvková organizace</t>
  </si>
  <si>
    <t>Základní škola a mateřská škola Ostrava-Hrabůvka, Mitušova 16, příspěvková organizace</t>
  </si>
  <si>
    <t>Základní škola a mateřská škola Ostrava-Hrabůvka, Mitušova 8, příspěvková organizace</t>
  </si>
  <si>
    <t>Základní škola a mateřská škola Ostrava-Krásné Pole, Družební 336, příspěvková organizace</t>
  </si>
  <si>
    <t>Základní škola a mateřská škola Ostrava-Lhotka, příspěvková organizace</t>
  </si>
  <si>
    <t>Základní škola a Mateřská škola Ostrava-Proskovice, Staroveská 62, příspěvková organizace</t>
  </si>
  <si>
    <t>Základní škola a mateřská škola Ostrava-Svinov, příspěvková organizace</t>
  </si>
  <si>
    <t>Základní škola a mateřská škola Ostrava-Výškovice, Šeříková 33, příspěvková organizace</t>
  </si>
  <si>
    <t>Základní škola a mateřská škola Ostrava-Zábřeh, Březinova 52, příspěvková organizace</t>
  </si>
  <si>
    <t>Základní škola a mateřská škola Ostrava-Zábřeh, Horymírova 100, příspěvková organizace</t>
  </si>
  <si>
    <t>Základní škola a mateřská škola Ostrava-Zábřeh, Kosmonautů 13, příspěvková organizace</t>
  </si>
  <si>
    <t>Základní škola a mateřská škola Ostrava-Zábřeh, Kosmonautů 15, příspěvková organizace</t>
  </si>
  <si>
    <t>Základní škola a mateřská škola Ostrava-Zábřeh, Volgogradská 6B, příspěvková organizace</t>
  </si>
  <si>
    <t>Základní škola a Mateřská škola Ostravice, příspěvková organizace</t>
  </si>
  <si>
    <t>Základní škola a Mateřská škola Otice - příspěvková organizace</t>
  </si>
  <si>
    <t>Základní škola a mateřská škola Palkovice, okres Frýdek-Místek, příspěvková organizace</t>
  </si>
  <si>
    <t>Základní škola a Mateřská škola Petrovice u Karviné, příspěvková organizace</t>
  </si>
  <si>
    <t>Základní škola a Mateřská škola Písečná, příspěvková organizace</t>
  </si>
  <si>
    <t>Základní škola a mateřská škola Písek, příspěvková organizace</t>
  </si>
  <si>
    <t>Základní škola a Mateřská škola Píšť, příspěvková organizace</t>
  </si>
  <si>
    <t>Základní škola a Mateřská škola Prameny, Karviná, příspěvková organizace</t>
  </si>
  <si>
    <t>Základní škola a Mateřská škola Pržno, okres Frýdek-Místek, příspěvková organizace</t>
  </si>
  <si>
    <t>Základní škola a mateřská škola Pstruží, příspěvková organizace</t>
  </si>
  <si>
    <t>Základní škola a Mateřská škola Pustá Polom, příspěvková organizace</t>
  </si>
  <si>
    <t>Základní škola a mateřská škola Pustějov, příspěvková organizace</t>
  </si>
  <si>
    <t>Základní škola a Mateřská škola Raduň, příspěvková organizace</t>
  </si>
  <si>
    <t>Základní škola a mateřská škola Raškovice</t>
  </si>
  <si>
    <t>Základní škola a Mateřská škola Razová, příspěvková organizace</t>
  </si>
  <si>
    <t>Základní škola a Mateřská škola Ropice, příspěvková organizace</t>
  </si>
  <si>
    <t>Základní škola a Mateřská škola Rudná pod Pradědem, příspěvková organizace</t>
  </si>
  <si>
    <t>Základní škola a Mateřská škola Ryžoviště, okres Bruntál, příspěvková organizace</t>
  </si>
  <si>
    <t>Základní škola a Mateřská škola Řepiště, příspěvková organizace</t>
  </si>
  <si>
    <t>Základní škola a mateřská škola s polským jazykem vyučovacím - Szkoła Podstawowa i Przedszkole, Karviná Fryštát, Dr. Olszaka 156</t>
  </si>
  <si>
    <t>Základní škola a mateřská škola s polským jazykem vyučovacím Albrechtice, Školní 11, okres Karviná, příspěvková organizace</t>
  </si>
  <si>
    <t>Základní škola a Mateřská škola s polským jazykem vyučovacím Bukovec, příspěvková organizace</t>
  </si>
  <si>
    <t>Základní škola a Mateřská škola s polským jazykem vyučovacím Dolní Lutyně Koperníkova 652 okres Karviná, příspěvková organizace</t>
  </si>
  <si>
    <t>Základní škola a Mateřská škola s polským jazykem vyučovacím Havířov - Bludovice, Selská, příspěvková organizace</t>
  </si>
  <si>
    <t>Základní škola a mateřská škola s polským jazykem vyučovacím Horní Suchá, příspěvková organizace</t>
  </si>
  <si>
    <t>Základní škola a mateřská škola s polským jazykem vyučovacím Jana Kubisze, Szkoła Podstawowa i Przedszkole im. Jana Kubisza Hnojník, příspěvková organizace</t>
  </si>
  <si>
    <t>Základní škola a mateřská škola s polským jazykem vyučovacím Návsí, příspěvková organizace</t>
  </si>
  <si>
    <t>Základní škola a mateřská škola s polským jazykem vyučovacím Szkoła Podstawowa i Przedszkole příspěvková organizace 739 98 Mosty u Jablunkova 750</t>
  </si>
  <si>
    <t>Základní škola a mateřská škola s polským vyučovacím jazykem Orlová, příspěvková organizace</t>
  </si>
  <si>
    <t>Základní škola a Mateřská škola s polským vyučovacím jazykem Zwirki i Wigury Těrlicko, příspěvková organizace</t>
  </si>
  <si>
    <t>Základní škola a Mateřská škola Sedlnice</t>
  </si>
  <si>
    <t>Základní škola a Mateřská škola Skřipov, okres Opava, příspěvková organizace</t>
  </si>
  <si>
    <t>Základní škola a Mateřská škola Slatina, okres Nový Jičín, příspěvková organizace</t>
  </si>
  <si>
    <t>Základní škola a Mateřská škola Slavkov, okres Opava, příspěvková organizace</t>
  </si>
  <si>
    <t>Základní škola a Mateřská škola Slezské Rudoltice, příspěvková organizace</t>
  </si>
  <si>
    <t>Základní škola a Mateřská škola Slovenská, Karviná, příspěvková organizace</t>
  </si>
  <si>
    <t>Základní škola a Mateřská škola Služovice, okr. Opava, příspěvková organizace</t>
  </si>
  <si>
    <t>Základní škola a Mateřská škola Smilovice, okres Frýdek-Místek, příspěvková organizace</t>
  </si>
  <si>
    <t>Základní škola a Mateřská škola Soběšovice, okres Frýdek-Místek, příspěvková organizace</t>
  </si>
  <si>
    <t>Základní škola a Mateřská škola Spálov, příspěvková organizace</t>
  </si>
  <si>
    <t>Základní škola a mateřská škola Stanisława Hadyny s polským jazykem vyučovacím Bystřice 366 okres Frýdek-Místek, příspěvková organizace</t>
  </si>
  <si>
    <t>Základní škola a Mateřská škola Stará Ves nad Ondřejnicí, příspěvková organizace</t>
  </si>
  <si>
    <t>Základní škola a mateřská škola Stará Ves, okres Bruntál, příspěvková organizace</t>
  </si>
  <si>
    <t>Základní škola a mateřská škola Staré Město, okres Frýdek-Místek, příspěvková organizace</t>
  </si>
  <si>
    <t>Základní škola a Mateřská škola Staříč, okres Frýdek-Místek, příspěvková organizace</t>
  </si>
  <si>
    <t>Základní škola a Mateřská škola Stonava</t>
  </si>
  <si>
    <t>Základní škola a Mateřská škola Strahovice, příspěvková organizace</t>
  </si>
  <si>
    <t>Základní škola a Mateřská škola Střítež, okres Frýdek-Místek, příspěvková organizace</t>
  </si>
  <si>
    <t>Základní škola a Mateřská škola Sudice, příspěvková organizace</t>
  </si>
  <si>
    <t>Základní škola a mateřská škola Suchdol nad Odrou, příspěvková organizace</t>
  </si>
  <si>
    <t>Základní škola a Mateřská škola Sviadnov, okres Frýdek-Místek, příspěvková organizace</t>
  </si>
  <si>
    <t>Základní škola a Mateřská škola Šenov u Nového Jičína, příspěvková organizace</t>
  </si>
  <si>
    <t>Základní škola a mateřská škola Šilheřovice, příspěvková organizace</t>
  </si>
  <si>
    <t>Základní škola a Mateřská škola Široká Niva, okres Bruntál, příspěvková organizace</t>
  </si>
  <si>
    <t>Základní škola a Mateřská škola Školská, Karviná, příspěvková organizace</t>
  </si>
  <si>
    <t>Základní škola a mateřská škola Štěpánkovice, příspěvková organizace</t>
  </si>
  <si>
    <t>Základní škola a Mateřská škola Štramberk</t>
  </si>
  <si>
    <t>Základní škola a Mateřská škola T. G. Masaryka Bílovec, Ostravská 658/28, příspěvková organizace</t>
  </si>
  <si>
    <t>Základní škola a Mateřská škola T. G. Masaryka Fulnek, příspěvková organizace</t>
  </si>
  <si>
    <t>Základní škola a Mateřská škola Těrllicko, příspěvková organizace</t>
  </si>
  <si>
    <t>Základní škola a Mateřská škola Těškovice, příspěvková organizace</t>
  </si>
  <si>
    <t>Základní škola a mateřská škola Tichá, příspěvková organizace</t>
  </si>
  <si>
    <t>Základní škola a Mateřská škola Tísek, příspěvková organizace</t>
  </si>
  <si>
    <t>Základní škola a mateřská škola Třanovice, příspěvková organizace</t>
  </si>
  <si>
    <t>Základní škola a Mateřská škola Třemešná</t>
  </si>
  <si>
    <t>Základní škola a Mateřská škola U Lesa, Karviná, příspěvková organizace</t>
  </si>
  <si>
    <t>Základní škola a Mateřská škola U Studny, Karviná, příspěvková organizace</t>
  </si>
  <si>
    <t>Základní škola a Mateřská škola Úvalno, okres Bruntál, příspěvková organizace</t>
  </si>
  <si>
    <t>Základní škola a Mateřská škola Václavovice, příspěvková organizace</t>
  </si>
  <si>
    <t>Základní škola a Mateřská škola Velká Polom, příspěvková organizace</t>
  </si>
  <si>
    <t>Základní škola a Mateřská škola Velké Heraltice, příspěvková organizace</t>
  </si>
  <si>
    <t>Základní škola a Mateřská škola Veřovice, příspěvková organizace</t>
  </si>
  <si>
    <t>Základní škola a Mateřská škola Větřkovice okres Opava, příspěvková organizace</t>
  </si>
  <si>
    <t>Základní škola a mateřská škola Vřesina, okres Opava - příspěvková organizace</t>
  </si>
  <si>
    <t>Základní škola a Mateřská škola Vřesina, okres Ostrava-město, příspěvková organizace</t>
  </si>
  <si>
    <t>Základní škola a Mateřská škola Zátor, příspěvková organizace</t>
  </si>
  <si>
    <t>Základní škola a Mateřská škola Závišice, příspěvková organizace</t>
  </si>
  <si>
    <t>Základní škola a mateřská škola Žabeň, příspěvková organizace</t>
  </si>
  <si>
    <t>Základní škola a Mateřská škola Ženklava příspěvková organizace</t>
  </si>
  <si>
    <t>Základní škola a Mateřská škola Žimrovice</t>
  </si>
  <si>
    <t>Základní škola a Mateřská škola Životice u Nového Jičína, příspěvková organizace</t>
  </si>
  <si>
    <t>Základní škola a Mateřská škola, Baška, příspěvková organizace</t>
  </si>
  <si>
    <t>Základní škola a Mateřská škola, Libhošť 90, příspěvková organizace</t>
  </si>
  <si>
    <t>Základní škola a Mateřská škola, Szkoła Podstawowa, Przedszkole Košařiska, příspěvková organizace</t>
  </si>
  <si>
    <t>Základní škola a mateřská škola, Třinec, Kaštanová 412, příspěvková organizace</t>
  </si>
  <si>
    <t>Základní škola a mateřská škola, Třinec, Koperníkova 696, příspěvková organizace</t>
  </si>
  <si>
    <t>Základní škola a mateřská škola, Třinec, Míru 247, příspěvková organizace</t>
  </si>
  <si>
    <t>Základní škola a mateřská škola, Třinec, Oldřichovice 275, příspěvková organizace</t>
  </si>
  <si>
    <t>Základní škola a Mateřská škola Velké Albrechtice, příspěvková organizace</t>
  </si>
  <si>
    <t>Základní škola a waldorfská základní škola, Ostrava-Poruba, příspěvková organizace</t>
  </si>
  <si>
    <t>Základní škola a Základní umělecká škola Petřvald, Školní 246, příspěvková organizace</t>
  </si>
  <si>
    <t>Základní škola Adolfa Zábranského Rybí, příspěvková organizace</t>
  </si>
  <si>
    <t>Základní škola Bartošovice okres Nový Jičín, příspěvková organizace</t>
  </si>
  <si>
    <t>Základní škola Borovského</t>
  </si>
  <si>
    <t>Základní škola Bruntál, Cihelní 6, příspěvková organizace</t>
  </si>
  <si>
    <t>Základní škola Bruntál, Jesenická 10, příspěvková organizace</t>
  </si>
  <si>
    <t>Základní škola Bruntál, Okružní 38, příspěvková organizace</t>
  </si>
  <si>
    <t>Základní škola Bruntál, Školní 2, příspěvková organizace</t>
  </si>
  <si>
    <t>Základní škola Břidličná</t>
  </si>
  <si>
    <t>Základní škola Budišov nad Budišovkou, okres Opava, příspěvková organizace</t>
  </si>
  <si>
    <t>Základní škola Čeladná, příspěvková organizace</t>
  </si>
  <si>
    <t>Základní škola Dany a Emila Zátopkových, Třinec, příspěvková organizace</t>
  </si>
  <si>
    <t>Základní škola Děhylov, okres Opava, příspěvková organizace</t>
  </si>
  <si>
    <t>Základní škola Dětmarovice,okres Karviná příspěvková organizace</t>
  </si>
  <si>
    <t>Základní škola Dobrá, příspěvková organizace</t>
  </si>
  <si>
    <t>Základní škola Dolní Benešov, příspěvková organizace</t>
  </si>
  <si>
    <t>Základní škola Dolní Lhota, příspěvková organizace</t>
  </si>
  <si>
    <t>Základní škola Doubrava, okres Karviná, příspěvková organizace</t>
  </si>
  <si>
    <t>Základní škola dr. Milady Horákové Kopřivnice, Obránců míru 369 okres Nový Jičín</t>
  </si>
  <si>
    <t>Základní škola dr. Miroslava Tyrše, Hlučín, Tyršova 2, okres Opava, příspěvková organizace</t>
  </si>
  <si>
    <t>Základní škola Emila Zátopka Kopřivnice, Pionýrská 791 okres Nový Jičín</t>
  </si>
  <si>
    <t>Základní škola Fryčovice, okres Frýdek-Místek, příspěvková organizace</t>
  </si>
  <si>
    <t>Základní škola Frýdek-Místek, 1. máje 1700</t>
  </si>
  <si>
    <t>Základní škola Frýdek-Místek, Československé armády 570</t>
  </si>
  <si>
    <t>Základní škola Frýdek-Místek, Jiřího z Poděbrad 3109</t>
  </si>
  <si>
    <t>Základní škola Frýdek-Místek, Komenského 402</t>
  </si>
  <si>
    <t>Základní škola Frýdek-Místek, Pionýrů 400</t>
  </si>
  <si>
    <t>Základní škola Frýdlant nad Ostravicí, Komenského 420, okres Frýdek-Místek, příspěvková organizace</t>
  </si>
  <si>
    <t>Základní škola Frýdlant nad Ostravicí, náměstí T. G. Masaryka 1260, okres Frýdek-Místek, příspěvková organizace</t>
  </si>
  <si>
    <t>Základní škola generála Heliodora Píky a Mateřská škola Štítina, okres Opava, příspěvková organizace</t>
  </si>
  <si>
    <t>Základní škola H. Sienkiewicze s polským jazykem vyučovacím Jablunkov, příspěvková organizace</t>
  </si>
  <si>
    <t>Základní škola Háj ve Slezsku, okres Opava, příspěvková organizace</t>
  </si>
  <si>
    <t>Základní škola Havířov - Město, 1. máje 10a, okres Karviná, příspěvková organizace</t>
  </si>
  <si>
    <t>Základní škola Havířov - Město, Gorkého 1/329, okres Karviná</t>
  </si>
  <si>
    <t>Základní škola Havířov - Město, M. Kudeříkové 14, okres Karviná, příspěvková organizace</t>
  </si>
  <si>
    <t>Základní škola Havířov - Město, Žákovská 1/1006, okres Karviná</t>
  </si>
  <si>
    <t>Základní škola Havířov - Podlesí, K.Světlé 1/1372, okres Karviná</t>
  </si>
  <si>
    <t>Základní škola Havířov - Podlesí, Mládežnická 11/1564, okres Karviná, příspěvková organizace</t>
  </si>
  <si>
    <t>Základní škola Havířov - Šumbark, Gen. Svobody 16/284, okres Karviná</t>
  </si>
  <si>
    <t>Základní škola Havířov - Šumbark, M.Pujmanové 17/1151, okres Karviná</t>
  </si>
  <si>
    <t>Základní škola Havířov - Šumbark, Školní 1/814, okres Karviná, příspěvková organizace</t>
  </si>
  <si>
    <t>Základní škola Havířov-Podlesí,F. Hrubína 5/1537, okres Karviná</t>
  </si>
  <si>
    <t>Základní škola Havířov-Šumbark, Jarošova 33/851, okres Karviná, příspěvková organizace</t>
  </si>
  <si>
    <t>Základní škola Havířov-Šumbark, Moravská 29/497,okres Karviná, příspěvková organizace</t>
  </si>
  <si>
    <t>Základní škola Heleny Salichové, Ostrava-Polanka nad Odrou, Heleny Salichové 816, příspěvková organizace</t>
  </si>
  <si>
    <t>Základní škola Heřmanice u Oder okres Nový Jičín,  příspěvková organizace</t>
  </si>
  <si>
    <t>Základní škola Hlučín, Hornická 7, okres Opava, příspěvková organizace</t>
  </si>
  <si>
    <t>Základní škola Hlučín-Rovniny, okres Opava</t>
  </si>
  <si>
    <t>Základní škola Holčovice, okres Bruntál, příspěvková organizace</t>
  </si>
  <si>
    <t>Základní škola Hradec nad Moravicí, okres Opava, příspěvková organizace</t>
  </si>
  <si>
    <t>Základní škola Ilji Hurníka Opava, Ochranova 6 - příspěvková organizace</t>
  </si>
  <si>
    <t>Základní škola J. A. Komenského Fulnek, Česká 339, příspěvková organizace</t>
  </si>
  <si>
    <t>Základní škola Jablunkov, Lesní 190, příspěvková organizace</t>
  </si>
  <si>
    <t>Základní škola Janovice,okres Frýdek-Místek,příspěvková organizace</t>
  </si>
  <si>
    <t>Základní škola Jeseník nad Odrou, okres Nový Jičín, příspěvková organizace</t>
  </si>
  <si>
    <t>Základní škola Kapitána Jasioka, Havířov - Prostřední Suchá, Kpt. Jasioka 57, okres Karviná</t>
  </si>
  <si>
    <t>Základní škola Klimkovice, příspěvková organizace</t>
  </si>
  <si>
    <t>Základní škola Kopřivnice, Alšova 1123 okres Nový Jičín</t>
  </si>
  <si>
    <t>Základní škola Kopřivnice-Lubina okres Nový Jičín, příspěvková organizace</t>
  </si>
  <si>
    <t>Základní škola Kopřivnice-Mniší okres Nový Jičín, příspěvková organizace</t>
  </si>
  <si>
    <t>Základní škola Kravaře, příspěvková organizace</t>
  </si>
  <si>
    <t>Základní škola Kravaře-Kouty, příspěvková organizace</t>
  </si>
  <si>
    <t>Základní škola Krnov, Dvořákův okruh 2, okres Bruntál, příspěvková organizace</t>
  </si>
  <si>
    <t>Základní škola Krnov, Janáčkovo náměstí 17, okres Bruntál, příspěvková organizace</t>
  </si>
  <si>
    <t>Základní škola Krnov, Smetanův okruh 4, okres Bruntál, příspěvková organizace</t>
  </si>
  <si>
    <t>Základní škola Krnov, Žižkova 3, okres Bruntál, příspěvková organizace</t>
  </si>
  <si>
    <t>Základní škola Malá Morávka, okres Bruntál, příspěvková organizace</t>
  </si>
  <si>
    <t>Základní škola Markvartovice, okres Opava, příspěvková organizace</t>
  </si>
  <si>
    <t>Základní škola Město Albrechtice, okres Bruntál</t>
  </si>
  <si>
    <t>Základní škola Mjr. Ambrože Bílka a Mateřská škola Metylovice, příspěvková organizace</t>
  </si>
  <si>
    <t>Základní škola Mladecko, okres Opava, příspěvková organizace</t>
  </si>
  <si>
    <t>Základní škola Mokré Lazce, okres Opava, příspěvková organizace</t>
  </si>
  <si>
    <t>Základní škola národního umělce Petra Bezruče Frýdek-Místek, tř. T. G. Masaryka 454</t>
  </si>
  <si>
    <t>Základní škola Nový Jičín, Jubilejní 3</t>
  </si>
  <si>
    <t>Základní škola Nový Jičín, Komenského 66, příspěvková organizace</t>
  </si>
  <si>
    <t>Základní škola Nový Jičín, Komenského 68</t>
  </si>
  <si>
    <t>Základní škola Nový Jičín, Tyršova 1</t>
  </si>
  <si>
    <t>Základní škola Nový svět, Opava, příspěvková organizace</t>
  </si>
  <si>
    <t>Základní škola Npor. Loma Příbor, Školní 1510, okres Nový Jičín, příspěvková organizace</t>
  </si>
  <si>
    <t>Základní škola Odry, Komenského 6, příspěvková organizace</t>
  </si>
  <si>
    <t>Základní škola Odry, Pohořská 8, příspěvková organizace</t>
  </si>
  <si>
    <t>Základní škola Oldřišov, okres Opava, příspěvková organizace</t>
  </si>
  <si>
    <t>Základní škola Opava - Kylešovice</t>
  </si>
  <si>
    <t>Základní škola Opava, Boženy Němcové 2 - příspěvková organizace</t>
  </si>
  <si>
    <t>Základní škola Opava, Edvarda Beneše 2 - příspěvková organizace</t>
  </si>
  <si>
    <t>Základní škola Opava, Englišova 82 - příspěvková organizace</t>
  </si>
  <si>
    <t>Základní škola Opava, Mařádkova 15 - příspěvková organizace</t>
  </si>
  <si>
    <t>Základní škola Opava, Otická 18 - příspěvková organizace</t>
  </si>
  <si>
    <t>Základní škola Opava, Šrámkova 4 - příspěvková organizace</t>
  </si>
  <si>
    <t>Základní škola Opava, Vrchní 19 - příspěvková organizace</t>
  </si>
  <si>
    <t>Základní škola Orlová - Lutyně K. Dvořáčka 1230 okres Karviná, příspěvková organizace</t>
  </si>
  <si>
    <t>Základní škola Orlová - Lutyně Ke Studánce 1050 okres Karviná, příspěvková organizace</t>
  </si>
  <si>
    <t>Základní škola Orlová - Lutyně Mládí 726 okres Karviná, příspěvková organizace</t>
  </si>
  <si>
    <t>Základní škola Orlová - Lutyně Školní 862 okres Karviná, příspěvková organizace</t>
  </si>
  <si>
    <t>Základní škola Orlová - Lutyně U Kapličky 959 okres Karviná, příspěvková organizace</t>
  </si>
  <si>
    <t>Základní škola Orlová - Poruba Jarní 400 okres Karviná, příspěvková organizace</t>
  </si>
  <si>
    <t>Základní škola Osoblaha, příspěvková organizace</t>
  </si>
  <si>
    <t>Základní škola Ostrava, Gajdošoa 9, příspěvková organizace</t>
  </si>
  <si>
    <t>Základní škola Ostrava, Gebauerova 8, příspěvková organizace</t>
  </si>
  <si>
    <t>Základní škola Ostrava, Gen. Píky 13A, příspěvková organizace</t>
  </si>
  <si>
    <t>Základní škola Ostrava, Matiční 5, příspěvková organizace</t>
  </si>
  <si>
    <t>Základní škola Ostrava, Nádražní 117, příspěvková organizace</t>
  </si>
  <si>
    <t>Základní škola Ostrava, Zelená 42, příspěvková organizace</t>
  </si>
  <si>
    <t>Základní škola Ostrava-Dubina, Františka Formana 45, příspěvková organizace</t>
  </si>
  <si>
    <t>Základní škola Ostrava-Hrabová, Paskovská 46, příspěvková organizace</t>
  </si>
  <si>
    <t>Základní škola Ostrava-Hrabůvka, Klegova 27, příspěvková organizace</t>
  </si>
  <si>
    <t>Základní škola Ostrava-Hrabůvka, Provaznická 64, příspěvková organizace</t>
  </si>
  <si>
    <t>Základní škola Ostrava-Kunčičky, Škrobálkova 51/300, příspěvková organizace</t>
  </si>
  <si>
    <t>Základní škola Ostrava-Mariánské Hory, Gen. Janka 1208, příspěvková organizace</t>
  </si>
  <si>
    <t>Základní škola Ostrava-Michálkovice, U Kříže 28, příspěvková organizace</t>
  </si>
  <si>
    <t>Základní škola Ostrava-Muglinov, Pěší 1/66, příspěvková organizace</t>
  </si>
  <si>
    <t>Základní škola Ostrava-Nová Bělá, Mitrovická 389, příspěvková organizace</t>
  </si>
  <si>
    <t>Základní škola Ostrava-Petřkovice, Hlučínská 136</t>
  </si>
  <si>
    <t>Základní škola Ostrava-Poruba, A. Hrdličky 1638, příspěvková organizace</t>
  </si>
  <si>
    <t>Základní škola Ostrava-Poruba, Bulharská 1532, příspěvková organizace</t>
  </si>
  <si>
    <t>Základní škola Ostrava-Poruba, Dětská 915, příspěvková organizace</t>
  </si>
  <si>
    <t>Základní škola Ostrava-Poruba, I. Sekaniny 1804, příspěvková organizace</t>
  </si>
  <si>
    <t>Základní škola Ostrava-Poruba, J. Šoupala 1609, příspěvková organizace</t>
  </si>
  <si>
    <t>Základní škola Ostrava-Poruba, J. Valčíka 4411, příspěvková organizace</t>
  </si>
  <si>
    <t>Základní škola Ostrava-Poruba, K. Pokorného 1382, příspěvková organizace</t>
  </si>
  <si>
    <t>Základní škola Ostrava-Poruba, Komenského 668, příspěvková organizace</t>
  </si>
  <si>
    <t>Základní škola Ostrava-Poruba, Porubská 831, příspěvková organizace</t>
  </si>
  <si>
    <t>Základní škola Ostrava-Poruba, Porubská 832, příspěvková organizace</t>
  </si>
  <si>
    <t>Základní škola Ostrava-Poruba, Ukrajinská 1533, příspěvková organizace</t>
  </si>
  <si>
    <t>Základní škola Ostrava-Radvanice, Vrchlického 5, příspěvková organizace</t>
  </si>
  <si>
    <t>Základní škola Ostrava-Slezská Ostrava, Bohumínská 72/1082, příspěvková organizace</t>
  </si>
  <si>
    <t>Základní škola Ostrava-Slezská Ostrava, Chrustova 24/1418, příspěvková organizace</t>
  </si>
  <si>
    <t>Základní škola Ostrava-Stará Bělá</t>
  </si>
  <si>
    <t>Základní škola Ostrava-Vítkovice, Šalounova 56, příspěvková organizace</t>
  </si>
  <si>
    <t>Základní škola Ostrava-Výškovice, Srbská 2, příspěvková organizace</t>
  </si>
  <si>
    <t>Základní škola Ostrava-Zábřeh, Chrjukinova 12, příspěvková organizace</t>
  </si>
  <si>
    <t>Základní škola Ostrava-Zábřeh, Jugoslávská 23, příspěvková organizace</t>
  </si>
  <si>
    <t>Základní škola Paskov, okres Frýdek-Místek, příspěvková organizace</t>
  </si>
  <si>
    <t>Základní škola Petra Bezruče a mateřská škola, Třinec, příspěvková organizace</t>
  </si>
  <si>
    <t>Základní škola Petřvald, okres Nový Jičín, příspěvková organizace</t>
  </si>
  <si>
    <t>Základní škola Příbor, Jičínská 486, okres Nový Jičín</t>
  </si>
  <si>
    <t>Základní škola Rychvald, okres Karviná, příspěvková organizace</t>
  </si>
  <si>
    <t>Základní škola Rýmařov, Jelínkova 1, okres Bruntál</t>
  </si>
  <si>
    <t>Základní škola s polským jazykem vyučovacím a Mateřská škola - Przedszkole Milíkov, příspěvková organizace</t>
  </si>
  <si>
    <t>Základní škola s polským jazykem vyučovacím a Mateřská škola s polským jazykem vyučovacím Český Těšín Havlíčkova 13 okres Karviná</t>
  </si>
  <si>
    <t>Základní škola s polským vyučovacím jazykem a Mateřská škola s polským vyučovacím jazykem Hrádek 77, okres Frýdek-Místek, příspěvková organizace</t>
  </si>
  <si>
    <t>Základní škola Staré Hamry, okres Frýdek-Místek, příspěvková organizace</t>
  </si>
  <si>
    <t>Základní škola Starý Jičín, příspěvková organizace</t>
  </si>
  <si>
    <t>Základní škola Stěbořice</t>
  </si>
  <si>
    <t>Základní škola Studénka, Butovická 346, okres Nový Jičín</t>
  </si>
  <si>
    <t>Základní škola Studénka, Sjednocení 650, příspěvková organizace</t>
  </si>
  <si>
    <t>Základní škola Svobodné Heřmanice, okres Bruntál</t>
  </si>
  <si>
    <t>Základní škola Šenov, Radniční náměstí 1040</t>
  </si>
  <si>
    <t>Základní škola T. G. Masaryka a Mateřská škola Komorní Lhotka, příspěvková organizace</t>
  </si>
  <si>
    <t>Základní škola T. G. Masaryka Bohumín - Pudlov, Trnková 280, okres Karviná, příspěvková organizace</t>
  </si>
  <si>
    <t>Základní škola T. G. Masaryka Jistebník, okres Nový Jičín, příspěvková organizace</t>
  </si>
  <si>
    <t>Základní škola T. G. Masaryka Krmelín, příspěvková organizace</t>
  </si>
  <si>
    <t>Základní škola T. G. Masaryka Opava, Riegrova 13 - příspěvková organizace</t>
  </si>
  <si>
    <t>Základní škola T. G. Masaryka Studénka, 2. května 500, okres Nový Jičín</t>
  </si>
  <si>
    <t>Základní škola Trnávka, okres Nový Jičín, příspěvková organizace</t>
  </si>
  <si>
    <t>Základní škola Velké Hoštice, okres Opava, příspěvková organizace</t>
  </si>
  <si>
    <t>Základní škola Vendryně 236, okres Frýdek-Místek, příspěvková organizace</t>
  </si>
  <si>
    <t>Základní škola Vojtěcha Martínka Brušperk, okres Frýdek-Místek</t>
  </si>
  <si>
    <t>Základní škola Vratimov, Datyňská 690</t>
  </si>
  <si>
    <t>Základní škola Vratimov, Masarykovo náměstí 192</t>
  </si>
  <si>
    <t>Základní škola Vražné okres Nový Jičín, příspěvková organizace</t>
  </si>
  <si>
    <t>Základní škola Vrbno pod Pradědem, okres Bruntál</t>
  </si>
  <si>
    <t>Základní škola waldorfská Ostrava, příspěvková organizace</t>
  </si>
  <si>
    <t>Základní škola, Studénka, Tovární 386, příspěvková organizace</t>
  </si>
  <si>
    <t>Základní škola, Třinec, Slezská 773, příspěvková organizace</t>
  </si>
  <si>
    <t>Základní umělecká škola Frýdek-Místek, Hlavní třída 11</t>
  </si>
  <si>
    <t>Základní umělecká škola Ivo Žídka, Kravaře, Ivana Kubince 5, příspěvková organizace</t>
  </si>
  <si>
    <t>Základní umělecká škola Ostrava-Svinov, Bílovecká 1</t>
  </si>
  <si>
    <t>Základní umělecká škola Viléma Wünsche, Zámecká 2</t>
  </si>
  <si>
    <t>Základní umělecká škola Vratimov, Strmá 9</t>
  </si>
  <si>
    <t>Základní umělecká škola, Brušperk, příspěvková organizace</t>
  </si>
  <si>
    <t>Zařízení školního stravování Krnov, Žižkova 1, okres Bruntál, příspěvková organizace</t>
  </si>
  <si>
    <t>Zařízení školního stravování Opava, příspěvková organizace</t>
  </si>
  <si>
    <t>Zařízení školního stravování Vratimov</t>
  </si>
  <si>
    <r>
      <t xml:space="preserve">2) </t>
    </r>
    <r>
      <rPr>
        <sz val="8"/>
        <rFont val="Tahoma"/>
        <family val="2"/>
        <charset val="238"/>
      </rPr>
      <t>Ve sloupci Čerpáno jsou uvedeny poskytnuté dotace v roce 2015 snížené o případné vyúčtované vratky v závěru roku 2015 nebo počátkem roku 2016.</t>
    </r>
  </si>
  <si>
    <t>*) prostředky na:</t>
  </si>
  <si>
    <t>Bezplatná příprava dětí azylantů, účastníků řízení o azyl a dětí osob se státní příslušností jiného členského státu EU k začlenění do základního vzdělávání</t>
  </si>
  <si>
    <t>Rozvojový program MŠMT pro děti-cizince ze 3. zemí</t>
  </si>
  <si>
    <t>PŘEHLED VÝDAJŮ V ODVĚTVÍ DOPRAVY V ROCE 2015</t>
  </si>
  <si>
    <t>(tis. Kč)</t>
  </si>
  <si>
    <t>Schválený rozpočet 2015</t>
  </si>
  <si>
    <t>Upravený rozpočet 2015</t>
  </si>
  <si>
    <t xml:space="preserve">Skutečné čerpání </t>
  </si>
  <si>
    <t>Plnění (%)</t>
  </si>
  <si>
    <t xml:space="preserve">Výdaje na samosprávné a jiné činnosti </t>
  </si>
  <si>
    <t>Příspěvek na provoz příspěvkovým organizacím</t>
  </si>
  <si>
    <t>Reprodukce majetku kraje vyjma akcí spolufin. z evropských fin. zdrojů</t>
  </si>
  <si>
    <t>Akce spolufinancované z evropských finančních zdrojů</t>
  </si>
  <si>
    <t>Řádek č.</t>
  </si>
  <si>
    <t>Stav akce</t>
  </si>
  <si>
    <t>Zdůvodnění nečerpání</t>
  </si>
  <si>
    <t>Výdaje na samosprávné a jiné činnosti zajišťované prostřednictvím krajského úřadu</t>
  </si>
  <si>
    <t>opakovaná</t>
  </si>
  <si>
    <t>Finanční prostředky byly určeny na případné požadavky ze strany dopravců v souvislosti s objížďkami vyvolanými stavebními pracemi na silnicích, avšak tyto nebyly uplatněny.</t>
  </si>
  <si>
    <t>ukončená</t>
  </si>
  <si>
    <t>Finanční prostředky byly určeny na poskytnutí účelové dotace organizaci Koordinátor ODIS s.r.o. na vybrané záměry v  integrované dopravě, resp. na poskytnutí návratné finanční výpomoci této společnosti. Nedočerpání části prostředků bylo důsledkem nižších uznatelných nákladů na straně příjemce dotace.</t>
  </si>
  <si>
    <t>Zvýšení základního kapitálu obchodní společnosti Letiště Ostrava, a.s.</t>
  </si>
  <si>
    <t>Akční plán snižování hluku pro okolí hlavních pozemních komunikací</t>
  </si>
  <si>
    <t>pokračující</t>
  </si>
  <si>
    <r>
      <t>Nevyčerpané finanční prostředky ve výši 500 tis. Kč byly vyčleněny na poskytnutí účelové dotace městu Bílovec na přípravu stavby "Rekonstrukce ulice B. Němcové v Bílovci vedoucí k areálu Integrovaného výjezdového centra Bílovec, včetně vybudování parkovacích míst s touto stavbou souvisejících".  Vzhledem k tomu, že finanční prostředky jsou dle smluvního ujednání poskytnuty až po předložení faktur za realizaci projektu, nebyla tak v roce 2015 čerpána ani část finančních prostředků. Předmětná dotace má dobu použitelnosti na základě dodatku ke smlouvě stanovenou i v roce 2016. Dále prostředky ve výši 4.000 tis. Kč byly vyčleněny na poskytnutí účelové dotace obci Hrabyně na opravu chodníku podél silnice III/4666 v Hrabyni. Finanční prostředky jsou dle smluvního ujednání poskytnuty do 30 dnů od předložení závěrečného vyúčtování, jehož termín byl stanoven na 20.1.2016 - předmětná dotace tak nebyla v roce 2015 čerpána. V návaznosti na to rada kraje svým usnesením č. 89/7017 ze dne 26.1.2016 zapojila nevyčerpané finanční prostředky ve výši 4.500 tis. Kč do rozpočtu roku 2016.</t>
    </r>
    <r>
      <rPr>
        <sz val="8"/>
        <color rgb="FFFF0000"/>
        <rFont val="Tahoma"/>
        <family val="2"/>
        <charset val="238"/>
      </rPr>
      <t xml:space="preserve"> </t>
    </r>
    <r>
      <rPr>
        <sz val="8"/>
        <rFont val="Tahoma"/>
        <family val="2"/>
        <charset val="238"/>
      </rPr>
      <t>Zbylé prostředky ve výši 71 tis. Kč jsou úsporou vzniklou v důsledku nižších uznatelných nákladů při poskytnutí dotace městskému obvodu Stará Bělá statutárního města Ostrava na rekonstrukci křižovatky ulic Junácká - Mitrovická na malou okružní křižovatku.</t>
    </r>
  </si>
  <si>
    <t>Ostatní výdaje v odvětví dopravy</t>
  </si>
  <si>
    <t>Nevyčerpané finanční prostředky ve výši 194 tis. Kč byly vyčleněny na zajištění administrace veřejné zakázky pod názvem "Zajištění dopravní obslužnosti Moravskoslezského kraje – oblast Českotěšínsko". Tato veřejná zakázka je zajišťovana externě dle uvedené Rámcové smlouvy. Vzhledem k tomu, že rámcová smlouva stanovuje v platebních podmínkách úhradu za administraci zakázky až po předložení kompletní dokumentace k realizované veřejné zakázce, nebyly finanční prostředky vyčerpány do konce roku 2015. Dále finanční prostředky ve výši 218 tis. Kč byly vyčleněny na zajištění veřejné zakázky zanedbatelného rozsahu, a to konkrétně na provedení průzkumu potřeb firem z hlediska přepravy z Mezinárodního letiště Leoše Janáčka Ostrava. Tato objednávka byla zajišťována dle Rámcové smlouvy na zajištění činností a aktivit uzavřenou mezi Moravskoslezským krajem a Agenturou pro regionální rozvoj, a.s., která stanovuje v platebních podmínkách úhradu až po provedení díla. V návaznosti na to rada kraje svým usnesením č. 89/7017 ze dne 26.1.2016 zapojila nevyčerpané finanční prostředky ve výši 412 tis. Kč do rozpočtu roku 2016. Zbylé finanční prostředky jsou úsporou, neboť nedošlo do konce roku k vyhlášení dalších veřejných zakázek na autobusové dopravce v linkové osobní dopravě.</t>
  </si>
  <si>
    <t>Podpora Moravskoslezského kraje prostřednictvím leteckého dopravce</t>
  </si>
  <si>
    <t>Rada kraje usnesením č. 72/5898 ze dne 14.7.2015 rozhodla zahájit otevřené zadávací řízení k nadlimitní veřejné zakázce „Podpora Moravskoslezského kraje prostřednictvím leteckého dopravce“, předpokládaná hodnoty zakázky byla 24.480 tis. Kč bez DPH na období 36 měsíců. Pro rok 2015 byly v rozpočtu kraje vyčleněny prostředky ve výši 8.160 tis. Kč bez DPH (9.873,6 tis. Kč vč. DPH) na předpokládanou úhradu 1. splátky. Rada kraje usnesením č. 80/6448 ze dne 20.10.2015 rozhodla vybrat nejvhodnější nabídku a uzavřít smlouvu s Travel Service, a.s. Dle nastavených smluvních podmínek však bude 1. splátka provedena až v roce 2016 (zařazeno v rozpočtu na rok 2016), nevyčerpané prostředky v roce 2015 tudíž představují úsporu.</t>
  </si>
  <si>
    <t>Provozování železniční dráhy</t>
  </si>
  <si>
    <t>Na základě usnesení rady kraje č. 39/2872 ze dne 25.3.2014 došlo k uzavření smlouvy o provozování regionální dráhy Sedlnice - Mošnov, Ostrava Aiport. V průběhu roku 2015 došlo k uzavření dodatku č. 2, ve kterém se promítl poskytnutý finanční příspěvek ve výši 5.834 tis. Kč ze Státního fondu dopravní infrastruktury státnímu podniku Správa železniční dopravní cesty na provozování dráhy.  V návaznosti  na to došlo i ke snížení rozpočtu na danou akci.</t>
  </si>
  <si>
    <t>Závazek veřejné služby - pravidelná letecká doprava</t>
  </si>
  <si>
    <t>Finanční prostředky byly určeny na úhradu výdajů souvisejících s administrací veřejné zakázky "Výběr leteckého dopravce pro poskytování pravidelné letecké dopravy z Letiště Leoše Janáčka Ostrava do Amsterdamu a Helsinek" v souladu s usnesením zastupitelstva kraje č. 17/1731 ze dne 17.12.2015. Výdaje za administraci budou hrazeny až po výběru vhodného leteckého dopravce, proto byly nevyčerpané finanční prostředky zapojeny do rozpočtu roku 2016 usnesením rady kraje č. 89/7017 ze dne 26.1.2016.</t>
  </si>
  <si>
    <t>Technická údržba, podpora a služby k software v odvětví dopravy</t>
  </si>
  <si>
    <t>ID - Organizace, příprava a průběh etapové zastávky v Ostravě mezinárodního závodu elektromobilů Electric Marathon 2015 - Kyjev - Monte Carlo (OSTRAVA BEZPEČNÁ DOPRAVA!!!)</t>
  </si>
  <si>
    <t>ID - Generel cyklistické dopravy v regionu Jablunkovska, Třinecka, Těšínska (Regionální rada rozvoje a spolupráce se sídlem v Třinci)</t>
  </si>
  <si>
    <t>Příspěvek na provoz v odvětví dopravy - příspěvkové organizace kraje (Správa silnic Moravskoslezského kraje, příspěvková organizace, Ostrava)</t>
  </si>
  <si>
    <t>Příspěvek na provoz v odvětví dopravy - příspěvkové organizace kraje - krytí odpisů (Správa silnic Moravskoslezského kraje, příspěvková organizace, Ostrava)</t>
  </si>
  <si>
    <t>Výdaje související s vrácením finančních prostředků z uzavřených smluv o  budoucích smlouvách o zřízení věcného břemene - příspěvek na provoz (Správa silnic Moravskoslezského kraje, příspěvková organizace, Ostrava)</t>
  </si>
  <si>
    <t>Úspora v rámci výdajů související s vrácením finančních prostředků z uzavřených smluv o budoucích smlouvách o zřízení věcného břemene.</t>
  </si>
  <si>
    <t>Reprodukce majetku kraje vyjma akcí spolufinancovaných z evropských finančních zdrojů</t>
  </si>
  <si>
    <t>Nákup pozemků v areálu Letiště Ostrava, a.s.</t>
  </si>
  <si>
    <t xml:space="preserve">Finanční prostředky byly určeny na nákup pozemku parc. č. 1006/6 v k. ú. Harty, obec Petřvald od 16 spoluvlastníků. Pozemek se nachází v areálu Letiště Ostrava-Mošnov a je na něm umístěna stavba pojezdové dráhy. S ohledem na velký počet spoluvlastníků probíhala jednání s vlastníky pozemků, avšak do konce roku 2015 však nedošlo k uzavření smluvních dokumentů. Finanční prostředky na pořízení tohoto pozemku budou nárokovány v rozpočtu až v okamžiku předpokládaného uzavření smluvních dokumentů. </t>
  </si>
  <si>
    <t>Letiště Leoše Janáčka Ostrava, bezpečnostní centrum - l. etapa</t>
  </si>
  <si>
    <t>Rada kraje svým usnesením č. 91/5719 ze dne 24.8.2011 rozhodla o uzavření Dohody o výstavbě bezpečnostního centra na Letišti Leoše Janáčka Ostrava. Investorem této akce je Řízení letového provozu ČR, s.p. (dále jen „ŘLP“) a maximální finanční podíl kraje je stanoven na částku 20.000 tis. Kč. ŘLP oproti svým původním předpokladům zahájilo realizaci stavby předáním staveniště vybranému zhotoviteli v závěru září 2015 a pro kolejovou část – přejezd přes trať kolejového napojení letiště až 21.10.2015. Dokončení celé stavby ŘLP předpokládá do konce února 2016. V návaznosti na výše uvedené rada kraje svým usnesením č. 89/7017 ze dne 26.1.2016 zapojila nevyčerpané finanční prostředky ve výši 20.000 tis. Kč do rozpočtu roku 2016.</t>
  </si>
  <si>
    <t xml:space="preserve">ukončená </t>
  </si>
  <si>
    <t>Finanční prostředky nebyly v roce 2015 zcela vyčerpány z důvodu úspory vzniklé nižší vysoutěženou cenou v rámci veřejné zakázky na této akci.</t>
  </si>
  <si>
    <t>Rekonstrukce mostu ev.č. 459-006 přes řeku Opavu ve městě Krnov</t>
  </si>
  <si>
    <t>Realizace projektu byla v roce 2015 ukončena. Úspora vznikla v důsledku vysoutěžení nižších cen ve veřejných zakázkách.</t>
  </si>
  <si>
    <t>Zastupitelstvo kraje rozhodlo o profinancování a kofinancování projektu dne  20.6.2013 usnesením č. 4/326. Úhrada výdajů za realizaci zakázky a audit projektu proběhnou až v roce 2016. Nevyčerpané finanční prostředky ve výši 59 tis. Kč byly zapojeny do rozpočtu roku 2016 na základě usnesení rady kraje č. 89/7017 ze dne 26. 1. 2016.</t>
  </si>
  <si>
    <t>VIA Lyžbice</t>
  </si>
  <si>
    <t>Silnice 2009 - obchvat Opava</t>
  </si>
  <si>
    <t>II/449 - Rýmařov - Ondřejov, rekonstrukce silnice km 0,00 - 11,40, II.stavba</t>
  </si>
  <si>
    <t>Komunikace II/479 - ulice Českobratrská, III. stavba</t>
  </si>
  <si>
    <t>Silnice 2010</t>
  </si>
  <si>
    <t>Zastupitelstvo kraje rozhodlo o profinancování a kofinancování projektu a o zahájení realizace dne 29.2.2012 usnesením č. 23/1994.  Fyzická realizace projektu již byla ukončena. Na financování vlastního podílu příjemce se spolupodílela obec Vítkov formou dotace. K vyúčtování dotace dojde až po finančním ukončení projektu ze strany poskytovatele dotace z evropských zdrojů v letošním roce. Nevyčerpané finanční prostředky ve výši 451,81 tis. Kč byly zapojeny do rozpočtu roku 2016 na základě usnesení rady kraje č. 89/7017 ze dne 26.1.2016.</t>
  </si>
  <si>
    <t>Silnice III/4689 Petrovice</t>
  </si>
  <si>
    <t>Zastupitelstvo kraje rozhodlo o profinancování a kofinancování projektu a o zahájení realizace dne 29.2.2012 usnesením č. 23/1994. Na financování vlastního podílu příjemce se spolupodílelo město Ostrava formou dotace. K vyúčtování dotace dojde až po finančním ukončení projektu ze strany poskytovatele dotace z evropských zdrojů v letošním roce. Nevyčerpané finanční prostředky ve výši 830,11 tis. Kč byly zapojeny do rozpočtu roku 2016 na základě usnesení rady kraje č. 89/7017 ze dne 26.1.2016. Zbylé nedočerpání finančních prostředků bylo zapříčiněno vysoutěžením nižších cen ve veřejných zakázkách.</t>
  </si>
  <si>
    <t>Zastupitelstvo kraje rozhodlo o profinancování a kofinancování projektu a o zahájení realizace projektu usnesením č. 25/2516 ze dne 5.9.2012. Fyzická realizace projektu je ukončena. V současné době se řeší majetkoprávní vztahy. Předpoklad vyřešení uvedené záležitosti je v první polovině roku 2016. Z tohoto důvodu je nezbytné zajistit údržbu silnice.  Nevyčerpané finanční prostředky byly zapojeny do rozpočtu roku 2016 na základě usnesení rady kraje č. 89/7017 ze dne 26.1.2016.</t>
  </si>
  <si>
    <t>Letiště Leoše Janáčka Ostrava, ostatní zpevněné plochy-světlotechnika</t>
  </si>
  <si>
    <t>Zastupitelstvo kraje rozhodlo o profinancování a kofinancování projektu a o zahájení realizace usnesením č. 9/799 ze dne 24.4.2014.  V důsledku zpoždění harmonogramu stavebních prací mohl být proveden audit projektu až počátkem roku 2016. Nevyčerpané finanční prostředky ve výši 12,10 tis. Kč byly zapojeny do rozpočtu roku 2016 na základě usnesení rady kraje č. 89/7017 ze dne 26.1.2016. Zbylé nedočerpání finančních prostředků bylo zapříčiněno vysoutěžením nižších cen ve veřejných zakázkách.</t>
  </si>
  <si>
    <t>Rekonstrukce MÚK Bazaly – I. etapa</t>
  </si>
  <si>
    <t>Zastupitelstvo kraje rozhodlo o profinancování a kofinancování projektu  dne 25.6.2015 usnesením č. 15/1535. Finanční prostředky na přípravnou fázi projektu byly vyčleněny z prostředků určených na přípravu projektů pro rok 2015. Vzhledem k větší časové náročnosti přípravy projektu byly nevyčerpané prostředky převedeny do rozpočtu roku 2016 usnesením rady kraje č. 89/7017 ze dne 26.1.2016.</t>
  </si>
  <si>
    <t>Rekonstrukce silnice II/475 Horní Suchá - průtah</t>
  </si>
  <si>
    <t>Rekonstrukce silnice II/477 Frýdek - Místek - Lískovec</t>
  </si>
  <si>
    <t>Zastupitelstvo kraje schválilo zahájení přípravy projektu dne 25.9.2015 usnesením č. 16/1630. Finanční prostředky na přípravnou fázi projektu byly vyčleněny z prostředků určených na přípravu projektů pro rok 2015. Vzhledem k větší časové náročnosti přípravy projektu byly nevyčerpané finanční prostředky zapojeny do rozpočtu roku 2016 na základě usnesení rady kraje č. 89/7017 ze dne 26.1.2016.</t>
  </si>
  <si>
    <t>RESOLVE</t>
  </si>
  <si>
    <t>Zastupitelstvo kraje schválilo zahájení přípravy projektu, rozhodlo o profinancování a kofinancování a zahájení realizace projektu dne 25.9.2015 usnesením č. 16/1620. Finanční prostředky na přípravnou fázi projektu byly vyčleněny z prostředků určených na přípravu projektů pro rok 2015. Vzhledem k větší časové náročnosti přípravy projektu byly nevyčerpané finanční prostředky zapojeny do rozpočtu roku 2016 na základě usnesení rady kraje č. 89/7017 ze dne 26.1.2016.</t>
  </si>
  <si>
    <t>Příprava staveb a vypořádání pozemků (Správa silnic Moravskoslezského kraje, příspěvková organizace, Ostrava)</t>
  </si>
  <si>
    <t>Finanční prostředky nebyly zcela vyčerpány z důvodu průtahů v majetkoprávní přípravě vybraných staveb, kdy vzhledem k její složitosti, zákonným lhůtám a předpokládaným průtahům (odvolání) nedošlo v roce 2015 k  úhradě nákladů spojených s nabytím těchto pozemků.</t>
  </si>
  <si>
    <t>Sankce za stanovení technického kvalifikačního kritéria pro obalovny v rámci procesu veřejných zakázek</t>
  </si>
  <si>
    <t xml:space="preserve">Moravskoslezský kraj obdržel od Úřadu regionální rady rozhodnutí o odvodu za porušení rozpočtové kázně za použití diskriminačního kvalifikačního kritéria (obalovny)  u veřejných zakázek projektů Silnice 2009, Silnice 2009 - obchvat Opava a Mosty 2010. Odvody jsou splatné po nabytí právní moci uvedených rozhodnutí. Moravskoslezský kraj podal proti rozhodnutím odvolání na Ministerstvo financí ČR, které dosud nebylo vyřešeno a rozhodnutí tedy nejsou pravomocná. Z tohoto důvodu byly nevyčerpané prostředky ve výši 48.111,04 tis. Kč zapojeny do rozpočtu roku 2016 na základě usnesení rady kraje č. 89/7017 ze dne 26.1.2016. Zbývající finanční prostředky byly plánovány na další úhradu korekcí za obalovny, které nakonec nebyly kontrolním orgánem vyčísleny. </t>
  </si>
  <si>
    <t>PŘEHLED VÝDAJŮ V ODVĚTVÍ KRIZOVÉHO ŘÍZENÍ V ROCE 2015</t>
  </si>
  <si>
    <t>Zastupitelstvo kraje usneseními č. 8/650 ze dne 27.2.2014, č. 13/1110 ze dne 5.3.2015 a č. 14/1203 ze dne 7.5.2015  rozhodlo o poskytnutí investiční dotace Hasičskému záchrannému sboru Moravskoslezského kraje na úhradu nákladů spojených s rekonstrukcí objektu hasičské stanice na ulici Okružní č.p. 902 v Orlové-Lutyni v celkové výši 16.000 tis. Kč. Z této částky bylo v roce 2014 vyčerpáno 6 tis. Kč a v roce 2015 bylo vyčerpáno 607 tis. Kč. Dle podmínek uvedených ve smlouvách jsou další splátky poukázány na základě písemných výzev příjemce. V návaznosti na výše uvedené byly nevyčerpané finanční prostředky ve výši 15.387 tis. Kč zapojeny usnesením rady kraje č. 89/7017 ze dne 26.1.2016 do rozpočtu kraje na rok 2016.</t>
  </si>
  <si>
    <t xml:space="preserve">Realizace koncepce ochrany obyvatel kraje - příprava na mimořádné situace </t>
  </si>
  <si>
    <t>Nevyčerpané finanční prostředky představují úsporu vzniklou vysoutěžením nižších cen prostředků pořizovaných pro ochranu obyvatelstva.</t>
  </si>
  <si>
    <t xml:space="preserve">Zajištění činnosti krizového štábu </t>
  </si>
  <si>
    <t>Nevyčerpané finanční prostředky představují úsporu vzniklou výběrem vhodného dodavatele pohoštění a také nižšími požadavky na nákup ochranných pomůcek.</t>
  </si>
  <si>
    <t xml:space="preserve">Odborná příprava orgánů krizového řízení </t>
  </si>
  <si>
    <t>Nevyčerpané finanční prostředky představují úsporu vzniklou nižším čerpáním výdajů na nájemné, pohoštění a na nákup drobného materiálu v souvislosti s uskutečněným školením pracovníků krizového řízení obcí s rozšířenou působností a pověřených obcí.</t>
  </si>
  <si>
    <t>Usnesením č. 86/6874 ze dne 17.12.2015 rozhodla rada kraje o uzavření smlouvy na nákup defibrilátorů pro Hasičský záchranný sbor Moravskoslezského kraje a Krajské ředitelství Policie České republiky ve výši 2.957,71 tis. Kč.  Usneseními č. 13/1113 ze dne 5.3.2015 a  č. 16/1573 ze dne 25.9.2015 rozhodlo zastupitelstvo kraje o poskytnutí investiční dotace ve výši 300 tis. Kč obci Mosty u Jablunkova na nákup dopravního automobilu. Usnesením č. 16/1573 ze dne 25.9.2015 rozhodlo zastupitelstvo kraje o poskytnutí investiční dotace ve výši 270 tis. Kč obci Luboměř na nákup dopravního automobilu. V návaznosti na platební podmínky výše uvedených smluv byly usnesením rady kraje č. 89/7017 ze dne 26.1.2016 zapojeny nevyčerpané finanční prostředky ve výši 3.525 tis. Kč do rozpočtu kraje na rok 2016. Vzhledem ke skutečnosti, že v roce 2015 nebyly na kraj vzneseny další požadavky ze strany obcí na financování akutních potřeb, byla vykázána na této akci úspora ve výši 3.675 tis. Kč.</t>
  </si>
  <si>
    <t>Usnesením č. 85/6763 ze dne 8.12.2015 rozhodla rada kraje o uzavření smlouvy na nákup modulárního stanu, vč. hygienické vložky a kompresoru pro Krajské vojenské velitelství Ostrava. V návaznosti na platební podmínky uvedené ve smlouvě byly nevyčerpané finanční prostředky ve výši 324 tis. Kč zapojeny usnesením rady kraje č. 89/7017 ze dne 26.1.2016 do rozpočtu kraje na rok 2016. Zbylé nevyčerpané finanční prostředky ve výši 210 tis. Kč představují úsporu vzniklou vysoutěžením nižší ceny pořizovaného stanu.</t>
  </si>
  <si>
    <t xml:space="preserve">Pořízení techniky pro Hasičský záchranný sbor Moravskoslezského kraje </t>
  </si>
  <si>
    <t>Usnesením č. 77/6171 ze dne 10.9.2015 rozhodla rada kraje o uzavření smlouvy na nákup 4 ks velitelských vozidel ve výši 2.980 tis. Kč. Usnesením č. 80/6458 ze dne 20.10.2015 rozhodla rada kraje o uzavření smlouvy na dodání 1 ks vozidla pro řídícího důstojníka ve výši 2.295 tis. Kč. V návaznosti na platební podmínky výše uvedených smluv byly nevyčerpané finanční prostředky zapojeny usnesením rady kraje č. 89/7017 ze dne 26.1.2016 do rozpočtu roku 2016. Nevyčerpané finanční prostředky ve výši 261 tis. Kč představují úsporu v důsledku vysoutěžení nižších cen pořizované techniky.</t>
  </si>
  <si>
    <t>Usneseními č. 13/1110 ze dne 5.3.2015 a č. 14/1203 ze dne 7.5.2015 rozhodlo zastupitelstvo kraje o poskytnutí dotace Hasičskému záchrannému sboru Moravskoslezského kraje v celkové výši 19.080 tis. Kč. V souladu s podmínkami uvedenými ve smlouvě byly koncem roku 2015 převedeny na účet kraje nevyčerpané finanční prostředky ve výši 15.496 tis. Kč. V roce 2016 kraj zašle po obdržení žádosti příjemce peníze zpět na jeho účet. V souladu s výše uvedeným byly nevyčerpané finanční prostředky zapojeny usnesením rady kraje č. 89/7017 ze dne 26.1.2016 do rozpočtu roku 2016.</t>
  </si>
  <si>
    <t>Vzhledem ke skutečnosti, že v roce 2015 nebyly na kraj vzneseny požadavky ze strany obcí na financování akutních potřeb, byla vykázána na této akci úspora ve výši 897 tis. Kč. Dále pak na této akci zůstaly nevyčerpané finanční prostředky dotace MV ČR ve výši 4 tis. Kč, které byly v roce 2016 vráceny do státního rozpočtu v rámci finančního vypořádání dotací za rok 2015.</t>
  </si>
  <si>
    <t xml:space="preserve">Mezinárodní spolupráce v oblasti požární ochrany a integrovaného záchranného systému </t>
  </si>
  <si>
    <t>V roce 2015 se neuskutečnily semináře a mezinárodní konference v oblasti požární ochrany a integrovaného záchranného systému a krizového řízení. Finanční prostředky byly použity k dofinancování akcí v odvětví krizového řízení, a to "Odborná příprava orgánů krizového řízení" a "Ostatní výdaje v odvětví krizového řízení".</t>
  </si>
  <si>
    <t xml:space="preserve">Ověřování připravenosti Integrovaného záchranného systému </t>
  </si>
  <si>
    <t>Důvodem nevyčerpání finančních prostředků bylo neuskutečnění některých plánovaných cvičení v souladu s Plánem cvičení složek Integrovaného záchranného systému schváleného Bezpečnostní radou Moravskoslezského kraje na rok 2015 a také úspora vzniklá vhodným výběrem dodavatelů nabízejících výhodné cenové podmínky.</t>
  </si>
  <si>
    <t xml:space="preserve">Výstavba integrovaného výjezdového centra v Třinci </t>
  </si>
  <si>
    <t>Usnesením rady kraje č. 86/9882 ze dne 17.12.2015 byly schváleny finanční prostředky ve výši 310 tis. Kč účelově určené na úhradu energií v objektu Integrovaného výjezdového centra v Třinci (elektrická energie, voda, teplo). Stavba byla zkolaudována dne 16.12.2015 a dále probíhalo vybavení interiérem, přičemž při montáži nábytku došlo ke spotřebě energií. Vzhledem k tomu, že faktury byly vystaveny až v roce 2016, byly usnesením rady kraje č. 89/7017 ze dne  26.1.2016  zapojeny nevyčerpané finanční prostředky ve výši 310 tis. Kč do rozpočtu roku 2016.</t>
  </si>
  <si>
    <t>Integrované výjezdové centrum Ostrava Jih</t>
  </si>
  <si>
    <t xml:space="preserve">Usnesením rady kraje č. 86/9882 ze dne 17.12.2015 byly schváleny finanční prostředky ve výši 520 tis. Kč účelově učené na úhradu energií v objektu Integrovaného výjezdového centra Ostrava-Jih (elektrická energie, voda, teplo). Stavba byla zkolaudována dne 18.12.2015 a dále probíhalo vybavení interiéru, přičemž při montáži nábytku došlo ke spotřebě energií. Usnesením rady kraje č. 85/6772 ze dne 8.12.2015 byly schváleny finanční prostředky ve výši 41 tis. Kč účelově určené na nákup stolů a polepů do objektu Integrovaného výjezdového centra Ostrava-Jih. Vzhledem k tomu, že faktury byly vystaveny až v roce 2016, byly usnesením rady kraje č. 89/7017 ze dne 26.1.2016 zapojeny nevyčerpané finanční prostředky ve výši 520 tis. Kč do rozpočtu roku 2016. </t>
  </si>
  <si>
    <t xml:space="preserve">Ostatní výdaje v odvětví krizového řízení </t>
  </si>
  <si>
    <t>Nevyčerpané finanční prostředky představují úsporu vzniklou vhodným výběrem dodavatelů pohoštění, jednalo se zejména o využití služeb příspěvkových organizací kraje.</t>
  </si>
  <si>
    <t>Zabezpečení technické podpory pro Integrované bezpečnostní centrum Moravskoslezského kraje</t>
  </si>
  <si>
    <t>ID - Úhrada nákladů souvisejících s organizací hasičských soutěží (Sbor dobrovolných hasičů Jablunkov)</t>
  </si>
  <si>
    <t>ID - Úhrada nákladů souvisejících s organizací významných sportovních soutěží a účastí na nich (Sportovní klub Hasičského záchranného sboru Moravskoslezského kraje o.s.)</t>
  </si>
  <si>
    <t>ID - 5. Trilaterální sympozium s tématem Medicína katastrof (Fakultní nemocnice Ostrava)</t>
  </si>
  <si>
    <t>ID - Úhrada nákladů souvisejících s pořízením praporu (Sbor dobrovolných hasičů Heřmánky)</t>
  </si>
  <si>
    <t>ID - Pořízení slavnostního vyšívaného hasičského praporu (Sbor dobrovolných hasičů Spálov)</t>
  </si>
  <si>
    <t>Zastupitelstvo kraje rozhodlo o profinancování a kofinancování projektu usnesením č. 14/1202 ze dne 7.5.2015. Vzhledem k tomu, že dodávka automobilů proběhla až na konci roku 2015, byl audit projektu realizován až začátkem roku 2016. Nevyčerpané finanční prostředky ve výši 20 tis. Kč byly zapojeny do rozpočtu roku 2016 na základě usnesení rady kraje č. 89/7017 ze dne 26.1.2016.</t>
  </si>
  <si>
    <t>Zastupitelstvo kraje rozhodlo profinancovat a kofinancovat projekt usnesením č. 5/397 ze dne  25.7.2013. Vzhledem ke zpoždění stavebních prací bylo řešeno smluvní vypořádání s dodavatelem (vícepráce) až v roce 2016. Tím také dojde k auditu projektu až v roce 2016. Nevyčerpané finanční prostředky ve výši 3.018 tis. Kč byly zapojeny do rozpočtu roku 2016 na základě usnesení rady kraje č. 89/7017 ze dne 26.1.2016. Úspora ve výši  1.506 tis. Kč vznikla v důsledku vysoutěžení nižších cen ve veřejných zakázkách.</t>
  </si>
  <si>
    <t xml:space="preserve">Zastupitelstvo kraje rozhodlo profinancovat a kofinancovat projekt usnesením č. 8/694 ze dne 27.2.2014. Vzhledem ke zpoždění stavebních prací bude řešeno smluvní vypořádání s dodavatelem  (vícepráce) v roce 2016. Pak dojde k úhradě autorského dozoru a auditu projektu. V důsledku zdlouhavého procesu výběrového řízení na dodavatele vybavení budou výdaje za dodání interiéru hrazeny až v roce 2016. Nevyčerpané finanční prostředky byly zapojeny do rozpočtu roku 2016 na základě usnesení rady kraje č. 89/7017 ze dne 26.1.2016. </t>
  </si>
  <si>
    <t>PŘEHLED VÝDAJŮ V ODVĚTVÍ KULTURY V ROCE 2015</t>
  </si>
  <si>
    <t>Nevyčerpané prostředky ve výši 1.019 tis. Kč představují úsporu v rámci akce vzniklou z důvodu poskytnutí dotací v nižším objemu, než bylo plánováno.</t>
  </si>
  <si>
    <t>Zastupitelstvo kraje rozhodlo usnesením č. 17/1739 ze dne 17.12.2015 poskytnout dotaci ve výši 200 tis. Kč Sdružení Permoník na účast koncertního sboru na mezinárodním festivalu orchestrů „Sounds of Spring“ v New Yorku spojenou s projektem „Oslavy 50. výročí vzniku Sborového studia Permoník“, s časovou použitelností od 1.12.2015 do 31.8.2016. Finanční prostředky byly převedeny do rozpočtu kraje roku 2016 usnesením rady kraje č. 89/7017 ze dne 26.1.2016. Zbývající finanční prostředky představují vratku dotace poskytnuté v roce 2015.</t>
  </si>
  <si>
    <t>Program rozvoje muzejnictví v Moravskoslezském kraji</t>
  </si>
  <si>
    <t>V souladu s Koncepcí podpory kultury v Moravskoslezském kraji na období 2014 - 2020 je plánováno každoročně udělit titul Mistr tradiční rukodělné výroby Moravskoslezského kraje výrobcům činným v oborech tradiční rukodělné výroby, které jsou zásadním způsobem ohroženy, či jim přímo hrozí zánik. Poprvé bude tento titul udělen za rok 2015, avšak prozatím není jistý přesný termín rozhodnutí a udělení titulu (předpokládá se v 1. polovině roku 2016). Finanční prostředky byly převedeny do rozpočtu kraje roku 2016 usnesením rady kraje č. 89/7017 ze dne 26.1.2016.</t>
  </si>
  <si>
    <t>Odměny obyvatelstvu (archeologické nálezy)</t>
  </si>
  <si>
    <t>Krajský úřad obdržel 2 oznámení o archeologických nálezech na území Moravskoslezského kraje. Jelikož prozatím nejsou k dispozici odborné posudky s odhadem ceny nálezů, na základě kterých dojde k určení nálezného, byly finanční prostředky usnesením rady kraje č. 89/7017 ze dne 26.1.2016 převedeny do rozpočtu kraje roku 2016.</t>
  </si>
  <si>
    <t>Technická údržba, podpora a služby k software v odvětví kultury</t>
  </si>
  <si>
    <t>ID - Projekt "Výměna vodovodního potrubí, venkovního osvětlení a souvisejících elektrických rozvodů" (Matice Slezská, místní odbor v Dolní Lomné)</t>
  </si>
  <si>
    <t>Zastupitelstvo kraje rozhodlo svým usnesením č. 16/1617 ze dne 25.9.2015 poskytnout dotaci ve výši 2.000 tis. Kč Matici Slezské, místní odbor v Dolní Lomné s časovou použitelností od 1.10.2015 do 31.10.2016. Dle smlouvy o poskytnutí dotace budou finanční prostředky převedeny na účet příjemce ve 3 splátkách, přičemž v roce 2015 byla vyplacena 1. splátka ve výši 100 tis. Kč. Prostředky na zbývající 2 splátky v celkovém objemu 1.900 tis. Kč byly usnesením rady kraje č. 89/7017 ze dne 26.1.2016 převedeny do rozpočtu kraje roku 2016.</t>
  </si>
  <si>
    <t>ID - Projekt „6. ročník festivalu Nad oblaky – Každý může být hvězdou“ (ProMancus o.p.s.)</t>
  </si>
  <si>
    <t>ID - Projekt „VII. Setkání dětí opuštěných a dětí s postižením“ (Fond pro opuštěné a handicapované děti)</t>
  </si>
  <si>
    <t>Příspěvek na provoz (Moravskoslezská vědecká knihovna v Ostravě, p.o.)</t>
  </si>
  <si>
    <t>Příspěvek na provoz (Galerie výtvarného umění v Ostravě, p.o.)</t>
  </si>
  <si>
    <t>Příspěvek na provoz (Těšínské divadlo Český Těšín, p.o.)</t>
  </si>
  <si>
    <t>Příspěvek na provoz (Muzeum Těšínska, Český Těšín, p.o.)</t>
  </si>
  <si>
    <t>Příspěvek na provoz (Muzeum Beskyd Frýdek-Místek, p.o.)</t>
  </si>
  <si>
    <t>Příspěvek na provoz (Muzeum v Bruntále, p.o.)</t>
  </si>
  <si>
    <t>Příspěvek na provoz (Muzeum Novojičínska, p.o.)</t>
  </si>
  <si>
    <t>Příspěvek na provoz v odvětví kultury - příspěvkové organizace kraje - udržitelnost realizovaných projektů</t>
  </si>
  <si>
    <t>Nákup a ochrana knihovního fondu a nákup licencí k databázím (Moravskoslezská vědecká knihovna v Ostravě, příspěvková organizace)</t>
  </si>
  <si>
    <t xml:space="preserve">Regionální funkce knihoven - příspěvkové organizace MSK </t>
  </si>
  <si>
    <t>SR - dotace z Ministerstva kultury ČR - Veřejné informační služby knihoven - neinvestice  (Moravskoslezská vědecká knihovna v Ostravě, p.o., Muzeum Těšínska , p.o.)</t>
  </si>
  <si>
    <t>SR - dotace z Ministerstva kultury ČR - Kulturní aktivity (Muzeum Novojičínska, p.o)</t>
  </si>
  <si>
    <t>SR - dotace z Ministerstva kultury ČR - Program státní podpory profesionálních divadel a stálých profesionálních symfonických orchestrů a pěveckých sborů (Těšínské divadlo Český Těšín, p.o.)</t>
  </si>
  <si>
    <t>Finanční prostředky v roce 2015 byly vyčleněny zejména na majetkové vypořádání pozemků, na přípravu projektové dokumentace a inženýrskou činnost. Dle zpracovaného časového harmonogramu bylo upřesněno čerpání finančních prostředků na roky 2016 – 2020. V roce 2015 pokračovalo majetkové vypořádání pozemků a aktualizace vyjádření k umístění stavby. Proběhlo územní řízení a bylo ukončeno vydáním územního rozhodnutí  v únoru 2016 s předpokládaným nabytím právní moci v březnu 2016. Příprava dalších stupňů projektové dokumentace bude ukončena v roce 2016. Veřejná zakázka na výběr zhotovitele stavby se bude připravovat v roce 2016. Z tohoto důvodu byly usnesením rady kraje č. 89/7017 ze dne 26.1.2016 převedeny nevyčerpané finanční prostředky ve výši 4.256,73 tis. Kč do rozpočtu roku 2016.</t>
  </si>
  <si>
    <t>Akce byla schválena usnesením zastupitelstva kraje č. 16/1350 ze dne 22.12.2010. Stavba byla zahájena dne 28.6.2012 předáním staveniště vybranému zhotoviteli - společnosti VOKD a.s., ale z důvodu úpadku tohoto zhotovitele byla stavba v srpnu 2014 přerušena. V současnosti je připravena zadávací dokumentace pro veřejnou zakázku na výběr zhotovitele projektové dokumentace, která bude řešit dostavbu rozestavěné stavby, dle které bude následně možné stavbu dokončit. Předpoklad dokončení stavby je přelom roku 2016/2017. V návaznosti na výše uvedené byly usnesením rady kraje č. 89/7017 ze dne 26.1.2016 převedeny nevyčerpané finanční prostředky ve výši 22.886,09 tis. Kč do rozpočtu roku 2016.</t>
  </si>
  <si>
    <t>Projektová dokumentace „NKP zámek Bruntál – Revitalizace saly terreny“ (Muzeum v Bruntále, příspěvková organizace)</t>
  </si>
  <si>
    <t>SR - Reprodukce majetku kraje v odvětví kultury realizovaná ze státního rozpočtu - ISO C Výkupy předmětů - podprogram č. 134 514 - neinvestiční (Galerie výtvarného umění v Ostravě, p.o.)</t>
  </si>
  <si>
    <t>SR - Reprodukce majetku kraje v odvětví kultury realizovaná ze státního rozpočtu - ISO D Preventivní ochrana před vlivy prostředí - podprogram č. 134 515 - neinvestiční -  p.o. v odvětví kultury</t>
  </si>
  <si>
    <t>SR - Reprodukce majetku kraje v odvětví kultury realizovaná ze státního rozpočtu - Program restaurování movitých kulturních památek (Muzeum v Bruntále, p.o.)</t>
  </si>
  <si>
    <t>SR - Reprodukce majetku kraje v odvětví kultury realizovaná ze státního rozpočtu - Záchrana architektonického dědictví - neinvestice - program č. 434 312 (Muzeum V Bruntále, p.o.)</t>
  </si>
  <si>
    <t>SR - Reprodukce majetku kraje v odvětví kultury realizovaná ze státního rozpočtu - ISO D Preventivní ochrana před vlivy prostředí - podprogram č. 134 515 - investiční -  p.o. v odvětví kultury</t>
  </si>
  <si>
    <t>Revitalizace zámku ve Frýdku včetně obnovy expozice </t>
  </si>
  <si>
    <t>Realizace akce byla ukončena. Úspora vznikla v důsledku nižší ceny díla (méněpráce)  a dohody o narovnání uzavřené se zhotovitelem stavby.</t>
  </si>
  <si>
    <t>PŘEHLED VÝDAJŮ V ODVĚTVÍ PREZENTACE KRAJE A EDIČNÍHO PLÁNU V ROCE 2015</t>
  </si>
  <si>
    <t>Ediční plán</t>
  </si>
  <si>
    <t>Nedočerpané finanční prostředky představují úsporu v důsledku nerealizace nákupu licencí k fotografiím do publikací. Do publikací byly využity již pořízené fotografie z minulých let.</t>
  </si>
  <si>
    <t>Propagace kraje a prezentační předměty</t>
  </si>
  <si>
    <t>Nevyčerpané finanční prostředky představují úsporu vzniklou nižšími požadavky na nákup prezentačních předmětů.</t>
  </si>
  <si>
    <t xml:space="preserve">Realizace komunikační strategie </t>
  </si>
  <si>
    <t>V návaznosti na platební podmínky a dobu platnosti uzavřených smluv týkajících se poskytnutí prostoru v tisku, zveřejňování propagačních článků o kraji, inzercí a článků, výroby pořadů programového obsahu určeného pro vysílání a nákup vysílacího času byly usnesením rady kraje č. 89/7017 ze dne 26.1.2016 zapojeny nevyčerpané finanční prostředky ve výši 9.314 tis. Kč do rozpočtu kraje na rok 2016. Nevyčerpané finanční prostředky ve výši 392 tis. Kč představují úsporu z dílčích nerealizovaných akcí v oblasti komunikační strategie.</t>
  </si>
  <si>
    <t>Usnesením č. 17/1692 ze dne 17.12.2015 rozhodlo zastupitelstvo kraje poskytnout neinvestiční dotaci městu Příbor ve výši 70 tis. Kč na doplnění jmen padlých letců Moravskoslezského kraje ve 2. světové válce na pietní stěnu Památníku letců v Příboře a na letišti Mošnov. S ohledem na platební podmínky uvedené ve smlouvě byly finanční prostředky zapojeny usnesením č. 89/7017 ze dne 26.1.2016 do rozpočtu kraje na rok 2016. Nevyčerpané finanční prostředky ve výši 77 tis. Kč představují úsporu výdajů související s akcemi pořádanými u příležitosti oslavy 70. výročí osvobození Moravskoslezského kraje.</t>
  </si>
  <si>
    <t>Nevyčerpané finanční prostředky představují úsporu výdajů hrazených v souvislosti s účastí zahraničních delegací z partnerských regionů na akcích podporovaných z rozpočtu kraje a neuskutečněním některých plánovaných návštěv (Ruská federace, Bělorusko, Čína, Francie).</t>
  </si>
  <si>
    <t>Prezentace a propagace kraje v EU</t>
  </si>
  <si>
    <t>Nevyčerpané finanční prostředky představují úsporu vzniklou v souvislosti s nerealizací vypracování analýz a právních poradenství a dále pak neuskutečněním některých plánovaných akcí a s tím souvisejících výdajů. V souvislosti s výše uvedeným byl rozpočet na této akci postupně snižován a finanční prostředky byly použity na dofinancování akcí "Mezinárodní spolupráce", "Ostatní individuální dotace v odvětví prezentace kraje a edičního plánu" a výdajů v oblasti vlastní správní činnost kraje a činnost zastupitelstva kraje.</t>
  </si>
  <si>
    <t>Příspěvky mezinárodním organizacím</t>
  </si>
  <si>
    <t>Ostatní výdaje v odvětví prezentace kraje</t>
  </si>
  <si>
    <t>ID - Organizace krajského kola projektu „Cena Ď v Moravskoslezském kraji 2015“ (Richard Langer)</t>
  </si>
  <si>
    <t>ID - Výroba dokumentárního snímku "Poválečný kmotr“ (Televize Přerov s.r.o.)</t>
  </si>
  <si>
    <t>ID - Vydání publikace „Bez nároku na slávu“ (MONTANEX a.s.)</t>
  </si>
  <si>
    <t>ID - Realizace oslavného koncertu Big Bandu Felixe Slováčka k příležitosti „Oslav 70. výročí ukončení II. světové války a osvobození Československé republiky“ (BENEWELL s.r.o.)</t>
  </si>
  <si>
    <t>ID - Cena za mimořádný přínos v oboru gerontologie (DTO CZ, s.r.o.)</t>
  </si>
  <si>
    <t>ID - Zajištění oslav 125. výročí od založení Sboru dobrovolných hasičů Ostrava-Zábřeh (Sbor dobrovolných hasičů Ostrava-Zábřeh)</t>
  </si>
  <si>
    <t>ID - Uspořádání „XIII. mezinárodního setkání výrobců a sběratelů hlavolamů a jiných kuriozit“ (Sdružení hasičů Čech, Moravy a Slezska, Sboru dobrovolných hasičů Větřkovice)</t>
  </si>
  <si>
    <t>ID - Úhrada nákladů spojených s nájmem nebytových prostor na adrese Havlíčkovo nábřeží 2728/38, 702 00 Ostrava, a za účelem pronájmu prostor pro uspořádání koncertních vystoupení (Ostravský ruský dům)</t>
  </si>
  <si>
    <t>ID - Realizace pořádání závodu „Hyundai Perun SkyMarathon“ (free.lepus.cz)</t>
  </si>
  <si>
    <t>ID - Realizace mezinárodní soutěže historických vozidel „Moravia Rallye 2015" (Veteran Car Club Ostrava)</t>
  </si>
  <si>
    <t>ID - 1. ročník mezinárodní konference Zemní plyn – Energie ze země - CNG palivo budoucnosti (Klub plynárenské historie)</t>
  </si>
  <si>
    <t>ID - XXI. Setkání podnikatelů (Česko-polská obchodní komora)</t>
  </si>
  <si>
    <t>ID - Zhotovení praporu a uniforem (Základní organizace Odborového svazu pracovníků hornictví, geologie a naftového průmyslu, Dolu Darkov)</t>
  </si>
  <si>
    <t>PŘEHLED VÝDAJŮ V ODVĚTVÍ REGIONÁLNÍHO ROZVOJE V ROCE 2015</t>
  </si>
  <si>
    <t>Nedočerpané prostředky ve výši 2.142,2 tis. Kč jsou určeny na poskytnutí druhých splátek dotací po předložení závěrečného vyúčtování a byly účelově převedeny do rozpočtu kraje roku 2016, zbývající prostředky ve výši 521,28 tis. Kč představují úsporu v rámci dotačního programu.</t>
  </si>
  <si>
    <t>Nedočerpané prostředky ve výši 24.106 tis. Kč určené na poskytnutí jednotlivých splátek dotací byly účelově převedeny do rozpočtu kraje roku 2016, zbývající prostředky ve výši 1.705,27 tis. Kč představují úsporu v rámci dotačního programu.</t>
  </si>
  <si>
    <t>Nedočerpané prostředky ve výši 210,15 tis. Kč představují úsporu v rámci dotačního programu.</t>
  </si>
  <si>
    <t>Nedočerpané prostředky ve výši 24.181 tis. Kč určené na poskytnutí jednotlivých splátek dotací byly účelově převedeny do rozpočtu kraje roku 2016, zbývající prostředky ve výši 393,26 tis. Kč představují úsporu v rámci dotačního programu.</t>
  </si>
  <si>
    <t>Nečerpané prostředky ve výši 3.600 tis. Kč určené na poskytnutí jednotlivých splátek dotací byly účelově převedeny do rozpočtu kraje roku 2016.</t>
  </si>
  <si>
    <t>Nedočerpané prostředky ve výši 8.455,25 tis. Kč určené na poskytnutí jednotlivých splátek dotací byly účelově převedeny do rozpočtu kraje roku 2016, zbývající prostředky ve výši 1.948,96 tis. Kč představují úsporu v rámci dotačního programu.</t>
  </si>
  <si>
    <t>Nedočerpané prostředky ve výši 122,71 tis. Kč představují úsporu v rámci dotačního programu.</t>
  </si>
  <si>
    <t>Dotační program – Program podpory financování akcí s podporou EU pro obce do 2 tis. obyvatel</t>
  </si>
  <si>
    <t>Nečerpané prostředky ve výši 684 tis. Kč představují úsporu v rámci dotačního programu.</t>
  </si>
  <si>
    <t>Nedočerpané prostředky ve výši 12.940 tis. Kč určené na úhradu nákladů souvisejících s účastí kraje na investičním veletrhu EXPO REAL 2015 a na poskytnutí individuálních dotací po předložení závěrečného vyúčtování byly účelově převedeny do rozpočtu kraje roku 2016, zbývající prostředky ve výši 7.337,63 tis. Kč představují úsporu u této akce.</t>
  </si>
  <si>
    <t>Nedočerpané prostředky ve výši 2.196,52 tis. Kč určené na úhradu nákladů souvisejících s činností Agentury pro regionální rozvoj byly účelově převedeny do rozpočtu kraje roku 2016.</t>
  </si>
  <si>
    <t>Členský poplatek za účast v zájmovém sdružení právnických osob Trojhalí Karolina</t>
  </si>
  <si>
    <t>Program podpory malých a středních podniků v Moravskoslezském kraji</t>
  </si>
  <si>
    <t>Nedočerpané prostředky ve výši 50 tis. Kč určené na úhradu hodnotitelům projektů v rámci mikropůjček byly účelově převedeny do rozpočtu kraje roku 2016.</t>
  </si>
  <si>
    <t>Zabezpečení aktivit odborných pracovních skupin tripartity</t>
  </si>
  <si>
    <t>Poradenství a právní služby pro strategické rozhodování kraje</t>
  </si>
  <si>
    <t>Nedočerpané prostředky ve výši 1.312,85 tis. Kč určené na poskytování právních služeb souvisejích se záměrem vybrat leteckého dopravce obsluhujícího linky Ostrava - Amsterdam a Ostrava - Helsinki byly účelově převedeny do rozpočtu kraje 2016.</t>
  </si>
  <si>
    <t>Průmyslová zóna Nošovice</t>
  </si>
  <si>
    <t xml:space="preserve">Akce byla schválena usnesením ZK č. 15/1277/1 ze dne 21.6.2006. Jedná se o víceletou akci s termínem ukončení v roce 2015. Upravený rozpočet na rok 2015 činil 14.800 tis. Kč. V roce 2015 proběhla poslední úhrada  kompenzace Zemědělskému družstvu vlastníků Nošovice ve výši 10.000 tis. Kč,  a dále zejména úhrada služeb spojených s přeložkami distribučního zařízení určeného k dodávce elektrické energie. Nevyčerpané finanční prostředky byly usnesením rady kraje č.  89/7017 ze dne 26.1.2016 zapojeny do rozpočtu roku 2016 zejména na úhradu věcných břemen, která se pojí s realizací této stavby. </t>
  </si>
  <si>
    <t xml:space="preserve">Akce byla schválena usnesením ZK č.7/519 ze dne 19.12.2013. Upravený rozpočet na rok 2015 činil 244.655 tis. Kč. Nevyčerpané finanční prostředky ve výši 238.391 tis. Kč byly usnesením rady kraje č. 89/7017 ze dne 26.1.2016 účelově převedeny do rozpočtu roku 2016 zejména na úhradu kupní ceny za výkup převážné části území budoucí průmyslové zóny Nad Barborou. </t>
  </si>
  <si>
    <t>ID - Mistrovství České a Slovenské republiky ADCC 2014 (Oddíl bojových umění Doubrava - H.P. Martial Gym, o.s.)</t>
  </si>
  <si>
    <t>ID - Pořádání soutěže ve zpěvu harckých kanárů (Český svaz chovatelů - základní organizace Třinec 1)</t>
  </si>
  <si>
    <t>ID - Okresní výstava drobného zvířectva (Český svaz chovatelů - základní organizace Třinec 1)</t>
  </si>
  <si>
    <t>Nečerpané prostředky určené na poskytnutí dotace po předložení závěrečného vyúčtování stanoveného do 20.1.2016 byly účelově převedeny do rozpočtu kraje 2016.</t>
  </si>
  <si>
    <t>ID - Sportovní činnost ČSWABU (Český svaz Wa-te jitsu do a bojových umění, o.s.)</t>
  </si>
  <si>
    <t>ID - Výstavba rybářského školícího a informačního centra (Český rybářský svaz, z.s.)</t>
  </si>
  <si>
    <t>Nedočerpané prostředky ve výši 200 tis. Kč představují úsporu v rámci této akce z důvodu nerealizace nákupu aplikace určené pro prezentaci kraje pro investiční zájemce.</t>
  </si>
  <si>
    <t>Zastupitelstvo kraje rozhodlo o profinancování a kofinancování projektu usnesením č. 11/960 ze dne 11.9.2014. Realizace projektu skončila k 30.10.2015, do konce roku nedošlo k finančnímu vypořádání. Prostředky obdržené zálohově a v průběhu realizace nevyčerpané tak bude nutné vrátit v roce 2016. Nevyčerpané finanční prostředky ve výši 216,20 tis. Kč byly zapojeny do rozpočtu roku 2016 na základě usnesení rady kraje č. 89/7017 ze dne 26.1.2016. Úspora vznikla v důsledku proplacení předfinancovaných výdajů z vlastních zdrojů.</t>
  </si>
  <si>
    <t>Zastupitelstvo kraje rozhodlo o profinancování a kofinancování usnesením č. 21/1764 ze dne 21.9.2011. Realizace projektu byla v roce 2015 ukončena. Úspora vznikla v důsledku proplacení předfinancovaných výdajů z vlastních zdrojů a vracení části zálohy kompenzačně.</t>
  </si>
  <si>
    <t>Zastupitelstvo kraje rozhodlo o profinancování a kofinancování projektu usnesení č. 25/2234 ze dne 5.9.2012. Realizace projektu byla v roce 2015 ukončena. Úspora vznikla v důsledku vysoutěžení nižších cen v rámci veřejných zakázek.</t>
  </si>
  <si>
    <t>Smart akcelerátor RIS 3 strategie</t>
  </si>
  <si>
    <t>Zastupitelstvo kraje rozhodlo o profinancování a kofinancování dne 25.9.2015 usnesením č. 16/1632. Finanční prostředky na přípravnou fázi projektu byly vyčleněny z prostředků určených na přípravu projektu pro rok 2015. Vzhledem k větší časové náročnosti přípravy projektu byly nevyčerpané finanční prostředky zapojeny do rozpočtu roku 2016 na základě usnesení rady kraje č. 89/7017 ze dne 26.1.2016.</t>
  </si>
  <si>
    <t>Prostředky na přípravu projektů</t>
  </si>
  <si>
    <t>Jedná se o nevyčerpané prostředky určené na přípravu projektů. Tyto prostředky představují rezervu, aby bylo možné v průběhu roku v případě získání finančního zdroje adekvátně reagovat na následnou přípravu. V okamžiku, kdy orgány kraje schválí zahájení přípravy projektu, stávají se výdajem daného projektu (nikoli této akce). Nevyčerpané finanční prostředky představují neúčelovou úsporu rozpočtu za rok 2015.</t>
  </si>
  <si>
    <t>Technická pomoc - Podpora aktivit v rámci Programu Interreg V-A ČR - PR</t>
  </si>
  <si>
    <t>Nedočerpané prostředky ve výši 21,5 tis. Kč určené na platy včetně povinných odvodů projektového týmu byly účelově převedeny do rozpočtu kraje roku 2016, zbývající prostředky ve výši 107,5 tis. Kč představují úsporu u této akce.</t>
  </si>
  <si>
    <t>Nové programové období 2014+</t>
  </si>
  <si>
    <t>Nedočerpané prostředky ve výši 200 tis. Kč určené na vyplacení odměn na základě dohod o provedení práce byly účelově převedeny do rozpočtu kraje roku 2016, zbývající prostředky ve výši 1.112,87 tis. Kč představují úsporu u této akce.</t>
  </si>
  <si>
    <t>PŘEHLED VÝDAJŮ V ODVĚTVÍ CESTOVNÍHO RUCHU V ROCE 2015</t>
  </si>
  <si>
    <t>Nedočerpané prostředky ve výši 316,6 tis. Kč jsou určeny na poskytnutí druhých splátek dotací po předložení závěrečného vyúčtování a byly účelově převedeny do rozpočtu kraje roku 2016, zbývající prostředky ve výši 286,31 tis. Kč představují úsporu v rámci dotačního programu.</t>
  </si>
  <si>
    <t>Nedočerpané prostředky ve výši 2.084,25 tis. Kč jsou určeny na poskytnutí druhých splátek dotací po předložení závěrečného vyúčtování a byly účelově převedeny do rozpočtu kraje roku 2016, zbývající prostředky ve výši 479,94 tis. Kč představují úsporu v rámci dotačního programu.</t>
  </si>
  <si>
    <t>Nedočerpané prostředky ve výši 32,05 tis. Kč představují úsporu v rámci dotačního programu.</t>
  </si>
  <si>
    <t>Nedočerpané prostředky ve výši 3.496,35 tis. Kč jsou určeny na poskytnutí dalších splátek dotací a byly účelově převedeny do rozpočtu kraje roku 2016, zbývající prostředky ve výši 1.207,3 tis. Kč představují úsporu v rámci dotačního programu.</t>
  </si>
  <si>
    <t>Nečerpané prostředky ve výši 865,5 tis. Kč jsou určeny na poskytnutí individuálních dotací po předložení závěrečného vyúčtování a byly účelově převedeny do rozpočtu kraje roku 2016. Zbylé nevyčerpané prostředky ve výši 2.066 tis. Kč představují úsporu v rámci akce.</t>
  </si>
  <si>
    <t xml:space="preserve">Činnosti společnosti Moravian Silesian Tourism, s.r.o.                                         </t>
  </si>
  <si>
    <t>Nedočerpané prostředky představují úsporu v rámci akce.</t>
  </si>
  <si>
    <t>Nedočerpané prostředky ve výši 5.906 tis. Kč určené na úhradu 2. splátky nájemného reklamních ploch na letišti Ostrava, sportovních akcí a veletrhů cestovního ruchu smluvně zajištěných v roce 2015 byly účelově převedeny do rozpočtu kraje roku 2016, zbývající prostředky ve výši 1.580 tis. Kč představují úsporu u této akce.</t>
  </si>
  <si>
    <t>Singltreky</t>
  </si>
  <si>
    <t>Nedočerpané prostředky ve výši 45,1 tis. Kč jsou určeny na úhradu nájemného z pozemků využívaných pro singltreky v katastru obce Bílá a byly účelově převedeny do rozpočtu kraje roku 2016, zbývající prostředky ve výši 52,64 tis. Kč představují úsporu v rámci akce.</t>
  </si>
  <si>
    <t>Nečerpané prostředky ve výši 6.500 tis. Kč jsou určeny na poskytnutí 1. splátky dotace na Rozšíření a zpřístupnění provozování NKP a KP a byly účelově převedeny do rozpočtu kraje roku 2016, zbytek 79,89 tis. Kč představuje úsporu.</t>
  </si>
  <si>
    <t>Propagace MS v hokeji 2015</t>
  </si>
  <si>
    <t>Prezentace kraje na výstavě EXPO 2015</t>
  </si>
  <si>
    <t>Stálá expozice historických dopravních prostředků s restaurátorskou dílnou</t>
  </si>
  <si>
    <t>Služby pro informační systém Beskydská a Jesenická magistrála</t>
  </si>
  <si>
    <t>ID - Úprava lyžařských běžeckých tras na Ondřejníku (Mikeska Petr)</t>
  </si>
  <si>
    <t>ID - Úprava lyžařských běžeckých tras v oblasti Morávky (obec Morávka)</t>
  </si>
  <si>
    <t>ID - Vydání publikace pod pracovním názvem "Kapitoly z historie severní Moravy a Slezska" (JAVOR Morava s.r.o.)</t>
  </si>
  <si>
    <t>ID - Orientační značení areálu Horských lázní Karlova Studánka (Horské lázně Karlova Studánka, s.p.)</t>
  </si>
  <si>
    <t>Dotace bude vyplacena po předložení závěrečného vyúčtování (předložení v termínu do 31.10.2016); proto byly finanční prostředky účelově převedeny do rozpočtu kraje roku 2016.</t>
  </si>
  <si>
    <t>ID - Provoz vlaků Slezských zemských drah (Slezské zemské dráhy, o.p.s.)</t>
  </si>
  <si>
    <t>ID - Zajištění páteční a víkendové vlakové dopravy na trati č. 314 Opava – Jakartovice – Svobodné Heřmanice v období od 3.7.2015 – 28.9.2015 (Mikroregion Hvozdnice)</t>
  </si>
  <si>
    <t>ID - Military centrum (Sdružení vojenské historie Těšínského Slezska)</t>
  </si>
  <si>
    <t>Nečerpané prostředky představují úsporu v rámci akce, neboť projekt se nerealizoval a dotace nebyla poskytnuta.</t>
  </si>
  <si>
    <t>ID - Rekonstrukce skautské mohyly Ivančena (Junák - svaz skautů a skautek ČR, Moravskoslezský kraj)</t>
  </si>
  <si>
    <t>Nedočerpané prostředky ve výši 71 tis. Kč určené na poskytnutí jednotlivých splátek dotace po předložení účetních dokladů prokazujících uznatelné náklady projektu byly účelově převedeny do rozpočtu kraje roku 2016.</t>
  </si>
  <si>
    <t>Reprodukce majetku kraje v odvětví cestovního ruchu</t>
  </si>
  <si>
    <t>Zastupitelstvo kraje rozhodlo o profinancování a kofinancování projektu dne 5.9.2012 usnesením č. 25/2237 a o zahájení realizace dne 20.6.2013 usnesením č. 4/322. Realizace projektu byla v roce 2015 ukončena. Úspora vznikla v důsledku vysoutěžení nižších cen ve veřejných zakázkách.</t>
  </si>
  <si>
    <t>Zastupitelstvo kraje rozhodlo o profinancování a kofinancování projektu dne 12.6.2014 usnesením č. 10/857. Realizace projektu byla v roce 2015 ukončena. Úspora vznikla v důsledku vysoutěžení nižších cen ve veřejných zakázkách a zároveň nerealizací jedné z aktivit projektu v důsledku zrušení veřejné zakázky.</t>
  </si>
  <si>
    <t>Bez bariér se nám žije snáz</t>
  </si>
  <si>
    <t>Zastupitelstvo kraje schválilo zahájení přípravy projektu dne 25.9.2015 usnesením č. 16/1631. Finanční prostředky na přípravnou fázi projektu byly vyčleněny z prostředků určených na přípravu projektů pro rok 2015. Vzhledem k větší časové náročnosti přípravy projektu byly nevyčerpané finanční prostředky zapojeny do rozpočtu roku 2016 na základě usnesení rady kraje č. 89/7017 ze dne 26.1.2016.</t>
  </si>
  <si>
    <t>Cyklovýlety na hrady a zámky v Moravskoslezském a Žilinském kraji</t>
  </si>
  <si>
    <t>Historické poznání kraje - folklór a tradice</t>
  </si>
  <si>
    <t>Chutě a vůně bez hranic</t>
  </si>
  <si>
    <t>Přeshraniční lyžařské běžecké trasy</t>
  </si>
  <si>
    <t>Přeshraniční páteřní síť cyklotras</t>
  </si>
  <si>
    <t>„TECHNO TRASA“</t>
  </si>
  <si>
    <t>PŘEHLED VÝDAJŮ V ODVĚTVÍ SOCIÁLNÍCH VĚCÍ V ROCE 2015</t>
  </si>
  <si>
    <t>Návratná finanční výpomoc</t>
  </si>
  <si>
    <t>Dotační program schválilo zastupitelstvo kraje usnesením č.14/1226 ze dne 7.5.2015. Rozpočet akce byl v průběhu roku 2015 snížen s ohledem na snížení objemu finančních prostředků požadovaných po jednotlivých obcích za účelem podpory vybraných druhů sociálních služeb. Část úspory kraje ve výši 8.357,5 tis. Kč byla na základě usnesení č.80/6463 ze dne 20.10.2015 převedena do rozpočtové rezervy. V závěru roku 2015 došlo k vrácení finančních prostředků na účet kraje, kde část těchto vratek je v roce 2016 předmětem finančního vypořádání s jednotlivými obcemi, které spolufinancovaly podporu vybraných druhů sociálních služeb v Moravskoslezském kraji. Z tohoto důvodu byly usnesením rady kraje č. 89/7017 ze dne 26.1.2016 převedeny vratky ve výši 477,28 tis. Kč do rozpočtu roku 2016.</t>
  </si>
  <si>
    <t>Mimořádné dary v důsledku nepříznivých životních a jiných situací</t>
  </si>
  <si>
    <t>Technická údržba, podpora a služby k software v odvětví sociálních věcí</t>
  </si>
  <si>
    <t>Konzultační a poradenská činnost v odvětví sociálních věcí</t>
  </si>
  <si>
    <t>Zpracování odborných posudků - psychologická vyšetření</t>
  </si>
  <si>
    <t>Finanční prostředky nebyly dočerpány zejména z důvodu aktuálních potřeb v oblasti náhradní rodinné péče.</t>
  </si>
  <si>
    <t>Ostatní výdaje v odvětví sociálních věcí</t>
  </si>
  <si>
    <t>Podpora projektů sociální prevence a sociálního začleňování s regionální působností v MSK</t>
  </si>
  <si>
    <t>SR - Podpora koordinátorů romských poradců</t>
  </si>
  <si>
    <t>Finanční prostředky nebyly čerpány zejména na osobní náklady a náklady spojené s rozšiřováním a prohlubováním kvalifikace koordinátora v souvislosti s obsazením pracovní pozice koordinátora v druhé polovině roku. V rámci finančního vypořádání byly v roce 2016  nedočerpané prostředky vráceny do státního rozpočtu.</t>
  </si>
  <si>
    <t>SR - Příspěvek na výkon sociální práce</t>
  </si>
  <si>
    <t>Finanční prostředky nebyly čerpány z důvodu toho, že dotace byla zaslána na účet kraje ke konci roku a nebylo možné realizovat výdaje na výkon sociální práce v dostatečné výši.  V rámci finančního vypořádání byly v roce 2016  nedočerpané prostředky vráceny do státního rozpočtu.</t>
  </si>
  <si>
    <t>SR - Transfery na státní příspěvek zřizovatelům zařízení pro děti vyžadující okamžitou pomoc</t>
  </si>
  <si>
    <t>Finanční prostředky poskytnuté  Ministerstvem práce a sociálních věcí na výplatu státního příspěvku pro zřizovatele zařízení pro děti vyžadující okamžitou pomoc nebyly ve výši 1.512,08 tis. Kč čerpány, jelikož Krajský úřad vydal v roce 2015 rozhodnutí o poskytnutí státního příspěvku v nižším objemu. V rámci finančního vypořádání byly v roce 2016  nedočerpané prostředky vráceny do státního rozpočtu.</t>
  </si>
  <si>
    <t>ID - Projekt "Projektový manažer – krok k úspěšnému rozvoji Osoblažska" (Osoblažský cech, o.p.s.)</t>
  </si>
  <si>
    <t>ID - Projekt "Držíme spolu 2016" (Asociace rodičů dětí s DMO a přidruženými neurologickými onemocněními ČR)</t>
  </si>
  <si>
    <t>ID - Projekt „Podané ruce“ (Evropský spolek pro OZP)</t>
  </si>
  <si>
    <t>Finanční prostředky byly schváleny usnesením rady kraje č.85/6809 ze dne 8.12.2015 s časovou použitelností od 1.1.2016 do 31.12.2016. Z důvodu termínu realizace projektu v roce 2016 byly usnesením rady kraje č. 89/7017 ze dne 26.1.2016 převedeny do rozpočtu roku 2016.</t>
  </si>
  <si>
    <t>ID - Projekt "Diakonické vzdělávací centrum" (Slezská diakonie)</t>
  </si>
  <si>
    <t>ID - Projekt "Slavnostní seminář k 25. výročí založení STP v ČR" (Svaz tělesně postižených v České republice, o.s., krajská organizace Moravskoslezského kraje)</t>
  </si>
  <si>
    <t>ID - Projekt „Digitalizace knih – šance pro ženy s handicapem!“  (TRIANON, z. s.)</t>
  </si>
  <si>
    <t>Finanční prostředky byly schváleny usnesením rady kraje č.85/6810 ze dne 8.12.2015 s časovou použitelností od 1.1.2016 do 31.12.2016. Z důvodu termínu realizace projektu v roce 2016 byly usnesením rady kraje č. 89/7017 ze dne 26.1.2016 převedeny do rozpočtu roku 2016.</t>
  </si>
  <si>
    <t>ID - Konference „Podpora pečujících osob“ (Národní rada osob se zdravotním postižením České republiky, z.s.)</t>
  </si>
  <si>
    <t>Příspěvek na provoz odvětví sociálních věcí - příspěvkové organizace kraje</t>
  </si>
  <si>
    <t>V důsledku úspěšného jednání kraje v průběhu roku 2015 s Ministerstvem práce a sociálních věcí ve věci dofinancování poskytovatelů sociálních služeb ze státního rozpočtu a za účelem zajištění vyrovnaného výsledku hospodaření příspěvkových organizací nebyly finanční prostředky pro příspěvkové organizace kraje čerpány v alokované výši.</t>
  </si>
  <si>
    <t xml:space="preserve">Z důvodu uplatnění pravidel pro výpočet vyrovnávací platby byl příspěvek na provoz účelově určený na odpisy u vybraných příspěvkových organizací optimalizován, proto nebyl dočerpán v plné výši. </t>
  </si>
  <si>
    <t>Příprava a posuzování žadatelů o náhradní rodinnou péči (Centrum psychologické pomoci, příspěvková organizace, Karviná)</t>
  </si>
  <si>
    <t xml:space="preserve">Transformace a humanizace pobytových sociálních služeb  </t>
  </si>
  <si>
    <t>Finanční prostředky schváleného rozpočtu byly na základě usnesení rady kraje č. 85/6812 ze dne 8.12.2015 použity na dofinancování provozu příspěvkové organizace kraje v rámci akce Příspěvek na provoz příspěvkovým organizacím v odvětví sociálních věcí - dofinancování provozu.</t>
  </si>
  <si>
    <t>V důsledku úspěšného jednání kraje v průběhu roku 2015 s Ministerstvem práce a sociálních věcí ve věci dofinancování poskytovatelů sociálních služeb ze státního rozpočtu nebyly finanční prostředky pro příspěvkové organizace kraje čerpány v alokované výši. Nevyčerpané finanční prostředky ve výši 8.000 tis. Kč byly na základě usnesení rady kraje č. 80/6463 ze dne 20.10.2015 převedeny do rozpočtové rezervy. Finanční prostředky ve výši 6.450 tis. Kč ze schváleného rozpočtu této akce byly na základě usnesení rady kraje č. 85/6812 ze dne 8.12.2015 použity na investiční akce příspěvkových organizací v odvětví sociálních věcí.</t>
  </si>
  <si>
    <t>Finanční prostředky poskytnuté  Ministerstvem práce a sociálních věcí na výplatu státního příspěvku pro zřizovatele zařízení pro děti vyžadující okamžitou pomoc nebyly ve výši 736,5 tis. Kč čerpány, jelikož Krajský úřad vydal v roce 2015 rozhodnutí o poskytnutí státního příspěvku v nižším objemu. V rámci finančního vypořádání byly v roce 2016 nedočerpané prostředky vráceny do státního rozpočtu.</t>
  </si>
  <si>
    <t>Finanční prostředky byly určeny na zabezpečení běžného chodu příspěvkových organizací kraje v odvětví sociálních věcí v případě opožděných transferů ze státního rozpočtu.</t>
  </si>
  <si>
    <t>Akce byla schválena usnesením zastupitelstvem kraje č. 16/1350 dne 22.12.2010. V říjnu 2015 došlo k předání objektu  k rekonstrukci a k zahájení stavebních prací. Předpoklad ukončení stavby dle předloženého harmonogramu zhotovitele je duben 2017. Akce je spolufinancována ze státního rozpočtu ve výši 24.075 tis. Kč. Z tohoto důvodu byly usnesením rady kraje č. 89/7017 ze dne 26.1.2016 převedeny nevyčerpané finanční prostředky ve výši  38.558,90 tis. Kč do rozpočtu roku 2016.</t>
  </si>
  <si>
    <t>Nevyčerpané finanční prostředky ve výši 250 tis. Kč byly na základě usnesení rady kraje č. 87/7017 ze dne 26.1.2016 převedeny do upraveného rozpočtu roku 2016 za účelem financování závazného ukazatele "investiční příspěvek do fondu investic" příspěvkové organizaci Domov Jistoty s časovou použitelností do 30.6.2016 , který schválila rada kraje usnesením č. 85/6812 ze dne 8.12.2015.</t>
  </si>
  <si>
    <t>Úspora finančních prostředků vznikla na základě nejnižší nabídkové ceny v rámci výběrového řízení.</t>
  </si>
  <si>
    <t>Vybudování čističky odpadních vod (Domov Na zámku, příspěvková organizace, Kyjovice)</t>
  </si>
  <si>
    <t>nerealizovaná</t>
  </si>
  <si>
    <t>Akce byla schválena usnesením ZK č. 12/996  ze dne 11.12.2014. Realizace čističky nebyla zahájena vzhledem k tomu, že stavební úřad v Pusté Polomi odmítl vydat souhlas s realizací této akce, nevydal územní rozhodnutí a stavební povolení. Finanční prostředky představují skutečnou úsporu a jsou součástí neúčelového přebytku hospodaření za rok 2015.</t>
  </si>
  <si>
    <t>Akce byla schválena usnesením zastupitelstva kraje č. 12/996 ze dne 11.12.2014. Smlouva se zhotovitelem studie a projektové dokumentace byla uzavřena v srpnu 2015. V současnosti je ze strany kraje schválená studie stavby a v začátkem roku 2016 by měla být podána žádost o územní rozhodnutí stavby. Po vypracování všech stupňů projektové dokumentace bude cca v polovině roku 2016 zahájena veřejná zakázka na výběr zhotovitele stavby. Předpoklad zahájení stavby je poslední čtvrtletí roku 2016. Z tohoto důvodu byly usnesením rady kraje č. 89/7017 ze dne 26.1.2016 převedeny nevyčerpané finanční prostředky ve výši 2.379 tis. Kč do rozpočtu roku 2016.</t>
  </si>
  <si>
    <t>Akce byla schválena usnesením zastupitelstva kraje č.12/996 ze dne 11.12.2014. V současné době probíhá projekční činnost. Jedná se o zhotovení projektové dokumentace všech stupňů  a zajištění pravomocného územního souhlasu a stavebního povolení. Po předání projektové dokumentace v lednu 2016 bude zahájena veřejná zakázka na zhotovitele stavby a veřejná zakázka na výkon technického dozoru stavebníka.  Předpoklad těchto vysoutěžení je květen 2016. Poté bude následovat vlastní realizace díla, která bude ukončena v dubnu 2017. Z tohoto důvodu byly usnesením rady kraje č. 89/7017 ze dne 26.1.2016 převedeny nevyčerpané finanční prostředky ve výši 987,90 tis. Kč do rozpočtu roku 2016.</t>
  </si>
  <si>
    <t>Jedná se o pokračující akci. Pro rok 2016 byly usnesením zastupitelstva kraje č. 17/1686 ze dne 17.12.2015 schváleny finanční prostředky ve výši 800 tis. Kč na realizaci další etapy.</t>
  </si>
  <si>
    <t>Akce byla schválena usnesením zastupitelstva kraje č. 12/996 ze dne 11.12.2014 s předpokládanými náklady ve výši 2.000 tis. Kč. Tato akce navazuje na investiční akci v rámci projektu „Poradna pro pěstounskou péči v Ostravě“ spolufinancovaného z evropských fondů, u které došlo k časovému skluzu a jejíž realizace byla dokončena v měsíci listopadu 2015.  Venkovní úpravy však mohly být zahájeny až po dokončení a řádném předání první stavby.  V roce 2015 byla na akci zpracována a uhrazena projektová dokumentace a proběhlo zadávací řízení na zhotovitele. Protože se jedná o venkovní úpravy, byly z důvodu nadcházejících nepříznivých zimních klimatických podmínek  usnesením rady kraje č. 89/7017 ze dne 26.1.2016 převedeny nevyčerpané finanční prostředky ve výši  1.995,77 tis. Kč do rozpočtu roku 2016.</t>
  </si>
  <si>
    <t>Vybudování evakuačních výtahů (Náš svět, příspěvková organizace, Pržno)</t>
  </si>
  <si>
    <t>Akce byla schválena usnesením zastupitelstva kraje č.12/996  ze dne 11.12.2014. Realizace evakuačních výtahů nebyla zahájena vzhledem k tomu, že příspěvková organizace obdržela stanovisko HZS o tom, že stávající výtahy jsou postačující pro zajištění provozu příspěvkové organizace. V návaznosti na to usnesením rady kraje č. 80/6463 ze dne 20.10.2015 došlo ke zrušení závazného ukazatele a k převodu finančních prostředků do rozpočtové rezervy.</t>
  </si>
  <si>
    <t>Rekonstrukce výtahu v budově na ul. Máchova 19, Nový Jičín (Domov Paprsek, příspěvková organizace, Nový Jičín)</t>
  </si>
  <si>
    <t>Akce byla schválena usnesením zastupitelstva kraje č. 12/996 ze dne 11.12.2014 s předpokládanými náklady ve výši 1.900 tis. Kč, z toho 1.100 tis. Kč z rozpočtu kraje a 800 tis. Kč z vlastních zdrojů příspěvkové organizace. Projektová dokumentace pro výběr zhotovitele byla zpracována a uhrazena z vlastních zdrojů příspěvkové organizace. Stavební povolení na výtah je vydáno. Veřejná zakázka malého rozsahu byla zadavatelem 2x zrušena v důsledku vysokých nabídkových cen. Na konci roku 2015 byla upravena projektová dokumentace pro nové vyhlášení veřejné zakázky, které proběhne  na začátku roku 2016. Samotná realizace akce by měla být zahájena v první polovině roku 2016. Z tohoto důvodu byly usnesením rady kraje č. 89/7017 ze dne 26.1.2016 převedeny nevyčerpané finanční prostředky ve výši  1.100  tis. Kč do rozpočtu roku 2016.</t>
  </si>
  <si>
    <t>Jedná se o pokračující akci. Pro rok 2016 byly usnesením zastupitelstva kraje č. 17/1686 ze dne 17.12.2015 schváleny finanční prostředky ve výši 100 tis. Kč na realizaci další etapy.</t>
  </si>
  <si>
    <t>Úpravy objektu na ul. Šunychelská včetně vybudování bydlení komunitního typu (Domov Jistoty, příspěvková organizace, Bohumín)</t>
  </si>
  <si>
    <t>Akce byla schválena usnesením zastupitelstva kraje č.12/996 ze dne 11.12.2014 s předpokládanými náklady ve výši 3.500 tis. Kč. V průběhu zpracování projektové dokumentace bylo projektantem doporučeno s ohledem na kapacitní možnosti objektu a požadované kapacitní parametry ubytovací části rozšířit prostor pro zajištění služby i do přízemí objektu. V souvislosti s tímto záměrem vyvstala potřeba zajištění náhradních prostor jako kancelář pro provozní zaměstnance, kteří by po rozšíření služby museli jinak objekt opustit. Tento nový záměr navýšil stávající odhadovanou cenu stavby o náklady související s opravou jiného objektu a vybudování kanceláří pro provozní pracovníky a také o náklady související s rozšířením kapacity služby o další 3 klienty a s potřebou přebudování prostor v celém přízemí objektu na ul. Šunychelská, které nebyly do původního záměru akce zahrnuty. Celkové předpokládané náklady této akce (dle nového záměru) jsou 10.100 tis. Kč. Finanční prostředky na realizaci stavební části jsou schváleny v rozpočtu roku 2016 ve výši 9.200 tis. Kč. Z tohoto důvodu byly usnesením rady kraje č. 89/7017 ze dne 26.1.2016 převedeny nevyčerpané finanční prostředky ve výši 900 tis. Kč do rozpočtu roku 2016.</t>
  </si>
  <si>
    <t>Pořízení elektrické požární signalizace (Domov Jistoty, příspěvková organizace, Bohumín)</t>
  </si>
  <si>
    <t>Akce byla schválena usnesením rady kraje č. 85/6812 ze dne 8.12.2015  s předpokládanými náklady ve výši 300 tis. Kč. S ohledem na datum schválení byly usnesením rady kraje č. 89/7017 ze dne 26.1.2016 převedeny nevyčerpané finanční prostředky ve výši 300 tis. Kč do rozpočtu roku 2016.</t>
  </si>
  <si>
    <t>Oprava fasády budovy Domova Na zámku čp. 1 (Domov Na zámku, příspěvková organizace, Kyjovice)</t>
  </si>
  <si>
    <t>Akce byla schválena usnesením rady kraje č. 85/6812 ze dne 8.12.2015 s předpokládanými náklady ve výši 1.000 tis. Kč.  S ohledem na datum schválení byly usnesením rady kraje č. 89/7017 ze dne 26.1.2016 převedeny nevyčerpané finanční prostředky ve výši 1.000 tis. Kč do rozpočtu roku 2016.</t>
  </si>
  <si>
    <t>Zastupitelstvo kraje rozhodlo o profinancování a kofinancování projektu dne 6.6.2012 usnesením č. 24/2119. Realizace projektu byla v roce 2015 ukončena. Úspora vznikla v důsledku vysoutěžení nižší ceny ve veřejné zakázce.</t>
  </si>
  <si>
    <t>Zastupitelstvo kraje rozhodlo o profinancování a kofinancování a o zahájení realizace projektu usnesením č. 24/2119 ze dne 6.6.2012. V rámci projektu bylo nutné provést drobné stavební úpravy, které nebyly z důvodu vzniklé časové prodlevy při realizaci projektu uskutečněny v závěru roku 2015.  Nevyčerpané finanční prostředky ve výši 30 tis. Kč byly zapojeny do rozpočtu roku 2016 na základě usnesení rady kraje č. 89/7017 ze dne 26.1.2016. Zbývající nevyčerpané prostředky tvoří úspora v důsledku vysoutěžení nižších cen při veřejných zakázkách.</t>
  </si>
  <si>
    <t>Zastupitelstvo kraje rozhodlo o profinancování a kofinancování projektu dne 21.3.2013 usnesením č. 3/271. Realizace projektu byla v roce 2015 ukončena. Úspora vznikla v důsledku vysoutěžení nižší ceny ve veřejné zakázce.</t>
  </si>
  <si>
    <t>Zastupitelstvo kraje usnesením 6/460 ze dne 19. 9. 2013 rozhodlo profinancovat a kofinancovat projekt "4. etapa transformace organizace Marianum" předkládaný do Regionálního operačního programu NUTS II Moravskoslezsko 2007– 2013. Nevyčerpané prostředky představují úsporu vzniklou na základě vysoutěžení nižších cen ve veřejných zakázkách.</t>
  </si>
  <si>
    <t>Zastupitelstvo kraje usnesením 11/955 ze dne 11. 9. 2014 rozhodlo profinancovat a kofinancovat projekt „Nákup lůžek a matrací pro sociální zařízení“ předkládaný do Regionálního operačního programu NUTS II Moravskoslezsko 2007 – 2013. Nevyčerpané prostředky představují úsporu vzniklou na základě vysoutěžení nižších cen ve veřejných zakázkách.</t>
  </si>
  <si>
    <t>Zastupitelstvo kraje rozhodlo o profinancování a kofinancování projektu dne 5.3.2015 usnesením č. 13/1157. Realizace projektu byla v roce 2015 ukončena. Úspora vznikla v důsledku vysoutěžení nižší ceny ve veřejné zakázce.</t>
  </si>
  <si>
    <t>Zastupitelstvo kraje rozhodlo o profinancování a kofinancování projektu usnesením č. 4/328 ze dne 20.6.2013. Realizace projektu byla ukončena k 30.10.2015, do konce roku nedošlo k finančnímu vypořádání. Prostředky obdržené zálohově a v průběhu realizace nevyčerpané tak bude nutné vrátit v roce 2016. Nevyčerpané finanční prostředky ve výši 1.050 tis. Kč byly zapojeny do rozpočtu roku 2016 usnesením rady kraje č. 89/7017 ze dne 26.1.2016. Úspora vznikla v důsledku proplacení předfinancovaných výdajů z vlastních zdrojů.</t>
  </si>
  <si>
    <t>Realizace projektu byla v roce 2015 ukončena. Úspora vznikla v důsledku proplacení předfinancovaných výdajů z vlastních zdrojů a vracení části zálohy kompenzačně.</t>
  </si>
  <si>
    <t>Realizace projektu byla v roce 2015 ukončena. Úspora vznikla v důsledku proplacení předfinancovaných výdajů z vlastních zdrojů a vrácení části zálohy kompenzačně.</t>
  </si>
  <si>
    <t>Realizace projektu byla v roce 2015 ukončena. Úspora vznikla v důsledku proplacení předfinancovaných výdajů z vlastních zdrojů.</t>
  </si>
  <si>
    <t>Zastupitelstvo kraje rozhodlo o profinancování a kofinancování projektu a o zahájení realizace usnesením č.25/2238 ze dne 5.9.2012. Realizace projektu byla v roce 2015 ukončena. Úspora vznikla v důsledku proplacení předfinancovaných výdajů z vlastních zdrojů a vracení části zálohy kompenzačně.</t>
  </si>
  <si>
    <t>Podpora sociálních služeb v sociálně vyloučených lokalitách MSK III</t>
  </si>
  <si>
    <t>Zastupitelstvo kraje rozhodlo o profinancování a kofinancování projektu a o zahájení realizace usnesením č.2/75 ze dne 20.12.2012. Realizace projektu byla ukončena k 30.9.2015, do konce roku 2015 nedošlo k finančnímu vypořádání (vratce nevyčerpané části zálohy). Nevyčerpané finanční prostředky ve výši 980,70 tis. Kč byly zapojeny do rozpočtu roku 2016 usnesením rady kraje č. 89/7017 ze dne 26.1.2016. Úspora vznikla v důsledku proplacení předfinancovaných výdajů z vlastních zdrojů.</t>
  </si>
  <si>
    <t>Zastupitelstvo kraje rozhodlo o profinancování a kofinancování projektu usnesením č. 18/1506 ze dne 23.3.2011. Termín dodání interiérového vybavení nebyl dodavatelem dodržen. V důsledku toho nebyla akce dokončena v plánovaném termínu prosinec 2015 a část výdajů je hrazena v roce 2016.</t>
  </si>
  <si>
    <t>Zastupitelstvo kraje rozhodlo o profinancování a kofinancování projektu usnesením č. 25/223 ze dne 5.9.2012. Vzhledem ke zpoždění stavebních prací došlo ke kolaudaci později, než bylo plánováno. V důsledku toho je uvolněna pozastávka a následná k úhrada výdajů za inženýrskou činnost a montáž vybavení v roce 2016.  Nevyčerpané finanční prostředky ve výši 3.233 tis. Kč byly zapojeny do rozpočtu roku 2016 usnesením rady kraje č. 89/7017 ze dne 26.1.2016.</t>
  </si>
  <si>
    <t>Zastupitelstvo kraje rozhodlo o profinancování a kofinancování projektu dne 19.12.2013 usnesením č.7/599. Z důvodu vyčerpání maximálně možné výše dotačních prostředků alokovaných v rámci Operačního programu Meziregionální spolupráce ČR - Švýcarsko byly v projektu řídícím orgánem schváleny další aktivity a projekt je prodloužen do dubna 2016.  Nevyčerpané finanční prostředky byly zapojeny do rozpočtu roku 2016 usnesením rady kraje č. 89/7017 ze dne 26.1.2016.</t>
  </si>
  <si>
    <t>Zastupitelstvo kraje schválilo zahájení přípravy projektu dne 5.3.2015 usnesením č. 13/1164. Finanční prostředky na přípravnou fázi projektu byly vyčleněny z prostředků určených na přípravu projektů pro rok 2015.  Vzhledem k větší časové náročnosti přípravy projektu byly nevyčerpané prostředky převedeny do rozpočtu roku 2016 usnesením rady kraje č. 89/7017 ze dne 26. 1. 2016.</t>
  </si>
  <si>
    <t>Zastupitelstvo kraje schválilo zahájení přípravy projektu dne 5.3.2015 usnesením č. 13/1164. Finanční prostředky na přípravnou fázi projektu byly vyčleněny z prostředků určených na přípravu projektů pro rok 2015.  Vzhledem k větší časové náročnosti přípravy projektu byly nevyčerpané prostředky převedeny do rozpočtu roku 2016 usnesením rady kraje č. 89/7017 ze dne 26.1.2016.</t>
  </si>
  <si>
    <t>Zateplení budovy Domova Duha v Novém Jičíně</t>
  </si>
  <si>
    <t>Zastupitelstvo kraje schválilo zahájení přípravy projektu dne 25.9.2015 usnesením č. 16/1622. Finanční prostředky na přípravnou fázi projektu byly vyčleněny z prostředků určených na přípravu projektů pro rok 2015.  Vzhledem k větší časové náročnosti přípravy projektu byly nevyčerpané finanční prostředky zapojeny do rozpočtu roku 2016 usnesením rady kraje č. 89/7017 ze dne 26.1.2016.</t>
  </si>
  <si>
    <t>Finanční prostředky od řídícího orgánu (Ministerstvo práce a sociálních věcí ČR) pro příspěvkové organizace kraje realizující individuální projekty v rámci Operačního programu Lidské zdroje a zaměstnanost</t>
  </si>
  <si>
    <t>PŘEHLED VÝDAJŮ V ODVĚTVÍ ŠKOLSTVÍ V ROCE 2015</t>
  </si>
  <si>
    <t>Ocenění nejúspěšnějších žáků a školních týmů středních škol v Moravskoslezském kraji</t>
  </si>
  <si>
    <t xml:space="preserve">Ocenění práce pedagogických pracovníků a ostatní výdaje </t>
  </si>
  <si>
    <t>Převod finančních prostředků vyčleněných v rozpočtu roku 2015 do upraveného rozpočtu na rok 2016. Tři dotace byly proplaceny až po předložení závěrečného vyúčtování na počátku roku 2016.</t>
  </si>
  <si>
    <t>Převod finančních prostředků vyčleněných v rozpočtu roku 2015 do upraveného rozpočtu na rok 2016. Jedna dotace byla proplacena až po předložení závěrečného vyúčtování na počátku roku 2016.</t>
  </si>
  <si>
    <t>Rada kraje usnesením č. 69/5631 ze dne 9.6.2015 schválila účast sportovní reprezentace Moravskoslezskéno kraje na hrách VII. zimní olympiády dětí a mládeže České republiky v roce 2016. Finanční prostředky jsou určeny na zajištění nákladů spojených s touto účastí a vzhledem ke zpoždění procesu realizace veřejné zakázky byly převedeny k úhradě výdajů do roku 2016.</t>
  </si>
  <si>
    <t>Kvalita vzdělávání na středních školách</t>
  </si>
  <si>
    <t>Podpora environmentálního vzdělávání, výchovy a osvěty (EVVO) – soutěž ekologická škola</t>
  </si>
  <si>
    <t>Prevence rizikových projevů chování – krajská konference</t>
  </si>
  <si>
    <t>Převod finančních prostředků vyčleněných v rozpočtu roku 2015 do upraveného rozpočtu na rok 2016.  Sedm dotací bylo proplaceno až po předložení závěrečného vyúčtování na počátku roku 2016.</t>
  </si>
  <si>
    <t>Technická údržba, podpora a služby k software v odvětví školství</t>
  </si>
  <si>
    <t xml:space="preserve">pokračující </t>
  </si>
  <si>
    <t>SR - Rozvojový program MŠMT pro děti-cizince ze 3. zemí</t>
  </si>
  <si>
    <t>Úspora vznikla vrácením celé dotace z důvodu přidělení příliš nízké částky ze strany poskytovatele (dle sdělení organizace) - výuka nebyla realizována z prostředků rozvojového programu.</t>
  </si>
  <si>
    <t>SR - Vybavení škol pomůckami kompenzačního a rehabilitačního charakteru</t>
  </si>
  <si>
    <t>SR - Excelence středních škol</t>
  </si>
  <si>
    <t>SR - Podpora dalšího vzdělávání učitelů odborných předmětů v prostředí reálné praxe</t>
  </si>
  <si>
    <t>SR - Podpora implementace Etické výchovy</t>
  </si>
  <si>
    <t>SR - Rozvojový program Podpora logopedické prevence v předškolním vzdělávání</t>
  </si>
  <si>
    <t>SR - Podpora odborného vzdělávání</t>
  </si>
  <si>
    <t>SR - Podpora školních psychologů, školních speciálních pedagogů a metodiků</t>
  </si>
  <si>
    <t>Úspory vznikly  z důvodů dlouhodobých nemocí, pozdějších nástupů  do pracovního poměru, případně ukončení pracovního poměru v průběhu roku a neobsazení funkce novým školním psychologem, případně školním speciálním pedagogem.</t>
  </si>
  <si>
    <t>SR - Zvýšení platů pracovníků regionálního školství</t>
  </si>
  <si>
    <t>SR - Zvýšení platů pracovníků soukromého a církevního školství</t>
  </si>
  <si>
    <t>SR - Zvýšení odměňování pracovníků regionálního školství v roce 2015</t>
  </si>
  <si>
    <t>SR - Dotace pro soukromé školy</t>
  </si>
  <si>
    <t>SR - Soutěže a přehlídky</t>
  </si>
  <si>
    <t>SR - Asistenti pedagogů v soukromých a církevních speciálních školách</t>
  </si>
  <si>
    <t>Úspora vznikla z důvodu odchodu dítěte a žáka ze školy, snížení úvazku asistenta pedagoga.</t>
  </si>
  <si>
    <t>SR - Přímé náklady na vzdělávání</t>
  </si>
  <si>
    <t>SR - Bezplatná příprava dětí azylantů, účastníků řízení o azyl a dětí osob se státní příslušností jiného členského státu EU k začlenění do základního vzdělávání</t>
  </si>
  <si>
    <t>SR - Asistenti pedagogů pro děti, žáky a studenty se sociálním znevýhodněním</t>
  </si>
  <si>
    <t>Úspory vznikly  z důvodů, pozdějších nástupů  do pracovního poměru, případně ukončení pracovního poměru v průběhu roku a neobsazení funkce novým asistentem pedagoga.</t>
  </si>
  <si>
    <t>Řešení dopadů institucionální a oborové optimalizace sítě škol a školských zařízení včteně udržení dostupnosti vzdělávání a zajištění nových kapacit</t>
  </si>
  <si>
    <t>SR - Podpora organizace a ukončování středního vzdělávání maturitní zkouškou na vybraných školách v podzimním zkušebním období</t>
  </si>
  <si>
    <t>SR - Vybavení školských poradenských zařízení diagnostickými nástroji</t>
  </si>
  <si>
    <t>SR - Zabezpečení škol a školských zařízení</t>
  </si>
  <si>
    <t>SR - Program sociální prevence a prevence kriminality</t>
  </si>
  <si>
    <t>Úspora vznikla nerealizací jednoho projektu z důvodu nízké podpory ze strany Ministerstva, školství, mládeže  a tělovýchovy</t>
  </si>
  <si>
    <t>SR - Podpora sociálně znevýhodněných romských žáků středních škol a studentů vyšších odborných škol</t>
  </si>
  <si>
    <t>Úspora finančních prostředků vznikla z důvodu nesplnění podmínek pro čerpání dotace - neomluvené hodiny, kázeňské přestupky, nedoložení dokladů, ukončení studia žáků aj.</t>
  </si>
  <si>
    <t xml:space="preserve">SR - Program protidrogové politiky </t>
  </si>
  <si>
    <t>SR - Spolupráce s francouzskými, vlámskými a španělskými školami</t>
  </si>
  <si>
    <t>SR - Evropská jazyková cena</t>
  </si>
  <si>
    <t>SR - Přímé náklady na vzdělávání - sportovní gymnázia</t>
  </si>
  <si>
    <t>SR - Ostatní neinvestiční dotace obcím a krajům-Podpora environmentální výchovy a osvěty</t>
  </si>
  <si>
    <t>SR - Kulturní aktivity</t>
  </si>
  <si>
    <t>Návratná finanční výpomoc příspěvkovým organizacím v odvětví školství</t>
  </si>
  <si>
    <t>Jedná se o pokračující akci. Pro rok 2016 byly usnesením zastupitelstva kraje č. 17/1686 ze dne 17.12.2015 schváleny finanční prostředky ve výši 3.200 tis. Kč na realizaci další etapy.</t>
  </si>
  <si>
    <t>Úpravy krytého bazénu (Střední škola a Základní škola, Havířov-Šumbark, příspěvková organizace)</t>
  </si>
  <si>
    <t>Oprava střechy objektu Husova (Střední škola, Bohumín, příspěvková organizace)</t>
  </si>
  <si>
    <t>V průběhu roku 2015 došlo ke snížení rozpočtu na dané akci o částku 1.178 tis. Kč z důvodu snížení nabídkové ceny v rámci výběrového řízení. Tyto finanční prostředky byly použity na realizaci akcí havarijního charakteru v odvětví školství.</t>
  </si>
  <si>
    <t>Změna místa napojení, úprava měření el.energie a rekonstrukce napájecích rozvodů (Obchodní akademie a Vyšší odborná škola sociální, Ostrava-Mariánské Hory, příspěvková organizace)</t>
  </si>
  <si>
    <t>Akce byla schválena usnesením rady kraje č. 64/5106 ze dne 24.3.2015 s předpokládanými náklady ve výši 1.300  tis. Kč. V roce 2015 byla zpracována projektová dokumentace, dále bylo vydáno územní rozhodnutí a stavební povolení. Veřejná zakázka malého rozsahu na výběr zhotovitele byla ukončena a došlo k uzavření smlouvy o dílo s termínem realizace do  září 2016. S ohledem na zajištění provozu školy bude samotná realizace akce probíhat především o letních prázdninách.  Z tohoto důvodu byly usnesením rady kraje č. 89/7017 ze dne 26.1.2016 převedeny nevyčerpané finanční prostředky ve výši  1.238,29 tis. Kč do rozpočtu roku 2016.</t>
  </si>
  <si>
    <t>Rekonstrukce stávajících podlah v tělocvičně ul. Tyršova a likvidace septiku (Albrechtova střední škola, Český Těšín, příspěvková organizace)</t>
  </si>
  <si>
    <t>Odstranění havarijního stavu střechy (Střední škola zemědělství a služeb, Město Albrechtice, příspěvková organizace)</t>
  </si>
  <si>
    <t>Akce byla schválena usnesením rady kraje č. 71/5827 ze dne 25.6.2015 s předpokládanými náklady ve výši 1.500  tis. Kč, z toho 1.300 tis. Kč z rozpočtu kraje a 200 tis Kč z  vlastních zdrojů příspěvkové organizace.  Projektová dokumentace pro výběr zhotovitele byla zpracována a profinancována z vlastních zdrojů příspěvkové organizace. Veřejná zakázka malého rozsahu byla zadavatelem 2x zrušena v důsledku vysokých nabídkových cen. V současné době se upravuje  projektová dokumentace pro nové vyhlášení  veřejné zakázky. Z tohoto důvodu byly usnesením rady kraje č. 89/7017 ze dne 26.1.2016 převedeny nevyčerpané finanční prostředky ve výši 1.300 tis. Kč do rozpočtu roku 2016.</t>
  </si>
  <si>
    <t>Akce byla schválena usnesením rady kraje č. 71/5827 ze dne 25.6.2015 s předpokládanými náklady ve výši 2.700 tis. Kč. V roce 2015 byla zpracována projektová dokumentace a nyní se čeká na vydání stavební povolení. Veřejná zakázka malého rozsahu na stavební práce byla ukončena v lednu 2016. Z tohoto důvodu byly usnesením rady kraje č. 89/7017 ze dne 26.1.2016 převedeny nevyčerpané finanční prostředky do rozpočtu roku 2016.</t>
  </si>
  <si>
    <t>Rekonstrukce osobního výtahu (Gymnázium Hladnov a Jazyková škola s právem státní jazykové zkoušky, Ostrava, příspěvková organizace)</t>
  </si>
  <si>
    <t>Akce byla schválena usnesením rady kraje č. 71/5843 ze dne 25.6.2015 s předpokládanými náklady ve výši 800 tis. Kč. Projektová dokumentace pro výběr zhotovitele byla zpracována, následně došlo k uzavření smlouvy o dílo na zhotovitele s termínem dokončení do 30.1.2016. S ohledem na termín realizace stavby a platební podmínky vyplývající z uzavřené smlouvy proběhne samotná platba za stavební práce a služby v  roce 2016. Z tohoto důvodu byly usnesením rady kraje č. 89/7017 ze dne 26.1.2016 převedeny nevyčerpané finanční prostředky ve výši 800 tis. Kč do rozpočtu roku 2016.</t>
  </si>
  <si>
    <t>Akce byla schválena usnesením RK č. 73/6002 ze dne 4.8.2015 s předpokládanými náklady ve výši 1.012 tis. Kč z rozpočtu kraje. V roce 2015 byla uzavřena smlouva na zhotovitele a byla provedena a profinancována část stavebních prací.  V roce 2016 bude provedena rekonstrukce zbývajících prostor. Z tohoto důvodu byly usnesením rady kraje č. 89/7017 ze dne 26.1.2016 převedeny nevyčerpané finanční prostředky ve výši 112,02 tis. Kč do rozpočtu roku 2016.</t>
  </si>
  <si>
    <t>Nástěnný zdvižný systém pro tělesně postižené žáky (Střední škola prof. Zdeňka Matějčka, Ostrava-Poruba, 17. listopadu 1123, příspěvková organizace)</t>
  </si>
  <si>
    <t>Ochranné obložení stěn tělocvičny (Gymnázium, Karviná, příspěvková organizace)</t>
  </si>
  <si>
    <t>Akce byla schválena usnesením rady kraje č. 80/6520 ze dne 20.10.2015 s předpokládanými náklady ve výši 500 tis. Kč. V průběhu listopadu 2015 bylo zahájeno zadávací řízení na výběr zhotovitele. Samotná realizace se s ohledem na dobu potřebnou na výrobu komponentů předpokládá v průběhu ledna až března 2016. Z tohoto důvodu byly usnesením rady kraje č. 89/7017 ze dne 26.1.2016 převedeny nevyčerpané finanční prostředky ve výši 500 tis. Kč do rozpočtu roku 2016.</t>
  </si>
  <si>
    <t>Projektová dokumentace na úpravu vytápění (Albrechtova střední škola, Český Těšín, příspěvková organizace)</t>
  </si>
  <si>
    <t>Akce byla schválena usnesením rady kraje č. 83/6567 ze dne 10.11.2015 s předpokládanými náklady ve výši 190 tis. Kč s časovou použitelností do 30.6.2016.  Z tohoto důvodu byly usnesením rady kraje č. 89/7017 ze dne 26.1.2016 převedeny nevyčerpané finanční prostředky ve výši 190 tis. Kč do rozpočtu roku 2016.</t>
  </si>
  <si>
    <t>Diagnostické nástroje, ICT a pomůcky pro speciálně pedagogická centra</t>
  </si>
  <si>
    <t>Zastupitelstvo kraje rozhodlo o vyčlenění projektu "Modernizace, rekonstrukce a výstavba sportovišť vzdělávacích zařízení V", jehož příprava byla schválena zastupitelstvem kraje usnesením č. 11/1033 ze dne 21.4.2010. Dne 29.2.2012 rozhodlo zastupitelstvo kraje usnesením č. 23/1996  o profinancování a kofinancování projektu. V rámci projektu ještě budou hrazeny nezpůsobilé výdaje za protipožární dveře a úpravu silnice do původního stavu. Nevyčerpané finanční prostředky ve výši 160 tis. Kč byly zapojeny do rozpočtu roku 2016 na základě usnesení rady kraje č. 89/7017 ze dne 26.1.2016.</t>
  </si>
  <si>
    <t>Výstavba fóliovníků v Opavě</t>
  </si>
  <si>
    <t>Realizace projektu byla v roce 2015 ukončena. Úspora vznikla na mzdových výdajích členy projektového týmu včetně povinných odvodů.</t>
  </si>
  <si>
    <t>Zastupitelstvo kraje rozhodlo o profinancování a kofinancování a o zahájení realizace projektu usnesením č. 6/457 ze dne 19.9.2013. V roce 2016 proběhla úhrada výdaje za zařízení věcného břemene. Nevyčerpané finanční prostředky ve výši 5 tis. Kč byly zapojeny do rozpočtu roku 2016 na základě usnesení rady kraje č. 88/6970 ze dne 12.1.2016. Úspora vznikla v důsledku vysoutěžení nižších cen ve veřejných zakázkách.</t>
  </si>
  <si>
    <t>Vzdělávání zaměstnanců územní veřejné správy MSK</t>
  </si>
  <si>
    <t>Realizace projektu byla ukončena již  v roce 2014. V závěrečné monitorovací zprávě však bylo oznámeno podezření na porušení rozpočtové kázně. Do rozpočtu roku 2015 byly zapojeny finanční prostředky na případnou sankci, která však nebyla vyměřena.</t>
  </si>
  <si>
    <t>Realizace projektu byla v roce 2015 ukončena. Úspora vznikla v důsledku proplacení předfinancovaných výdajů z vlastních zdrojů a vracení části zálohy kompenzačně od partnera projektu.</t>
  </si>
  <si>
    <t>Zastupitelstvo kraje rozhodlo o profinancování a kofinancování projektu dne 21.3.2013 usnesením č. 3/193. Realizace projektu byla ukončena k 30.6.2015, MŠMT v průběhu administrace projektu podalo podněty k prošetření podezření na porušení rozpočtové kázně z důvodu porušení pravidel veřejných zakázek. Kontroly finančního úřadu nebyly v průběhu roku 2015 ukončeny.   Nevyčerpané finanční prostředky ve výši 980,70 tis. Kč byly zapojeny do rozpočtu roku 2016 na základě usnesení rady kraje č. 89/7017 ze dne 26.1.2016 k zajištění finančního krytí případných odvodů a penále za porušení rozpočtové kázně. Úspora vznikla v důsledku proplacení předfinancovaných výdajů z vlastních zdrojů a vracení části zálohy kompenzačně od partnerů projektu.</t>
  </si>
  <si>
    <t>Energetické úspory ve školách a školských zařízeních zřizovaných Moravskoslezským krajem - III. etapa</t>
  </si>
  <si>
    <t>Zastupitelstvo kraje rozhodlo o profinancování a kofinancování projektu usnesením č. 6/467 ze dne 19.9.2013. Realizace jednotlivých projektů zateplení škol jsou již ukončeny. Do jednoho roku od proplacení závěrečných žádostí o platbu je příjemce dotace povinen podat závěrečné vyúčtování akce. Součástí vyúčtování je vypracování stanovisek projektantů a energetických auditorů k dosaženým úsporám. Výdaje za odborné posudky v rámci jednotlivých projektů energetických úspor ve školách budou hrazeny v roce 2016.  Nevyčerpané finanční prostředky ve výši 1.000 tis. Kč byly zapojeny do rozpočtu roku 2016 na základě usnesení rady kraje č. 89/7017 ze dne 26.1.2016. Úspora vznikla v důsledku vysoutěžení nižších cen ve veřejných zakázkách.</t>
  </si>
  <si>
    <t>Zateplení Střední školy prof. Zdeňka Matějčka v Ostravě - Porubě</t>
  </si>
  <si>
    <t>Střední škola zemědělství a služeb, příspěvková organizace, Město Albrechtice</t>
  </si>
  <si>
    <t>Vybudování dílen pro praktické vyučování, Střední odborná škola, Frýdek-Místek, příspěvková organizace</t>
  </si>
  <si>
    <t>Zastupitelstvo kraje schválilo zahájení přípravy projektu dne 5.3.2015 usnesením č. 13/1167. Finanční prostředky na přípravnou fázi projektu byly vyčleněny z prostředků určených na přípravu projektů pro rok 2015. Vzhledem k větší časové náročnosti přípravy projektu byly nevyčerpané prostředky převedeny do rozpočtu roku 2016 usnesením rady kraje č. 89/7017 ze dne 26.1.2016.</t>
  </si>
  <si>
    <t>Modernizace Školního statku v Opavě</t>
  </si>
  <si>
    <t>Dílny pro Střední školu stavební a dřevozpracující, Ostrava, příspěvková organizace</t>
  </si>
  <si>
    <t>Budova dílen pro obor Opravář zemědělských strojů ve Střední odborné škole Bruntál</t>
  </si>
  <si>
    <t>Energetické úspory ve školách a školských zařízeních zřizovaných Moravskoslezským krajem – IV. etapa</t>
  </si>
  <si>
    <t>Zastupitelstvo kraje schválilo zahájení přípravy projektu dne 5.3.2015 usnesením č. 13/1165. Finanční prostředky na přípravnou fázi projektu byly vyčleněny z prostředků určených na přípravu projektů pro rok 2015. Vzhledem k větší časové náročnosti přípravy projektu byly nevyčerpané prostředky převedeny do rozpočtu roku 2016 usnesením rady kraje č. 89/7017 ze dne 26.1.2016.</t>
  </si>
  <si>
    <t>Zastupitelstvo kraje rozhodlo o profinancování a kofinancování dne 25.9.2015 usnesením č. 16/1634. Finanční prostředky na přípravnou fázi projektu byly vyčleněny z prostředků určených na přípravu projetku pro rok 2015. Vzhledem k větší časové náročnosti přípravy projektu byly nevyčerpané prostředky převedeny do rozpočtu roku 2016 usnesením rady kraje č. 89/7017 ze dne 26.1.2016.</t>
  </si>
  <si>
    <t>Učebny CAD/CAM programování</t>
  </si>
  <si>
    <t>Zastupitelstvo kraje schválilo zahájení přípravy projektu dne 25.9.2015 usnesením č. 16/1624. Finanční prostředky na přípravnou fázi projektu byly vyčleněny z prostředků určených na přípravu projektů pro rok 2015. Vzhledem k větší časové náročnosti přípravy projektu byly nevyčerpané finanční prostředky zapojeny do rozpočtu roku 2016 na základě usnesení rady kraje č. 89/7017 ze dne 26.1.2016.</t>
  </si>
  <si>
    <t xml:space="preserve">Laboratoře virtuální reality </t>
  </si>
  <si>
    <t>Aditivní technologie a 3D tisk do škol MSK</t>
  </si>
  <si>
    <t>Modernizace IT vybavení škol zřizovaných MSK</t>
  </si>
  <si>
    <t>Globální grant OP VK - Zvyšování kvality ve vzdělávání v kraji Moravskoslezském</t>
  </si>
  <si>
    <t>Jedná se o zapojené úroky připsané na účtu globálního grantu.</t>
  </si>
  <si>
    <t>Globální grant OP VK - Rovné příležitosti ve vzdělávání v kraji Moravskoslezském</t>
  </si>
  <si>
    <t>Globální grant OP VK - Další vzdělávání pracovníků škol v kraji Moravskoslezském</t>
  </si>
  <si>
    <t>Jedná se o přijaté zálohové platby ze státního rozpočtu určené na realizaci víceletých grantových projektů OP VK. Realizace globálního grantu byla k 31.12.2015 ukončena. Nevyčerpané poskytnuté finanční prostředky budou odeslány v roce 2016 zpět Ministerstvu školství, mládeže a tělovýchovy. Dále se jedná o zapojené úroky připsané na účtu globálního grantu a přijaté prostředky od příjemců dotace za porušení rozpočtové kázně. Část úroků bude vrácena Ministerstvu školství, mládeže a tělovýchovy a odvody za porušení rozpočtové kázně budou odeslány na zvláští účty Platebního a certifikačního orgánu a Ministerstva školství, mládeže a tělovýchovy. Finanční prostředky byly účelově převedeny do rozpočtu kraje roku 2016.</t>
  </si>
  <si>
    <t>Jedná se o přijaté zálohové platby ze státního rozpočtu určené na realizaci víceletých grantových projektů OP VK. Realizace globálního grantu byla k 30. 6. 2015 ukončena. Nevyčerpané poskytnuté finanční prostředky budou odeslány v roce 2016 zpět Ministerstvu školství, mládeže a tělovýchovy. Dále se jedná o zapojené úroky připsané na účtu globálního grantu a přijaté prostředky od příjemců dotace za porušení rozpočtové kázně. Část úroků bude vrácena Ministerstvu školství, mládeže a tělovýchovy a odvody za porušení rozpočtové kázně budou odeslány na zvláští účty Platebního a certifikačního orgánu a Ministerstva školství, mládeže a tělovýchovy. Finanční prostředky byly účelově převedeny do rozpočtu kraje roku 2016.</t>
  </si>
  <si>
    <t>Jedná se o přijaté zálohové platby ze státního rozpočtu určené na realizaci víceletých grantových projektů OP VK. Realizace globálního grantu byla k 30.6.2015 ukončena. Nevyčerpané poskytnuté finanční prostředky budou odeslány v roce 2016 zpět Ministerstvu školství, mládeže a tělovýchovy. Dále se jedná o zapojené úroky připsané na účtu globálního grantu a přijaté prostředky od příjemců dotace za porušení rozpočtové kázně. Část úroků bude vrácena Ministerstvu školství, mládeže a tělovýchovy a odvody za porušení rozpočtové kázně budou odeslány na zvláští účty Platebního a certifikačního orgánu a Ministerstva školství, mládeže a tělovýchovy. Finanční prostředky byly účelově převedeny do rozpočtu kraje roku 2016.</t>
  </si>
  <si>
    <t>Jedná se o přijaté zálohové platby ze státního rozpočtu určené na realizaci technické pomoci pro víceleté grantové projekty OP VK. Platby jsou poskytovány na základě Rozhodnutí o poskytnutí dotace na projekt technické pomoci a nekorespondují se skutečnou potřebou v příslušném rozpočtovém období. Nevyčerpané poskytnuté finanční prostředky budou odeslány v roce 2016 zpět Ministerstvu školství, mládeže a tělovýchovy. Finanční prostředky byly účelově převedeny do rozpočtu kraje roku 2016.</t>
  </si>
  <si>
    <t>Technická pomoc pro globální grant OP VK -Informovanost a publicita GG OP Moravskoslezského kraje II</t>
  </si>
  <si>
    <t>Finanční prostředky od řídícího orgánu (Ministerstvo školství, mládeže a tělovýchovy ČR) pro příspěvkové organizace kraje realizující individuální projekty v rámci Operačního programu Vzdělávání pro konkurenceschopnost</t>
  </si>
  <si>
    <t>Vratky nedočerpaných dotací v průběhu roku.</t>
  </si>
  <si>
    <t>Finanční prostředky od řídícího orgánu (Regionální rada regionu soudržnosti Moravskoslezsko) pro příspěvkové organizace kraje realizující individuální projekty v rámci Regionálního operačního programu NUTS II Moravskoslezsko 2007-2013</t>
  </si>
  <si>
    <t>PŘEHLED VÝDAJŮ V ODVĚTVÍ ÚZEMNÍHO PLÁNOVÁNÍ A STAVEBNÍHO ŘÁDU V ROCE 2015</t>
  </si>
  <si>
    <t>Konzultační a poradenské služby - územní plánování a stavební řád</t>
  </si>
  <si>
    <t>Finanční prostředky byly určeny na zajištění expertních posudků, oponentních studií, právních služeb, znaleckých posudků. Nevyčerpané prostředky představují úsporu.</t>
  </si>
  <si>
    <t>Nákup ostatních služeb - územní plánování a stavební řád</t>
  </si>
  <si>
    <t>Studie pro aktualizaci zásad územního rozvoje</t>
  </si>
  <si>
    <t>V roce 2015 byla zahájena veřejná zakázka na studii územních systémů ekologické stability. Finanční prostředky byly převedeny usnesením 89/7017 ze dne 26.1.2016 do rozpočtu roku 2016, předpokládá se úhrada akce na konci roku 2016.</t>
  </si>
  <si>
    <t xml:space="preserve">Aktualizace Zásad územního rozvoje </t>
  </si>
  <si>
    <t>Finanční prostředky byly usnesením 89/7017 ze dne 26.1.2016 převedeny do rozpočtu na rok 2016, úhrada díla proběhne po zpracování jednotlivých etap dle platné smlouvy se zhotovitelem.</t>
  </si>
  <si>
    <t>Analýzy k aktualizaci rozboru udržitelného rozvoje území</t>
  </si>
  <si>
    <t xml:space="preserve">Studie k aktualizaci a vyplývající ze Zásad územního rozvoje Moravskoslezského kraje </t>
  </si>
  <si>
    <t>V důsledku změny ve vymezení dlouhodobého nehmotného majetku byly finanční prostředky převedeny na akci Studie pro aktualizaci zásad územního rozvoje.</t>
  </si>
  <si>
    <t>PŘEHLED VÝDAJŮ V ODVĚTVÍ ZDRAVOTNICTVÍ V ROCE 2015</t>
  </si>
  <si>
    <t xml:space="preserve">Finanční prostředky na akci byly schváleny usnesením zastupitelstva kraje č. 12/996 ze dne 11.12.2014 a usnesením č. 13/1125 ze dne 5.3.2015 zastupitelstvo rozhodlo poskytnout a neposkytnout účelové dotace v rámci vyhlášeného dotačního programu. Finanční prostředky nebyly vyčerpány z důvodu jejich nerozdělení žadatelům o dotaci s ohledem na nesplnění podmínek vyhlášeného dotačního programu.  </t>
  </si>
  <si>
    <t>Nemocnice s poliklinikou v Novém Jičíně</t>
  </si>
  <si>
    <t>Finanční prostředky na akci nebyly vyčerpány z důvodu poskytnutí nižšího objemu služeb, než bylo předpokládáno.</t>
  </si>
  <si>
    <t>Zajištění ohledání těl zemřelých</t>
  </si>
  <si>
    <t xml:space="preserve">Rada kraje usnesením č. 66/5250 ze dne 21.4.2015 rozhodla o uzavření smlouvy č. 01308/2015/ZDR s Městskou nemocnicí Ostrava, příspěvková organizace, o zajištění prohlídek těl zemřelých. S ohledem na skutečnost, že nelze dopředu stanovit přesný počet ohledání, nebyly finanční prostředky dočerpány. </t>
  </si>
  <si>
    <t>Zpracování odborných posudků, činnost nezávislých odborných komisí a znalců</t>
  </si>
  <si>
    <t>Čerpání finančních prostředků probíhalo na základě požadavků na zpracování znaleckých posudků. Četnost znaleckých posudků pro potřeby odvolacího řízení nelze dopředu stanovit či odhadnout. Z toho důvodu došlo k nedočerpání finančních prostředků této akce.</t>
  </si>
  <si>
    <t>Optimalizace a řízení zdravotnických zařízení</t>
  </si>
  <si>
    <t>Finanční prostředky schválené zastupitelstvem kraje č. 12/996 z 11.12.2014 byly určeny na úhradů závazků vyplývající z uzavřených dohod o pracovní činnosti a dohod o provedení práce s odborníky na zajištění činností týkajících se optimalizace provozu informačních technologií, poradenství v oblasti vykazování zdravotní péče, zdravotnické přístrojové techniky a ostatního zdravotnického vybavení, rozvoje eHealth, ekonomiky a účetnictví ve zdravotnických zařízeních. V roce 2016 je hrazeno plnění z uzavřených dohod za měsíc prosinec 2015 a plnění z dohod trvajících do 30.6.2016. Z tohoto důvodu byly usnesením rady kraje č. 89/7017 ze dne 26.1.2016 převedeny nevyčerpané finanční prostředky ve výši 982,25  tis. Kč do rozpočtu roku 2016.  Zbývající finanční prostředky ve výši 1.389,57 tis. Kč nebyly vyčerpány z důvodu poskytnutí nižšího objemu služeb, než bylo předpokládáno.</t>
  </si>
  <si>
    <t>Odborní garanti v odvětví zdravotnictví</t>
  </si>
  <si>
    <t>Důvodem nevyčerpání finančních prostředků bylo vyplacení nižší částky u dohod uzavřených s jednotlivými garanty.</t>
  </si>
  <si>
    <t>Vracení správních poplatků</t>
  </si>
  <si>
    <t>Zákonem č. 372/2011 Sb., o zdravotních službách (dále zákon), účinným od 1.4.2012, vznikla poskytovatelům zdravotních služeb povinnost požádat o udělení oprávnění (za správní poplatek 1.000 Kč) k poskytování zdravotních služeb v případě, že hodlali poskytovat zdravotní péči i po datu 31.3.2015. Ústavní soud ČR nálezem vyhlášeným ve Sbírce zákonů dne 10.12.2012 pod č. 437/2012 Sb. zrušil časové omezení platnosti stávajících registrací a povinnost poskytovatelů zdravotních služeb požádat si do 31.12.2012 o přeregistraci. Pokud rozhodnutí nebylo vydáno a žadatel vzal písemně svou žádost zpět a uhradil i správní poplatek, byl mu tento vrácen na základě písemně podané žádosti. S ohledem na skutečnost, že nešlo dopředu stanovit počet zpětvzetí žádosti o udělení oprávnění k poskytování zdravotních služeb, nebyly finanční prostředky dočerpány.</t>
  </si>
  <si>
    <t>Mediální publicita v odvětví zdravotnictví</t>
  </si>
  <si>
    <t>Akce byla v průběhu roku 2015 sloučena s akcí "Technická údržba, podpora a služby k software v odvětví zdravotnictví" včetně převedení rozpočtovaných prostředků.</t>
  </si>
  <si>
    <t>Finanční prostředky na akci byly schváleny zastupitelstvem kraje usnesením č. 12/996 ze dne 11.12.2014. K nedočerpání došlo z důvodu vysoutěžení nižší kupní ceny, než se předpokládalo.</t>
  </si>
  <si>
    <t>Moravskoslezská sestra</t>
  </si>
  <si>
    <t>Akce byla schválena usnesením rady kraje č. 79/6417 z 6.10.2015. V prosinci 2015 byla vystavena objednávka s plnění do konce ledna 2016.  Z tohoto důvodu byly usnesením rady kraje č. 89/7017 ze dne 26.1.2016 převedeny nevyčerpané finanční prostředky ve výši 44 tis.Kč do rozpočtu roku 2016. Zbývající finanční prostředky nebyly vyčerpány z důvodu poskytnutí nižšího objemu služeb, než bylo předpokládáno.</t>
  </si>
  <si>
    <t>Ostatní výdaje v odvětví zdravotnictví</t>
  </si>
  <si>
    <t>Rada kraje usnesením č. 80/6463 ze dne 20.10.2015 schválila přesun finančních prostředků v souvislosti s řešením úhrady regulačních poplatků v krajských zdravotnických zařízeních, kde již soud rozhodl v prvních řízeních o úhradě plnění dle žalob podaných soukromými lékárnami. Vrchní soud v Olomouci již rozhodoval v totožné věci v odvolacím řízení ve prospěch žalobců. Je předpokládáno, že úhrada proběhne v 1. čtvrtletí roku 2016, z toho důvodu byly finanční prostředky  usnesením rady kraje č. 89/7017 ze dne 26.1.2016 převedeny do rozpočtu roku 2016.</t>
  </si>
  <si>
    <t>Technická údržba, podpora a služby k software v odvětví zdravotnictví</t>
  </si>
  <si>
    <t>V souladu s platebními podmínkami uvedenými ve smlouvě k činnostem zajišťujícím udržitelnost projektu "Krajský standardizovaný projekt zdravotnické záchranné služby Moravskoslezského kraje" byly nevyčerpané finanční prostředky ve výši 490 tis. Kč zapojeny usnesením rady kraje č. 89/7017 ze dne 26.1.2016 do rozpočtu roku 2016. Nevyčerpané finanční prostředky ve výši 242 tis. Kč představují úsporu.</t>
  </si>
  <si>
    <t>SR - Účelové dotace krajům - TBC</t>
  </si>
  <si>
    <t>ID -  Projekt "Počteníčko s babičkou" (Občanské sdružení Počteníčko s babičkou)</t>
  </si>
  <si>
    <t>ID - Projekt „MOBILNÍ HOSPIC Strom života“ (Andělé Stromu života pobočný spolek Moravskoslezský kraj)</t>
  </si>
  <si>
    <t>ID - Projekt „Půjčovna kompenzačních pomůcek pro sluchově postižené“ (Moravskoslezská unie neslyšících, zapsaný spolek)</t>
  </si>
  <si>
    <t>ID - Projekt „Oceňování bezpříspěvkových dárců krve Zlatým křížem 2. třídy“ (Oblastní spolek Českého červeného kříže Ostrava)</t>
  </si>
  <si>
    <t>Příspěvek na provoz v odvětví zdravotnictví - příspěvkové organizace kraje</t>
  </si>
  <si>
    <t>Dětský stacionář (Odborný léčebný ústav Metylovice - Moravskoslezské sanatorium, příspěvková organizace)</t>
  </si>
  <si>
    <t>Výdaje související s provozem Integrovaného bezpečnostního centra Moravskoslezského kraje (Zdravotnická záchranná služba Moravskoslezského kraje, příspěvková organizace, Ostrava)</t>
  </si>
  <si>
    <t>SR - Specializační vzdělávání zdravotnických pracovníků - rezidenční místa - neinvestice</t>
  </si>
  <si>
    <t>Koncem měsíce prosince 2015 zaslala příspěvková organizace Slezská nemocnice v Opavě kraji vratku státní účelové dotace na úhradu nákladů spojených se specializačním vzděláváním - lékaři. Finanční prostředky byly zaslány zpět na účet poskytovatele, tj. Ministerstva zdravotnictví, ještě v roce 2015. Úprava rozpočtu z časových důvodu již nebyla provedena.</t>
  </si>
  <si>
    <t>SR  - Připravenost poskytovatele ZZS na řešení mimořádných událostí a krizových situací</t>
  </si>
  <si>
    <t>SR - Specializační vzdělávání nelékařů</t>
  </si>
  <si>
    <t>Akce byla schválená usnesením rady kraje č.  72/5926 ze dne 14.7.2015. Rada kraje usnesením č. 86/6906 ze dne 17.12.2015 schválila finanční prostředky ve výši 51,86 tis. Kč na nezbytné stavební práce. S ohledem na termín jejich realizace byly finanční prostředky určeny k převodu do rozpočtu roku 2016.</t>
  </si>
  <si>
    <t>Pronájem Nemocnice s poliklinikou v Novém Jičíně byl schválen usnesením rady kraje č. 93/5859 ze dne 21.9.2011 a usnesením zastupitelstva kraje č. 21/1723 ze dne 21.9.2011. V souladu s rozhodnutím orgánů kraje byla dne 26.9.2011 uzavřena s nájemcem Radioterapie a.s. (později Nemocnice Nový Jičín a.s.) smlouva o nájmu podniku. Na základě této smlouvy se pronajímatel zavazuje prostředky ve výši 95% z reinvestiční části nájemného investovat zpět do pronajatého  majetku, přičemž nevyčerpaná častka, která je určená v daném roce na reinvestice a opravy se dle smlouvy o nájmu podniku z jednoho kalendářního roku převádí do následujícího kalendářního roku. Z tohoto důvodu byly usnesením rady kraje č. 89/7017 ze dne 26.1.2016 převedeny nevyčerpané finanční prostředky ve výši 4.532,41 tis. Kč do rozpočtu roku 2016.</t>
  </si>
  <si>
    <t>Úpravy rozvodů mediplynů Karviná (Nemocnice s poliklinikou Karviná-Ráj, příspěvková organizace)</t>
  </si>
  <si>
    <t>Rekonstrukce výtahů v blocích C, D, E (Nemocnice ve Frýdku – Místku, příspěvková organizace)</t>
  </si>
  <si>
    <t>Akce byla schválena usnesením rady kraje č. 55/4293 ze dne 4.11.2014. Dne 22.9.2014 vznikla škodní událost na majetku kraje v hospodaření organizace Nemocnice ve Frýdku-Místku, příspěvková organizace. Škodu způsobil požár v denní místnosti sousedící s operačním sálem. Došlo k poškození prostor, zdravotnických přístrojů, zařízení, materiálu a dalšího vybavení. Česká pojišťovna a. s. poskytla pojistné plnění ve výši 13,19 mil. Kč. Vzhledem k tomu, že příspěvková organizace při odstranění následků škod musí postupovat v souladu se zákonem o veřejných zakázkách, stále probíhá postupná obnova zdravotnických přístrojů, jejíž ukončení se předpokládá v roce 2016. Z tohoto důvodu byly usnesením rady kraje č. 89/7017 ze dne 26.1.2016 převedeny nevyčerpané finanční prostředky do rozpočtu roku 2016.</t>
  </si>
  <si>
    <t>Akce byla schválena usnesením rady kraje č. 40/2964 ze dne 8.4.2014 s předpokládanými náklady ve výši 8.784 tis. Kč. V průběhu přípravných prací probíhalo komplikované projednávání stavby ve fázi zpracování projektové dokumentace s různými odbory Magistrátu města Karviná, a to zejména ve vztahu k umístění výtlačného potrubí a nesouladu mezi územním rozhodnutím a vyjádřením Odboru životního prostředí Magistrátu města Karviná. Projektová dokumentace je dokončena a proběhla příprava zadávacího řízení na zhotovitele. Z tohoto důvodu byly usnesením rady kraje č. 89/7017 ze dne 26.1.2016 převedeny nevyčerpané finanční prostředky ve výši  8.737,79 tis. Kč do rozpočtu roku 2016.</t>
  </si>
  <si>
    <t>Finanční prostředky na akci byly schváleny radou kraje usnesením č. 71/5827 ze dne 25.6.2015. Nákup přístrojů pro provoz ambulancí a jednotlivých oddělení probíhal v roce 2015 a 2016.  Z tohoto důvodu byly usnesením rady kraje č. 89/7017 ze dne 26.1.2016 převedeny nevyčerpané finanční prostředky ve výši 3.724,52 tis. Kč do rozpočtu roku 2016.</t>
  </si>
  <si>
    <t>Akce byla schválena usnesením rady kraje č. 53/4126 ze dne 7.10.2014  s předpokládanými náklady ve výši 3.000 tis. Kč. V  roce 2015 proběhla první etapa rekonstrukce lůžkových oddělení (chirurgie, interna). Usnesením rady kraje č. 71/5827 ze dne 25.6.2015  bylo schváleno poskytnutí dalších finančních prostředků ve výši 3.800 tis. Kč na druhou etapu (oddělení neurologie, urologie a LDN). Zahájení realizace této druhé etapy bylo možné až po ukončení rekonstrukce geriatrického oddělení, kde došlo k časovému posunu z důvodu nedodání mobiliáře a přístrojové techniky. Uzavření tohoto oddělení (geriatrie) blokovalo přesun hospitalizovaných pacientů neurologického a urologického oddělení. V roce 2015 byla zpracována projektová dokumentace a proběhlo zadávací řízení na zhotovitele stavby a na konci roku 2015 byla zahájena 2. etapa rekonstrukce. Z tohoto důvodu byly usnesením rady kraje č. 89/7017 ze dne 26.1.2016 převedeny nevyčerpané finanční prostředky ve výši 3.641,37 tis. Kč do rozpočtu roku 2016.</t>
  </si>
  <si>
    <t>Rekonstrukce výtahů č. 7 a č. 17 (Nemocnice s poliklinikou Havířov, příspěvková organizace)</t>
  </si>
  <si>
    <t>Akce byla schválena usnesením zastupitelstva kraje č. 12/996 ze dne 11.12.2014. V roce 2015 byla již  uhrazena projektová dokumentace ve výši 63 tis. Kč. Smlouva o dílo byla uzavřena v měsíci září 2015 s termínem realizace stavby na dobu 4 měsíců. Z důvodu platebních podmínek, kdy fakturace má proběhnout až na základě předání a převzetí dokončeného díla a vydání kolaudačního rozhodnutí, byly usnesením rady kraje č. 89/7017 ze dne 26.1.2016 převedeny nevyčerpané finanční prostředky ve výši 3.937 tis. Kč do rozpočtu roku 2016.</t>
  </si>
  <si>
    <t>Akce byla schválena usnesením zastupitelstva kraje č. 12/996 ze dne 11.12.2014 s předpokládanými náklady ve výši 7.000 tis. Kč, z toho 6.100 tis. Kč investičních a 900 tis. Kč neinvestičních prostředků. Důvodem přesunu realizace akce do roku 2016 byl časový posun jiné investiční akce, a to "Rekonstrukce gynekologicko-porodního oddělení". Rekonstruovaná část nebyla v provozu a vystěhované oddělení včetně porodnice byly provizorně umístěny v jiných částech nemocnice tak, aby byl zachován provoz. V případě, že by byla současně zahájena i stavba "Výměna rozvodů vody v křídle A1 a v monobloku Karviná", nebylo by možno touto stavbou dotčená oddělení provizorně nikam přemístit. Výměnu rozvodů je možno zahájit až pro uvedení gynekologicko-porodního oddělení do provozu. V roce 2015 byla zpracována a uhrazena projektová dokumentace a proběhla příprava zadávacího řízení na výběr zhotovitele, které bylo vyhlášeno koncem roku 2015. Z tohoto důvodu byly usnesením rady kraje č. 89/7017 ze dne 26.1.2016 převedeny nevyčerpané finanční prostředky ve výši  do rozpočtu roku 2016.</t>
  </si>
  <si>
    <t>Nákup budovy v areálu Nemocnice Třinec (Nemocnice Třinec, příspěvková organizace)</t>
  </si>
  <si>
    <t>Čističky odpadních vod - výstavba a demolice (Slezská nemocnice v Opavě, příspěvková organizace)</t>
  </si>
  <si>
    <t>Akce byla schválena usnesením rady kraje č. 71/5827 ze dne 25.6.2015 s předpokládanými náklady ve výši 6.000  tis. Kč (z toho 4.500 tis. Kč z rozpočtu kraje a 1.500 tis Kč z vlastních zdrojů příspěvkové organizace.)  V roce 2015 byla vysoutěžena a zpracována projektová dokumentace a čeká se na stavební povolení a územní rozhodnutí. Následně bude zahájeno zadávací řízení na výběr zhotovitele stavby. Z tohoto důvodu byly usnesením rady kraje č. 89/7017 ze dne 26.1.2016 převedeny nevyčerpané finanční prostředky ve výši 4.500 tis. Kč do rozpočtu roku 2016.</t>
  </si>
  <si>
    <t xml:space="preserve">Finanční prostředky na akci byly schváleny radou kraje usnesením č. 71/5847 ze dne 25.6.2015. K nedočerpání došlo z důvodu vysoutěžení nižší kupní ceny, než se předpokládalo. </t>
  </si>
  <si>
    <t>Pořízení dětských postýlek a dětských lůžek (Nemocnice s poliklinikou Havířov, příspěvková organizace)</t>
  </si>
  <si>
    <t>Finanční prostředky na akci byly schváleny radou kraje usnesením č. 71/5847 ze dne 25.6.2015. Na dodavatele proběhla veřejná zakázka, dodání postýlek a lůžek bude realizováno průběžně do konce 1. pololetí 2016. Z tohoto důvodu byly usnesením rady kraje č. 89/7017 ze dne 26.1.2016 převedeny nevyčerpané finanční prostředky ve výši 600  tis. Kč do rozpočtu roku 2016.</t>
  </si>
  <si>
    <t>Rada kraje usnesením č. 86/6906 ze dne 17.12.2015 schválila finanční prostředky ve výši 564,73 tis. Kč na provedení nezbytných stavebních prací a úprav. Termín realizace byl stanoven na rok 2016. Z tohoto důvodu byly usnesením rady kraje č. 89/7017 ze dne 26.1.2016 převedeny nevyčerpané finanční prostředky do rozpočtu roku 2016.</t>
  </si>
  <si>
    <t>Oprava stavby pergoly a světelného nápisu (Nemocnice s poliklinikou Havířov, příspěvková organizace)</t>
  </si>
  <si>
    <t>Sanitní vozy a služby eHealth - programové vybavení</t>
  </si>
  <si>
    <t>Akce byla předložena ke schválení na jednání rady  kraje dne  24.11.2015. V  roce 2015 proběhlo výběrové řízení na zhotovitele, byla uzavřena smlouva o dílo a byly zahájeny stavební práce. Z důvodu platebních podmínek, kdy fakturace má proběhnout až na základě předání a převzetí dokončeného díla a vydání kolaudačního rozhodnutí byly usnesením rady kraje č. 89/7017 ze dne 26.1.2016 převedeny nevyčerpané finanční prostředky ve výši 1.647,87 tis. Kč do rozpočtu roku 2016.</t>
  </si>
  <si>
    <t>Koupelny pro imobilní pacienty (Slezská nemocnice v Opavě, příspěvková organizace)</t>
  </si>
  <si>
    <t>Akce byla schválena usnesením rady kraje č. 86/6943 ze dne 17.12.2015  s předpokládanými náklady ve výši 345,65 tis. Kč s časovou použitelností do 30.6.2016. Z tohoto důvodu byly usnesením rady kraje č. 89/7017 ze dne 26.1.2016 převedeny nevyčerpané finanční prostředky ve výši 345,65 tis. Kč do rozpočtu roku 2016.</t>
  </si>
  <si>
    <t>Rekonstrukce geriatrického oddělení v Nemocnici s poliklinikou Havířov, p.o. (Nemocnice s poliklinikou Havířov, příspěvková organizace)</t>
  </si>
  <si>
    <t>Rada kraje usnesením č. 86/6906 ze dne 17.12.2015 schválila finanční prostředky ve výši 198,62 tis. Kč na dodání nábytku požadovaných parametrů. Termín realizace je stanoven na 2016. Z tohoto důvodu byly usnesením rady kraje č. 89/7017 ze dne 26.1.2016 převedeny nevyčerpané finanční prostředky do rozpočtu roku 2016.</t>
  </si>
  <si>
    <t xml:space="preserve">Obnovení přístrojové techniky ve zdravotnických zařízeních </t>
  </si>
  <si>
    <t>Zastupitelstvo kraje rozhodlo profinancovat a kofinancovat projekt usnesením č. 25/2198 ze dne 25.9.2008. Projekt byl koncem roku 2014 ukončen, veškeré způsobilé výdaje byly realizovány. Vratka dotace byla rozpočtována ve výši 13.536 tis. Kč a skutečně vráceno 10.440 tis. Kč na základě rozhodnutí o porušení rozpočtové kázně. Na další část zatím nebylo rozhodnutí o porušení rozpočtové kázně vydáno.</t>
  </si>
  <si>
    <t>Zastupitelstvo kraje rozhodlo o profinancování a kofinancování projektu a o zahájení jeho realizace usnesením č. 22/1884 ze dne 14. 12. 2011. V rámci výběrového řízení na dodávku CT podal neúspěšný uchazeč o tuto veřejnou zakázku podnět k ÚOHS k přezkumu postupu zadavatele při zadání této veřejné zakázky a následně po rozhodnutí ÚOHS ve prospěch Moravskoslezského kraje podal rozklad proti tomuto rozhodnutí k předsedovi ÚOHS. Ve věci rozkladu není do dnešního dne rozhodnuto, celý spis k této veřejné zakázce je na ÚOHS a proto nebylo možné vystavit fakturu za služby spojené se zajištěním této veřejné zakázky v roce 2015. Náklad za zajištění tohoto výběrového řízení bude zaplacen v roce 2016. Nevyčerpané finanční prostředky ve výši 200 tis. Kč byly zapojeny do rozpočtu roku 2016 na základě usnesení rady kraje č. 89/7017 ze dne 26.1.2016. Úspora vznikla v důsledku vysoutěžení nižších cen ve veřejných zakázkách.</t>
  </si>
  <si>
    <t>Zastupitelstvo rozhodlo o profinancování a kofinancování projektu usnesením 3/190 ze dne 21.3.2013. Realizace projektu byla v roce 2015 ukončena. Úspora vznikla v důsledku vysoutěžení nižších cen ve veřejných zakázkách.</t>
  </si>
  <si>
    <t>Zastupitelstvo kraje rozhodlo o profinancování a kofinancování akce  19.9.2013 usnesením č. 6/453. Realizace projektu byla v roce 2015 ukončena. Úspora vznikla v důsledku vysoutěžení nižších cen ve veřejných zakázkách.</t>
  </si>
  <si>
    <t>Rekonstrukce geriatrického oddělení v Nemocnici s poliklinikou Havířov, příspěvková organizace</t>
  </si>
  <si>
    <t>Zastupitelstvo kraje rozhodlo o zahájení realizace a profinancování a kofinancování projektu dne 24.4.2014 usnesením č. 9/797. Realizace projektu byla v roce 2015 ukončena. Úspora vznikla v důsledku vysoutěžení nižších cen ve veřejných zakázkách.</t>
  </si>
  <si>
    <t>Pořízení pomůcek pro ošetřovatelskou a rehabilitační péči zdravotnických zařízení</t>
  </si>
  <si>
    <t>Zastupitelstvo kraje usnesením 8/699 ze dne 27.2.2014 schválilo zahájení přípravy projektu „Pořízení pomůcek pro ošetřovatelskou a rehabilitační péči zdravotnických zařízení“ předkládaného do Regionálního operačního programu NUTS II Moravskoslezsko 2007–2013. Projekt  byl připravován k předložení jako záložní projekt pro dočerpání disponibilních prostředků ROP. Vzhledem k tomu, že disponibilní prostředky byly vyčerpány na jiné projekty, byla příprava tohoto projektu z programového období 2007 – 2013 ukončena.</t>
  </si>
  <si>
    <t xml:space="preserve">Zastupitelstvo kraje rozhodlo o profinancování a kofinancování projektu dne 22.12.2010 usnesením č. 16/1372.  Projekt byl ukončen v roce 2015 a úspora ve výši 9.065 tis. Kč vznikla na základě vysoutěžení dílčích dodavatelů za nižší ceny než byla cena předpokládaná v rámci vyhlášených výběrových řízeních. </t>
  </si>
  <si>
    <t xml:space="preserve">Zateplení vybraných objektů nemocnice v Karviné - Ráji </t>
  </si>
  <si>
    <t>Zastupitelstvo kraje rozhodlo o profinancování a kofinancování projektu usnesením č. 10/879 ze dne 19.12.2013. Finanční prostředky byly vyčleněny na úhradu výdaje za zpracování stanovisek projektantů a energetický audit. Úspora vznikla na základě vysoutěžení nižších cen ve veřejné zakázce.</t>
  </si>
  <si>
    <t>Zastupitelstvo kraje rozhodlo o profinancování a kofinancování projektu usnesením č. 7/394 ze dne 14.10.2009. Finanční prostředky byly vyčleněny na úhradu výdaje za zpracování stanovisek projektantů a energetický audit. Úspora vznikla na základě vysoutěžení nižších cen ve veřejné zakázce.</t>
  </si>
  <si>
    <t>Zastupitelstvo kraje rozhodlo o profinancování a kofinancování projektu usnesením č. 7/601 ze dne 19.12.2013. Finanční prostředky byly vyčleněny na úhradu výdaje za zpracování stanovisek projektantů a energetický audit. Úspora vznikla na základě vysoutěžení nižších cen ve veřejné zakázce.</t>
  </si>
  <si>
    <t>Zateplení vybraných objektů Nemocnice ve Frýdku-Místku – II. etapa</t>
  </si>
  <si>
    <t>Zastupitelstvo kraje schválilo zahájení přípravy projektu dne 5.3.2015 usnesením č. 13/1165. Finanční prostředky na přípravnou fázi projektu byly vyčleněny z prostředků určených na přípravu projektů pro rok 2015. Vzhledem k větší časové náročnosti přípravy projektu byly finanční prostředky zapojeny do rozpočtu roku 2016 na základě usnesení rady kraje č. 89/7017 ze dne 26.1.2016.</t>
  </si>
  <si>
    <t>Zateplení vybraných objektů Slezské nemocnice v Opavě - II. etapa</t>
  </si>
  <si>
    <t>Zastupitelstvo kraje schválilo zahájení přípravy projektu dne 5.3.2015 usnesením č. 13/1165. Finanční prostředky na přípravnou fázi projektu byly vyčleněny z prostředků určených na přípravu projetku pro rok 2015. Vzhledem k větší časové náročnosti přípravy projektu byly finanční prostředky zapojeny do rozpočtu roku 2016 na základě usnesení rady kraje č. 89/7017 ze dne 26.1.2016.</t>
  </si>
  <si>
    <t>Výstavba výjezdového stanoviště Nový Jičín</t>
  </si>
  <si>
    <t>Zastupitelstvo kraje schválilo zahájení přípravy projektu dne 25.9.2015 usnesením č. 16/1623. Finanční prostředky na přípravnou fázi projektu byly vyčleněny z prostředků určených na přípravu projektu pro rok 2015. Vzhledem k větší časové náročnosti přípravy projektu byly finanční prostředky zapojeny do rozpočtu roku 2016 na základě usnesení rady kraje č. 89/7017 ze dne 26.1.2016.</t>
  </si>
  <si>
    <t>PŘEHLED VÝDAJŮ V ODVĚTVÍ ŽIVOTNÍHO PROSTŘEDÍ V ROCE 2015</t>
  </si>
  <si>
    <t>Dotační program byl vyhlášen jako dvouletý a nevyplacené finanční prostředky jsou smluvně vázány. Příjemci dotací v rámci DP 2014 byli schváleni usnesením zastupitelstva kraje č. 8/683 ze dne 27.2.2014. Příjemci dotací v rámci DP 2015 byli schváleni usnesením č. 13/1137 ze dne 5.3.2015 a usnesením č. 15/1482 ze dne 25.6.2015. Vyplácení dotací probíhá na základě výzev spolu s průběžným vyúčtováním, a proto čerpání finačních prostředků probíhá i v průběhu roku 2016. Nevyčerpané finančncí prostředky byly usnesením rady kraje č. 89/7017 ze dne 26.1.2016 zapojeny do rozpočtu kraje na rok 2016.</t>
  </si>
  <si>
    <t xml:space="preserve">Nevyčerpané finanční prostředky dotačního programu z roku 2014 ve výši 980,9 tis. Kč byly převedeny do schváleného rozpočtu na rok 2015 na výplatu příspěvků v měsíci únoru a březnu. Příjemci dotací programu na rok 2015 byli schváleni zastupitelstvem kraje usnesením č. 15/1484 ze dne 25.6.2015.   Nevyčerpané finanční prostředky ve výši 4.325,56 tis. Kč jsou smluvně vázány a byly za tímto účelem usnesením rady kraje č. 88/6970 ze dne 12.1.2016 zapojeny do rozpočtu kraje na rok 2016. Zbývající nevyčerpané finanční prostředky ve výši 1.476,24 tis. Kč byly po závěrečném vyúčtování dotací minulého i současného období vyhodnoceny jako volné a představují úsporu. </t>
  </si>
  <si>
    <t xml:space="preserve">Dotační program - Program na podporu výměny kotlů </t>
  </si>
  <si>
    <t>Povodňový plán Moravskoslezského kraje</t>
  </si>
  <si>
    <t xml:space="preserve">Povinnost každoroční aktualizace povodňového plánu vyplývá z ustanovení § 71 odst. 6 zákona č. 254/2001 Sb. o vodách. Vzhledem k tomu, že v uplynulém období nedošlo ke změnám v území ani v údajích a datech, které by vyvolaly změnu v Povodňovém plánu Moravskoslezského kraje, byly nevyčerpané finanční prostředky usnesením RK č. 80/6463 ze dne 20.10.2015 převedeny na akci Rezerva na mimořádné akce a akce s nedořešeným financováním v roce 2015. </t>
  </si>
  <si>
    <t>Plán odpadového hospodářství</t>
  </si>
  <si>
    <t>V rámci této akce rozpočtu byly realizovány dvě veřejné zakázky, tj. "Zpracování návrhu Plánu odpadového hospodářství Moravskoslezského kraje" a zpracování projektu "Nakládání s biologicky rozložitelnými odpady zejména komunálními v Moravskoslezském kraji v roce 2015". Úspory z realizací těchto veřejných zakázek v celkové výši 1.893 tis. Kč byly převedeny na akci Rezerva na mimořádné akce a akce s nedořešeným financováním v roce 2015. Nevyčerpané finanční prostředky ve výši 768,35 tis. Kč jsou smluvně vázány na výše uvedené projekty ve smlouvách o dílo a byly zapojeny do rozpočtu na rok 2016 usnesením rady kraje č. 89/7017 ze dne 26.1.2016.</t>
  </si>
  <si>
    <t>Odběr podzemní vody</t>
  </si>
  <si>
    <t xml:space="preserve">Nevyčerpané finanční prostředky byly připsány v minulých letech na zvláštní účet, který byl zřízen za účelem příjmu části (50%) poplatků za odběr podzemní vody ve smyslu ustanovení §88 odst. 15 zákona č. 254/2001 Sb., o vodách, které jsou podle vodního zákona účelově určeny jako příjem rozpočtu kraje a které mohou být použity jen na podporu výstavby a obnovy vodohospodářské infrastruktury a na zřízení a doplňování zvláštního tzv. havarijního účtu. Z důvodu zachování účelovosti těchto finančních prostředků byly tyto zapojeny usnesením rady kraje č. 89/7017 ze dne 26.1.2016 do rozpočtu kraje na rok 2016 na akci Odběr podzemní vody. </t>
  </si>
  <si>
    <t>Zpracování posudků EIA</t>
  </si>
  <si>
    <t xml:space="preserve">Finanční prostředky  této akce byly vydávány za účelem zpracování posudků EIA. Čerpání těchto finančních prostředků probíhá podle potřeb, neboť v oblasti posuzování vlivů na životní prostředí se nedá odhadnout jak množství podaných žádostí na zpracování posudku EIA, tak jejich cena. Nevyčerpané finanční prostředky ve výši 51,31 tis. Kč jsou smluvně vázány ve smlouvě o dílo na zpracování posudku ke konkrétnímu záměru a byly za tímto účelem usnesením rady kraje č. 89/7017 ze dne 26.1.2016 zapojeny do rozpočtu kraje na rok 2016. Zbývající nevyčerpané prostředky představují úsporu. </t>
  </si>
  <si>
    <t xml:space="preserve">Situační zpráva o kvalitě ovzduší </t>
  </si>
  <si>
    <t xml:space="preserve">Nevyčerpané finanční prostředky představují úsporu. </t>
  </si>
  <si>
    <t xml:space="preserve">Finanční prostředky v rámci této akce rozpočtu byly poskytnuty na projekty zaměřené na sledování kvality ovzduší v MSK a rovněž na realizaci osvětové kampaně o správném a špatném topení a  vytvoření aplikace pro vyhodnocení výměny starých kotlů. S ohledem na smluvní podmínky realizace kampaně je čerpání  finančních prostředků ve výši 199,65 tis. Kč plánováno až v roce 2016, byly tyto prostředky zapojeny do rozpočtu na rok 2016 usnesením rady kraje č. 89/7017 ze dne 26.2.2016. </t>
  </si>
  <si>
    <t>Prevence závažných havárií</t>
  </si>
  <si>
    <t>Na základě účinnosti nového zákona o prevenci závažných havárií č. 224/2015 Sb. Tento nově upravuje povinnost krajského úřadu zajistit zpracování posudku k návrhu bezpečnostní dokumentace.  Nevyčerpané finanční prostředky ve výši 200 tis. Kč byly usnesením rady kraje č. 80/6463 ze dne 20.10.2015 převedeny na akci Rezerva na mimořádné akce a akce s nedořešeným financováním v roce 2015. Pro případnou potřebu zajištění zpracování posudku byly na této akci rozpočtu ponechány finanční prostředky ve výši 150 tis. Kč. Nevyčerpané finanční prostředky představují úsporu.</t>
  </si>
  <si>
    <t xml:space="preserve">V rámci akce se realizovala opatření na ochranu obojživelníků a ohrožených zvláště chráněných druhů.  Vzhledem k tomu, že nevznikla aktuální potřeba financovat realizaci dalších opatření zaměřených na ochranu zvláště chráněných druhů, mezi které patří rovněž opravy čapích hnízd, jak se původně předpokládalo, představují nevyčerpané finanční prostředky úsporu. </t>
  </si>
  <si>
    <t xml:space="preserve">V rámci akce je mj. hrazeno zajištění péče, zpracování péče o přírodní rezervace a přírodní památky a rovněž zajištění péče o značení ZCHÚ, které blíže specifikuje dané území. Finanční prostředky ve výši 250,30 tis. Kč jsou smluvně vázány a jejich výplata proběhne v průběhu roku 2016. Tyto prostředky byly zapojeny usnesením rady kraje č. 89/7017 ze dne 26.1.2016 do rozpočtu 2016. Zbývající nevyčerpané finanční prostředky představují úsporu. </t>
  </si>
  <si>
    <t>Finanční prostředky jsou každoročně určeny k úhradě nákladů spojených s odstraněním následků závadného stavu podle § 42 odst. 4 (havárie) a odst. 5 (ekologické újmy) zákona č. 254/2001 Sb., o vodách. Tyto finanční prostředky jsou uvolňovány z havarijního účtu, který je ročně doplňován do výše 10 mil. Kč v souladu se Zásadami pro poskytování finančních prostředků z rozpočtu kraje  a na základě rozhodnutí zastupitelstva kraje. Nevyčerpané finanční prostředky byly usnesením rady kraje č. 89/7017 ze dne 26.1.2016 zapojeny do rozpočtu kraje na rok 2016.</t>
  </si>
  <si>
    <t>Smart region</t>
  </si>
  <si>
    <t xml:space="preserve">V rámci této akce rozpočtu nebyla realizována veřejná zakázka na zpracování konceptu Smart regionu Moravskoslezského kraje, neboť podpora na tento koncept byla vyčleněna přímo v rámci 4. výzvy/2015 Státního programu na podporu úspor energie s využitím obnovitelných zdrojů energie pro rok 2015 (Program Efekt), vyhlášeného MPO. Vyčíslená úspora ve výši 1.193 tis. Kč byla použita na podporu vodohospodářských projektů formou individuálních dotací a na základě usnesení rady kraje č. 84/6683 ze dne 24.11.2015 byla převedena na akci Podpora vodohospodářských projektů. Nevyčerpané finanční prostředky ve výši 653,40 tis. Kč jsou smluvně vázány a byly za tímto účelem usnesením rady kraje č. 89/7017 ze dne 26.1.2016 zapojeny do rozpočtu kraje na rok 2016. Zbývající nevyčerpané finanční prostředky ve výši 1.153,60 tis. Kč představují úsporu. </t>
  </si>
  <si>
    <t>Expertní studie, průzkumy</t>
  </si>
  <si>
    <t xml:space="preserve">Finanční prostředky byly využívány k získávání informací nezbytných pro přípravu podkladů pro rozhodování orgánů kraje a pro rozhodování odboru životního prostředí a zemědělství ve všech oblastech životního prostředí. Nevyčerpané finanční prostředky představují úsporu. </t>
  </si>
  <si>
    <t>Výsadba a obnova alejí v okolí silničních komunikací ve vlastnictví Moravskoslezského kraje</t>
  </si>
  <si>
    <t xml:space="preserve">Finanční prostředky na této akci rozpočtu byly smluvně zajištěny na financování výsadby a obnovy alejí podél komunikací ve vlastnictví MSK, a to za účelem vytvoření a obnovy krajinných prvků a posílení ekologické stability krajiny MSK. Vzhledem k tomu, že závěrečná etapa díla bude realizována v roce 2016, byly tyto prostředky zapojeny usnesením rady kraje č. 89/7017 ze dne 26.1.2016 do rozpočtu 2016. </t>
  </si>
  <si>
    <t xml:space="preserve">Výše čerpání finančních prostředků v rámci této akce rozpočtu byla závislá na počtu krajem podpořených žádostí a poskytnutí individuálních dotací. Nevyčerpané finanční prostředky ve výši 180 tis. Kč jsou smluvně vázány a byly za tímto účelem usnesením rady kraje č. 89/7017 ze dne 26.1.2016 zapojeny do rozpočtu kraje na rok 2016. Zbývající nevyčerpané finanční prostředky ve výši 29,96 tis. Kč představují úsporu.  </t>
  </si>
  <si>
    <t xml:space="preserve">Osvětová činnost </t>
  </si>
  <si>
    <t>Krajské integrované centrum</t>
  </si>
  <si>
    <t xml:space="preserve">Finanční prostředky byly určeny k peněžitému vkladu kraje do společnosti KIC Odpady, a.s. Zvýšení základního kapitálu se nerealizovalo a nevyčerpané finanční prostředky byly usnesením rady kraje č. 80/6463 ze dne 20.10.2015 převedeny na akci Rezerva na mimořádné akce a akce s nedořešeným financováním v roce 2015. </t>
  </si>
  <si>
    <t>Podpora energetických činností</t>
  </si>
  <si>
    <t>Nevyčerpané finanční prostředky v rámci této akce rozpočtu jsou smluvně vázány a byly za tímto účelem usnesením rady kraje č. 89/7017 ze dne 26.1.2016 zapojeny do rozpočtu kraje na rok 2016.</t>
  </si>
  <si>
    <t>Implementace MA 21 a principů udržitelného rozvoje v Moravskoslezském kraji</t>
  </si>
  <si>
    <t xml:space="preserve">Finanční prostředky v rámci této akce rozpočtu byly připsány v minulých letech na zvláštní účet, který byl zřízen za účelem příjmu části (50%) poplatků za odběr podzemní vody ve smyslu ustanovení §88 odst. 15 zákona č. 254/2001 Sb., o vodách, které jsou podle vodního zákona účelově určeny jako příjem rozpočtu kraje a které mohou být použity jen na podporu výstavby a obnovy vodohospodářské infrastruktury a na zřízení a doplňování zvláštního tzv. havarijního účtu. Nevyčerpané finanční prostředky ve výši 3.000 tis. Kč jsou smluvně vázány individuální dotací na protipovodňová a revitalizační opatření a byly za tímto účelem usnesením rady kraje č. 89/7017 ze dne 26.1.2016 zapojeny do rozpočtu kraje na rok 2016. Zbývající nevyčerpané finanční prostředky ve výši 750 tis. Kč byly z důvodu zachování účelovosti zapojeny usnesením rady kraje č. 89/7017 ze dne 26.1.2016 do rozpočtu kraje na rok 2016 na akci Odběr podzemní vody. </t>
  </si>
  <si>
    <t>Finanční prostředky byly určeny na poskytování individuálních dotací za účelem podpory správné zemědělské praxe v MSK, propagace zemědělských produktů, ale také na podporu soutěže Regionální potraviny MSK. Vzhledem k tomu, že dotace byly poskytovány ex post a skutečné uznatelné náklady související konkrétně s prezentací regionálních potravin v rámci výstavy Život na zahradě byly výrazně nižší než původně schválená výše dotace, představují tyto finanční prostředky úsporu.</t>
  </si>
  <si>
    <t>EMAS</t>
  </si>
  <si>
    <t xml:space="preserve">SR - Meliorace a hrazení bystřin v lesích podle § 35 odst. 1 a 3 lesního zákona </t>
  </si>
  <si>
    <t>SR - Meliorace a hrazení bystřin v lesích podle § 35 odst. 1 a 3 lesního zákona (investice)</t>
  </si>
  <si>
    <t>SR - Náhrady škod způsobených vybranými zvláště chráněnými živočichy</t>
  </si>
  <si>
    <t>SR - Účelové dotace krajům na likvidaci léčiv</t>
  </si>
  <si>
    <t>ID - Včelařské kroužky mládeže v okrese Frýdek-Místek (Český svaz včelařů, o.s. Frýdek-Místek)</t>
  </si>
  <si>
    <t>ID - Podpora pro Myslivecký spolek NOVINA (Myslivecký spolek NOVINA, Bocanovice)</t>
  </si>
  <si>
    <t>Příspěvek na provoz v odvětví životního prostředí - příspěvkové organizace kraje (Moravskoslezské energetické centrum, příspěvková organizace, Ostrava)</t>
  </si>
  <si>
    <t xml:space="preserve">SR - Účelové dotace krajům na likvidaci léčiv - příspěvkové organizace kraje  </t>
  </si>
  <si>
    <t>Realizace projektu byla v roce 2015 ukončena. Úspora vznikla v důsledku vysoutěžení nižších cen v rámci veřejných zakázek.</t>
  </si>
  <si>
    <t>Implementace soustavy Natura 2000 v Moravskoslezském kraji, 2. vlna</t>
  </si>
  <si>
    <t>Zastupitelstvo kraje rozhodlo o profinancování  a kofinancování projektu dne 25.9.2015 usnesením č. 16/1629. Finanční prostředky na přípravnou fázi projektu byly vyčleněny z prostředků určených na přípravu projektů pro rok 2015. Vzhledem k větší časové náročnosti přípravy projektu  byly nevyčerpané  finanční  prostředky převedeny do rozpočtu roku 2016 na základě usnesení rady kraje  č. 89/7017 ze dne 26.1.2016.</t>
  </si>
  <si>
    <t>Tvorba biotopu páchníka hnědého v evropsky významných lokalitách</t>
  </si>
  <si>
    <t>Zastupitelstvo kraje schválilo zahájení přípravy projektu dne 5.3.2015 usnesením č. 13/1158 v rámci projektu „Zajištění péče o lokality soustavy Natura 2000“. Dne 25.9.2015 usnesením č. 16/1629 rozhodlo zastupitelstvo kraje vyčlenit z  projektu „Zajištění péče o lokality soustavy Natura 2000“ projekt "Tvorba biotopu páchníka hnědého v evropsky významných lokalitách". Finanční prostředky na přípravnou fázi projektu byly vyčleněny z prostředků určených na přípravu projektů pro rok 2015. Vzhledem k větší časové náročnosti přípravy projektu  byly nevyčerpané  finanční  prostředky převedeny do rozpočtu roku 2016 na základě usnesení rady kraje č. 89/7017 ze dne 26.1.2016.</t>
  </si>
  <si>
    <t>Tvorba tůní ve vybraných evropsky významných lokalitách</t>
  </si>
  <si>
    <t>Zastupitelstvo kraje schválilo zahájení přípravy projektu dne 5.3.2015 usnesením č. 13/1158 v rámci projektu „Zajištění péče o lokality soustavy Natura 2000“. Dne 25.9.2015 usnesením č. 16/1629 rozhodlo zastupitelstvo kraje vyčlenit z  projektu „Zajištění péče o lokality soustavy Natura 2000“ projekt "Tvorba tůní ve vybraných evropsky významných lokalitách". Finanční prostředky na přípravnou fázi projektu byly vyčleněny z prostředků určených na přípravu projektů pro rok 2015. Vzhledem k větší časové náročnosti přípravy projektu  byly nevyčerpané  finanční  prostředky převedeny do rozpočtu roku 2016 na základě usnesení rady kraje č. 89/7017 ze dne 26.1.2016.</t>
  </si>
  <si>
    <t>Vybudování tůní na Krnovsku</t>
  </si>
  <si>
    <t>Zastupitelstvo kraje schválilo zahájení přípravy projektu dne 5.3.2015 usnesením č. 13/1158 v rámci projektu „Zajištění péče o lokality soustavy Natura 2000“. Dne 25.9.2015 usnesením č. 16/1629 rozhodlo zastupitelstvo kraje vyčlenit z  projektu „Zajištění péče o lokality soustavy Natura 2000“ projekt "Vybudování tůní na Krnovsku". Finanční prostředky na přípravnou fázi projektu byly vyčleněny z prostředků určených na přípravu projektů pro rok 2015. Vzhledem k větší časové náročnosti přípravy projektu  byly nevyčerpané  finanční  prostředky převedeny do rozpočtu roku 2016 na základě usnesení rady kraje č. 89/7017 ze dne 26.1.2016.</t>
  </si>
  <si>
    <t>Kotlíkové dotace v Moravskoslezském kraji - 1. grantové schéma</t>
  </si>
  <si>
    <t>V rámci nového programovacího období Evropské unie byl schválen Operační program Životní prostředí 2014 - 2020, který v rámci svého specifického cíle 2.1 alokuje finanční podporu na výměnu zdrojů tepla na tuhá paliva v rodinných domech; na Moravskoslezský kraj připadá 1,4 mld. Kč z celkové alokace určené pro Českou republiku. Moravskoslezský kraj bude tyto tzv. kotlíkové dotace realizovat v letech 2015 – 2020 prostřednictvím tří dvouletých grantových schémat. V závěru roku 2015 byly poptány služby v rámci propagační kampaně se splatností  v roce 2016. Proto byly nevyčerpané finanční prostředky převedeny do rozpočtu roku 2016 na základě usnesení rady kraje č. 89/7017 ze dne 26.1.2016.</t>
  </si>
  <si>
    <t>Kofinancování krajských projektů</t>
  </si>
  <si>
    <t>Finanční prostředky byly převedeny na akci Rezerva na mimořádné akce a akce s nedořešeným financováním v roce 2015.</t>
  </si>
  <si>
    <t>PŘEHLED VÝDAJŮ V ODVĚTVÍ FINANCÍ A SPRÁVY MAJETKU V ROCE 2015</t>
  </si>
  <si>
    <t>Zpracování ratingu Moravskoslezského kraje</t>
  </si>
  <si>
    <t>Poplatky z bankovních účtů</t>
  </si>
  <si>
    <t>Finanční prostředky nebyly vyčerpány z důvodu nižších vyjednaných poplatků u bankovních účtů kraje, uzavírání bankovních účtů určených pro projekty spolufinancované z Evropské unie a postupného uzavírání úvěrových účtů u ČSOB, a. s.</t>
  </si>
  <si>
    <t xml:space="preserve">Hrazené úroky z úvěrů </t>
  </si>
  <si>
    <t>Úspora finančních prostředků vznikla z důvodu poklesu sazby PRIBOR, od které se odvíjí výše úrokových sazeb u poskytnutých úvěrů, a dále pak využitím nově nasmlouvaného úvěrového rámce od ČSOB a. s. s velmi nízkým úročením.</t>
  </si>
  <si>
    <t>Platby daní</t>
  </si>
  <si>
    <t>Úspora finančních prostředků souvisí zejména s nadměrnými odpočty DPH uplatňovanými v rámci podaných daňových přiznání v průběhu roku 2015 vlivem reverse charge, kdy kraji vznikla jak daňová povinnost, tak nárok na odpočet.</t>
  </si>
  <si>
    <t xml:space="preserve">Výdaje spojené s novým úvěrem </t>
  </si>
  <si>
    <t>Ostatní výdaje související s nakládáním s majetkem</t>
  </si>
  <si>
    <t>Finanční prostředky byly účelově určené na úhradu výdajů za vyhotovení znaleckých posudků o ceně nemovitých věcí a práv odpovídajících věcnému břemeni, za zpracování geometrických plánů, zřízení věcných břemen ve prospěch Moravskoslezského kraje na nemovité věci ve vlastnictví jiné osoby, odměnu dražebníkovi za provedení dobrovolné dražby. Úspora finančních prostředků vznikla nižšími náklady za tyto služby oproti původnímu předpokladu, především u výdajů spojených s prodejem nemovitých věcí formou dobrovolné veřejné dražby.</t>
  </si>
  <si>
    <t>Pojištění majetku a odpovědnosti kraje</t>
  </si>
  <si>
    <t xml:space="preserve">Úspora finančních prostředků vznikla z důvodu aktualizace (snížení) pojistných částek vozidel krajského úřadu a příspěvkových organizací kraje k 1.7.2015, což mělo vliv na snížení pojistného za havarijní pojištění. </t>
  </si>
  <si>
    <t xml:space="preserve">Nákup pozemků </t>
  </si>
  <si>
    <t>Výdaje související s centralizovanými nákupy</t>
  </si>
  <si>
    <t>Finanční prostředky vynaložené za provedené obchody na komoditní burze byly vzhledem k efektivním nákupům nižší, čímž došlo k úspoře prostředků ve výši 573 tis. Kč.</t>
  </si>
  <si>
    <t>Pokutové bloky</t>
  </si>
  <si>
    <t>Na nákup pokutových bloků byly v rozpočtu kraje 2015 vyčleněny prostředky ve výši 200 tis. Kč, nevyčerpané prostředky ve výši 76 tis. Kč představují úsporu na akci.</t>
  </si>
  <si>
    <t>Výdaje související s užíváním nebytových prostor krajského úřadu cizími subjekty</t>
  </si>
  <si>
    <t>Úspornými opatřeními a mírnými klimatickými podmínkami v zimním období došlo ke snížení spotřeby energií a tím i nižšímu čerpání finančních prostředků. Nevyčerpané prostředky ve výši 319 tis. Kč představují úsporu na akci.</t>
  </si>
  <si>
    <t>Výdaje související se sdílenými službami - neinvestiční</t>
  </si>
  <si>
    <t>Usnesením č. 63/4976 ze dne 5.3.2015 rozhodla rada kraje o výběru nejvhodnější nabídky a uzavření smlouvy v zadávacím řízení k veřejné zakázce s názvem "Komplexní řešení nákupního systému II". V návaznosti na platební podmínky uvedené ve smlouvě byly převedeny nevyčerpané finanční prostředky ve výši 526 tis. Kč usnesením rady kraje č. 89/7017 ze dne 26.1.2016 do rozpočtu kraje na rok 2016. Nevyčerpané finanční prostředky ve výši 47 tis. Kč představují úsporu vzniklou realizací veřejné zakázky.</t>
  </si>
  <si>
    <t>Zdroje pro tvorbu rozpočtu MSK následujících let</t>
  </si>
  <si>
    <t>Finanční prostředky vytvořené v závěru roku převodem z avizovaných úspor jednotlivých odvětví byly použity jako zdroj pro tvorbu rozpočtu následujícího roku a byly v plné výši zapojeny do schváleného rozpočtu kraje na rok 2016.</t>
  </si>
  <si>
    <t>Rezerva na mimořádné akce a akce s nedořešeným financováním v roce 2015</t>
  </si>
  <si>
    <t>Finanční prostředky byly v průběhu roku převáděny k použití v rámci jiných akcí a průběžně navyšovány o úspory ve výdajích a o přijaté neúčelové příjmy v souladu s usnesením RK č. 9/565 ze dne 26.2.2013. Nevyčerpané finanční prostředky jsou součástí zůstatku hospodaření roku 2015.</t>
  </si>
  <si>
    <t>Rezerva na akce EU</t>
  </si>
  <si>
    <t>Rezerva byla tvořena v průběhu roku akumulací úspor vzniklých u jednotlivých projektů spolufinancovaných z evropských finančních zdrojů, zároveň byla používána jako zdroj pro dofinancování realizace projektů. Nevyčerpané finanční prostředky jsou součástí zůstatku hospodaření roku 2015.</t>
  </si>
  <si>
    <t>Rezerva pro řešení dopadů v restrukturalizací postižených regionech, včetně řešení dopadů vyplývajících ze zvýšených ekonomických nákladů při poskytování zdravotních, školských a sociálních služeb v těchto regionech</t>
  </si>
  <si>
    <t>Finanční prostředky byly v průběhu roku převáděny do rozpočtu jiných akcí k použití v souladu s vymezeným účelem. Nevyčerpané finanční prostředky jsou součástí zůstatku hospodaření roku 2015.</t>
  </si>
  <si>
    <t>Finanční vypořádání 2014 - akce spolufinancované z evropských finančních zdrojů</t>
  </si>
  <si>
    <t>Úspora ve výši 11.358 tis. Kč  vznikla v rámci finančního vypořádání akce "Podpora přírodovědného a technického vzdělávání v Moravskoslezském kraji" v důsledku vratek nevyčerpaných dotací projektu formou kompenzačních operací na příjmových položkách. V rámci akce "Vybavení oborových center - dřevoobráběcí CNC stroje" kraj obdržel od Úřadu regionální rady výzvu na vrácení části proplacené dotace v rámci projektu, a to na základě zjištění následné kontroly ze strany PAS. Vzhledem k tomu, že Moravskoslezský kraj s výsledky auditu nesouhlasí, požádal o prodloužení lhůty pro vrácení části dotace  a zároveň podal návrh na sporné řízení z veřejnoprávní smlouvy podle § 141 Správního řádu. Proces sporného řízení nebyl v roce 2015 ukončen, proto byly nevyčerpané prostředky ve výši 6.101 tis. Kč zapojeny usn. RK č. 89/7015 ze dne 26.1.2016 do upraveného rozpočtu roku 2016.</t>
  </si>
  <si>
    <t>Finanční vypořádání 2014 - ostatní akce</t>
  </si>
  <si>
    <t>Na základě usnesení zastupitelstva kraje č. 23/1964 ze dne 29.2.2012 uzavřel Moravskoslezský kraj smlouvu o poskytování energetických služeb se zaručeným výsledkem. Dle smlouvy bude v případě dosažení úspory nad garantovanou hodnotu dělena finanční nadúspora mezi kraj a společnost následovně: u zateplených objektů v poměru 70:30, u nezateplených objektů 50:50. Společnosti EVČ s.r.o. bude tato částka vyplacena formou zálohové faktury a následně ze strany společnosti EVČ zpětně reinvestována do majetku kraje formou dalších úsporných opatření, která budou krajem schválena. V prosinci 2015 byly upraveny smluvní podmínky ve spolupráci s externí firmou MT-Legal, ale úhrada za administraci veřejné zakázky proběhne na počátku letošního roku. Z tohoto důvodu byly usnesením rady kraje č. 89/7017 ze dne 26.1.2016 převedeny nevyčerpané finanční prostředky na vypořádání roku 2015 a na úhradu služeb spojených s uzavřením dodatku č. 4 ke smlouvě do rozpočtu roku 2016.</t>
  </si>
  <si>
    <t>Nevyčerpané finanční prostředky představují úsporu vzniklou realizací veřejné zakázky.</t>
  </si>
  <si>
    <t>Náš svět, příspěvková organizace, Pržno</t>
  </si>
  <si>
    <t>Benjamín, příspěvková organizace, Petřvqald</t>
  </si>
  <si>
    <t>61989321</t>
  </si>
  <si>
    <t>70640696</t>
  </si>
  <si>
    <t>47813474</t>
  </si>
  <si>
    <t>60337389</t>
  </si>
  <si>
    <t>13644319</t>
  </si>
  <si>
    <t>63731371</t>
  </si>
  <si>
    <t>60337320</t>
  </si>
  <si>
    <t>Střední škola, Vítkov-Podhradí, příspěvková organizace - sloučena k 1. 7. 2015 se Střední školou, Odry, příspěvkovou organizací</t>
  </si>
  <si>
    <t>Základní škola,  Bílovec, Wolkerova 911, příspěvková organizace - zrušena a převedena na město k 31. 7. 2015</t>
  </si>
  <si>
    <t>Základní škola, Opava, Dvořákovy sady 4, příspěvková organizace - sloučena k 1. 1. 2015 se Základní školou a Praktickou školou, Opava, Slezského odboje 5, příspěvkovou organizací</t>
  </si>
  <si>
    <t>Prostředky byly vyčleněny k pokrytí výdajů příspěvkových organizací na udržitelnost realizovaných projektů. Z důvodu prodloužení termínu realizace těchto projektů nebylo nutno financovat jejich udržitelnost a rozpočtované prostředky byly převedeny příspěvkovým organizacím na pokrytí vybraných výdajů v rámci akcí reprodukce majetku v průběhu roku. Nevyčerpané prostředky ve výši 17 tis. Kč představují úsporu.</t>
  </si>
  <si>
    <t>**********</t>
  </si>
  <si>
    <t>Neinvestiční přijaté transfery z všeobecné pokladní správy státního rozpočtu</t>
  </si>
  <si>
    <t>Investiční přijaté transfery z všeobecné pokladní správy státního rozpočtu</t>
  </si>
  <si>
    <t>Ostatní investiční přijaté transfery ze státního rozpočtu</t>
  </si>
  <si>
    <t>Investiční přijaté transfery od mezinárodních institucí</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</si>
</sst>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0.0"/>
    <numFmt numFmtId="165" formatCode="#,##0.000"/>
    <numFmt numFmtId="166" formatCode="0.000"/>
    <numFmt numFmtId="167" formatCode="#,##0.00000"/>
    <numFmt numFmtId="168" formatCode="#,##0.00_ ;\-#,##0.00\ "/>
    <numFmt numFmtId="169" formatCode="#,##0.000000_ ;\-#,##0.000000\ "/>
    <numFmt numFmtId="170" formatCode="0.0"/>
    <numFmt numFmtId="171" formatCode="[$-10405]#,##0;\-#,##0"/>
    <numFmt numFmtId="172" formatCode="00000000"/>
    <numFmt numFmtId="173" formatCode="#,##0.00;\-#,##0.00;#,##0.00;@"/>
    <numFmt numFmtId="174" formatCode="#,##0.00;\-#,##0.00;&quot;&quot;;@"/>
    <numFmt numFmtId="175" formatCode="00000"/>
  </numFmts>
  <fonts count="99" x14ac:knownFonts="1">
    <font>
      <sz val="10"/>
      <name val="Arial"/>
      <family val="2"/>
      <charset val="238"/>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name val="Arial"/>
      <family val="2"/>
      <charset val="238"/>
    </font>
    <font>
      <b/>
      <sz val="10"/>
      <name val="Tahoma"/>
      <family val="2"/>
      <charset val="238"/>
    </font>
    <font>
      <sz val="10"/>
      <name val="Tahoma"/>
      <family val="2"/>
      <charset val="238"/>
    </font>
    <font>
      <b/>
      <sz val="12"/>
      <name val="Tahoma"/>
      <family val="2"/>
      <charset val="238"/>
    </font>
    <font>
      <sz val="10"/>
      <name val="Arial CE"/>
      <charset val="238"/>
    </font>
    <font>
      <sz val="10"/>
      <name val="Arial"/>
      <family val="2"/>
      <charset val="238"/>
    </font>
    <font>
      <sz val="9"/>
      <name val="Tahoma"/>
      <family val="2"/>
      <charset val="238"/>
    </font>
    <font>
      <sz val="11"/>
      <color rgb="FF000000"/>
      <name val="Calibri"/>
      <family val="2"/>
      <scheme val="minor"/>
    </font>
    <font>
      <sz val="8"/>
      <name val="Tahoma"/>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4"/>
      <name val="Times New Roman CE"/>
      <family val="1"/>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name val="Tahoma"/>
      <family val="2"/>
      <charset val="238"/>
    </font>
    <font>
      <sz val="8"/>
      <name val="Arial"/>
      <family val="2"/>
      <charset val="238"/>
    </font>
    <font>
      <sz val="10"/>
      <name val="Arial"/>
      <family val="2"/>
      <charset val="238"/>
    </font>
    <font>
      <sz val="12"/>
      <name val="Times New Roman CE"/>
      <family val="1"/>
      <charset val="238"/>
    </font>
    <font>
      <sz val="10"/>
      <color indexed="9"/>
      <name val="Tahoma"/>
      <family val="2"/>
      <charset val="238"/>
    </font>
    <font>
      <sz val="8"/>
      <color indexed="9"/>
      <name val="Tahoma"/>
      <family val="2"/>
      <charset val="238"/>
    </font>
    <font>
      <sz val="10"/>
      <color theme="0"/>
      <name val="Tahoma"/>
      <family val="2"/>
      <charset val="238"/>
    </font>
    <font>
      <sz val="12"/>
      <name val="Arial"/>
      <family val="2"/>
      <charset val="238"/>
    </font>
    <font>
      <sz val="12"/>
      <color indexed="9"/>
      <name val="Arial"/>
      <family val="2"/>
      <charset val="238"/>
    </font>
    <font>
      <i/>
      <sz val="10"/>
      <name val="Times New Roman"/>
      <family val="1"/>
      <charset val="238"/>
    </font>
    <font>
      <sz val="10"/>
      <name val="Times New Roman"/>
      <family val="1"/>
      <charset val="238"/>
    </font>
    <font>
      <sz val="10"/>
      <color indexed="9"/>
      <name val="Times New Roman"/>
      <family val="1"/>
      <charset val="238"/>
    </font>
    <font>
      <sz val="10"/>
      <color indexed="9"/>
      <name val="Arial"/>
      <family val="2"/>
      <charset val="238"/>
    </font>
    <font>
      <sz val="8"/>
      <color indexed="9"/>
      <name val="Arial"/>
      <family val="2"/>
      <charset val="238"/>
    </font>
    <font>
      <i/>
      <sz val="8"/>
      <name val="Arial"/>
      <family val="2"/>
      <charset val="238"/>
    </font>
    <font>
      <b/>
      <sz val="10"/>
      <name val="Times New Roman"/>
      <family val="1"/>
      <charset val="238"/>
    </font>
    <font>
      <b/>
      <sz val="8"/>
      <name val="Arial"/>
      <family val="2"/>
      <charset val="238"/>
    </font>
    <font>
      <sz val="8"/>
      <name val="Times New Roman"/>
      <family val="1"/>
      <charset val="238"/>
    </font>
    <font>
      <u/>
      <sz val="10"/>
      <name val="Tahoma"/>
      <family val="2"/>
      <charset val="238"/>
    </font>
    <font>
      <sz val="12"/>
      <name val="Tahoma"/>
      <family val="2"/>
      <charset val="238"/>
    </font>
    <font>
      <b/>
      <sz val="10"/>
      <color theme="1"/>
      <name val="Tahoma"/>
      <family val="2"/>
      <charset val="238"/>
    </font>
    <font>
      <sz val="10"/>
      <color theme="1"/>
      <name val="Tahoma"/>
      <family val="2"/>
      <charset val="238"/>
    </font>
    <font>
      <sz val="9"/>
      <color indexed="12"/>
      <name val="Tahoma"/>
      <family val="2"/>
      <charset val="238"/>
    </font>
    <font>
      <b/>
      <sz val="9"/>
      <name val="Tahoma"/>
      <family val="2"/>
      <charset val="238"/>
    </font>
    <font>
      <i/>
      <sz val="10"/>
      <name val="Tahoma"/>
      <family val="2"/>
      <charset val="238"/>
    </font>
    <font>
      <sz val="9"/>
      <color rgb="FFFF0000"/>
      <name val="Tahoma"/>
      <family val="2"/>
      <charset val="238"/>
    </font>
    <font>
      <b/>
      <sz val="8"/>
      <name val="Tahoma"/>
      <family val="2"/>
      <charset val="238"/>
    </font>
    <font>
      <sz val="9"/>
      <color indexed="10"/>
      <name val="Tahoma"/>
      <family val="2"/>
      <charset val="238"/>
    </font>
    <font>
      <sz val="8"/>
      <color indexed="10"/>
      <name val="Tahoma"/>
      <family val="2"/>
      <charset val="238"/>
    </font>
    <font>
      <sz val="8"/>
      <color rgb="FFFF0000"/>
      <name val="Tahoma"/>
      <family val="2"/>
      <charset val="238"/>
    </font>
    <font>
      <sz val="7"/>
      <name val="Tahoma"/>
      <family val="2"/>
      <charset val="238"/>
    </font>
    <font>
      <sz val="8"/>
      <color rgb="FF000000"/>
      <name val="Tahoma"/>
      <family val="2"/>
      <charset val="238"/>
    </font>
    <font>
      <b/>
      <sz val="14"/>
      <name val="Tahoma"/>
      <family val="2"/>
      <charset val="238"/>
    </font>
    <font>
      <sz val="10"/>
      <name val="Tahoma"/>
      <family val="2"/>
    </font>
    <font>
      <b/>
      <sz val="8"/>
      <color theme="1"/>
      <name val="Calibri"/>
      <family val="2"/>
      <scheme val="minor"/>
    </font>
    <font>
      <sz val="8"/>
      <color theme="1"/>
      <name val="Calibri"/>
      <family val="2"/>
      <scheme val="minor"/>
    </font>
    <font>
      <vertAlign val="superscript"/>
      <sz val="8"/>
      <name val="Tahoma"/>
      <family val="2"/>
      <charset val="238"/>
    </font>
    <font>
      <i/>
      <sz val="8"/>
      <name val="Tahoma"/>
      <family val="2"/>
      <charset val="238"/>
    </font>
    <font>
      <sz val="10"/>
      <color rgb="FFFF0000"/>
      <name val="Tahoma"/>
      <family val="2"/>
      <charset val="238"/>
    </font>
    <font>
      <sz val="9"/>
      <color theme="1"/>
      <name val="Calibri"/>
      <family val="2"/>
      <charset val="238"/>
      <scheme val="minor"/>
    </font>
    <font>
      <b/>
      <sz val="7"/>
      <name val="Tahoma"/>
      <family val="2"/>
      <charset val="238"/>
    </font>
    <font>
      <b/>
      <sz val="8"/>
      <color indexed="8"/>
      <name val="Tahoma"/>
      <family val="2"/>
      <charset val="238"/>
    </font>
    <font>
      <sz val="8"/>
      <color indexed="8"/>
      <name val="Tahoma"/>
      <family val="2"/>
      <charset val="238"/>
    </font>
    <font>
      <sz val="10"/>
      <color theme="4"/>
      <name val="Tahoma"/>
      <family val="2"/>
      <charset val="238"/>
    </font>
    <font>
      <b/>
      <sz val="7"/>
      <color theme="4"/>
      <name val="Tahoma"/>
      <family val="2"/>
      <charset val="238"/>
    </font>
    <font>
      <b/>
      <sz val="8"/>
      <color theme="4"/>
      <name val="Tahoma"/>
      <family val="2"/>
      <charset val="238"/>
    </font>
    <font>
      <b/>
      <sz val="10"/>
      <color indexed="48"/>
      <name val="Tahoma"/>
      <family val="2"/>
      <charset val="238"/>
    </font>
    <font>
      <sz val="8"/>
      <color indexed="8"/>
      <name val="Arial"/>
      <family val="2"/>
      <charset val="238"/>
    </font>
    <font>
      <b/>
      <sz val="7"/>
      <color indexed="8"/>
      <name val="Tahoma"/>
      <family val="2"/>
      <charset val="238"/>
    </font>
    <font>
      <b/>
      <vertAlign val="superscript"/>
      <sz val="8"/>
      <name val="Tahoma"/>
      <family val="2"/>
      <charset val="238"/>
    </font>
    <font>
      <b/>
      <sz val="11"/>
      <color theme="1"/>
      <name val="Calibri"/>
      <family val="2"/>
      <charset val="238"/>
      <scheme val="minor"/>
    </font>
    <font>
      <sz val="11"/>
      <name val="Calibri"/>
      <family val="2"/>
      <charset val="238"/>
      <scheme val="minor"/>
    </font>
    <font>
      <b/>
      <sz val="11"/>
      <name val="Calibri"/>
      <family val="2"/>
      <charset val="238"/>
      <scheme val="minor"/>
    </font>
    <font>
      <sz val="8"/>
      <color theme="1"/>
      <name val="Tahoma"/>
      <family val="2"/>
      <charset val="238"/>
    </font>
    <font>
      <b/>
      <sz val="8"/>
      <color theme="1"/>
      <name val="Tahoma"/>
      <family val="2"/>
      <charset val="238"/>
    </font>
    <font>
      <b/>
      <i/>
      <sz val="8"/>
      <name val="Tahoma"/>
      <family val="2"/>
      <charset val="238"/>
    </font>
    <font>
      <b/>
      <sz val="8"/>
      <color indexed="10"/>
      <name val="Tahoma"/>
      <family val="2"/>
      <charset val="238"/>
    </font>
    <font>
      <b/>
      <i/>
      <sz val="8"/>
      <color indexed="10"/>
      <name val="Tahoma"/>
      <family val="2"/>
      <charset val="238"/>
    </font>
    <font>
      <i/>
      <sz val="8"/>
      <color indexed="10"/>
      <name val="Tahoma"/>
      <family val="2"/>
      <charset val="238"/>
    </font>
    <font>
      <sz val="11"/>
      <color rgb="FF1F497D"/>
      <name val="Calibri"/>
      <family val="2"/>
      <charset val="238"/>
      <scheme val="minor"/>
    </font>
    <font>
      <b/>
      <sz val="11"/>
      <color theme="1"/>
      <name val="Tahoma"/>
      <family val="2"/>
      <charset val="238"/>
    </font>
    <font>
      <sz val="11"/>
      <color theme="1"/>
      <name val="Tahoma"/>
      <family val="2"/>
      <charset val="238"/>
    </font>
    <font>
      <sz val="8"/>
      <color theme="0" tint="-0.499984740745262"/>
      <name val="Tahoma"/>
      <family val="2"/>
      <charset val="238"/>
    </font>
    <font>
      <b/>
      <sz val="8"/>
      <color theme="0" tint="-0.499984740745262"/>
      <name val="Tahoma"/>
      <family val="2"/>
      <charset val="238"/>
    </font>
    <font>
      <i/>
      <sz val="8"/>
      <color theme="0" tint="-0.499984740745262"/>
      <name val="Tahoma"/>
      <family val="2"/>
      <charset val="238"/>
    </font>
    <font>
      <sz val="10"/>
      <color rgb="FF231F20"/>
      <name val="Arial Unicode MS"/>
      <family val="2"/>
      <charset val="23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6"/>
        <bgColor indexed="64"/>
      </patternFill>
    </fill>
    <fill>
      <patternFill patternType="solid">
        <fgColor rgb="FFFFCC99"/>
        <bgColor indexed="64"/>
      </patternFill>
    </fill>
    <fill>
      <patternFill patternType="solid">
        <fgColor rgb="FFFFFFFF"/>
        <bgColor rgb="FFFFFFFF"/>
      </patternFill>
    </fill>
    <fill>
      <patternFill patternType="solid">
        <fgColor rgb="FFFFCC99"/>
        <bgColor rgb="FFFFFFFF"/>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s>
  <borders count="127">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bottom style="thin">
        <color indexed="8"/>
      </bottom>
      <diagonal/>
    </border>
    <border>
      <left/>
      <right style="medium">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right style="medium">
        <color indexed="64"/>
      </right>
      <top style="thin">
        <color indexed="8"/>
      </top>
      <bottom/>
      <diagonal/>
    </border>
    <border>
      <left style="thin">
        <color indexed="8"/>
      </left>
      <right style="medium">
        <color indexed="64"/>
      </right>
      <top style="medium">
        <color indexed="64"/>
      </top>
      <bottom style="medium">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medium">
        <color indexed="64"/>
      </top>
      <bottom style="medium">
        <color indexed="64"/>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8"/>
      </top>
      <bottom style="thin">
        <color indexed="64"/>
      </bottom>
      <diagonal/>
    </border>
    <border>
      <left/>
      <right style="medium">
        <color indexed="64"/>
      </right>
      <top style="thin">
        <color indexed="8"/>
      </top>
      <bottom style="thin">
        <color indexed="64"/>
      </bottom>
      <diagonal/>
    </border>
    <border>
      <left style="medium">
        <color indexed="64"/>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s>
  <cellStyleXfs count="70">
    <xf numFmtId="0" fontId="0" fillId="0" borderId="0"/>
    <xf numFmtId="0" fontId="5" fillId="0" borderId="0"/>
    <xf numFmtId="0" fontId="9" fillId="0" borderId="0"/>
    <xf numFmtId="0" fontId="10" fillId="0" borderId="0"/>
    <xf numFmtId="0" fontId="12" fillId="0" borderId="0"/>
    <xf numFmtId="0" fontId="12"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4" applyNumberFormat="0" applyAlignment="0" applyProtection="0"/>
    <xf numFmtId="1" fontId="18" fillId="0" borderId="0" applyFont="0" applyFill="0" applyBorder="0" applyAlignment="0" applyProtection="0">
      <alignment vertical="center"/>
    </xf>
    <xf numFmtId="0" fontId="19" fillId="0" borderId="0" applyNumberFormat="0" applyFill="0" applyBorder="0" applyAlignment="0" applyProtection="0"/>
    <xf numFmtId="0" fontId="20" fillId="4" borderId="0" applyNumberFormat="0" applyBorder="0" applyAlignment="0" applyProtection="0"/>
    <xf numFmtId="0" fontId="21" fillId="0" borderId="15" applyNumberFormat="0" applyFill="0" applyAlignment="0" applyProtection="0"/>
    <xf numFmtId="0" fontId="22" fillId="0" borderId="16" applyNumberFormat="0" applyFill="0" applyAlignment="0" applyProtection="0"/>
    <xf numFmtId="0" fontId="23" fillId="0" borderId="17" applyNumberFormat="0" applyFill="0" applyAlignment="0" applyProtection="0"/>
    <xf numFmtId="0" fontId="23" fillId="0" borderId="0" applyNumberFormat="0" applyFill="0" applyBorder="0" applyAlignment="0" applyProtection="0"/>
    <xf numFmtId="0" fontId="24" fillId="21" borderId="18" applyNumberFormat="0" applyAlignment="0" applyProtection="0"/>
    <xf numFmtId="0" fontId="25" fillId="7" borderId="14" applyNumberFormat="0" applyAlignment="0" applyProtection="0"/>
    <xf numFmtId="0" fontId="26" fillId="0" borderId="19" applyNumberFormat="0" applyFill="0" applyAlignment="0" applyProtection="0"/>
    <xf numFmtId="0" fontId="27" fillId="22" borderId="0" applyNumberFormat="0" applyBorder="0" applyAlignment="0" applyProtection="0"/>
    <xf numFmtId="0" fontId="5" fillId="23" borderId="20" applyNumberFormat="0" applyFont="0" applyAlignment="0" applyProtection="0"/>
    <xf numFmtId="0" fontId="28" fillId="20" borderId="21" applyNumberFormat="0" applyAlignment="0" applyProtection="0"/>
    <xf numFmtId="0" fontId="29" fillId="0" borderId="0" applyNumberFormat="0" applyFill="0" applyBorder="0" applyAlignment="0" applyProtection="0"/>
    <xf numFmtId="0" fontId="30" fillId="0" borderId="22" applyNumberFormat="0" applyFill="0" applyAlignment="0" applyProtection="0"/>
    <xf numFmtId="0" fontId="31" fillId="0" borderId="0" applyNumberFormat="0" applyFill="0" applyBorder="0" applyAlignment="0" applyProtection="0"/>
    <xf numFmtId="0" fontId="32" fillId="0" borderId="0"/>
    <xf numFmtId="0" fontId="4" fillId="0" borderId="0"/>
    <xf numFmtId="0" fontId="5" fillId="0" borderId="0"/>
    <xf numFmtId="0" fontId="9" fillId="0" borderId="0"/>
    <xf numFmtId="0" fontId="3" fillId="0" borderId="0"/>
    <xf numFmtId="0" fontId="35" fillId="0" borderId="0"/>
    <xf numFmtId="0" fontId="5" fillId="23" borderId="20" applyNumberFormat="0" applyFont="0" applyAlignment="0" applyProtection="0"/>
    <xf numFmtId="0" fontId="5" fillId="0" borderId="0"/>
    <xf numFmtId="0" fontId="7" fillId="0" borderId="0"/>
    <xf numFmtId="0" fontId="5" fillId="0" borderId="0"/>
    <xf numFmtId="0" fontId="9" fillId="0" borderId="0"/>
    <xf numFmtId="0" fontId="2" fillId="0" borderId="0"/>
    <xf numFmtId="0" fontId="5" fillId="0" borderId="0"/>
    <xf numFmtId="0" fontId="9" fillId="0" borderId="0"/>
    <xf numFmtId="0" fontId="5" fillId="0" borderId="0"/>
    <xf numFmtId="0" fontId="9" fillId="0" borderId="0"/>
    <xf numFmtId="0" fontId="1" fillId="0" borderId="0"/>
    <xf numFmtId="0" fontId="3" fillId="0" borderId="0"/>
    <xf numFmtId="0" fontId="9" fillId="0" borderId="0"/>
    <xf numFmtId="0" fontId="5" fillId="0" borderId="0"/>
    <xf numFmtId="0" fontId="5" fillId="0" borderId="0"/>
    <xf numFmtId="0" fontId="5" fillId="23" borderId="20" applyNumberFormat="0" applyFont="0" applyAlignment="0" applyProtection="0"/>
  </cellStyleXfs>
  <cellXfs count="1524">
    <xf numFmtId="0" fontId="0" fillId="0" borderId="0" xfId="0"/>
    <xf numFmtId="0" fontId="13" fillId="0" borderId="0" xfId="53" applyFont="1" applyFill="1"/>
    <xf numFmtId="0" fontId="36" fillId="0" borderId="0" xfId="53" applyFont="1" applyBorder="1"/>
    <xf numFmtId="0" fontId="36" fillId="0" borderId="0" xfId="53" applyFont="1"/>
    <xf numFmtId="0" fontId="7" fillId="0" borderId="0" xfId="53" applyFont="1" applyBorder="1"/>
    <xf numFmtId="0" fontId="36" fillId="0" borderId="0" xfId="53" applyFont="1" applyBorder="1" applyAlignment="1">
      <alignment horizontal="right"/>
    </xf>
    <xf numFmtId="0" fontId="11" fillId="0" borderId="0" xfId="53" applyFont="1" applyBorder="1" applyAlignment="1">
      <alignment horizontal="right"/>
    </xf>
    <xf numFmtId="0" fontId="6" fillId="25" borderId="10" xfId="53" applyFont="1" applyFill="1" applyBorder="1"/>
    <xf numFmtId="0" fontId="6" fillId="25" borderId="11" xfId="53" applyFont="1" applyFill="1" applyBorder="1" applyAlignment="1">
      <alignment horizontal="center"/>
    </xf>
    <xf numFmtId="0" fontId="6" fillId="25" borderId="12" xfId="53" applyFont="1" applyFill="1" applyBorder="1" applyAlignment="1">
      <alignment horizontal="center"/>
    </xf>
    <xf numFmtId="0" fontId="7" fillId="25" borderId="5" xfId="53" applyFont="1" applyFill="1" applyBorder="1"/>
    <xf numFmtId="164" fontId="7" fillId="0" borderId="4" xfId="53" applyNumberFormat="1" applyFont="1" applyBorder="1"/>
    <xf numFmtId="164" fontId="7" fillId="0" borderId="13" xfId="53" applyNumberFormat="1" applyFont="1" applyBorder="1"/>
    <xf numFmtId="164" fontId="7" fillId="0" borderId="6" xfId="53" applyNumberFormat="1" applyFont="1" applyBorder="1"/>
    <xf numFmtId="0" fontId="6" fillId="25" borderId="7" xfId="53" applyFont="1" applyFill="1" applyBorder="1"/>
    <xf numFmtId="164" fontId="6" fillId="0" borderId="24" xfId="53" applyNumberFormat="1" applyFont="1" applyBorder="1"/>
    <xf numFmtId="164" fontId="6" fillId="0" borderId="8" xfId="53" applyNumberFormat="1" applyFont="1" applyBorder="1"/>
    <xf numFmtId="0" fontId="7" fillId="0" borderId="0" xfId="53" applyFont="1"/>
    <xf numFmtId="0" fontId="7" fillId="0" borderId="0" xfId="53" applyFont="1" applyBorder="1" applyAlignment="1">
      <alignment horizontal="right"/>
    </xf>
    <xf numFmtId="0" fontId="37" fillId="0" borderId="0" xfId="55" applyFont="1" applyFill="1"/>
    <xf numFmtId="0" fontId="37" fillId="0" borderId="0" xfId="53" applyFont="1"/>
    <xf numFmtId="0" fontId="37" fillId="0" borderId="0" xfId="53" applyFont="1" applyFill="1"/>
    <xf numFmtId="0" fontId="38" fillId="0" borderId="0" xfId="53" applyFont="1"/>
    <xf numFmtId="0" fontId="39" fillId="0" borderId="0" xfId="53" applyFont="1" applyFill="1"/>
    <xf numFmtId="0" fontId="39" fillId="0" borderId="0" xfId="53" applyFont="1"/>
    <xf numFmtId="0" fontId="7" fillId="0" borderId="0" xfId="53" applyFont="1" applyFill="1"/>
    <xf numFmtId="0" fontId="40" fillId="24" borderId="0" xfId="53" applyFont="1" applyFill="1" applyAlignment="1">
      <alignment vertical="center"/>
    </xf>
    <xf numFmtId="0" fontId="41" fillId="24" borderId="0" xfId="53" applyFont="1" applyFill="1" applyAlignment="1">
      <alignment vertical="center"/>
    </xf>
    <xf numFmtId="0" fontId="5" fillId="24" borderId="0" xfId="53" applyFont="1" applyFill="1" applyBorder="1" applyAlignment="1">
      <alignment vertical="center"/>
    </xf>
    <xf numFmtId="165" fontId="42" fillId="24" borderId="0" xfId="53" applyNumberFormat="1" applyFont="1" applyFill="1" applyBorder="1" applyAlignment="1">
      <alignment vertical="center"/>
    </xf>
    <xf numFmtId="165" fontId="43" fillId="24" borderId="0" xfId="53" applyNumberFormat="1" applyFont="1" applyFill="1" applyBorder="1" applyAlignment="1">
      <alignment vertical="center"/>
    </xf>
    <xf numFmtId="4" fontId="41" fillId="24" borderId="0" xfId="53" applyNumberFormat="1" applyFont="1" applyFill="1" applyAlignment="1">
      <alignment vertical="center"/>
    </xf>
    <xf numFmtId="166" fontId="34" fillId="24" borderId="0" xfId="53" applyNumberFormat="1" applyFont="1" applyFill="1" applyAlignment="1">
      <alignment vertical="center"/>
    </xf>
    <xf numFmtId="165" fontId="40" fillId="24" borderId="0" xfId="53" applyNumberFormat="1" applyFont="1" applyFill="1" applyAlignment="1">
      <alignment vertical="center"/>
    </xf>
    <xf numFmtId="0" fontId="44" fillId="24" borderId="0" xfId="53" applyFont="1" applyFill="1" applyBorder="1" applyAlignment="1">
      <alignment vertical="center" wrapText="1"/>
    </xf>
    <xf numFmtId="0" fontId="44" fillId="24" borderId="0" xfId="53" applyFont="1" applyFill="1" applyBorder="1" applyAlignment="1">
      <alignment vertical="center"/>
    </xf>
    <xf numFmtId="0" fontId="45" fillId="24" borderId="0" xfId="53" applyFont="1" applyFill="1" applyBorder="1" applyAlignment="1">
      <alignment vertical="center"/>
    </xf>
    <xf numFmtId="4" fontId="45" fillId="24" borderId="0" xfId="53" applyNumberFormat="1" applyFont="1" applyFill="1" applyBorder="1" applyAlignment="1">
      <alignment vertical="center"/>
    </xf>
    <xf numFmtId="166" fontId="46" fillId="24" borderId="0" xfId="53" applyNumberFormat="1" applyFont="1" applyFill="1" applyBorder="1" applyAlignment="1">
      <alignment vertical="center"/>
    </xf>
    <xf numFmtId="164" fontId="44" fillId="24" borderId="0" xfId="53" applyNumberFormat="1" applyFont="1" applyFill="1" applyBorder="1" applyAlignment="1">
      <alignment vertical="center"/>
    </xf>
    <xf numFmtId="0" fontId="41" fillId="24" borderId="0" xfId="53" applyFont="1" applyFill="1" applyBorder="1" applyAlignment="1">
      <alignment vertical="center"/>
    </xf>
    <xf numFmtId="166" fontId="46" fillId="24" borderId="0" xfId="53" applyNumberFormat="1" applyFont="1" applyFill="1" applyAlignment="1">
      <alignment vertical="center"/>
    </xf>
    <xf numFmtId="4" fontId="40" fillId="24" borderId="0" xfId="53" applyNumberFormat="1" applyFont="1" applyFill="1" applyAlignment="1">
      <alignment vertical="center"/>
    </xf>
    <xf numFmtId="0" fontId="33" fillId="0" borderId="0" xfId="53" applyFont="1" applyAlignment="1">
      <alignment vertical="center"/>
    </xf>
    <xf numFmtId="0" fontId="33" fillId="0" borderId="0" xfId="53" applyFont="1" applyBorder="1" applyAlignment="1">
      <alignment vertical="center"/>
    </xf>
    <xf numFmtId="0" fontId="35" fillId="0" borderId="0" xfId="53"/>
    <xf numFmtId="0" fontId="7" fillId="0" borderId="4" xfId="53" applyFont="1" applyBorder="1"/>
    <xf numFmtId="0" fontId="6" fillId="0" borderId="3" xfId="53" applyFont="1" applyFill="1" applyBorder="1" applyAlignment="1">
      <alignment horizontal="center"/>
    </xf>
    <xf numFmtId="165" fontId="7" fillId="0" borderId="3" xfId="53" applyNumberFormat="1" applyFont="1" applyBorder="1" applyAlignment="1">
      <alignment horizontal="left"/>
    </xf>
    <xf numFmtId="0" fontId="13" fillId="0" borderId="0" xfId="55" applyFont="1" applyFill="1" applyAlignment="1"/>
    <xf numFmtId="0" fontId="13" fillId="0" borderId="0" xfId="55" applyFont="1" applyFill="1"/>
    <xf numFmtId="4" fontId="13" fillId="0" borderId="0" xfId="55" applyNumberFormat="1" applyFont="1" applyFill="1" applyAlignment="1">
      <alignment horizontal="right"/>
    </xf>
    <xf numFmtId="0" fontId="7" fillId="0" borderId="0" xfId="55" applyFont="1" applyFill="1" applyAlignment="1"/>
    <xf numFmtId="4" fontId="13" fillId="0" borderId="0" xfId="53" applyNumberFormat="1" applyFont="1" applyFill="1"/>
    <xf numFmtId="0" fontId="43" fillId="24" borderId="0" xfId="53" applyFont="1" applyFill="1" applyBorder="1" applyAlignment="1">
      <alignment horizontal="right" vertical="center" wrapText="1"/>
    </xf>
    <xf numFmtId="0" fontId="42" fillId="24" borderId="0" xfId="53" applyFont="1" applyFill="1" applyBorder="1" applyAlignment="1">
      <alignment vertical="center" wrapText="1"/>
    </xf>
    <xf numFmtId="4" fontId="47" fillId="24" borderId="3" xfId="53" applyNumberFormat="1" applyFont="1" applyFill="1" applyBorder="1" applyAlignment="1">
      <alignment vertical="center"/>
    </xf>
    <xf numFmtId="165" fontId="42" fillId="24" borderId="25" xfId="53" applyNumberFormat="1" applyFont="1" applyFill="1" applyBorder="1" applyAlignment="1">
      <alignment vertical="center"/>
    </xf>
    <xf numFmtId="4" fontId="47" fillId="24" borderId="0" xfId="53" applyNumberFormat="1" applyFont="1" applyFill="1" applyBorder="1" applyAlignment="1">
      <alignment vertical="center"/>
    </xf>
    <xf numFmtId="166" fontId="47" fillId="24" borderId="0" xfId="53" applyNumberFormat="1" applyFont="1" applyFill="1" applyAlignment="1">
      <alignment vertical="center"/>
    </xf>
    <xf numFmtId="0" fontId="43" fillId="24" borderId="0" xfId="53" applyFont="1" applyFill="1" applyBorder="1" applyAlignment="1">
      <alignment vertical="center" wrapText="1"/>
    </xf>
    <xf numFmtId="4" fontId="34" fillId="24" borderId="3" xfId="53" applyNumberFormat="1" applyFont="1" applyFill="1" applyBorder="1" applyAlignment="1">
      <alignment vertical="center"/>
    </xf>
    <xf numFmtId="165" fontId="43" fillId="24" borderId="25" xfId="53" applyNumberFormat="1" applyFont="1" applyFill="1" applyBorder="1" applyAlignment="1">
      <alignment vertical="center"/>
    </xf>
    <xf numFmtId="4" fontId="34" fillId="24" borderId="0" xfId="53" applyNumberFormat="1" applyFont="1" applyFill="1" applyBorder="1" applyAlignment="1">
      <alignment vertical="center"/>
    </xf>
    <xf numFmtId="0" fontId="48" fillId="24" borderId="0" xfId="53" applyFont="1" applyFill="1" applyBorder="1" applyAlignment="1">
      <alignment vertical="center" wrapText="1"/>
    </xf>
    <xf numFmtId="4" fontId="49" fillId="24" borderId="1" xfId="53" applyNumberFormat="1" applyFont="1" applyFill="1" applyBorder="1" applyAlignment="1">
      <alignment vertical="center"/>
    </xf>
    <xf numFmtId="165" fontId="43" fillId="24" borderId="26" xfId="53" applyNumberFormat="1" applyFont="1" applyFill="1" applyBorder="1" applyAlignment="1">
      <alignment vertical="center"/>
    </xf>
    <xf numFmtId="4" fontId="49" fillId="24" borderId="0" xfId="53" applyNumberFormat="1" applyFont="1" applyFill="1" applyBorder="1" applyAlignment="1">
      <alignment vertical="center"/>
    </xf>
    <xf numFmtId="166" fontId="50" fillId="24" borderId="0" xfId="53" applyNumberFormat="1" applyFont="1" applyFill="1" applyBorder="1" applyAlignment="1">
      <alignment vertical="center"/>
    </xf>
    <xf numFmtId="4" fontId="5" fillId="24" borderId="0" xfId="53" applyNumberFormat="1" applyFont="1" applyFill="1" applyBorder="1" applyAlignment="1">
      <alignment vertical="center"/>
    </xf>
    <xf numFmtId="166" fontId="34" fillId="24" borderId="0" xfId="53" applyNumberFormat="1" applyFont="1" applyFill="1" applyBorder="1" applyAlignment="1">
      <alignment vertical="center"/>
    </xf>
    <xf numFmtId="164" fontId="43" fillId="24" borderId="0" xfId="53" applyNumberFormat="1" applyFont="1" applyFill="1" applyBorder="1" applyAlignment="1">
      <alignment vertical="center"/>
    </xf>
    <xf numFmtId="0" fontId="40" fillId="24" borderId="0" xfId="53" applyFont="1" applyFill="1" applyBorder="1" applyAlignment="1">
      <alignment vertical="center"/>
    </xf>
    <xf numFmtId="0" fontId="13" fillId="0" borderId="0" xfId="53" applyFont="1" applyBorder="1" applyAlignment="1">
      <alignment vertical="center" wrapText="1"/>
    </xf>
    <xf numFmtId="0" fontId="7" fillId="0" borderId="0" xfId="53" applyFont="1" applyBorder="1" applyAlignment="1">
      <alignment horizontal="center" vertical="center"/>
    </xf>
    <xf numFmtId="0" fontId="6" fillId="0" borderId="0" xfId="53" applyFont="1" applyBorder="1" applyAlignment="1">
      <alignment horizontal="center" vertical="center" wrapText="1"/>
    </xf>
    <xf numFmtId="0" fontId="7" fillId="0" borderId="0" xfId="53" applyFont="1" applyBorder="1" applyAlignment="1">
      <alignment vertical="center"/>
    </xf>
    <xf numFmtId="0" fontId="7" fillId="0" borderId="0" xfId="53" applyFont="1" applyBorder="1" applyAlignment="1">
      <alignment vertical="center" wrapText="1"/>
    </xf>
    <xf numFmtId="4" fontId="7" fillId="0" borderId="0" xfId="53" applyNumberFormat="1" applyFont="1" applyBorder="1" applyAlignment="1">
      <alignment vertical="center"/>
    </xf>
    <xf numFmtId="0" fontId="6" fillId="0" borderId="0" xfId="53" applyFont="1" applyBorder="1" applyAlignment="1">
      <alignment vertical="center" wrapText="1"/>
    </xf>
    <xf numFmtId="4" fontId="6" fillId="0" borderId="2" xfId="53" applyNumberFormat="1" applyFont="1" applyBorder="1" applyAlignment="1">
      <alignment vertical="center"/>
    </xf>
    <xf numFmtId="4" fontId="6" fillId="0" borderId="0" xfId="53" applyNumberFormat="1" applyFont="1" applyBorder="1" applyAlignment="1">
      <alignment vertical="center"/>
    </xf>
    <xf numFmtId="0" fontId="8" fillId="0" borderId="0" xfId="53" applyFont="1"/>
    <xf numFmtId="0" fontId="51" fillId="0" borderId="0" xfId="53" applyFont="1"/>
    <xf numFmtId="0" fontId="11" fillId="0" borderId="0" xfId="53" applyFont="1" applyFill="1" applyBorder="1" applyAlignment="1">
      <alignment horizontal="right"/>
    </xf>
    <xf numFmtId="0" fontId="6" fillId="0" borderId="0" xfId="53" applyFont="1" applyFill="1" applyBorder="1" applyAlignment="1">
      <alignment horizontal="center"/>
    </xf>
    <xf numFmtId="164" fontId="7" fillId="0" borderId="0" xfId="53" applyNumberFormat="1" applyFont="1" applyFill="1" applyBorder="1"/>
    <xf numFmtId="164" fontId="6" fillId="0" borderId="0" xfId="53" applyNumberFormat="1" applyFont="1" applyFill="1" applyBorder="1"/>
    <xf numFmtId="0" fontId="36" fillId="0" borderId="0" xfId="53" applyFont="1" applyFill="1" applyBorder="1"/>
    <xf numFmtId="4" fontId="7" fillId="0" borderId="13" xfId="0" applyNumberFormat="1" applyFont="1" applyFill="1" applyBorder="1" applyAlignment="1">
      <alignment vertical="center"/>
    </xf>
    <xf numFmtId="4" fontId="7" fillId="0" borderId="1" xfId="0" applyNumberFormat="1" applyFont="1" applyFill="1" applyBorder="1" applyAlignment="1">
      <alignment vertical="center"/>
    </xf>
    <xf numFmtId="0" fontId="35" fillId="0" borderId="0" xfId="53" applyBorder="1"/>
    <xf numFmtId="0" fontId="7" fillId="0" borderId="0" xfId="0" applyFont="1" applyBorder="1" applyAlignment="1">
      <alignment vertical="center" wrapText="1"/>
    </xf>
    <xf numFmtId="3" fontId="7" fillId="0" borderId="0" xfId="0" applyNumberFormat="1" applyFont="1" applyFill="1" applyBorder="1" applyAlignment="1">
      <alignment horizontal="right" vertical="center"/>
    </xf>
    <xf numFmtId="3" fontId="7" fillId="0" borderId="0" xfId="0" applyNumberFormat="1" applyFont="1" applyBorder="1" applyAlignment="1">
      <alignment horizontal="right" vertical="center"/>
    </xf>
    <xf numFmtId="167" fontId="7" fillId="0" borderId="0" xfId="0" applyNumberFormat="1" applyFont="1" applyBorder="1" applyAlignment="1">
      <alignment horizontal="right" vertical="center"/>
    </xf>
    <xf numFmtId="0" fontId="7" fillId="0" borderId="0" xfId="0" applyFont="1" applyFill="1" applyBorder="1" applyAlignment="1">
      <alignment vertical="center" wrapText="1"/>
    </xf>
    <xf numFmtId="167" fontId="7" fillId="0" borderId="0" xfId="0" applyNumberFormat="1" applyFont="1" applyFill="1" applyBorder="1" applyAlignment="1">
      <alignment horizontal="right" vertical="center"/>
    </xf>
    <xf numFmtId="2" fontId="34" fillId="24" borderId="0" xfId="53" applyNumberFormat="1" applyFont="1" applyFill="1" applyAlignment="1">
      <alignment vertical="center"/>
    </xf>
    <xf numFmtId="165" fontId="7" fillId="0" borderId="0" xfId="53" applyNumberFormat="1" applyFont="1" applyBorder="1" applyAlignment="1">
      <alignment vertical="center"/>
    </xf>
    <xf numFmtId="168" fontId="0" fillId="0" borderId="0" xfId="0" applyNumberFormat="1"/>
    <xf numFmtId="164" fontId="0" fillId="0" borderId="0" xfId="0" applyNumberFormat="1"/>
    <xf numFmtId="3" fontId="0" fillId="0" borderId="0" xfId="0" applyNumberFormat="1"/>
    <xf numFmtId="164" fontId="6" fillId="0" borderId="27" xfId="0" applyNumberFormat="1" applyFont="1" applyBorder="1" applyAlignment="1">
      <alignment horizontal="right"/>
    </xf>
    <xf numFmtId="3" fontId="6" fillId="0" borderId="28" xfId="0" applyNumberFormat="1" applyFont="1" applyBorder="1" applyAlignment="1">
      <alignment horizontal="right"/>
    </xf>
    <xf numFmtId="0" fontId="6" fillId="0" borderId="28" xfId="0" applyFont="1" applyBorder="1" applyAlignment="1">
      <alignment horizontal="left"/>
    </xf>
    <xf numFmtId="0" fontId="6" fillId="0" borderId="29" xfId="0" applyFont="1" applyBorder="1" applyAlignment="1">
      <alignment horizontal="center"/>
    </xf>
    <xf numFmtId="164" fontId="6" fillId="0" borderId="30" xfId="0" applyNumberFormat="1" applyFont="1" applyBorder="1" applyAlignment="1">
      <alignment horizontal="right"/>
    </xf>
    <xf numFmtId="3" fontId="6" fillId="0" borderId="31" xfId="0" applyNumberFormat="1" applyFont="1" applyBorder="1" applyAlignment="1">
      <alignment horizontal="right"/>
    </xf>
    <xf numFmtId="0" fontId="6" fillId="0" borderId="31" xfId="0" applyFont="1" applyBorder="1" applyAlignment="1">
      <alignment horizontal="left"/>
    </xf>
    <xf numFmtId="0" fontId="6" fillId="0" borderId="32" xfId="0" applyFont="1" applyBorder="1" applyAlignment="1">
      <alignment horizontal="center"/>
    </xf>
    <xf numFmtId="164" fontId="6" fillId="0" borderId="30" xfId="0" applyNumberFormat="1" applyFont="1" applyFill="1" applyBorder="1" applyAlignment="1">
      <alignment horizontal="right"/>
    </xf>
    <xf numFmtId="3" fontId="6" fillId="0" borderId="31" xfId="0" applyNumberFormat="1" applyFont="1" applyFill="1" applyBorder="1" applyAlignment="1">
      <alignment horizontal="right"/>
    </xf>
    <xf numFmtId="0" fontId="6" fillId="0" borderId="31" xfId="0" applyFont="1" applyFill="1" applyBorder="1" applyAlignment="1">
      <alignment horizontal="left"/>
    </xf>
    <xf numFmtId="0" fontId="6" fillId="0" borderId="31" xfId="1" applyFont="1" applyFill="1" applyBorder="1" applyAlignment="1">
      <alignment horizontal="left"/>
    </xf>
    <xf numFmtId="164" fontId="6" fillId="0" borderId="33" xfId="0" applyNumberFormat="1" applyFont="1" applyFill="1" applyBorder="1" applyAlignment="1">
      <alignment horizontal="right"/>
    </xf>
    <xf numFmtId="3" fontId="6" fillId="0" borderId="34" xfId="0" applyNumberFormat="1" applyFont="1" applyFill="1" applyBorder="1" applyAlignment="1">
      <alignment horizontal="right"/>
    </xf>
    <xf numFmtId="0" fontId="6" fillId="0" borderId="34" xfId="1" applyFont="1" applyFill="1" applyBorder="1" applyAlignment="1">
      <alignment horizontal="left"/>
    </xf>
    <xf numFmtId="164" fontId="6" fillId="0" borderId="35" xfId="0" applyNumberFormat="1" applyFont="1" applyFill="1" applyBorder="1" applyAlignment="1">
      <alignment horizontal="right"/>
    </xf>
    <xf numFmtId="3" fontId="6" fillId="0" borderId="36" xfId="0" applyNumberFormat="1" applyFont="1" applyFill="1" applyBorder="1" applyAlignment="1">
      <alignment horizontal="right"/>
    </xf>
    <xf numFmtId="0" fontId="6" fillId="0" borderId="36" xfId="1" applyFont="1" applyFill="1" applyBorder="1" applyAlignment="1">
      <alignment horizontal="left"/>
    </xf>
    <xf numFmtId="0" fontId="6" fillId="0" borderId="37" xfId="0" applyFont="1" applyBorder="1" applyAlignment="1">
      <alignment horizontal="center"/>
    </xf>
    <xf numFmtId="164" fontId="0" fillId="0" borderId="2" xfId="0" applyNumberFormat="1" applyBorder="1"/>
    <xf numFmtId="3" fontId="0" fillId="0" borderId="2" xfId="0" applyNumberFormat="1" applyBorder="1"/>
    <xf numFmtId="0" fontId="0" fillId="0" borderId="2" xfId="0" applyBorder="1"/>
    <xf numFmtId="164" fontId="6" fillId="0" borderId="0" xfId="0" applyNumberFormat="1" applyFont="1" applyBorder="1" applyAlignment="1">
      <alignment horizontal="right"/>
    </xf>
    <xf numFmtId="3" fontId="6" fillId="0" borderId="0" xfId="0" applyNumberFormat="1" applyFont="1" applyBorder="1" applyAlignment="1">
      <alignment horizontal="right"/>
    </xf>
    <xf numFmtId="0" fontId="7" fillId="0" borderId="0" xfId="0" applyFont="1" applyBorder="1" applyAlignment="1">
      <alignment horizontal="left"/>
    </xf>
    <xf numFmtId="0" fontId="7" fillId="0" borderId="0" xfId="0" applyFont="1" applyBorder="1" applyAlignment="1">
      <alignment horizontal="center"/>
    </xf>
    <xf numFmtId="164" fontId="7" fillId="0" borderId="38" xfId="0" applyNumberFormat="1" applyFont="1" applyBorder="1" applyAlignment="1">
      <alignment horizontal="right"/>
    </xf>
    <xf numFmtId="3" fontId="7" fillId="0" borderId="39" xfId="0" applyNumberFormat="1" applyFont="1" applyBorder="1" applyAlignment="1">
      <alignment horizontal="right"/>
    </xf>
    <xf numFmtId="0" fontId="7" fillId="0" borderId="39" xfId="0" applyFont="1" applyBorder="1" applyAlignment="1">
      <alignment horizontal="left"/>
    </xf>
    <xf numFmtId="0" fontId="7" fillId="0" borderId="39" xfId="0" applyFont="1" applyBorder="1" applyAlignment="1">
      <alignment horizontal="center"/>
    </xf>
    <xf numFmtId="0" fontId="7" fillId="0" borderId="29" xfId="0" applyFont="1" applyBorder="1" applyAlignment="1">
      <alignment horizontal="center"/>
    </xf>
    <xf numFmtId="164" fontId="7" fillId="0" borderId="40" xfId="0" applyNumberFormat="1" applyFont="1" applyBorder="1" applyAlignment="1">
      <alignment horizontal="right"/>
    </xf>
    <xf numFmtId="3" fontId="7" fillId="0" borderId="3" xfId="0" applyNumberFormat="1" applyFont="1" applyBorder="1" applyAlignment="1">
      <alignment horizontal="right"/>
    </xf>
    <xf numFmtId="0" fontId="7" fillId="0" borderId="3" xfId="0" applyFont="1" applyBorder="1" applyAlignment="1">
      <alignment horizontal="left"/>
    </xf>
    <xf numFmtId="0" fontId="7" fillId="0" borderId="3" xfId="0" applyFont="1" applyBorder="1" applyAlignment="1">
      <alignment horizontal="center"/>
    </xf>
    <xf numFmtId="0" fontId="7" fillId="0" borderId="32" xfId="0" applyFont="1" applyBorder="1" applyAlignment="1">
      <alignment horizontal="center"/>
    </xf>
    <xf numFmtId="164" fontId="0" fillId="0" borderId="41" xfId="0" applyNumberFormat="1" applyBorder="1"/>
    <xf numFmtId="3" fontId="0" fillId="0" borderId="42" xfId="0" applyNumberFormat="1" applyBorder="1"/>
    <xf numFmtId="0" fontId="0" fillId="0" borderId="42" xfId="0" applyBorder="1"/>
    <xf numFmtId="0" fontId="0" fillId="0" borderId="31" xfId="0" applyBorder="1"/>
    <xf numFmtId="164" fontId="6" fillId="0" borderId="40" xfId="0" applyNumberFormat="1" applyFont="1" applyBorder="1" applyAlignment="1">
      <alignment horizontal="right"/>
    </xf>
    <xf numFmtId="3" fontId="6" fillId="0" borderId="3" xfId="0" applyNumberFormat="1" applyFont="1" applyBorder="1" applyAlignment="1">
      <alignment horizontal="right"/>
    </xf>
    <xf numFmtId="164" fontId="6" fillId="0" borderId="43" xfId="0" applyNumberFormat="1" applyFont="1" applyBorder="1" applyAlignment="1">
      <alignment horizontal="right"/>
    </xf>
    <xf numFmtId="3" fontId="6" fillId="0" borderId="1" xfId="0" applyNumberFormat="1" applyFont="1" applyBorder="1" applyAlignment="1">
      <alignment horizontal="right"/>
    </xf>
    <xf numFmtId="0" fontId="7" fillId="0" borderId="1" xfId="0" applyFont="1" applyBorder="1" applyAlignment="1">
      <alignment horizontal="left"/>
    </xf>
    <xf numFmtId="0" fontId="7" fillId="0" borderId="1" xfId="0" applyFont="1" applyBorder="1" applyAlignment="1">
      <alignment horizontal="center"/>
    </xf>
    <xf numFmtId="0" fontId="7" fillId="0" borderId="34" xfId="0" applyFont="1" applyBorder="1" applyAlignment="1">
      <alignment horizontal="center"/>
    </xf>
    <xf numFmtId="164" fontId="6" fillId="0" borderId="44" xfId="1" applyNumberFormat="1" applyFont="1" applyBorder="1" applyAlignment="1">
      <alignment horizontal="center" vertical="center" wrapText="1"/>
    </xf>
    <xf numFmtId="3" fontId="6" fillId="0" borderId="45" xfId="1" applyNumberFormat="1" applyFont="1" applyBorder="1" applyAlignment="1">
      <alignment horizontal="center" vertical="center" wrapText="1"/>
    </xf>
    <xf numFmtId="0" fontId="6" fillId="0" borderId="45" xfId="1" applyFont="1" applyBorder="1" applyAlignment="1">
      <alignment horizontal="center" vertical="center" wrapText="1"/>
    </xf>
    <xf numFmtId="0" fontId="6" fillId="0" borderId="28" xfId="1" applyFont="1" applyBorder="1" applyAlignment="1">
      <alignment horizontal="center" vertical="center" wrapText="1"/>
    </xf>
    <xf numFmtId="164" fontId="7" fillId="0" borderId="0" xfId="1" applyNumberFormat="1" applyFont="1" applyFill="1" applyAlignment="1">
      <alignment horizontal="right"/>
    </xf>
    <xf numFmtId="3" fontId="8" fillId="0" borderId="0" xfId="1" applyNumberFormat="1" applyFont="1" applyFill="1"/>
    <xf numFmtId="0" fontId="8" fillId="0" borderId="0" xfId="1" applyFont="1" applyFill="1"/>
    <xf numFmtId="0" fontId="8" fillId="0" borderId="0" xfId="1" applyFont="1" applyFill="1" applyAlignment="1">
      <alignment horizontal="left"/>
    </xf>
    <xf numFmtId="0" fontId="5" fillId="0" borderId="0" xfId="1"/>
    <xf numFmtId="168" fontId="5" fillId="0" borderId="0" xfId="1" applyNumberFormat="1"/>
    <xf numFmtId="0" fontId="5" fillId="0" borderId="0" xfId="1" applyBorder="1"/>
    <xf numFmtId="164" fontId="52" fillId="0" borderId="0" xfId="1" applyNumberFormat="1" applyFont="1" applyFill="1" applyAlignment="1">
      <alignment horizontal="right"/>
    </xf>
    <xf numFmtId="164" fontId="7" fillId="0" borderId="0" xfId="1" applyNumberFormat="1" applyFont="1" applyFill="1" applyBorder="1" applyAlignment="1">
      <alignment horizontal="right"/>
    </xf>
    <xf numFmtId="3" fontId="7" fillId="0" borderId="0" xfId="1" applyNumberFormat="1" applyFont="1" applyFill="1" applyBorder="1" applyAlignment="1">
      <alignment horizontal="right"/>
    </xf>
    <xf numFmtId="0" fontId="7" fillId="0" borderId="0" xfId="1" applyFont="1" applyFill="1" applyBorder="1" applyAlignment="1">
      <alignment horizontal="left"/>
    </xf>
    <xf numFmtId="0" fontId="7" fillId="0" borderId="0" xfId="1" applyFont="1" applyFill="1" applyBorder="1" applyAlignment="1">
      <alignment horizontal="center"/>
    </xf>
    <xf numFmtId="164" fontId="6" fillId="0" borderId="38" xfId="0" applyNumberFormat="1" applyFont="1" applyBorder="1" applyAlignment="1">
      <alignment horizontal="right"/>
    </xf>
    <xf numFmtId="3" fontId="6" fillId="0" borderId="39" xfId="0" applyNumberFormat="1" applyFont="1" applyBorder="1" applyAlignment="1">
      <alignment horizontal="right"/>
    </xf>
    <xf numFmtId="0" fontId="7" fillId="0" borderId="39" xfId="0" applyFont="1" applyFill="1" applyBorder="1" applyAlignment="1">
      <alignment horizontal="center"/>
    </xf>
    <xf numFmtId="164" fontId="7" fillId="0" borderId="46" xfId="0" applyNumberFormat="1" applyFont="1" applyBorder="1" applyAlignment="1">
      <alignment horizontal="right"/>
    </xf>
    <xf numFmtId="3" fontId="7" fillId="0" borderId="9" xfId="0" applyNumberFormat="1" applyFont="1" applyBorder="1" applyAlignment="1">
      <alignment horizontal="right"/>
    </xf>
    <xf numFmtId="0" fontId="7" fillId="0" borderId="9" xfId="0" applyFont="1" applyBorder="1" applyAlignment="1">
      <alignment horizontal="left"/>
    </xf>
    <xf numFmtId="0" fontId="7" fillId="0" borderId="9" xfId="0" applyFont="1" applyFill="1" applyBorder="1" applyAlignment="1">
      <alignment horizontal="center"/>
    </xf>
    <xf numFmtId="0" fontId="7" fillId="0" borderId="47" xfId="0" applyFont="1" applyBorder="1" applyAlignment="1">
      <alignment horizontal="center"/>
    </xf>
    <xf numFmtId="164" fontId="7" fillId="0" borderId="48" xfId="1" applyNumberFormat="1" applyFont="1" applyFill="1" applyBorder="1" applyAlignment="1">
      <alignment horizontal="right"/>
    </xf>
    <xf numFmtId="0" fontId="7" fillId="0" borderId="32" xfId="1" applyFont="1" applyFill="1" applyBorder="1" applyAlignment="1">
      <alignment horizontal="center"/>
    </xf>
    <xf numFmtId="0" fontId="7" fillId="0" borderId="1" xfId="0" applyFont="1" applyFill="1" applyBorder="1" applyAlignment="1">
      <alignment horizontal="center"/>
    </xf>
    <xf numFmtId="164" fontId="6" fillId="0" borderId="48" xfId="1" applyNumberFormat="1" applyFont="1" applyBorder="1" applyAlignment="1">
      <alignment horizontal="center" vertical="center" wrapText="1"/>
    </xf>
    <xf numFmtId="3" fontId="6" fillId="0" borderId="0" xfId="1" applyNumberFormat="1" applyFont="1" applyBorder="1" applyAlignment="1">
      <alignment horizontal="center" vertical="center" wrapText="1"/>
    </xf>
    <xf numFmtId="0" fontId="6" fillId="0" borderId="0" xfId="1" applyFont="1" applyBorder="1" applyAlignment="1">
      <alignment horizontal="center" vertical="center" wrapText="1"/>
    </xf>
    <xf numFmtId="0" fontId="6" fillId="0" borderId="0" xfId="1" applyFont="1" applyFill="1" applyBorder="1" applyAlignment="1">
      <alignment horizontal="center" vertical="center" wrapText="1"/>
    </xf>
    <xf numFmtId="0" fontId="6" fillId="0" borderId="32" xfId="1" applyFont="1" applyBorder="1" applyAlignment="1">
      <alignment horizontal="center" vertical="center" wrapText="1"/>
    </xf>
    <xf numFmtId="0" fontId="7" fillId="0" borderId="3" xfId="0" applyFont="1" applyFill="1" applyBorder="1" applyAlignment="1">
      <alignment horizontal="center"/>
    </xf>
    <xf numFmtId="164" fontId="0" fillId="0" borderId="0" xfId="0" applyNumberFormat="1" applyBorder="1"/>
    <xf numFmtId="3" fontId="0" fillId="0" borderId="0" xfId="0" applyNumberFormat="1" applyBorder="1"/>
    <xf numFmtId="0" fontId="0" fillId="0" borderId="0" xfId="0" applyBorder="1"/>
    <xf numFmtId="0" fontId="7" fillId="0" borderId="32" xfId="1" applyFont="1" applyBorder="1" applyAlignment="1">
      <alignment horizontal="center"/>
    </xf>
    <xf numFmtId="0" fontId="7" fillId="0" borderId="3" xfId="0" applyFont="1" applyBorder="1" applyAlignment="1">
      <alignment horizontal="left" wrapText="1"/>
    </xf>
    <xf numFmtId="0" fontId="7" fillId="0" borderId="9" xfId="0" applyFont="1" applyBorder="1" applyAlignment="1">
      <alignment horizontal="center"/>
    </xf>
    <xf numFmtId="168" fontId="0" fillId="0" borderId="0" xfId="0" applyNumberFormat="1" applyBorder="1"/>
    <xf numFmtId="0" fontId="7" fillId="0" borderId="29" xfId="1" applyFont="1" applyBorder="1" applyAlignment="1">
      <alignment horizontal="center"/>
    </xf>
    <xf numFmtId="164" fontId="6" fillId="0" borderId="44" xfId="0" applyNumberFormat="1" applyFont="1" applyBorder="1" applyAlignment="1">
      <alignment horizontal="center" vertical="center" wrapText="1"/>
    </xf>
    <xf numFmtId="3" fontId="6" fillId="0" borderId="45" xfId="0" applyNumberFormat="1" applyFont="1" applyBorder="1" applyAlignment="1">
      <alignment horizontal="center" vertical="center" wrapText="1"/>
    </xf>
    <xf numFmtId="0" fontId="6" fillId="0" borderId="45" xfId="0" applyFont="1" applyBorder="1" applyAlignment="1">
      <alignment horizontal="center" vertical="center" wrapText="1"/>
    </xf>
    <xf numFmtId="0" fontId="6" fillId="0" borderId="28" xfId="0" applyFont="1" applyBorder="1" applyAlignment="1">
      <alignment horizontal="center" vertical="center" wrapText="1"/>
    </xf>
    <xf numFmtId="3" fontId="8" fillId="0" borderId="0" xfId="0" applyNumberFormat="1" applyFont="1"/>
    <xf numFmtId="0" fontId="8" fillId="0" borderId="0" xfId="0" applyFont="1"/>
    <xf numFmtId="0" fontId="8" fillId="0" borderId="0" xfId="0" applyFont="1" applyAlignment="1">
      <alignment horizontal="left"/>
    </xf>
    <xf numFmtId="164" fontId="52" fillId="0" borderId="0" xfId="1" applyNumberFormat="1" applyFont="1" applyBorder="1" applyAlignment="1">
      <alignment horizontal="right"/>
    </xf>
    <xf numFmtId="3" fontId="8" fillId="0" borderId="0" xfId="1" applyNumberFormat="1" applyFont="1"/>
    <xf numFmtId="0" fontId="8" fillId="0" borderId="0" xfId="1" applyFont="1"/>
    <xf numFmtId="0" fontId="8" fillId="0" borderId="0" xfId="1" applyFont="1" applyAlignment="1">
      <alignment horizontal="left"/>
    </xf>
    <xf numFmtId="0" fontId="8" fillId="0" borderId="0" xfId="1" applyFont="1" applyAlignment="1">
      <alignment horizontal="center"/>
    </xf>
    <xf numFmtId="164" fontId="34" fillId="0" borderId="0" xfId="0" applyNumberFormat="1" applyFont="1" applyAlignment="1">
      <alignment horizontal="right"/>
    </xf>
    <xf numFmtId="0" fontId="0" fillId="0" borderId="0" xfId="0" applyAlignment="1">
      <alignment horizontal="center"/>
    </xf>
    <xf numFmtId="164" fontId="7" fillId="0" borderId="0" xfId="0" applyNumberFormat="1" applyFont="1" applyAlignment="1">
      <alignment horizontal="right"/>
    </xf>
    <xf numFmtId="3" fontId="7" fillId="0" borderId="0" xfId="0" applyNumberFormat="1" applyFont="1"/>
    <xf numFmtId="3" fontId="6" fillId="0" borderId="0" xfId="0" applyNumberFormat="1" applyFont="1"/>
    <xf numFmtId="0" fontId="6" fillId="0" borderId="0" xfId="0" applyFont="1"/>
    <xf numFmtId="0" fontId="6" fillId="0" borderId="0" xfId="0" applyFont="1" applyAlignment="1">
      <alignment horizontal="left"/>
    </xf>
    <xf numFmtId="0" fontId="6" fillId="0" borderId="0" xfId="0" applyFont="1" applyAlignment="1">
      <alignment horizontal="right"/>
    </xf>
    <xf numFmtId="0" fontId="7" fillId="0" borderId="0" xfId="0" applyFont="1"/>
    <xf numFmtId="0" fontId="7" fillId="0" borderId="0" xfId="0" applyFont="1" applyAlignment="1">
      <alignment wrapText="1"/>
    </xf>
    <xf numFmtId="0" fontId="7" fillId="0" borderId="0" xfId="1" applyFont="1"/>
    <xf numFmtId="168" fontId="7" fillId="0" borderId="0" xfId="1" applyNumberFormat="1" applyFont="1"/>
    <xf numFmtId="164" fontId="6" fillId="0" borderId="27" xfId="0" applyNumberFormat="1" applyFont="1" applyFill="1" applyBorder="1" applyAlignment="1">
      <alignment horizontal="right"/>
    </xf>
    <xf numFmtId="3" fontId="6" fillId="0" borderId="28" xfId="0" applyNumberFormat="1" applyFont="1" applyFill="1" applyBorder="1" applyAlignment="1">
      <alignment horizontal="right"/>
    </xf>
    <xf numFmtId="0" fontId="6" fillId="0" borderId="28" xfId="1" applyFont="1" applyBorder="1" applyAlignment="1">
      <alignment horizontal="left"/>
    </xf>
    <xf numFmtId="0" fontId="6" fillId="0" borderId="29" xfId="1" applyFont="1" applyBorder="1" applyAlignment="1">
      <alignment horizontal="center"/>
    </xf>
    <xf numFmtId="0" fontId="6" fillId="0" borderId="31" xfId="1" applyFont="1" applyBorder="1" applyAlignment="1">
      <alignment horizontal="left"/>
    </xf>
    <xf numFmtId="0" fontId="6" fillId="0" borderId="32" xfId="1" applyFont="1" applyBorder="1" applyAlignment="1">
      <alignment horizontal="center"/>
    </xf>
    <xf numFmtId="169" fontId="7" fillId="0" borderId="0" xfId="1" applyNumberFormat="1" applyFont="1"/>
    <xf numFmtId="0" fontId="6" fillId="0" borderId="36" xfId="1" applyFont="1" applyBorder="1" applyAlignment="1">
      <alignment horizontal="left"/>
    </xf>
    <xf numFmtId="0" fontId="6" fillId="0" borderId="37" xfId="1" applyFont="1" applyBorder="1" applyAlignment="1">
      <alignment horizontal="center"/>
    </xf>
    <xf numFmtId="0" fontId="7" fillId="0" borderId="0" xfId="0" applyFont="1" applyFill="1"/>
    <xf numFmtId="164" fontId="6" fillId="0" borderId="8" xfId="0" applyNumberFormat="1" applyFont="1" applyFill="1" applyBorder="1" applyAlignment="1">
      <alignment horizontal="right"/>
    </xf>
    <xf numFmtId="3" fontId="6" fillId="0" borderId="49" xfId="0" applyNumberFormat="1" applyFont="1" applyFill="1" applyBorder="1" applyAlignment="1">
      <alignment horizontal="right"/>
    </xf>
    <xf numFmtId="0" fontId="7" fillId="0" borderId="48" xfId="0" applyFont="1" applyBorder="1"/>
    <xf numFmtId="0" fontId="7" fillId="0" borderId="0" xfId="0" applyFont="1" applyBorder="1"/>
    <xf numFmtId="0" fontId="7" fillId="0" borderId="0" xfId="0" applyFont="1" applyBorder="1" applyAlignment="1">
      <alignment wrapText="1"/>
    </xf>
    <xf numFmtId="0" fontId="7" fillId="0" borderId="32" xfId="0" applyFont="1" applyBorder="1"/>
    <xf numFmtId="170" fontId="6" fillId="0" borderId="50" xfId="0" applyNumberFormat="1" applyFont="1" applyFill="1" applyBorder="1"/>
    <xf numFmtId="3" fontId="53" fillId="0" borderId="51" xfId="0" applyNumberFormat="1" applyFont="1" applyFill="1" applyBorder="1"/>
    <xf numFmtId="3" fontId="53" fillId="0" borderId="2" xfId="0" applyNumberFormat="1" applyFont="1" applyFill="1" applyBorder="1"/>
    <xf numFmtId="0" fontId="7" fillId="0" borderId="2" xfId="0" applyFont="1" applyBorder="1"/>
    <xf numFmtId="0" fontId="54" fillId="0" borderId="51" xfId="0" applyFont="1" applyFill="1" applyBorder="1" applyAlignment="1">
      <alignment horizontal="center"/>
    </xf>
    <xf numFmtId="0" fontId="54" fillId="0" borderId="34" xfId="0" applyFont="1" applyFill="1" applyBorder="1" applyAlignment="1">
      <alignment horizontal="center"/>
    </xf>
    <xf numFmtId="170" fontId="7" fillId="0" borderId="48" xfId="0" applyNumberFormat="1" applyFont="1" applyFill="1" applyBorder="1"/>
    <xf numFmtId="3" fontId="54" fillId="0" borderId="52" xfId="0" applyNumberFormat="1" applyFont="1" applyFill="1" applyBorder="1"/>
    <xf numFmtId="3" fontId="54" fillId="0" borderId="0" xfId="0" applyNumberFormat="1" applyFont="1" applyFill="1" applyBorder="1"/>
    <xf numFmtId="0" fontId="7" fillId="0" borderId="0" xfId="0" applyFont="1" applyFill="1" applyBorder="1" applyAlignment="1">
      <alignment wrapText="1"/>
    </xf>
    <xf numFmtId="0" fontId="54" fillId="0" borderId="52" xfId="0" applyFont="1" applyFill="1" applyBorder="1" applyAlignment="1">
      <alignment horizontal="center"/>
    </xf>
    <xf numFmtId="0" fontId="54" fillId="0" borderId="32" xfId="0" applyFont="1" applyFill="1" applyBorder="1" applyAlignment="1">
      <alignment horizontal="center"/>
    </xf>
    <xf numFmtId="170" fontId="7" fillId="0" borderId="53" xfId="0" applyNumberFormat="1" applyFont="1" applyFill="1" applyBorder="1"/>
    <xf numFmtId="3" fontId="54" fillId="0" borderId="54" xfId="0" applyNumberFormat="1" applyFont="1" applyFill="1" applyBorder="1"/>
    <xf numFmtId="3" fontId="54" fillId="0" borderId="55" xfId="0" applyNumberFormat="1" applyFont="1" applyFill="1" applyBorder="1"/>
    <xf numFmtId="0" fontId="7" fillId="0" borderId="55" xfId="0" applyFont="1" applyFill="1" applyBorder="1" applyAlignment="1">
      <alignment wrapText="1"/>
    </xf>
    <xf numFmtId="0" fontId="54" fillId="0" borderId="54" xfId="0" applyFont="1" applyFill="1" applyBorder="1" applyAlignment="1">
      <alignment horizontal="center"/>
    </xf>
    <xf numFmtId="0" fontId="54" fillId="0" borderId="47" xfId="0" applyFont="1" applyFill="1" applyBorder="1" applyAlignment="1">
      <alignment horizontal="center"/>
    </xf>
    <xf numFmtId="3" fontId="53" fillId="0" borderId="0" xfId="0" applyNumberFormat="1" applyFont="1" applyFill="1" applyBorder="1"/>
    <xf numFmtId="0" fontId="54" fillId="0" borderId="0" xfId="0" applyFont="1" applyFill="1" applyBorder="1" applyAlignment="1">
      <alignment horizontal="center"/>
    </xf>
    <xf numFmtId="164" fontId="0" fillId="0" borderId="53" xfId="0" applyNumberFormat="1" applyBorder="1"/>
    <xf numFmtId="3" fontId="0" fillId="0" borderId="55" xfId="0" applyNumberFormat="1" applyBorder="1"/>
    <xf numFmtId="0" fontId="0" fillId="0" borderId="55" xfId="0" applyBorder="1" applyAlignment="1">
      <alignment wrapText="1"/>
    </xf>
    <xf numFmtId="0" fontId="0" fillId="0" borderId="55" xfId="0" applyBorder="1"/>
    <xf numFmtId="0" fontId="0" fillId="0" borderId="47" xfId="0" applyBorder="1"/>
    <xf numFmtId="164" fontId="6" fillId="0" borderId="6" xfId="0" applyNumberFormat="1" applyFont="1" applyFill="1" applyBorder="1" applyAlignment="1">
      <alignment horizontal="right"/>
    </xf>
    <xf numFmtId="3" fontId="6" fillId="0" borderId="4" xfId="0" applyNumberFormat="1" applyFont="1" applyFill="1" applyBorder="1" applyAlignment="1">
      <alignment horizontal="right"/>
    </xf>
    <xf numFmtId="170" fontId="6" fillId="0" borderId="50" xfId="0" applyNumberFormat="1" applyFont="1" applyFill="1" applyBorder="1" applyAlignment="1">
      <alignment horizontal="right"/>
    </xf>
    <xf numFmtId="0" fontId="7" fillId="0" borderId="2" xfId="0" applyFont="1" applyFill="1" applyBorder="1"/>
    <xf numFmtId="170" fontId="7" fillId="0" borderId="48" xfId="0" applyNumberFormat="1" applyFont="1" applyFill="1" applyBorder="1" applyAlignment="1">
      <alignment horizontal="right"/>
    </xf>
    <xf numFmtId="170" fontId="7" fillId="0" borderId="53" xfId="0" applyNumberFormat="1" applyFont="1" applyFill="1" applyBorder="1" applyAlignment="1">
      <alignment horizontal="right"/>
    </xf>
    <xf numFmtId="164" fontId="0" fillId="0" borderId="48" xfId="0" applyNumberFormat="1" applyBorder="1"/>
    <xf numFmtId="0" fontId="0" fillId="0" borderId="0" xfId="0" applyBorder="1" applyAlignment="1">
      <alignment wrapText="1"/>
    </xf>
    <xf numFmtId="0" fontId="0" fillId="0" borderId="32" xfId="0" applyBorder="1"/>
    <xf numFmtId="170" fontId="6" fillId="0" borderId="41" xfId="0" applyNumberFormat="1" applyFont="1" applyFill="1" applyBorder="1"/>
    <xf numFmtId="3" fontId="53" fillId="0" borderId="4" xfId="0" applyNumberFormat="1" applyFont="1" applyFill="1" applyBorder="1"/>
    <xf numFmtId="3" fontId="53" fillId="0" borderId="42" xfId="0" applyNumberFormat="1" applyFont="1" applyFill="1" applyBorder="1"/>
    <xf numFmtId="164" fontId="7" fillId="0" borderId="0" xfId="1" applyNumberFormat="1" applyFont="1" applyAlignment="1">
      <alignment horizontal="right"/>
    </xf>
    <xf numFmtId="0" fontId="8" fillId="0" borderId="0" xfId="1" applyFont="1" applyAlignment="1">
      <alignment wrapText="1"/>
    </xf>
    <xf numFmtId="3" fontId="6" fillId="0" borderId="39" xfId="0" applyNumberFormat="1" applyFont="1" applyFill="1" applyBorder="1" applyAlignment="1">
      <alignment horizontal="right"/>
    </xf>
    <xf numFmtId="3" fontId="7" fillId="0" borderId="3" xfId="0" applyNumberFormat="1" applyFont="1" applyFill="1" applyBorder="1" applyAlignment="1">
      <alignment horizontal="right"/>
    </xf>
    <xf numFmtId="0" fontId="0" fillId="0" borderId="42" xfId="0" applyBorder="1" applyAlignment="1">
      <alignment wrapText="1"/>
    </xf>
    <xf numFmtId="0" fontId="53" fillId="0" borderId="0" xfId="0" applyFont="1" applyFill="1" applyBorder="1" applyAlignment="1">
      <alignment horizontal="center"/>
    </xf>
    <xf numFmtId="0" fontId="53" fillId="0" borderId="32" xfId="0" applyFont="1" applyFill="1" applyBorder="1" applyAlignment="1">
      <alignment horizontal="center"/>
    </xf>
    <xf numFmtId="0" fontId="54" fillId="0" borderId="2" xfId="0" applyFont="1" applyFill="1" applyBorder="1" applyAlignment="1">
      <alignment horizontal="center"/>
    </xf>
    <xf numFmtId="0" fontId="54" fillId="0" borderId="55" xfId="0" applyFont="1" applyFill="1" applyBorder="1" applyAlignment="1">
      <alignment horizontal="center"/>
    </xf>
    <xf numFmtId="0" fontId="54" fillId="0" borderId="0" xfId="0" applyFont="1" applyFill="1" applyBorder="1" applyAlignment="1">
      <alignment wrapText="1"/>
    </xf>
    <xf numFmtId="0" fontId="54" fillId="0" borderId="32" xfId="0" applyFont="1" applyBorder="1" applyAlignment="1">
      <alignment horizontal="center"/>
    </xf>
    <xf numFmtId="0" fontId="54" fillId="0" borderId="34" xfId="0" applyFont="1" applyBorder="1" applyAlignment="1">
      <alignment horizontal="center"/>
    </xf>
    <xf numFmtId="170" fontId="7" fillId="0" borderId="48" xfId="0" applyNumberFormat="1" applyFont="1" applyBorder="1"/>
    <xf numFmtId="3" fontId="54" fillId="0" borderId="52" xfId="0" applyNumberFormat="1" applyFont="1" applyBorder="1"/>
    <xf numFmtId="3" fontId="54" fillId="0" borderId="0" xfId="0" applyNumberFormat="1" applyFont="1" applyBorder="1"/>
    <xf numFmtId="0" fontId="54" fillId="0" borderId="52" xfId="0" applyFont="1" applyBorder="1" applyAlignment="1">
      <alignment horizontal="center"/>
    </xf>
    <xf numFmtId="0" fontId="8" fillId="0" borderId="0" xfId="1" applyFont="1" applyAlignment="1">
      <alignment horizontal="center" wrapText="1"/>
    </xf>
    <xf numFmtId="3" fontId="7" fillId="0" borderId="0" xfId="1" applyNumberFormat="1" applyFont="1"/>
    <xf numFmtId="0" fontId="7" fillId="0" borderId="0" xfId="1" applyFont="1" applyAlignment="1">
      <alignment wrapText="1"/>
    </xf>
    <xf numFmtId="0" fontId="7" fillId="0" borderId="0" xfId="1" applyFont="1" applyAlignment="1">
      <alignment horizontal="center"/>
    </xf>
    <xf numFmtId="164" fontId="7" fillId="0" borderId="0" xfId="1" applyNumberFormat="1" applyFont="1" applyAlignment="1">
      <alignment horizontal="left"/>
    </xf>
    <xf numFmtId="3" fontId="7" fillId="0" borderId="0" xfId="1" applyNumberFormat="1" applyFont="1" applyAlignment="1">
      <alignment horizontal="right"/>
    </xf>
    <xf numFmtId="3" fontId="6" fillId="0" borderId="0" xfId="1" applyNumberFormat="1" applyFont="1"/>
    <xf numFmtId="0" fontId="6" fillId="0" borderId="0" xfId="1" applyFont="1" applyAlignment="1">
      <alignment wrapText="1"/>
    </xf>
    <xf numFmtId="0" fontId="6" fillId="0" borderId="0" xfId="1" applyFont="1" applyAlignment="1">
      <alignment horizontal="center"/>
    </xf>
    <xf numFmtId="0" fontId="6" fillId="0" borderId="0" xfId="1" applyFont="1" applyAlignment="1">
      <alignment horizontal="right"/>
    </xf>
    <xf numFmtId="0" fontId="11" fillId="0" borderId="0" xfId="56" applyFont="1" applyAlignment="1">
      <alignment vertical="center"/>
    </xf>
    <xf numFmtId="0" fontId="11" fillId="0" borderId="0" xfId="56" applyFont="1" applyFill="1" applyAlignment="1">
      <alignment vertical="center"/>
    </xf>
    <xf numFmtId="3" fontId="55" fillId="0" borderId="0" xfId="56" applyNumberFormat="1" applyFont="1" applyAlignment="1">
      <alignment vertical="center"/>
    </xf>
    <xf numFmtId="3" fontId="11" fillId="0" borderId="0" xfId="56" applyNumberFormat="1" applyFont="1" applyAlignment="1">
      <alignment vertical="center"/>
    </xf>
    <xf numFmtId="3" fontId="11" fillId="0" borderId="0" xfId="56" applyNumberFormat="1" applyFont="1" applyFill="1" applyAlignment="1">
      <alignment vertical="center"/>
    </xf>
    <xf numFmtId="3" fontId="11" fillId="0" borderId="0" xfId="56" applyNumberFormat="1" applyFont="1" applyBorder="1" applyAlignment="1">
      <alignment vertical="center"/>
    </xf>
    <xf numFmtId="0" fontId="11" fillId="0" borderId="0" xfId="56" applyFont="1" applyBorder="1" applyAlignment="1">
      <alignment vertical="center"/>
    </xf>
    <xf numFmtId="3" fontId="56" fillId="0" borderId="0" xfId="56" applyNumberFormat="1" applyFont="1" applyBorder="1" applyAlignment="1">
      <alignment vertical="center"/>
    </xf>
    <xf numFmtId="0" fontId="56" fillId="0" borderId="0" xfId="56" applyFont="1" applyBorder="1" applyAlignment="1">
      <alignment vertical="center"/>
    </xf>
    <xf numFmtId="0" fontId="11" fillId="0" borderId="0" xfId="56" applyFont="1" applyBorder="1" applyAlignment="1">
      <alignment vertical="center" wrapText="1"/>
    </xf>
    <xf numFmtId="3" fontId="55" fillId="0" borderId="0" xfId="56" applyNumberFormat="1" applyFont="1" applyFill="1" applyAlignment="1">
      <alignment vertical="center"/>
    </xf>
    <xf numFmtId="3" fontId="56" fillId="0" borderId="0" xfId="56" applyNumberFormat="1" applyFont="1" applyFill="1" applyBorder="1" applyAlignment="1">
      <alignment horizontal="center" vertical="center"/>
    </xf>
    <xf numFmtId="3" fontId="56" fillId="0" borderId="0" xfId="56" applyNumberFormat="1" applyFont="1" applyBorder="1" applyAlignment="1">
      <alignment horizontal="center" vertical="center"/>
    </xf>
    <xf numFmtId="0" fontId="57" fillId="0" borderId="0" xfId="56" applyFont="1" applyAlignment="1">
      <alignment vertical="center"/>
    </xf>
    <xf numFmtId="0" fontId="58" fillId="0" borderId="0" xfId="56" applyFont="1" applyAlignment="1">
      <alignment vertical="center"/>
    </xf>
    <xf numFmtId="3" fontId="58" fillId="0" borderId="0" xfId="56" applyNumberFormat="1" applyFont="1" applyAlignment="1">
      <alignment vertical="center"/>
    </xf>
    <xf numFmtId="3" fontId="58" fillId="0" borderId="0" xfId="56" applyNumberFormat="1" applyFont="1" applyFill="1" applyAlignment="1">
      <alignment vertical="center"/>
    </xf>
    <xf numFmtId="0" fontId="13" fillId="0" borderId="0" xfId="56" applyFont="1" applyAlignment="1">
      <alignment vertical="center"/>
    </xf>
    <xf numFmtId="3" fontId="13" fillId="0" borderId="0" xfId="56" applyNumberFormat="1" applyFont="1" applyAlignment="1">
      <alignment vertical="center"/>
    </xf>
    <xf numFmtId="3" fontId="59" fillId="26" borderId="58" xfId="56" applyNumberFormat="1" applyFont="1" applyFill="1" applyBorder="1" applyAlignment="1">
      <alignment vertical="center"/>
    </xf>
    <xf numFmtId="3" fontId="59" fillId="26" borderId="44" xfId="56" applyNumberFormat="1" applyFont="1" applyFill="1" applyBorder="1" applyAlignment="1">
      <alignment horizontal="right" vertical="center"/>
    </xf>
    <xf numFmtId="3" fontId="59" fillId="26" borderId="59" xfId="56" applyNumberFormat="1" applyFont="1" applyFill="1" applyBorder="1" applyAlignment="1">
      <alignment horizontal="right" vertical="center"/>
    </xf>
    <xf numFmtId="3" fontId="59" fillId="26" borderId="28" xfId="56" applyNumberFormat="1" applyFont="1" applyFill="1" applyBorder="1" applyAlignment="1">
      <alignment horizontal="right" vertical="center"/>
    </xf>
    <xf numFmtId="3" fontId="59" fillId="26" borderId="27" xfId="56" applyNumberFormat="1" applyFont="1" applyFill="1" applyBorder="1" applyAlignment="1">
      <alignment horizontal="right" vertical="center"/>
    </xf>
    <xf numFmtId="0" fontId="60" fillId="0" borderId="0" xfId="56" applyFont="1" applyAlignment="1">
      <alignment vertical="center"/>
    </xf>
    <xf numFmtId="0" fontId="13" fillId="0" borderId="58" xfId="4" applyNumberFormat="1" applyFont="1" applyFill="1" applyBorder="1" applyAlignment="1">
      <alignment horizontal="justify" vertical="center" wrapText="1"/>
    </xf>
    <xf numFmtId="171" fontId="13" fillId="27" borderId="44" xfId="4" applyNumberFormat="1" applyFont="1" applyFill="1" applyBorder="1" applyAlignment="1">
      <alignment horizontal="right" vertical="center" wrapText="1"/>
    </xf>
    <xf numFmtId="171" fontId="13" fillId="27" borderId="59" xfId="4" applyNumberFormat="1" applyFont="1" applyFill="1" applyBorder="1" applyAlignment="1">
      <alignment horizontal="right" vertical="center" wrapText="1"/>
    </xf>
    <xf numFmtId="171" fontId="13" fillId="27" borderId="28" xfId="4" applyNumberFormat="1" applyFont="1" applyFill="1" applyBorder="1" applyAlignment="1">
      <alignment vertical="center" wrapText="1"/>
    </xf>
    <xf numFmtId="171" fontId="13" fillId="27" borderId="60" xfId="4" applyNumberFormat="1" applyFont="1" applyFill="1" applyBorder="1" applyAlignment="1">
      <alignment horizontal="right" vertical="center" wrapText="1"/>
    </xf>
    <xf numFmtId="171" fontId="13" fillId="28" borderId="60" xfId="4" applyNumberFormat="1" applyFont="1" applyFill="1" applyBorder="1" applyAlignment="1">
      <alignment horizontal="right" vertical="center" wrapText="1"/>
    </xf>
    <xf numFmtId="171" fontId="13" fillId="0" borderId="27" xfId="4" applyNumberFormat="1" applyFont="1" applyFill="1" applyBorder="1" applyAlignment="1">
      <alignment horizontal="right" vertical="center" wrapText="1"/>
    </xf>
    <xf numFmtId="0" fontId="13" fillId="27" borderId="45" xfId="4" applyNumberFormat="1" applyFont="1" applyFill="1" applyBorder="1" applyAlignment="1">
      <alignment vertical="center" wrapText="1"/>
    </xf>
    <xf numFmtId="0" fontId="58" fillId="0" borderId="28" xfId="56" applyFont="1" applyBorder="1" applyAlignment="1">
      <alignment vertical="center"/>
    </xf>
    <xf numFmtId="0" fontId="13" fillId="0" borderId="0" xfId="56" applyFont="1" applyFill="1" applyBorder="1" applyAlignment="1">
      <alignment vertical="center"/>
    </xf>
    <xf numFmtId="3" fontId="13" fillId="0" borderId="0" xfId="56" applyNumberFormat="1" applyFont="1" applyBorder="1" applyAlignment="1">
      <alignment vertical="center"/>
    </xf>
    <xf numFmtId="3" fontId="59" fillId="26" borderId="44" xfId="56" applyNumberFormat="1" applyFont="1" applyFill="1" applyBorder="1" applyAlignment="1">
      <alignment vertical="center"/>
    </xf>
    <xf numFmtId="3" fontId="59" fillId="26" borderId="45" xfId="56" applyNumberFormat="1" applyFont="1" applyFill="1" applyBorder="1" applyAlignment="1">
      <alignment vertical="center"/>
    </xf>
    <xf numFmtId="3" fontId="59" fillId="26" borderId="28" xfId="56" applyNumberFormat="1" applyFont="1" applyFill="1" applyBorder="1" applyAlignment="1">
      <alignment vertical="center"/>
    </xf>
    <xf numFmtId="3" fontId="59" fillId="26" borderId="60" xfId="56" applyNumberFormat="1" applyFont="1" applyFill="1" applyBorder="1" applyAlignment="1">
      <alignment vertical="center"/>
    </xf>
    <xf numFmtId="0" fontId="61" fillId="0" borderId="0" xfId="56" applyFont="1" applyBorder="1" applyAlignment="1">
      <alignment vertical="center"/>
    </xf>
    <xf numFmtId="3" fontId="61" fillId="0" borderId="0" xfId="56" applyNumberFormat="1" applyFont="1" applyBorder="1" applyAlignment="1">
      <alignment vertical="center"/>
    </xf>
    <xf numFmtId="0" fontId="62" fillId="0" borderId="48" xfId="56" applyFont="1" applyFill="1" applyBorder="1" applyAlignment="1">
      <alignment vertical="center"/>
    </xf>
    <xf numFmtId="0" fontId="62" fillId="0" borderId="0" xfId="56" applyFont="1" applyFill="1" applyBorder="1" applyAlignment="1">
      <alignment vertical="center"/>
    </xf>
    <xf numFmtId="3" fontId="62" fillId="0" borderId="0" xfId="56" applyNumberFormat="1" applyFont="1" applyFill="1" applyBorder="1" applyAlignment="1">
      <alignment vertical="center"/>
    </xf>
    <xf numFmtId="0" fontId="62" fillId="0" borderId="32" xfId="56" applyFont="1" applyFill="1" applyBorder="1" applyAlignment="1">
      <alignment vertical="center"/>
    </xf>
    <xf numFmtId="171" fontId="59" fillId="26" borderId="44" xfId="56" applyNumberFormat="1" applyFont="1" applyFill="1" applyBorder="1" applyAlignment="1">
      <alignment vertical="center"/>
    </xf>
    <xf numFmtId="171" fontId="59" fillId="26" borderId="59" xfId="56" applyNumberFormat="1" applyFont="1" applyFill="1" applyBorder="1" applyAlignment="1">
      <alignment vertical="center"/>
    </xf>
    <xf numFmtId="171" fontId="59" fillId="26" borderId="28" xfId="56" applyNumberFormat="1" applyFont="1" applyFill="1" applyBorder="1" applyAlignment="1">
      <alignment vertical="center"/>
    </xf>
    <xf numFmtId="171" fontId="59" fillId="26" borderId="58" xfId="56" applyNumberFormat="1" applyFont="1" applyFill="1" applyBorder="1" applyAlignment="1">
      <alignment vertical="center"/>
    </xf>
    <xf numFmtId="171" fontId="59" fillId="26" borderId="63" xfId="56" applyNumberFormat="1" applyFont="1" applyFill="1" applyBorder="1" applyAlignment="1">
      <alignment vertical="center"/>
    </xf>
    <xf numFmtId="171" fontId="59" fillId="26" borderId="60" xfId="56" applyNumberFormat="1" applyFont="1" applyFill="1" applyBorder="1" applyAlignment="1">
      <alignment vertical="center"/>
    </xf>
    <xf numFmtId="171" fontId="59" fillId="26" borderId="27" xfId="56" applyNumberFormat="1" applyFont="1" applyFill="1" applyBorder="1" applyAlignment="1">
      <alignment vertical="center"/>
    </xf>
    <xf numFmtId="0" fontId="13" fillId="0" borderId="53" xfId="4" applyNumberFormat="1" applyFont="1" applyFill="1" applyBorder="1" applyAlignment="1">
      <alignment horizontal="justify" vertical="center" wrapText="1"/>
    </xf>
    <xf numFmtId="171" fontId="13" fillId="27" borderId="6" xfId="4" applyNumberFormat="1" applyFont="1" applyFill="1" applyBorder="1" applyAlignment="1">
      <alignment horizontal="right" vertical="center" wrapText="1"/>
    </xf>
    <xf numFmtId="171" fontId="13" fillId="27" borderId="4" xfId="4" applyNumberFormat="1" applyFont="1" applyFill="1" applyBorder="1" applyAlignment="1">
      <alignment horizontal="right" vertical="center" wrapText="1"/>
    </xf>
    <xf numFmtId="171" fontId="13" fillId="27" borderId="31" xfId="4" applyNumberFormat="1" applyFont="1" applyFill="1" applyBorder="1" applyAlignment="1">
      <alignment vertical="center" wrapText="1"/>
    </xf>
    <xf numFmtId="171" fontId="13" fillId="27" borderId="5" xfId="4" applyNumberFormat="1" applyFont="1" applyFill="1" applyBorder="1" applyAlignment="1">
      <alignment horizontal="right" vertical="center" wrapText="1"/>
    </xf>
    <xf numFmtId="171" fontId="13" fillId="28" borderId="5" xfId="4" applyNumberFormat="1" applyFont="1" applyFill="1" applyBorder="1" applyAlignment="1">
      <alignment horizontal="right" vertical="center" wrapText="1"/>
    </xf>
    <xf numFmtId="171" fontId="13" fillId="0" borderId="30" xfId="4" applyNumberFormat="1" applyFont="1" applyFill="1" applyBorder="1" applyAlignment="1">
      <alignment horizontal="right" vertical="center" wrapText="1"/>
    </xf>
    <xf numFmtId="0" fontId="13" fillId="27" borderId="13" xfId="4" applyNumberFormat="1" applyFont="1" applyFill="1" applyBorder="1" applyAlignment="1">
      <alignment vertical="center" wrapText="1"/>
    </xf>
    <xf numFmtId="0" fontId="63" fillId="0" borderId="64" xfId="56" applyFont="1" applyFill="1" applyBorder="1" applyAlignment="1">
      <alignment horizontal="center" vertical="center" textRotation="90" wrapText="1"/>
    </xf>
    <xf numFmtId="0" fontId="13" fillId="0" borderId="61" xfId="4" applyNumberFormat="1" applyFont="1" applyFill="1" applyBorder="1" applyAlignment="1">
      <alignment horizontal="justify" vertical="center" wrapText="1"/>
    </xf>
    <xf numFmtId="171" fontId="13" fillId="27" borderId="12" xfId="4" applyNumberFormat="1" applyFont="1" applyFill="1" applyBorder="1" applyAlignment="1">
      <alignment horizontal="right" vertical="center" wrapText="1"/>
    </xf>
    <xf numFmtId="171" fontId="13" fillId="27" borderId="66" xfId="4" applyNumberFormat="1" applyFont="1" applyFill="1" applyBorder="1" applyAlignment="1">
      <alignment horizontal="right" vertical="center" wrapText="1"/>
    </xf>
    <xf numFmtId="171" fontId="13" fillId="27" borderId="36" xfId="4" applyNumberFormat="1" applyFont="1" applyFill="1" applyBorder="1" applyAlignment="1">
      <alignment vertical="center" wrapText="1"/>
    </xf>
    <xf numFmtId="171" fontId="13" fillId="27" borderId="10" xfId="4" applyNumberFormat="1" applyFont="1" applyFill="1" applyBorder="1" applyAlignment="1">
      <alignment horizontal="right" vertical="center" wrapText="1"/>
    </xf>
    <xf numFmtId="171" fontId="13" fillId="28" borderId="10" xfId="4" applyNumberFormat="1" applyFont="1" applyFill="1" applyBorder="1" applyAlignment="1">
      <alignment horizontal="right" vertical="center" wrapText="1"/>
    </xf>
    <xf numFmtId="171" fontId="13" fillId="0" borderId="35" xfId="4" applyNumberFormat="1" applyFont="1" applyFill="1" applyBorder="1" applyAlignment="1">
      <alignment horizontal="right" vertical="center" wrapText="1"/>
    </xf>
    <xf numFmtId="0" fontId="13" fillId="27" borderId="11" xfId="4" applyNumberFormat="1" applyFont="1" applyFill="1" applyBorder="1" applyAlignment="1">
      <alignment vertical="center" wrapText="1"/>
    </xf>
    <xf numFmtId="3" fontId="59" fillId="26" borderId="59" xfId="56" applyNumberFormat="1" applyFont="1" applyFill="1" applyBorder="1" applyAlignment="1">
      <alignment vertical="center"/>
    </xf>
    <xf numFmtId="3" fontId="59" fillId="26" borderId="27" xfId="56" applyNumberFormat="1" applyFont="1" applyFill="1" applyBorder="1" applyAlignment="1">
      <alignment vertical="center"/>
    </xf>
    <xf numFmtId="0" fontId="13" fillId="0" borderId="32" xfId="56" applyFont="1" applyFill="1" applyBorder="1" applyAlignment="1">
      <alignment horizontal="center" vertical="center"/>
    </xf>
    <xf numFmtId="0" fontId="13" fillId="0" borderId="31" xfId="56" applyFont="1" applyFill="1" applyBorder="1" applyAlignment="1">
      <alignment horizontal="center" vertical="center"/>
    </xf>
    <xf numFmtId="0" fontId="59" fillId="0" borderId="0" xfId="56" applyFont="1" applyFill="1" applyBorder="1" applyAlignment="1">
      <alignment vertical="center"/>
    </xf>
    <xf numFmtId="3" fontId="13" fillId="0" borderId="0" xfId="56" applyNumberFormat="1" applyFont="1" applyFill="1" applyBorder="1" applyAlignment="1">
      <alignment vertical="center"/>
    </xf>
    <xf numFmtId="3" fontId="59" fillId="26" borderId="69" xfId="56" applyNumberFormat="1" applyFont="1" applyFill="1" applyBorder="1" applyAlignment="1">
      <alignment vertical="center"/>
    </xf>
    <xf numFmtId="3" fontId="59" fillId="26" borderId="12" xfId="56" applyNumberFormat="1" applyFont="1" applyFill="1" applyBorder="1" applyAlignment="1">
      <alignment horizontal="right" vertical="center"/>
    </xf>
    <xf numFmtId="3" fontId="59" fillId="26" borderId="11" xfId="56" applyNumberFormat="1" applyFont="1" applyFill="1" applyBorder="1" applyAlignment="1">
      <alignment horizontal="right" vertical="center"/>
    </xf>
    <xf numFmtId="3" fontId="59" fillId="26" borderId="36" xfId="56" applyNumberFormat="1" applyFont="1" applyFill="1" applyBorder="1" applyAlignment="1">
      <alignment horizontal="right" vertical="center"/>
    </xf>
    <xf numFmtId="3" fontId="59" fillId="26" borderId="66" xfId="56" applyNumberFormat="1" applyFont="1" applyFill="1" applyBorder="1" applyAlignment="1">
      <alignment horizontal="right" vertical="center"/>
    </xf>
    <xf numFmtId="3" fontId="59" fillId="26" borderId="70" xfId="56" applyNumberFormat="1" applyFont="1" applyFill="1" applyBorder="1" applyAlignment="1">
      <alignment horizontal="right" vertical="center"/>
    </xf>
    <xf numFmtId="3" fontId="59" fillId="26" borderId="10" xfId="56" applyNumberFormat="1" applyFont="1" applyFill="1" applyBorder="1" applyAlignment="1">
      <alignment horizontal="right" vertical="center"/>
    </xf>
    <xf numFmtId="3" fontId="59" fillId="26" borderId="35" xfId="56" applyNumberFormat="1" applyFont="1" applyFill="1" applyBorder="1" applyAlignment="1">
      <alignment horizontal="right" vertical="center"/>
    </xf>
    <xf numFmtId="0" fontId="62" fillId="0" borderId="47" xfId="56" applyFont="1" applyFill="1" applyBorder="1" applyAlignment="1">
      <alignment horizontal="center" vertical="center"/>
    </xf>
    <xf numFmtId="0" fontId="62" fillId="0" borderId="31" xfId="56" applyFont="1" applyFill="1" applyBorder="1" applyAlignment="1">
      <alignment horizontal="center" vertical="center"/>
    </xf>
    <xf numFmtId="0" fontId="13" fillId="0" borderId="41" xfId="4" applyNumberFormat="1" applyFont="1" applyFill="1" applyBorder="1" applyAlignment="1">
      <alignment horizontal="justify" vertical="center" wrapText="1"/>
    </xf>
    <xf numFmtId="0" fontId="62" fillId="0" borderId="34" xfId="56" applyFont="1" applyFill="1" applyBorder="1" applyAlignment="1">
      <alignment horizontal="center" vertical="center"/>
    </xf>
    <xf numFmtId="3" fontId="59" fillId="26" borderId="63" xfId="56" applyNumberFormat="1" applyFont="1" applyFill="1" applyBorder="1" applyAlignment="1">
      <alignment vertical="center"/>
    </xf>
    <xf numFmtId="0" fontId="13" fillId="0" borderId="47" xfId="56" applyFont="1" applyFill="1" applyBorder="1" applyAlignment="1">
      <alignment horizontal="center" vertical="center"/>
    </xf>
    <xf numFmtId="0" fontId="13" fillId="0" borderId="34" xfId="56" applyFont="1" applyFill="1" applyBorder="1" applyAlignment="1">
      <alignment horizontal="center" vertical="center"/>
    </xf>
    <xf numFmtId="0" fontId="13" fillId="0" borderId="0" xfId="56" applyFont="1" applyFill="1" applyAlignment="1">
      <alignment vertical="center"/>
    </xf>
    <xf numFmtId="3" fontId="13" fillId="0" borderId="0" xfId="56" applyNumberFormat="1" applyFont="1" applyFill="1" applyAlignment="1">
      <alignment vertical="center"/>
    </xf>
    <xf numFmtId="0" fontId="62" fillId="0" borderId="0" xfId="56" applyFont="1" applyFill="1" applyAlignment="1">
      <alignment vertical="center"/>
    </xf>
    <xf numFmtId="0" fontId="13" fillId="0" borderId="72" xfId="56" applyFont="1" applyFill="1" applyBorder="1" applyAlignment="1">
      <alignment horizontal="center" vertical="center"/>
    </xf>
    <xf numFmtId="0" fontId="13" fillId="0" borderId="5" xfId="56" applyFont="1" applyFill="1" applyBorder="1" applyAlignment="1">
      <alignment horizontal="center" vertical="center"/>
    </xf>
    <xf numFmtId="0" fontId="64" fillId="0" borderId="53" xfId="4" applyNumberFormat="1" applyFont="1" applyFill="1" applyBorder="1" applyAlignment="1">
      <alignment horizontal="justify" vertical="center" wrapText="1"/>
    </xf>
    <xf numFmtId="171" fontId="64" fillId="27" borderId="6" xfId="4" applyNumberFormat="1" applyFont="1" applyFill="1" applyBorder="1" applyAlignment="1">
      <alignment horizontal="right" vertical="center" wrapText="1"/>
    </xf>
    <xf numFmtId="171" fontId="64" fillId="27" borderId="4" xfId="4" applyNumberFormat="1" applyFont="1" applyFill="1" applyBorder="1" applyAlignment="1">
      <alignment horizontal="right" vertical="center" wrapText="1"/>
    </xf>
    <xf numFmtId="171" fontId="64" fillId="27" borderId="31" xfId="4" applyNumberFormat="1" applyFont="1" applyFill="1" applyBorder="1" applyAlignment="1">
      <alignment vertical="center" wrapText="1"/>
    </xf>
    <xf numFmtId="171" fontId="64" fillId="27" borderId="5" xfId="4" applyNumberFormat="1" applyFont="1" applyFill="1" applyBorder="1" applyAlignment="1">
      <alignment horizontal="right" vertical="center" wrapText="1"/>
    </xf>
    <xf numFmtId="171" fontId="64" fillId="28" borderId="5" xfId="4" applyNumberFormat="1" applyFont="1" applyFill="1" applyBorder="1" applyAlignment="1">
      <alignment horizontal="right" vertical="center" wrapText="1"/>
    </xf>
    <xf numFmtId="171" fontId="64" fillId="0" borderId="30" xfId="4" applyNumberFormat="1" applyFont="1" applyFill="1" applyBorder="1" applyAlignment="1">
      <alignment horizontal="right" vertical="center" wrapText="1"/>
    </xf>
    <xf numFmtId="0" fontId="62" fillId="0" borderId="5" xfId="56" applyFont="1" applyFill="1" applyBorder="1" applyAlignment="1">
      <alignment horizontal="center" vertical="center"/>
    </xf>
    <xf numFmtId="0" fontId="62" fillId="0" borderId="0" xfId="56" applyFont="1" applyAlignment="1">
      <alignment vertical="center"/>
    </xf>
    <xf numFmtId="0" fontId="64" fillId="0" borderId="41" xfId="4" applyNumberFormat="1" applyFont="1" applyFill="1" applyBorder="1" applyAlignment="1">
      <alignment horizontal="justify" vertical="center" wrapText="1"/>
    </xf>
    <xf numFmtId="0" fontId="59" fillId="0" borderId="0" xfId="56" applyFont="1" applyAlignment="1">
      <alignment vertical="center"/>
    </xf>
    <xf numFmtId="0" fontId="59" fillId="0" borderId="5" xfId="56" applyFont="1" applyFill="1" applyBorder="1" applyAlignment="1">
      <alignment vertical="center" wrapText="1"/>
    </xf>
    <xf numFmtId="0" fontId="64" fillId="0" borderId="69" xfId="4" applyNumberFormat="1" applyFont="1" applyFill="1" applyBorder="1" applyAlignment="1">
      <alignment horizontal="justify" vertical="center" wrapText="1"/>
    </xf>
    <xf numFmtId="171" fontId="64" fillId="27" borderId="12" xfId="4" applyNumberFormat="1" applyFont="1" applyFill="1" applyBorder="1" applyAlignment="1">
      <alignment horizontal="right" vertical="center" wrapText="1"/>
    </xf>
    <xf numFmtId="171" fontId="64" fillId="27" borderId="66" xfId="4" applyNumberFormat="1" applyFont="1" applyFill="1" applyBorder="1" applyAlignment="1">
      <alignment horizontal="right" vertical="center" wrapText="1"/>
    </xf>
    <xf numFmtId="171" fontId="64" fillId="27" borderId="36" xfId="4" applyNumberFormat="1" applyFont="1" applyFill="1" applyBorder="1" applyAlignment="1">
      <alignment vertical="center" wrapText="1"/>
    </xf>
    <xf numFmtId="171" fontId="64" fillId="27" borderId="10" xfId="4" applyNumberFormat="1" applyFont="1" applyFill="1" applyBorder="1" applyAlignment="1">
      <alignment horizontal="right" vertical="center" wrapText="1"/>
    </xf>
    <xf numFmtId="171" fontId="64" fillId="28" borderId="10" xfId="4" applyNumberFormat="1" applyFont="1" applyFill="1" applyBorder="1" applyAlignment="1">
      <alignment horizontal="right" vertical="center" wrapText="1"/>
    </xf>
    <xf numFmtId="171" fontId="64" fillId="0" borderId="35" xfId="4" applyNumberFormat="1" applyFont="1" applyFill="1" applyBorder="1" applyAlignment="1">
      <alignment horizontal="right" vertical="center" wrapText="1"/>
    </xf>
    <xf numFmtId="0" fontId="59" fillId="0" borderId="10" xfId="56" applyFont="1" applyFill="1" applyBorder="1" applyAlignment="1">
      <alignment vertical="center" wrapText="1"/>
    </xf>
    <xf numFmtId="0" fontId="11" fillId="0" borderId="0" xfId="56" applyFont="1" applyFill="1" applyBorder="1" applyAlignment="1">
      <alignment vertical="center"/>
    </xf>
    <xf numFmtId="0" fontId="59" fillId="0" borderId="0" xfId="56" applyFont="1" applyFill="1" applyBorder="1" applyAlignment="1">
      <alignment horizontal="center" vertical="center" wrapText="1"/>
    </xf>
    <xf numFmtId="49" fontId="59" fillId="0" borderId="8" xfId="56" applyNumberFormat="1" applyFont="1" applyFill="1" applyBorder="1" applyAlignment="1">
      <alignment horizontal="center" vertical="center"/>
    </xf>
    <xf numFmtId="49" fontId="59" fillId="0" borderId="49" xfId="56" applyNumberFormat="1" applyFont="1" applyFill="1" applyBorder="1" applyAlignment="1">
      <alignment horizontal="center" vertical="center"/>
    </xf>
    <xf numFmtId="49" fontId="59" fillId="0" borderId="7" xfId="56" applyNumberFormat="1" applyFont="1" applyFill="1" applyBorder="1" applyAlignment="1">
      <alignment horizontal="center" vertical="center"/>
    </xf>
    <xf numFmtId="49" fontId="59" fillId="0" borderId="73" xfId="56" applyNumberFormat="1" applyFont="1" applyFill="1" applyBorder="1" applyAlignment="1">
      <alignment horizontal="center" vertical="center"/>
    </xf>
    <xf numFmtId="3" fontId="59" fillId="0" borderId="7" xfId="56" applyNumberFormat="1" applyFont="1" applyFill="1" applyBorder="1" applyAlignment="1">
      <alignment horizontal="center" vertical="center"/>
    </xf>
    <xf numFmtId="0" fontId="59" fillId="0" borderId="6" xfId="56" applyNumberFormat="1" applyFont="1" applyFill="1" applyBorder="1" applyAlignment="1">
      <alignment horizontal="center" vertical="center" wrapText="1"/>
    </xf>
    <xf numFmtId="0" fontId="59" fillId="0" borderId="4" xfId="56" applyNumberFormat="1" applyFont="1" applyFill="1" applyBorder="1" applyAlignment="1">
      <alignment horizontal="center" vertical="center"/>
    </xf>
    <xf numFmtId="0" fontId="59" fillId="0" borderId="5" xfId="56" applyNumberFormat="1" applyFont="1" applyFill="1" applyBorder="1" applyAlignment="1">
      <alignment horizontal="center" vertical="center"/>
    </xf>
    <xf numFmtId="3" fontId="11" fillId="0" borderId="0" xfId="56" applyNumberFormat="1" applyFont="1" applyFill="1" applyBorder="1" applyAlignment="1">
      <alignment vertical="center"/>
    </xf>
    <xf numFmtId="0" fontId="59" fillId="0" borderId="0" xfId="56" applyFont="1" applyFill="1" applyBorder="1" applyAlignment="1">
      <alignment horizontal="right"/>
    </xf>
    <xf numFmtId="3" fontId="55" fillId="0" borderId="0" xfId="56" applyNumberFormat="1" applyFont="1" applyFill="1" applyBorder="1" applyAlignment="1">
      <alignment vertical="center"/>
    </xf>
    <xf numFmtId="3" fontId="59" fillId="0" borderId="0" xfId="56" applyNumberFormat="1" applyFont="1" applyFill="1" applyBorder="1" applyAlignment="1">
      <alignment vertical="center" wrapText="1"/>
    </xf>
    <xf numFmtId="0" fontId="65" fillId="0" borderId="0" xfId="56" applyFont="1" applyFill="1" applyBorder="1" applyAlignment="1">
      <alignment vertical="center"/>
    </xf>
    <xf numFmtId="0" fontId="60" fillId="0" borderId="0" xfId="56" applyFont="1" applyFill="1" applyBorder="1" applyAlignment="1">
      <alignment vertical="center"/>
    </xf>
    <xf numFmtId="0" fontId="5" fillId="0" borderId="0" xfId="57"/>
    <xf numFmtId="0" fontId="5" fillId="0" borderId="0" xfId="57" applyAlignment="1">
      <alignment horizontal="center"/>
    </xf>
    <xf numFmtId="164" fontId="6" fillId="0" borderId="8" xfId="58" applyNumberFormat="1" applyFont="1" applyFill="1" applyBorder="1" applyAlignment="1">
      <alignment vertical="center"/>
    </xf>
    <xf numFmtId="3" fontId="6" fillId="0" borderId="49" xfId="58" applyNumberFormat="1" applyFont="1" applyFill="1" applyBorder="1" applyAlignment="1">
      <alignment vertical="center"/>
    </xf>
    <xf numFmtId="0" fontId="6" fillId="0" borderId="49" xfId="58" applyFont="1" applyFill="1" applyBorder="1" applyAlignment="1">
      <alignment horizontal="center" vertical="center" wrapText="1"/>
    </xf>
    <xf numFmtId="0" fontId="6" fillId="0" borderId="7" xfId="58" applyFont="1" applyFill="1" applyBorder="1" applyAlignment="1">
      <alignment vertical="center" wrapText="1"/>
    </xf>
    <xf numFmtId="164" fontId="6" fillId="0" borderId="6" xfId="58" applyNumberFormat="1" applyFont="1" applyFill="1" applyBorder="1" applyAlignment="1">
      <alignment vertical="center"/>
    </xf>
    <xf numFmtId="3" fontId="6" fillId="0" borderId="4" xfId="58" applyNumberFormat="1" applyFont="1" applyFill="1" applyBorder="1" applyAlignment="1">
      <alignment vertical="center"/>
    </xf>
    <xf numFmtId="0" fontId="6" fillId="0" borderId="4" xfId="58" applyFont="1" applyFill="1" applyBorder="1" applyAlignment="1">
      <alignment horizontal="center" vertical="center" wrapText="1"/>
    </xf>
    <xf numFmtId="0" fontId="6" fillId="0" borderId="5" xfId="58" applyFont="1" applyFill="1" applyBorder="1" applyAlignment="1">
      <alignment vertical="center" wrapText="1"/>
    </xf>
    <xf numFmtId="164" fontId="7" fillId="0" borderId="6" xfId="58" applyNumberFormat="1" applyFont="1" applyFill="1" applyBorder="1" applyAlignment="1">
      <alignment vertical="center"/>
    </xf>
    <xf numFmtId="3" fontId="7" fillId="0" borderId="4" xfId="58" applyNumberFormat="1" applyFont="1" applyFill="1" applyBorder="1" applyAlignment="1">
      <alignment vertical="center"/>
    </xf>
    <xf numFmtId="0" fontId="7" fillId="0" borderId="4" xfId="58" applyFont="1" applyFill="1" applyBorder="1" applyAlignment="1">
      <alignment horizontal="center" vertical="center" wrapText="1"/>
    </xf>
    <xf numFmtId="0" fontId="7" fillId="0" borderId="5" xfId="58" applyFont="1" applyFill="1" applyBorder="1" applyAlignment="1">
      <alignment vertical="center" wrapText="1"/>
    </xf>
    <xf numFmtId="0" fontId="5" fillId="0" borderId="0" xfId="57" applyFont="1"/>
    <xf numFmtId="0" fontId="7" fillId="0" borderId="5" xfId="58" applyFont="1" applyFill="1" applyBorder="1" applyAlignment="1">
      <alignment horizontal="left" vertical="center" wrapText="1"/>
    </xf>
    <xf numFmtId="164" fontId="66" fillId="0" borderId="6" xfId="58" applyNumberFormat="1" applyFont="1" applyFill="1" applyBorder="1" applyAlignment="1">
      <alignment vertical="center"/>
    </xf>
    <xf numFmtId="3" fontId="7" fillId="0" borderId="51" xfId="58" applyNumberFormat="1" applyFont="1" applyFill="1" applyBorder="1" applyAlignment="1">
      <alignment vertical="center"/>
    </xf>
    <xf numFmtId="0" fontId="7" fillId="0" borderId="51" xfId="58" applyFont="1" applyFill="1" applyBorder="1" applyAlignment="1">
      <alignment horizontal="center" vertical="center" wrapText="1"/>
    </xf>
    <xf numFmtId="0" fontId="7" fillId="0" borderId="65" xfId="58" applyFont="1" applyFill="1" applyBorder="1" applyAlignment="1">
      <alignment vertical="center" wrapText="1"/>
    </xf>
    <xf numFmtId="164" fontId="6" fillId="0" borderId="44" xfId="58" applyNumberFormat="1" applyFont="1" applyFill="1" applyBorder="1" applyAlignment="1">
      <alignment horizontal="center" vertical="center" wrapText="1"/>
    </xf>
    <xf numFmtId="3" fontId="6" fillId="0" borderId="59" xfId="58" applyNumberFormat="1" applyFont="1" applyFill="1" applyBorder="1" applyAlignment="1">
      <alignment horizontal="center" vertical="center" wrapText="1"/>
    </xf>
    <xf numFmtId="0" fontId="7" fillId="0" borderId="59" xfId="58" applyFont="1" applyFill="1" applyBorder="1" applyAlignment="1">
      <alignment horizontal="center" vertical="center" wrapText="1"/>
    </xf>
    <xf numFmtId="0" fontId="6" fillId="0" borderId="60" xfId="58" applyFont="1" applyFill="1" applyBorder="1" applyAlignment="1">
      <alignment horizontal="center" vertical="center" wrapText="1"/>
    </xf>
    <xf numFmtId="0" fontId="7" fillId="0" borderId="0" xfId="58" applyFont="1" applyFill="1" applyBorder="1" applyAlignment="1">
      <alignment horizontal="right" vertical="center" wrapText="1"/>
    </xf>
    <xf numFmtId="0" fontId="9" fillId="0" borderId="0" xfId="58" applyFill="1"/>
    <xf numFmtId="0" fontId="9" fillId="0" borderId="0" xfId="58" applyFill="1" applyAlignment="1">
      <alignment horizontal="center"/>
    </xf>
    <xf numFmtId="0" fontId="7" fillId="0" borderId="0" xfId="50" applyFont="1" applyFill="1" applyAlignment="1">
      <alignment wrapText="1"/>
    </xf>
    <xf numFmtId="3" fontId="7" fillId="0" borderId="0" xfId="50" applyNumberFormat="1" applyFont="1" applyFill="1"/>
    <xf numFmtId="0" fontId="7" fillId="0" borderId="0" xfId="50" applyFont="1" applyFill="1"/>
    <xf numFmtId="0" fontId="54" fillId="0" borderId="0" xfId="52" applyFont="1"/>
    <xf numFmtId="0" fontId="8" fillId="0" borderId="0" xfId="58" applyFont="1" applyFill="1" applyBorder="1" applyAlignment="1">
      <alignment horizontal="center" vertical="center" wrapText="1"/>
    </xf>
    <xf numFmtId="3" fontId="8" fillId="0" borderId="0" xfId="58" applyNumberFormat="1" applyFont="1" applyFill="1" applyBorder="1" applyAlignment="1">
      <alignment horizontal="center" vertical="center" wrapText="1"/>
    </xf>
    <xf numFmtId="0" fontId="7" fillId="0" borderId="0" xfId="58" applyFont="1" applyFill="1" applyBorder="1" applyAlignment="1">
      <alignment horizontal="left" vertical="center" wrapText="1"/>
    </xf>
    <xf numFmtId="3" fontId="7" fillId="0" borderId="0" xfId="58" applyNumberFormat="1" applyFont="1" applyFill="1" applyBorder="1" applyAlignment="1">
      <alignment horizontal="left" vertical="center" wrapText="1"/>
    </xf>
    <xf numFmtId="0" fontId="7" fillId="0" borderId="0" xfId="58" applyFont="1" applyFill="1" applyAlignment="1">
      <alignment wrapText="1"/>
    </xf>
    <xf numFmtId="3" fontId="7" fillId="0" borderId="0" xfId="58" applyNumberFormat="1" applyFont="1" applyFill="1"/>
    <xf numFmtId="0" fontId="6" fillId="0" borderId="59" xfId="58" applyFont="1" applyFill="1" applyBorder="1" applyAlignment="1">
      <alignment horizontal="center" vertical="center" wrapText="1"/>
    </xf>
    <xf numFmtId="0" fontId="54" fillId="0" borderId="5" xfId="59" applyFont="1" applyBorder="1" applyAlignment="1">
      <alignment horizontal="left" vertical="center" wrapText="1"/>
    </xf>
    <xf numFmtId="0" fontId="54" fillId="0" borderId="4" xfId="59" applyFont="1" applyBorder="1" applyAlignment="1">
      <alignment vertical="center" wrapText="1"/>
    </xf>
    <xf numFmtId="3" fontId="54" fillId="0" borderId="4" xfId="59" applyNumberFormat="1" applyFont="1" applyBorder="1" applyAlignment="1">
      <alignment vertical="center" wrapText="1"/>
    </xf>
    <xf numFmtId="170" fontId="54" fillId="0" borderId="6" xfId="59" applyNumberFormat="1" applyFont="1" applyBorder="1" applyAlignment="1">
      <alignment vertical="center" wrapText="1"/>
    </xf>
    <xf numFmtId="0" fontId="54" fillId="0" borderId="0" xfId="59" applyFont="1"/>
    <xf numFmtId="3" fontId="6" fillId="0" borderId="4" xfId="51" applyNumberFormat="1" applyFont="1" applyBorder="1" applyAlignment="1">
      <alignment horizontal="right" vertical="center" wrapText="1"/>
    </xf>
    <xf numFmtId="164" fontId="53" fillId="0" borderId="6" xfId="50" applyNumberFormat="1" applyFont="1" applyBorder="1" applyAlignment="1">
      <alignment vertical="center"/>
    </xf>
    <xf numFmtId="0" fontId="53" fillId="0" borderId="0" xfId="52" applyFont="1"/>
    <xf numFmtId="0" fontId="54" fillId="0" borderId="5" xfId="59" applyFont="1" applyBorder="1" applyAlignment="1">
      <alignment vertical="center" wrapText="1"/>
    </xf>
    <xf numFmtId="0" fontId="54" fillId="0" borderId="5" xfId="59" applyFont="1" applyFill="1" applyBorder="1" applyAlignment="1">
      <alignment vertical="center" wrapText="1"/>
    </xf>
    <xf numFmtId="0" fontId="54" fillId="0" borderId="4" xfId="59" applyFont="1" applyFill="1" applyBorder="1" applyAlignment="1">
      <alignment vertical="center" wrapText="1"/>
    </xf>
    <xf numFmtId="3" fontId="54" fillId="0" borderId="4" xfId="59" applyNumberFormat="1" applyFont="1" applyFill="1" applyBorder="1" applyAlignment="1">
      <alignment vertical="center" wrapText="1"/>
    </xf>
    <xf numFmtId="3" fontId="6" fillId="0" borderId="49" xfId="51" applyNumberFormat="1" applyFont="1" applyBorder="1" applyAlignment="1">
      <alignment horizontal="right" vertical="center" wrapText="1"/>
    </xf>
    <xf numFmtId="164" fontId="53" fillId="0" borderId="8" xfId="50" applyNumberFormat="1" applyFont="1" applyBorder="1" applyAlignment="1">
      <alignment vertical="center"/>
    </xf>
    <xf numFmtId="0" fontId="54" fillId="0" borderId="0" xfId="59" applyFont="1" applyAlignment="1">
      <alignment vertical="center" wrapText="1"/>
    </xf>
    <xf numFmtId="1" fontId="59" fillId="0" borderId="0" xfId="60" applyNumberFormat="1" applyFont="1" applyAlignment="1" applyProtection="1">
      <alignment horizontal="center" vertical="center"/>
      <protection locked="0"/>
    </xf>
    <xf numFmtId="0" fontId="13" fillId="0" borderId="0" xfId="60" applyFont="1" applyAlignment="1" applyProtection="1">
      <alignment vertical="center"/>
      <protection locked="0"/>
    </xf>
    <xf numFmtId="4" fontId="13" fillId="0" borderId="0" xfId="60" applyNumberFormat="1" applyFont="1" applyAlignment="1" applyProtection="1">
      <alignment vertical="center"/>
      <protection locked="0"/>
    </xf>
    <xf numFmtId="0" fontId="7" fillId="0" borderId="0" xfId="60" applyFont="1" applyAlignment="1" applyProtection="1">
      <alignment vertical="center"/>
      <protection locked="0"/>
    </xf>
    <xf numFmtId="0" fontId="59" fillId="0" borderId="0" xfId="60" applyFont="1" applyBorder="1" applyAlignment="1" applyProtection="1">
      <alignment horizontal="center" vertical="center" wrapText="1"/>
      <protection locked="0"/>
    </xf>
    <xf numFmtId="0" fontId="59" fillId="0" borderId="0" xfId="60" applyFont="1" applyBorder="1" applyAlignment="1" applyProtection="1">
      <alignment horizontal="right" vertical="center" wrapText="1"/>
      <protection locked="0"/>
    </xf>
    <xf numFmtId="1" fontId="59" fillId="0" borderId="39" xfId="60" applyNumberFormat="1" applyFont="1" applyFill="1" applyBorder="1" applyAlignment="1" applyProtection="1">
      <alignment horizontal="center" vertical="center"/>
      <protection locked="0"/>
    </xf>
    <xf numFmtId="1" fontId="59" fillId="0" borderId="39" xfId="60" applyNumberFormat="1" applyFont="1" applyFill="1" applyBorder="1" applyAlignment="1" applyProtection="1">
      <alignment horizontal="center" vertical="center" wrapText="1"/>
      <protection locked="0"/>
    </xf>
    <xf numFmtId="1" fontId="59" fillId="0" borderId="24" xfId="60" applyNumberFormat="1" applyFont="1" applyFill="1" applyBorder="1" applyAlignment="1" applyProtection="1">
      <alignment horizontal="center" vertical="center" wrapText="1"/>
      <protection locked="0"/>
    </xf>
    <xf numFmtId="0" fontId="59" fillId="29" borderId="49" xfId="60" applyNumberFormat="1" applyFont="1" applyFill="1" applyBorder="1" applyAlignment="1" applyProtection="1">
      <alignment horizontal="center" vertical="center"/>
      <protection locked="0"/>
    </xf>
    <xf numFmtId="0" fontId="6" fillId="29" borderId="70" xfId="60" applyFont="1" applyFill="1" applyBorder="1" applyAlignment="1" applyProtection="1">
      <alignment vertical="center" wrapText="1"/>
      <protection locked="0"/>
    </xf>
    <xf numFmtId="4" fontId="59" fillId="29" borderId="5" xfId="60" applyNumberFormat="1" applyFont="1" applyFill="1" applyBorder="1" applyAlignment="1" applyProtection="1">
      <alignment horizontal="left" vertical="center"/>
      <protection locked="0"/>
    </xf>
    <xf numFmtId="3" fontId="59" fillId="29" borderId="4" xfId="60" applyNumberFormat="1" applyFont="1" applyFill="1" applyBorder="1" applyAlignment="1" applyProtection="1">
      <alignment horizontal="right" vertical="center"/>
      <protection locked="0"/>
    </xf>
    <xf numFmtId="4" fontId="59" fillId="29" borderId="6" xfId="60" applyNumberFormat="1" applyFont="1" applyFill="1" applyBorder="1" applyAlignment="1" applyProtection="1">
      <alignment horizontal="center" vertical="center"/>
      <protection locked="0"/>
    </xf>
    <xf numFmtId="0" fontId="13" fillId="0" borderId="2" xfId="60" applyNumberFormat="1" applyFont="1" applyFill="1" applyBorder="1" applyAlignment="1" applyProtection="1">
      <alignment horizontal="center" vertical="center"/>
      <protection locked="0"/>
    </xf>
    <xf numFmtId="0" fontId="13" fillId="0" borderId="5" xfId="60" applyFont="1" applyFill="1" applyBorder="1" applyAlignment="1" applyProtection="1">
      <alignment horizontal="left" vertical="center" wrapText="1"/>
      <protection locked="0"/>
    </xf>
    <xf numFmtId="3" fontId="13" fillId="0" borderId="4" xfId="60" applyNumberFormat="1" applyFont="1" applyFill="1" applyBorder="1" applyAlignment="1" applyProtection="1">
      <alignment horizontal="right" vertical="center"/>
      <protection locked="0"/>
    </xf>
    <xf numFmtId="3" fontId="13" fillId="0" borderId="51" xfId="60" applyNumberFormat="1" applyFont="1" applyFill="1" applyBorder="1" applyAlignment="1" applyProtection="1">
      <alignment horizontal="right" vertical="center"/>
      <protection locked="0"/>
    </xf>
    <xf numFmtId="3" fontId="13" fillId="29" borderId="51" xfId="60" applyNumberFormat="1" applyFont="1" applyFill="1" applyBorder="1" applyAlignment="1" applyProtection="1">
      <alignment horizontal="right" vertical="center"/>
      <protection locked="0"/>
    </xf>
    <xf numFmtId="164" fontId="13" fillId="0" borderId="6" xfId="60" applyNumberFormat="1" applyFont="1" applyFill="1" applyBorder="1" applyAlignment="1" applyProtection="1">
      <alignment horizontal="center" vertical="center"/>
      <protection locked="0"/>
    </xf>
    <xf numFmtId="1" fontId="13" fillId="0" borderId="2" xfId="60" applyNumberFormat="1" applyFont="1" applyFill="1" applyBorder="1" applyAlignment="1" applyProtection="1">
      <alignment horizontal="center" vertical="center"/>
      <protection locked="0"/>
    </xf>
    <xf numFmtId="3" fontId="13" fillId="29" borderId="4" xfId="60" applyNumberFormat="1" applyFont="1" applyFill="1" applyBorder="1" applyAlignment="1" applyProtection="1">
      <alignment horizontal="right" vertical="center"/>
      <protection locked="0"/>
    </xf>
    <xf numFmtId="1" fontId="13" fillId="0" borderId="13" xfId="60" applyNumberFormat="1" applyFont="1" applyFill="1" applyBorder="1" applyAlignment="1" applyProtection="1">
      <alignment horizontal="center" vertical="center"/>
      <protection locked="0"/>
    </xf>
    <xf numFmtId="0" fontId="13" fillId="0" borderId="5" xfId="60" applyFont="1" applyBorder="1" applyAlignment="1" applyProtection="1">
      <alignment vertical="center" wrapText="1"/>
      <protection locked="0"/>
    </xf>
    <xf numFmtId="1" fontId="13" fillId="0" borderId="42" xfId="60" applyNumberFormat="1" applyFont="1" applyFill="1" applyBorder="1" applyAlignment="1" applyProtection="1">
      <alignment horizontal="center" vertical="center"/>
      <protection locked="0"/>
    </xf>
    <xf numFmtId="0" fontId="13" fillId="0" borderId="31" xfId="60" applyFont="1" applyBorder="1" applyAlignment="1" applyProtection="1">
      <alignment horizontal="left" vertical="center" wrapText="1"/>
      <protection locked="0"/>
    </xf>
    <xf numFmtId="3" fontId="13" fillId="0" borderId="4" xfId="60" applyNumberFormat="1" applyFont="1" applyFill="1" applyBorder="1" applyAlignment="1" applyProtection="1">
      <alignment vertical="center" wrapText="1"/>
      <protection locked="0"/>
    </xf>
    <xf numFmtId="0" fontId="6" fillId="0" borderId="0" xfId="60" applyFont="1" applyAlignment="1" applyProtection="1">
      <alignment vertical="center"/>
      <protection locked="0"/>
    </xf>
    <xf numFmtId="0" fontId="13" fillId="0" borderId="72" xfId="60" applyFont="1" applyFill="1" applyBorder="1" applyAlignment="1" applyProtection="1">
      <alignment vertical="center" wrapText="1"/>
      <protection locked="0"/>
    </xf>
    <xf numFmtId="0" fontId="13" fillId="0" borderId="47" xfId="60" applyFont="1" applyFill="1" applyBorder="1" applyAlignment="1" applyProtection="1">
      <alignment vertical="center" wrapText="1"/>
      <protection locked="0"/>
    </xf>
    <xf numFmtId="0" fontId="13" fillId="0" borderId="31" xfId="60" applyFont="1" applyBorder="1" applyAlignment="1" applyProtection="1">
      <alignment vertical="center" wrapText="1"/>
      <protection locked="0"/>
    </xf>
    <xf numFmtId="0" fontId="13" fillId="0" borderId="5" xfId="60" applyFont="1" applyFill="1" applyBorder="1" applyAlignment="1" applyProtection="1">
      <alignment vertical="center" wrapText="1"/>
      <protection locked="0"/>
    </xf>
    <xf numFmtId="0" fontId="13" fillId="0" borderId="42" xfId="60" applyNumberFormat="1" applyFont="1" applyFill="1" applyBorder="1" applyAlignment="1" applyProtection="1">
      <alignment horizontal="center" vertical="center"/>
      <protection locked="0"/>
    </xf>
    <xf numFmtId="3" fontId="13" fillId="0" borderId="82" xfId="60" applyNumberFormat="1" applyFont="1" applyFill="1" applyBorder="1" applyAlignment="1" applyProtection="1">
      <alignment horizontal="right" vertical="center"/>
      <protection locked="0"/>
    </xf>
    <xf numFmtId="0" fontId="13" fillId="0" borderId="13" xfId="60" applyNumberFormat="1" applyFont="1" applyFill="1" applyBorder="1" applyAlignment="1" applyProtection="1">
      <alignment horizontal="center" vertical="center"/>
      <protection locked="0"/>
    </xf>
    <xf numFmtId="0" fontId="13" fillId="0" borderId="31" xfId="60" applyFont="1" applyFill="1" applyBorder="1" applyAlignment="1" applyProtection="1">
      <alignment horizontal="left" vertical="center" wrapText="1"/>
      <protection locked="0"/>
    </xf>
    <xf numFmtId="0" fontId="13" fillId="0" borderId="5" xfId="61" applyFont="1" applyFill="1" applyBorder="1" applyAlignment="1" applyProtection="1">
      <alignment horizontal="left" vertical="center" wrapText="1"/>
      <protection locked="0"/>
    </xf>
    <xf numFmtId="0" fontId="13" fillId="0" borderId="13" xfId="60" applyNumberFormat="1" applyFont="1" applyFill="1" applyBorder="1" applyAlignment="1" applyProtection="1">
      <alignment horizontal="center" vertical="center" wrapText="1"/>
      <protection locked="0"/>
    </xf>
    <xf numFmtId="3" fontId="13" fillId="0" borderId="4" xfId="60" applyNumberFormat="1" applyFont="1" applyFill="1" applyBorder="1" applyAlignment="1" applyProtection="1">
      <alignment horizontal="right" vertical="center" wrapText="1"/>
      <protection locked="0"/>
    </xf>
    <xf numFmtId="3" fontId="13" fillId="29" borderId="4" xfId="60" applyNumberFormat="1" applyFont="1" applyFill="1" applyBorder="1" applyAlignment="1" applyProtection="1">
      <alignment horizontal="right" vertical="center" wrapText="1"/>
      <protection locked="0"/>
    </xf>
    <xf numFmtId="164" fontId="13" fillId="0" borderId="6" xfId="60" applyNumberFormat="1" applyFont="1" applyFill="1" applyBorder="1" applyAlignment="1" applyProtection="1">
      <alignment horizontal="center" vertical="center" wrapText="1"/>
      <protection locked="0"/>
    </xf>
    <xf numFmtId="0" fontId="7" fillId="0" borderId="0" xfId="60" applyFont="1" applyAlignment="1" applyProtection="1">
      <alignment vertical="center" wrapText="1"/>
      <protection locked="0"/>
    </xf>
    <xf numFmtId="4" fontId="13" fillId="0" borderId="6" xfId="60" applyNumberFormat="1" applyFont="1" applyFill="1" applyBorder="1" applyAlignment="1" applyProtection="1">
      <alignment horizontal="center" vertical="center"/>
      <protection locked="0"/>
    </xf>
    <xf numFmtId="164" fontId="13" fillId="0" borderId="40" xfId="60" applyNumberFormat="1" applyFont="1" applyFill="1" applyBorder="1" applyAlignment="1" applyProtection="1">
      <alignment horizontal="center" vertical="center"/>
      <protection locked="0"/>
    </xf>
    <xf numFmtId="0" fontId="13" fillId="0" borderId="0" xfId="60" applyNumberFormat="1" applyFont="1" applyFill="1" applyBorder="1" applyAlignment="1" applyProtection="1">
      <alignment horizontal="center" vertical="center"/>
      <protection locked="0"/>
    </xf>
    <xf numFmtId="4" fontId="59" fillId="29" borderId="5" xfId="60" applyNumberFormat="1" applyFont="1" applyFill="1" applyBorder="1" applyAlignment="1" applyProtection="1">
      <alignment horizontal="left" vertical="center" wrapText="1"/>
      <protection locked="0"/>
    </xf>
    <xf numFmtId="3" fontId="13" fillId="0" borderId="54" xfId="60" applyNumberFormat="1" applyFont="1" applyFill="1" applyBorder="1" applyAlignment="1" applyProtection="1">
      <alignment horizontal="right" vertical="center"/>
      <protection locked="0"/>
    </xf>
    <xf numFmtId="3" fontId="13" fillId="29" borderId="54" xfId="60" applyNumberFormat="1" applyFont="1" applyFill="1" applyBorder="1" applyAlignment="1" applyProtection="1">
      <alignment horizontal="right" vertical="center"/>
      <protection locked="0"/>
    </xf>
    <xf numFmtId="164" fontId="13" fillId="0" borderId="46" xfId="60" applyNumberFormat="1" applyFont="1" applyFill="1" applyBorder="1" applyAlignment="1" applyProtection="1">
      <alignment horizontal="center" vertical="center"/>
      <protection locked="0"/>
    </xf>
    <xf numFmtId="0" fontId="7" fillId="0" borderId="0" xfId="60" applyFont="1" applyFill="1" applyAlignment="1" applyProtection="1">
      <alignment vertical="center"/>
      <protection locked="0"/>
    </xf>
    <xf numFmtId="0" fontId="13" fillId="0" borderId="0" xfId="60" applyFont="1" applyFill="1" applyAlignment="1" applyProtection="1">
      <alignment vertical="center"/>
      <protection locked="0"/>
    </xf>
    <xf numFmtId="4" fontId="13" fillId="0" borderId="0" xfId="60" applyNumberFormat="1" applyFont="1" applyFill="1" applyAlignment="1" applyProtection="1">
      <alignment vertical="center"/>
      <protection locked="0"/>
    </xf>
    <xf numFmtId="4" fontId="59" fillId="0" borderId="0" xfId="60" applyNumberFormat="1" applyFont="1" applyFill="1" applyBorder="1" applyAlignment="1" applyProtection="1">
      <alignment horizontal="right" vertical="center"/>
      <protection locked="0"/>
    </xf>
    <xf numFmtId="4" fontId="13" fillId="0" borderId="0" xfId="60" applyNumberFormat="1" applyFont="1" applyBorder="1" applyAlignment="1" applyProtection="1">
      <alignment vertical="center" wrapText="1"/>
      <protection locked="0"/>
    </xf>
    <xf numFmtId="4" fontId="7" fillId="0" borderId="0" xfId="60" applyNumberFormat="1" applyFont="1" applyAlignment="1" applyProtection="1">
      <alignment vertical="center"/>
      <protection locked="0"/>
    </xf>
    <xf numFmtId="0" fontId="7" fillId="0" borderId="0" xfId="0" applyFont="1" applyFill="1" applyAlignment="1">
      <alignment horizontal="center"/>
    </xf>
    <xf numFmtId="0" fontId="7" fillId="0" borderId="0" xfId="0" applyFont="1" applyFill="1" applyAlignment="1">
      <alignment horizontal="center" vertical="center" wrapText="1"/>
    </xf>
    <xf numFmtId="0" fontId="6" fillId="0" borderId="0" xfId="0" applyFont="1" applyFill="1"/>
    <xf numFmtId="0" fontId="6" fillId="0" borderId="0" xfId="0" applyFont="1" applyFill="1" applyAlignment="1">
      <alignment horizontal="left" vertical="center"/>
    </xf>
    <xf numFmtId="4" fontId="6" fillId="0" borderId="0" xfId="0" applyNumberFormat="1" applyFont="1" applyFill="1"/>
    <xf numFmtId="4" fontId="7" fillId="0" borderId="0" xfId="62" applyNumberFormat="1" applyFont="1" applyAlignment="1">
      <alignment vertical="center"/>
    </xf>
    <xf numFmtId="0" fontId="6" fillId="24" borderId="0" xfId="62" applyFont="1" applyFill="1" applyAlignment="1">
      <alignment vertical="center"/>
    </xf>
    <xf numFmtId="0" fontId="7" fillId="0" borderId="0" xfId="0" applyFont="1" applyFill="1" applyBorder="1" applyAlignment="1">
      <alignment horizontal="center"/>
    </xf>
    <xf numFmtId="0" fontId="7" fillId="0" borderId="0" xfId="0" applyFont="1" applyFill="1" applyBorder="1" applyAlignment="1">
      <alignment horizontal="center" vertical="center"/>
    </xf>
    <xf numFmtId="0" fontId="7" fillId="0" borderId="0" xfId="0" applyFont="1" applyFill="1" applyBorder="1" applyAlignment="1">
      <alignment horizontal="left" wrapText="1"/>
    </xf>
    <xf numFmtId="0" fontId="7" fillId="0" borderId="0" xfId="0" applyFont="1" applyFill="1" applyBorder="1"/>
    <xf numFmtId="0" fontId="6" fillId="0" borderId="0" xfId="0" applyFont="1" applyFill="1" applyBorder="1"/>
    <xf numFmtId="0" fontId="7" fillId="0" borderId="0" xfId="0" applyFont="1" applyFill="1" applyAlignment="1">
      <alignment horizontal="center" vertical="center"/>
    </xf>
    <xf numFmtId="4" fontId="7" fillId="0" borderId="0" xfId="0" applyNumberFormat="1" applyFont="1" applyFill="1"/>
    <xf numFmtId="0" fontId="11" fillId="0" borderId="0" xfId="0" applyFont="1" applyFill="1"/>
    <xf numFmtId="0" fontId="7" fillId="0" borderId="0" xfId="62" applyFont="1" applyAlignment="1">
      <alignment horizontal="center" vertical="center"/>
    </xf>
    <xf numFmtId="0" fontId="7" fillId="0" borderId="0" xfId="62" applyFont="1" applyAlignment="1">
      <alignment vertical="center"/>
    </xf>
    <xf numFmtId="0" fontId="6" fillId="0" borderId="0" xfId="62" applyFont="1" applyAlignment="1">
      <alignment vertical="center"/>
    </xf>
    <xf numFmtId="0" fontId="59" fillId="0" borderId="0" xfId="62" applyFont="1" applyAlignment="1">
      <alignment horizontal="right" vertical="center"/>
    </xf>
    <xf numFmtId="0" fontId="6" fillId="0" borderId="57" xfId="62" applyFont="1" applyBorder="1" applyAlignment="1">
      <alignment vertical="center"/>
    </xf>
    <xf numFmtId="0" fontId="59" fillId="0" borderId="83" xfId="0" applyFont="1" applyFill="1" applyBorder="1" applyAlignment="1">
      <alignment horizontal="center" vertical="center" wrapText="1"/>
    </xf>
    <xf numFmtId="0" fontId="59" fillId="0" borderId="84" xfId="0" applyFont="1" applyFill="1" applyBorder="1" applyAlignment="1">
      <alignment horizontal="center" vertical="center" wrapText="1"/>
    </xf>
    <xf numFmtId="0" fontId="59" fillId="0" borderId="85" xfId="0" applyFont="1" applyFill="1" applyBorder="1" applyAlignment="1">
      <alignment horizontal="center" vertical="center" wrapText="1"/>
    </xf>
    <xf numFmtId="0" fontId="59" fillId="0" borderId="59" xfId="0" applyFont="1" applyFill="1" applyBorder="1" applyAlignment="1">
      <alignment horizontal="center" vertical="center" wrapText="1"/>
    </xf>
    <xf numFmtId="0" fontId="59" fillId="0" borderId="58" xfId="0" applyFont="1" applyFill="1" applyBorder="1" applyAlignment="1">
      <alignment horizontal="center" vertical="center" wrapText="1"/>
    </xf>
    <xf numFmtId="0" fontId="59" fillId="0" borderId="87" xfId="0" applyFont="1" applyFill="1" applyBorder="1" applyAlignment="1">
      <alignment horizontal="center" vertical="center"/>
    </xf>
    <xf numFmtId="4" fontId="13" fillId="0" borderId="87" xfId="0" applyNumberFormat="1" applyFont="1" applyFill="1" applyBorder="1" applyAlignment="1">
      <alignment horizontal="right" vertical="center"/>
    </xf>
    <xf numFmtId="4" fontId="13" fillId="0" borderId="88" xfId="0" applyNumberFormat="1" applyFont="1" applyFill="1" applyBorder="1" applyAlignment="1">
      <alignment horizontal="right" vertical="center"/>
    </xf>
    <xf numFmtId="4" fontId="13" fillId="0" borderId="89" xfId="0" applyNumberFormat="1" applyFont="1" applyFill="1" applyBorder="1" applyAlignment="1">
      <alignment horizontal="right" vertical="center"/>
    </xf>
    <xf numFmtId="4" fontId="13" fillId="0" borderId="90" xfId="0" applyNumberFormat="1" applyFont="1" applyFill="1" applyBorder="1" applyAlignment="1">
      <alignment horizontal="right" vertical="center"/>
    </xf>
    <xf numFmtId="0" fontId="59" fillId="0" borderId="91" xfId="0" applyFont="1" applyFill="1" applyBorder="1" applyAlignment="1">
      <alignment horizontal="center" vertical="center"/>
    </xf>
    <xf numFmtId="4" fontId="13" fillId="0" borderId="91" xfId="0" applyNumberFormat="1" applyFont="1" applyFill="1" applyBorder="1" applyAlignment="1">
      <alignment horizontal="right" vertical="center"/>
    </xf>
    <xf numFmtId="4" fontId="13" fillId="0" borderId="92" xfId="0" applyNumberFormat="1" applyFont="1" applyFill="1" applyBorder="1" applyAlignment="1">
      <alignment horizontal="right" vertical="center"/>
    </xf>
    <xf numFmtId="4" fontId="13" fillId="0" borderId="93" xfId="0" applyNumberFormat="1" applyFont="1" applyFill="1" applyBorder="1" applyAlignment="1">
      <alignment horizontal="right" vertical="center"/>
    </xf>
    <xf numFmtId="4" fontId="13" fillId="0" borderId="94" xfId="0" applyNumberFormat="1" applyFont="1" applyFill="1" applyBorder="1" applyAlignment="1">
      <alignment horizontal="right" vertical="center"/>
    </xf>
    <xf numFmtId="0" fontId="13" fillId="0" borderId="91" xfId="0" applyFont="1" applyFill="1" applyBorder="1" applyAlignment="1">
      <alignment horizontal="left" vertical="center" wrapText="1"/>
    </xf>
    <xf numFmtId="0" fontId="59" fillId="0" borderId="95" xfId="0" applyFont="1" applyFill="1" applyBorder="1" applyAlignment="1">
      <alignment horizontal="center" vertical="center"/>
    </xf>
    <xf numFmtId="4" fontId="13" fillId="0" borderId="95" xfId="0" applyNumberFormat="1" applyFont="1" applyFill="1" applyBorder="1" applyAlignment="1">
      <alignment horizontal="right" vertical="center"/>
    </xf>
    <xf numFmtId="4" fontId="13" fillId="0" borderId="96" xfId="0" applyNumberFormat="1" applyFont="1" applyFill="1" applyBorder="1" applyAlignment="1">
      <alignment horizontal="right" vertical="center"/>
    </xf>
    <xf numFmtId="4" fontId="13" fillId="0" borderId="97" xfId="0" applyNumberFormat="1" applyFont="1" applyFill="1" applyBorder="1" applyAlignment="1">
      <alignment horizontal="right" vertical="center"/>
    </xf>
    <xf numFmtId="4" fontId="13" fillId="0" borderId="98" xfId="0" applyNumberFormat="1" applyFont="1" applyFill="1" applyBorder="1" applyAlignment="1">
      <alignment horizontal="right" vertical="center"/>
    </xf>
    <xf numFmtId="4" fontId="13" fillId="0" borderId="100" xfId="0" applyNumberFormat="1" applyFont="1" applyFill="1" applyBorder="1" applyAlignment="1">
      <alignment horizontal="right" vertical="center"/>
    </xf>
    <xf numFmtId="4" fontId="13" fillId="0" borderId="51" xfId="0" applyNumberFormat="1" applyFont="1" applyFill="1" applyBorder="1" applyAlignment="1">
      <alignment vertical="center"/>
    </xf>
    <xf numFmtId="4" fontId="13" fillId="0" borderId="1" xfId="0" applyNumberFormat="1" applyFont="1" applyFill="1" applyBorder="1" applyAlignment="1">
      <alignment vertical="center"/>
    </xf>
    <xf numFmtId="4" fontId="13" fillId="0" borderId="50" xfId="0" applyNumberFormat="1" applyFont="1" applyFill="1" applyBorder="1" applyAlignment="1">
      <alignment vertical="center"/>
    </xf>
    <xf numFmtId="4" fontId="13" fillId="0" borderId="101" xfId="0" applyNumberFormat="1" applyFont="1" applyFill="1" applyBorder="1" applyAlignment="1">
      <alignment horizontal="right" vertical="center"/>
    </xf>
    <xf numFmtId="4" fontId="13" fillId="0" borderId="4" xfId="0" applyNumberFormat="1" applyFont="1" applyFill="1" applyBorder="1" applyAlignment="1">
      <alignment vertical="center"/>
    </xf>
    <xf numFmtId="4" fontId="13" fillId="0" borderId="13" xfId="0" applyNumberFormat="1" applyFont="1" applyFill="1" applyBorder="1" applyAlignment="1">
      <alignment vertical="center"/>
    </xf>
    <xf numFmtId="4" fontId="13" fillId="0" borderId="41" xfId="0" applyNumberFormat="1" applyFont="1" applyFill="1" applyBorder="1" applyAlignment="1">
      <alignment vertical="center"/>
    </xf>
    <xf numFmtId="0" fontId="13" fillId="0" borderId="102" xfId="0" applyFont="1" applyFill="1" applyBorder="1" applyAlignment="1">
      <alignment horizontal="left" vertical="center" wrapText="1"/>
    </xf>
    <xf numFmtId="4" fontId="13" fillId="0" borderId="104" xfId="0" applyNumberFormat="1" applyFont="1" applyFill="1" applyBorder="1" applyAlignment="1">
      <alignment horizontal="right" vertical="center"/>
    </xf>
    <xf numFmtId="4" fontId="13" fillId="0" borderId="103" xfId="0" applyNumberFormat="1" applyFont="1" applyFill="1" applyBorder="1" applyAlignment="1">
      <alignment horizontal="right" vertical="center"/>
    </xf>
    <xf numFmtId="4" fontId="13" fillId="0" borderId="4" xfId="0" applyNumberFormat="1" applyFont="1" applyFill="1" applyBorder="1" applyAlignment="1">
      <alignment horizontal="right" vertical="center"/>
    </xf>
    <xf numFmtId="4" fontId="13" fillId="0" borderId="13" xfId="0" applyNumberFormat="1" applyFont="1" applyFill="1" applyBorder="1" applyAlignment="1">
      <alignment horizontal="right" vertical="center"/>
    </xf>
    <xf numFmtId="4" fontId="13" fillId="0" borderId="41" xfId="0" applyNumberFormat="1" applyFont="1" applyFill="1" applyBorder="1" applyAlignment="1">
      <alignment horizontal="right" vertical="center"/>
    </xf>
    <xf numFmtId="49" fontId="59" fillId="0" borderId="4" xfId="0" applyNumberFormat="1" applyFont="1" applyFill="1" applyBorder="1" applyAlignment="1">
      <alignment horizontal="center" vertical="center" wrapText="1"/>
    </xf>
    <xf numFmtId="0" fontId="59" fillId="0" borderId="106" xfId="0" applyFont="1" applyFill="1" applyBorder="1" applyAlignment="1">
      <alignment horizontal="center" vertical="center"/>
    </xf>
    <xf numFmtId="4" fontId="13" fillId="0" borderId="106" xfId="0" applyNumberFormat="1" applyFont="1" applyFill="1" applyBorder="1" applyAlignment="1">
      <alignment horizontal="right" vertical="center"/>
    </xf>
    <xf numFmtId="4" fontId="13" fillId="0" borderId="107" xfId="0" applyNumberFormat="1" applyFont="1" applyFill="1" applyBorder="1" applyAlignment="1">
      <alignment horizontal="right" vertical="center"/>
    </xf>
    <xf numFmtId="4" fontId="13" fillId="0" borderId="52" xfId="0" applyNumberFormat="1" applyFont="1" applyFill="1" applyBorder="1" applyAlignment="1">
      <alignment horizontal="right" vertical="center"/>
    </xf>
    <xf numFmtId="4" fontId="13" fillId="0" borderId="6" xfId="0" applyNumberFormat="1" applyFont="1" applyFill="1" applyBorder="1" applyAlignment="1">
      <alignment horizontal="right" vertical="center"/>
    </xf>
    <xf numFmtId="0" fontId="59" fillId="0" borderId="4" xfId="0" applyFont="1" applyFill="1" applyBorder="1" applyAlignment="1">
      <alignment horizontal="center" vertical="center"/>
    </xf>
    <xf numFmtId="0" fontId="13" fillId="0" borderId="4" xfId="0" applyFont="1" applyFill="1" applyBorder="1" applyAlignment="1">
      <alignment horizontal="left" vertical="center" wrapText="1"/>
    </xf>
    <xf numFmtId="0" fontId="59" fillId="0" borderId="51" xfId="0" applyFont="1" applyFill="1" applyBorder="1" applyAlignment="1">
      <alignment horizontal="center" vertical="center"/>
    </xf>
    <xf numFmtId="0" fontId="13" fillId="0" borderId="51" xfId="0" applyFont="1" applyFill="1" applyBorder="1" applyAlignment="1">
      <alignment horizontal="left" vertical="center" wrapText="1"/>
    </xf>
    <xf numFmtId="4" fontId="13" fillId="0" borderId="51" xfId="0" applyNumberFormat="1" applyFont="1" applyFill="1" applyBorder="1" applyAlignment="1">
      <alignment horizontal="right" vertical="center"/>
    </xf>
    <xf numFmtId="4" fontId="13" fillId="0" borderId="1" xfId="0" applyNumberFormat="1" applyFont="1" applyFill="1" applyBorder="1" applyAlignment="1">
      <alignment horizontal="right" vertical="center"/>
    </xf>
    <xf numFmtId="4" fontId="13" fillId="0" borderId="50" xfId="0" applyNumberFormat="1" applyFont="1" applyFill="1" applyBorder="1" applyAlignment="1">
      <alignment horizontal="right" vertical="center"/>
    </xf>
    <xf numFmtId="0" fontId="13" fillId="0" borderId="87"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95" xfId="0" applyFont="1" applyFill="1" applyBorder="1" applyAlignment="1">
      <alignment vertical="center" wrapText="1"/>
    </xf>
    <xf numFmtId="0" fontId="59" fillId="0" borderId="92" xfId="0" applyFont="1" applyFill="1" applyBorder="1" applyAlignment="1">
      <alignment horizontal="center" vertical="center"/>
    </xf>
    <xf numFmtId="0" fontId="13" fillId="0" borderId="4" xfId="0" applyFont="1" applyFill="1" applyBorder="1" applyAlignment="1">
      <alignment vertical="center" wrapText="1"/>
    </xf>
    <xf numFmtId="0" fontId="59" fillId="0" borderId="96" xfId="0" applyFont="1" applyFill="1" applyBorder="1" applyAlignment="1">
      <alignment horizontal="center" vertical="center"/>
    </xf>
    <xf numFmtId="0" fontId="13" fillId="0" borderId="54" xfId="0" applyFont="1" applyFill="1" applyBorder="1" applyAlignment="1">
      <alignment vertical="center" wrapText="1"/>
    </xf>
    <xf numFmtId="0" fontId="13" fillId="0" borderId="95" xfId="0" applyFont="1" applyFill="1" applyBorder="1" applyAlignment="1">
      <alignment horizontal="left" vertical="center" wrapText="1"/>
    </xf>
    <xf numFmtId="4" fontId="13" fillId="0" borderId="54" xfId="0" applyNumberFormat="1" applyFont="1" applyFill="1" applyBorder="1" applyAlignment="1">
      <alignment vertical="center"/>
    </xf>
    <xf numFmtId="3" fontId="59" fillId="0" borderId="54" xfId="0" applyNumberFormat="1" applyFont="1" applyFill="1" applyBorder="1" applyAlignment="1">
      <alignment horizontal="center" vertical="center" wrapText="1"/>
    </xf>
    <xf numFmtId="0" fontId="13" fillId="0" borderId="54" xfId="0" applyFont="1" applyFill="1" applyBorder="1" applyAlignment="1">
      <alignment horizontal="left" vertical="center" wrapText="1"/>
    </xf>
    <xf numFmtId="4" fontId="13" fillId="0" borderId="54" xfId="0" applyNumberFormat="1" applyFont="1" applyFill="1" applyBorder="1" applyAlignment="1">
      <alignment horizontal="right" vertical="center"/>
    </xf>
    <xf numFmtId="4" fontId="13" fillId="0" borderId="9" xfId="0" applyNumberFormat="1" applyFont="1" applyFill="1" applyBorder="1" applyAlignment="1">
      <alignment horizontal="right" vertical="center"/>
    </xf>
    <xf numFmtId="4" fontId="13" fillId="0" borderId="53" xfId="0" applyNumberFormat="1" applyFont="1" applyFill="1" applyBorder="1" applyAlignment="1">
      <alignment horizontal="right" vertical="center"/>
    </xf>
    <xf numFmtId="0" fontId="59" fillId="0" borderId="88" xfId="0" applyFont="1" applyFill="1" applyBorder="1" applyAlignment="1">
      <alignment horizontal="center" vertical="center"/>
    </xf>
    <xf numFmtId="0" fontId="59" fillId="0" borderId="107" xfId="0" applyFont="1" applyFill="1" applyBorder="1" applyAlignment="1">
      <alignment horizontal="center" vertical="center"/>
    </xf>
    <xf numFmtId="4" fontId="13" fillId="0" borderId="52" xfId="0" applyNumberFormat="1" applyFont="1" applyFill="1" applyBorder="1" applyAlignment="1">
      <alignment horizontal="left" vertical="center" wrapText="1"/>
    </xf>
    <xf numFmtId="4" fontId="13" fillId="0" borderId="108" xfId="0" applyNumberFormat="1" applyFont="1" applyFill="1" applyBorder="1" applyAlignment="1">
      <alignment horizontal="right" vertical="center"/>
    </xf>
    <xf numFmtId="4" fontId="13" fillId="0" borderId="3" xfId="0" applyNumberFormat="1" applyFont="1" applyFill="1" applyBorder="1" applyAlignment="1">
      <alignment horizontal="right" vertical="center"/>
    </xf>
    <xf numFmtId="4" fontId="13" fillId="0" borderId="48" xfId="0" applyNumberFormat="1" applyFont="1" applyFill="1" applyBorder="1" applyAlignment="1">
      <alignment horizontal="right" vertical="center"/>
    </xf>
    <xf numFmtId="0" fontId="13" fillId="0" borderId="86" xfId="0" applyFont="1" applyFill="1" applyBorder="1" applyAlignment="1">
      <alignment horizontal="center" vertical="center" wrapText="1"/>
    </xf>
    <xf numFmtId="4" fontId="13" fillId="0" borderId="102" xfId="0" applyNumberFormat="1" applyFont="1" applyFill="1" applyBorder="1" applyAlignment="1">
      <alignment horizontal="right" vertical="center"/>
    </xf>
    <xf numFmtId="4" fontId="13" fillId="0" borderId="111" xfId="0" applyNumberFormat="1" applyFont="1" applyFill="1" applyBorder="1" applyAlignment="1">
      <alignment horizontal="right" vertical="center"/>
    </xf>
    <xf numFmtId="4" fontId="13" fillId="0" borderId="112" xfId="0" applyNumberFormat="1" applyFont="1" applyFill="1" applyBorder="1" applyAlignment="1">
      <alignment horizontal="right" vertical="center"/>
    </xf>
    <xf numFmtId="0" fontId="59" fillId="0" borderId="0" xfId="0" applyFont="1" applyFill="1" applyBorder="1" applyAlignment="1">
      <alignment horizontal="center" vertical="center"/>
    </xf>
    <xf numFmtId="4" fontId="13" fillId="0" borderId="0" xfId="0" applyNumberFormat="1" applyFont="1" applyFill="1" applyBorder="1" applyAlignment="1">
      <alignment horizontal="right" vertical="center"/>
    </xf>
    <xf numFmtId="0" fontId="13" fillId="0" borderId="52" xfId="0" applyFont="1" applyFill="1" applyBorder="1" applyAlignment="1">
      <alignment horizontal="left" vertical="center" wrapText="1"/>
    </xf>
    <xf numFmtId="0" fontId="13" fillId="0" borderId="106" xfId="0" applyFont="1" applyFill="1" applyBorder="1" applyAlignment="1">
      <alignment horizontal="left" vertical="center" wrapText="1"/>
    </xf>
    <xf numFmtId="4" fontId="13" fillId="26" borderId="4" xfId="62" applyNumberFormat="1" applyFont="1" applyFill="1" applyBorder="1" applyAlignment="1">
      <alignment horizontal="right" vertical="center"/>
    </xf>
    <xf numFmtId="0" fontId="59" fillId="26" borderId="84" xfId="0" applyFont="1" applyFill="1" applyBorder="1" applyAlignment="1">
      <alignment horizontal="center" vertical="center" wrapText="1"/>
    </xf>
    <xf numFmtId="4" fontId="13" fillId="26" borderId="87" xfId="0" applyNumberFormat="1" applyFont="1" applyFill="1" applyBorder="1" applyAlignment="1">
      <alignment horizontal="right" vertical="center"/>
    </xf>
    <xf numFmtId="4" fontId="13" fillId="26" borderId="91" xfId="0" applyNumberFormat="1" applyFont="1" applyFill="1" applyBorder="1" applyAlignment="1">
      <alignment horizontal="right" vertical="center"/>
    </xf>
    <xf numFmtId="4" fontId="13" fillId="26" borderId="95" xfId="0" applyNumberFormat="1" applyFont="1" applyFill="1" applyBorder="1" applyAlignment="1">
      <alignment horizontal="right" vertical="center"/>
    </xf>
    <xf numFmtId="4" fontId="59" fillId="26" borderId="84" xfId="0" applyNumberFormat="1" applyFont="1" applyFill="1" applyBorder="1" applyAlignment="1">
      <alignment horizontal="right" vertical="center"/>
    </xf>
    <xf numFmtId="4" fontId="13" fillId="26" borderId="103" xfId="0" applyNumberFormat="1" applyFont="1" applyFill="1" applyBorder="1" applyAlignment="1">
      <alignment horizontal="right" vertical="center"/>
    </xf>
    <xf numFmtId="4" fontId="13" fillId="26" borderId="4" xfId="0" applyNumberFormat="1" applyFont="1" applyFill="1" applyBorder="1" applyAlignment="1">
      <alignment horizontal="right" vertical="center"/>
    </xf>
    <xf numFmtId="4" fontId="13" fillId="26" borderId="51" xfId="0" applyNumberFormat="1" applyFont="1" applyFill="1" applyBorder="1" applyAlignment="1">
      <alignment vertical="center"/>
    </xf>
    <xf numFmtId="4" fontId="13" fillId="26" borderId="4" xfId="0" applyNumberFormat="1" applyFont="1" applyFill="1" applyBorder="1" applyAlignment="1">
      <alignment vertical="center"/>
    </xf>
    <xf numFmtId="4" fontId="13" fillId="26" borderId="54" xfId="0" applyNumberFormat="1" applyFont="1" applyFill="1" applyBorder="1" applyAlignment="1">
      <alignment vertical="center"/>
    </xf>
    <xf numFmtId="4" fontId="13" fillId="26" borderId="52" xfId="0" applyNumberFormat="1" applyFont="1" applyFill="1" applyBorder="1" applyAlignment="1">
      <alignment horizontal="right" vertical="center"/>
    </xf>
    <xf numFmtId="4" fontId="13" fillId="26" borderId="106" xfId="0" applyNumberFormat="1" applyFont="1" applyFill="1" applyBorder="1" applyAlignment="1">
      <alignment horizontal="right" vertical="center"/>
    </xf>
    <xf numFmtId="4" fontId="13" fillId="26" borderId="109" xfId="0" applyNumberFormat="1" applyFont="1" applyFill="1" applyBorder="1" applyAlignment="1">
      <alignment horizontal="right" vertical="center"/>
    </xf>
    <xf numFmtId="4" fontId="13" fillId="26" borderId="110" xfId="0" applyNumberFormat="1" applyFont="1" applyFill="1" applyBorder="1" applyAlignment="1">
      <alignment horizontal="right" vertical="center"/>
    </xf>
    <xf numFmtId="4" fontId="59" fillId="26" borderId="99" xfId="0" applyNumberFormat="1" applyFont="1" applyFill="1" applyBorder="1" applyAlignment="1">
      <alignment horizontal="right" vertical="center"/>
    </xf>
    <xf numFmtId="0" fontId="59" fillId="0" borderId="103" xfId="0" applyFont="1" applyFill="1" applyBorder="1" applyAlignment="1">
      <alignment horizontal="center" vertical="center"/>
    </xf>
    <xf numFmtId="4" fontId="59" fillId="26" borderId="114" xfId="0" applyNumberFormat="1" applyFont="1" applyFill="1" applyBorder="1" applyAlignment="1">
      <alignment horizontal="right" vertical="center"/>
    </xf>
    <xf numFmtId="0" fontId="7" fillId="0" borderId="0" xfId="0" applyFont="1" applyFill="1" applyAlignment="1">
      <alignment vertical="center"/>
    </xf>
    <xf numFmtId="0" fontId="13" fillId="0" borderId="103" xfId="0" applyFont="1" applyFill="1" applyBorder="1" applyAlignment="1">
      <alignment horizontal="left" vertical="center" wrapText="1"/>
    </xf>
    <xf numFmtId="0" fontId="59" fillId="26" borderId="31" xfId="0" applyFont="1" applyFill="1" applyBorder="1" applyAlignment="1">
      <alignment vertical="center"/>
    </xf>
    <xf numFmtId="0" fontId="59" fillId="26" borderId="42" xfId="0" applyFont="1" applyFill="1" applyBorder="1" applyAlignment="1">
      <alignment vertical="center"/>
    </xf>
    <xf numFmtId="0" fontId="59" fillId="26" borderId="82" xfId="0" applyFont="1" applyFill="1" applyBorder="1" applyAlignment="1">
      <alignment vertical="center"/>
    </xf>
    <xf numFmtId="4" fontId="59" fillId="26" borderId="115" xfId="0" applyNumberFormat="1" applyFont="1" applyFill="1" applyBorder="1" applyAlignment="1">
      <alignment horizontal="right" vertical="center"/>
    </xf>
    <xf numFmtId="0" fontId="6" fillId="0" borderId="0" xfId="0" applyFont="1" applyFill="1" applyAlignment="1">
      <alignment vertical="center"/>
    </xf>
    <xf numFmtId="0" fontId="13" fillId="0" borderId="88" xfId="0" applyFont="1" applyFill="1" applyBorder="1" applyAlignment="1">
      <alignment horizontal="left" vertical="center" wrapText="1"/>
    </xf>
    <xf numFmtId="0" fontId="13" fillId="0" borderId="92" xfId="0" applyFont="1" applyFill="1" applyBorder="1" applyAlignment="1">
      <alignment horizontal="left" vertical="center" wrapText="1"/>
    </xf>
    <xf numFmtId="0" fontId="71" fillId="0" borderId="0" xfId="0" applyFont="1" applyFill="1" applyAlignment="1">
      <alignment vertical="center"/>
    </xf>
    <xf numFmtId="4" fontId="6" fillId="0" borderId="0" xfId="0" applyNumberFormat="1" applyFont="1" applyFill="1" applyAlignment="1">
      <alignment vertical="center"/>
    </xf>
    <xf numFmtId="49" fontId="59" fillId="0" borderId="54" xfId="0" applyNumberFormat="1" applyFont="1" applyFill="1" applyBorder="1" applyAlignment="1">
      <alignment horizontal="center" vertical="center" wrapText="1"/>
    </xf>
    <xf numFmtId="4" fontId="13" fillId="26" borderId="88" xfId="0" applyNumberFormat="1" applyFont="1" applyFill="1" applyBorder="1" applyAlignment="1">
      <alignment horizontal="right" vertical="center"/>
    </xf>
    <xf numFmtId="0" fontId="59" fillId="26" borderId="116" xfId="0" applyFont="1" applyFill="1" applyBorder="1" applyAlignment="1">
      <alignment horizontal="left" vertical="center"/>
    </xf>
    <xf numFmtId="0" fontId="59" fillId="26" borderId="114" xfId="0" applyFont="1" applyFill="1" applyBorder="1" applyAlignment="1">
      <alignment horizontal="left" vertical="center" wrapText="1"/>
    </xf>
    <xf numFmtId="0" fontId="13" fillId="0" borderId="117" xfId="0" applyFont="1" applyFill="1" applyBorder="1" applyAlignment="1">
      <alignment horizontal="left" vertical="center" wrapText="1"/>
    </xf>
    <xf numFmtId="0" fontId="59" fillId="26" borderId="82" xfId="0" applyFont="1" applyFill="1" applyBorder="1" applyAlignment="1">
      <alignment horizontal="left" vertical="center"/>
    </xf>
    <xf numFmtId="0" fontId="59" fillId="26" borderId="4" xfId="0" applyFont="1" applyFill="1" applyBorder="1" applyAlignment="1">
      <alignment horizontal="left" vertical="center" wrapText="1"/>
    </xf>
    <xf numFmtId="4" fontId="59" fillId="26" borderId="116" xfId="0" applyNumberFormat="1" applyFont="1" applyFill="1" applyBorder="1" applyAlignment="1">
      <alignment horizontal="right" vertical="center"/>
    </xf>
    <xf numFmtId="4" fontId="59" fillId="26" borderId="42" xfId="0" applyNumberFormat="1" applyFont="1" applyFill="1" applyBorder="1" applyAlignment="1">
      <alignment horizontal="right" vertical="center"/>
    </xf>
    <xf numFmtId="4" fontId="59" fillId="26" borderId="4" xfId="0" applyNumberFormat="1" applyFont="1" applyFill="1" applyBorder="1" applyAlignment="1">
      <alignment horizontal="right" vertical="center"/>
    </xf>
    <xf numFmtId="0" fontId="59" fillId="0" borderId="118" xfId="0" applyFont="1" applyFill="1" applyBorder="1" applyAlignment="1">
      <alignment horizontal="center" vertical="center"/>
    </xf>
    <xf numFmtId="4" fontId="13" fillId="0" borderId="51" xfId="0" applyNumberFormat="1" applyFont="1" applyFill="1" applyBorder="1" applyAlignment="1">
      <alignment horizontal="left" vertical="center" wrapText="1"/>
    </xf>
    <xf numFmtId="4" fontId="13" fillId="26" borderId="51" xfId="0" applyNumberFormat="1" applyFont="1" applyFill="1" applyBorder="1" applyAlignment="1">
      <alignment horizontal="right" vertical="center"/>
    </xf>
    <xf numFmtId="4" fontId="13" fillId="0" borderId="119" xfId="0" applyNumberFormat="1" applyFont="1" applyFill="1" applyBorder="1" applyAlignment="1">
      <alignment horizontal="right" vertical="center"/>
    </xf>
    <xf numFmtId="4" fontId="13" fillId="0" borderId="120" xfId="0" applyNumberFormat="1" applyFont="1" applyFill="1" applyBorder="1" applyAlignment="1">
      <alignment horizontal="right" vertical="center"/>
    </xf>
    <xf numFmtId="4" fontId="59" fillId="26" borderId="121" xfId="0" applyNumberFormat="1" applyFont="1" applyFill="1" applyBorder="1" applyAlignment="1">
      <alignment horizontal="right" vertical="center"/>
    </xf>
    <xf numFmtId="0" fontId="59" fillId="26" borderId="31" xfId="0" applyFont="1" applyFill="1" applyBorder="1" applyAlignment="1">
      <alignment horizontal="left" vertical="center"/>
    </xf>
    <xf numFmtId="4" fontId="59" fillId="26" borderId="41" xfId="0" applyNumberFormat="1" applyFont="1" applyFill="1" applyBorder="1" applyAlignment="1">
      <alignment horizontal="right" vertical="center"/>
    </xf>
    <xf numFmtId="4" fontId="13" fillId="0" borderId="52" xfId="0" applyNumberFormat="1" applyFont="1" applyFill="1" applyBorder="1" applyAlignment="1">
      <alignment vertical="center"/>
    </xf>
    <xf numFmtId="4" fontId="13" fillId="0" borderId="0" xfId="0" applyNumberFormat="1" applyFont="1" applyFill="1" applyBorder="1" applyAlignment="1">
      <alignment vertical="center"/>
    </xf>
    <xf numFmtId="4" fontId="13" fillId="0" borderId="122" xfId="0" applyNumberFormat="1" applyFont="1" applyFill="1" applyBorder="1" applyAlignment="1">
      <alignment horizontal="right" vertical="center"/>
    </xf>
    <xf numFmtId="0" fontId="52" fillId="0" borderId="0" xfId="63" applyFont="1" applyAlignment="1">
      <alignment vertical="center"/>
    </xf>
    <xf numFmtId="172" fontId="52" fillId="0" borderId="0" xfId="63" applyNumberFormat="1" applyFont="1" applyAlignment="1">
      <alignment vertical="center"/>
    </xf>
    <xf numFmtId="0" fontId="52" fillId="0" borderId="0" xfId="63" applyFont="1" applyAlignment="1">
      <alignment vertical="center" wrapText="1"/>
    </xf>
    <xf numFmtId="4" fontId="7" fillId="0" borderId="0" xfId="63" applyNumberFormat="1" applyFont="1" applyAlignment="1">
      <alignment horizontal="right" vertical="center"/>
    </xf>
    <xf numFmtId="172" fontId="6" fillId="0" borderId="60" xfId="63" applyNumberFormat="1" applyFont="1" applyBorder="1" applyAlignment="1">
      <alignment horizontal="center" vertical="center"/>
    </xf>
    <xf numFmtId="0" fontId="6" fillId="0" borderId="59" xfId="63" applyFont="1" applyBorder="1" applyAlignment="1">
      <alignment horizontal="center" vertical="center" wrapText="1"/>
    </xf>
    <xf numFmtId="4" fontId="6" fillId="0" borderId="44" xfId="63" applyNumberFormat="1" applyFont="1" applyBorder="1" applyAlignment="1">
      <alignment horizontal="center" vertical="center" wrapText="1"/>
    </xf>
    <xf numFmtId="172" fontId="7" fillId="0" borderId="65" xfId="63" applyNumberFormat="1" applyFont="1" applyBorder="1" applyAlignment="1">
      <alignment horizontal="center" vertical="center"/>
    </xf>
    <xf numFmtId="0" fontId="7" fillId="0" borderId="51" xfId="63" applyFont="1" applyBorder="1" applyAlignment="1">
      <alignment vertical="center" wrapText="1"/>
    </xf>
    <xf numFmtId="4" fontId="7" fillId="0" borderId="6" xfId="0" applyNumberFormat="1" applyFont="1" applyFill="1" applyBorder="1" applyAlignment="1">
      <alignment vertical="center"/>
    </xf>
    <xf numFmtId="4" fontId="7" fillId="0" borderId="0" xfId="63" applyNumberFormat="1" applyFont="1" applyAlignment="1">
      <alignment vertical="center"/>
    </xf>
    <xf numFmtId="4" fontId="6" fillId="0" borderId="44" xfId="63" applyNumberFormat="1" applyFont="1" applyBorder="1" applyAlignment="1">
      <alignment vertical="center"/>
    </xf>
    <xf numFmtId="4" fontId="6" fillId="0" borderId="0" xfId="63" applyNumberFormat="1" applyFont="1" applyAlignment="1">
      <alignment vertical="center"/>
    </xf>
    <xf numFmtId="4" fontId="52" fillId="0" borderId="0" xfId="63" applyNumberFormat="1" applyFont="1" applyAlignment="1">
      <alignment vertical="center"/>
    </xf>
    <xf numFmtId="0" fontId="52" fillId="0" borderId="0" xfId="63" applyFont="1"/>
    <xf numFmtId="172" fontId="52" fillId="0" borderId="0" xfId="63" applyNumberFormat="1" applyFont="1"/>
    <xf numFmtId="4" fontId="7" fillId="0" borderId="0" xfId="63" applyNumberFormat="1" applyFont="1" applyAlignment="1">
      <alignment horizontal="right"/>
    </xf>
    <xf numFmtId="0" fontId="6" fillId="0" borderId="59" xfId="63" applyFont="1" applyBorder="1" applyAlignment="1">
      <alignment horizontal="center" vertical="center"/>
    </xf>
    <xf numFmtId="4" fontId="7" fillId="0" borderId="43" xfId="0" applyNumberFormat="1" applyFont="1" applyFill="1" applyBorder="1" applyAlignment="1">
      <alignment vertical="center"/>
    </xf>
    <xf numFmtId="172" fontId="7" fillId="0" borderId="5" xfId="63" applyNumberFormat="1" applyFont="1" applyBorder="1" applyAlignment="1">
      <alignment horizontal="center" vertical="center"/>
    </xf>
    <xf numFmtId="0" fontId="7" fillId="0" borderId="4" xfId="63" applyFont="1" applyBorder="1" applyAlignment="1">
      <alignment vertical="center" wrapText="1"/>
    </xf>
    <xf numFmtId="4" fontId="6" fillId="0" borderId="44" xfId="63" applyNumberFormat="1" applyFont="1" applyFill="1" applyBorder="1" applyAlignment="1">
      <alignment vertical="top"/>
    </xf>
    <xf numFmtId="4" fontId="52" fillId="0" borderId="0" xfId="63" applyNumberFormat="1" applyFont="1"/>
    <xf numFmtId="172" fontId="52" fillId="0" borderId="0" xfId="63" applyNumberFormat="1" applyFont="1" applyAlignment="1">
      <alignment horizontal="center" vertical="center"/>
    </xf>
    <xf numFmtId="0" fontId="7" fillId="0" borderId="0" xfId="63" applyFont="1" applyAlignment="1">
      <alignment horizontal="right" vertical="center"/>
    </xf>
    <xf numFmtId="0" fontId="7" fillId="0" borderId="0" xfId="63" applyFont="1" applyAlignment="1">
      <alignment vertical="center"/>
    </xf>
    <xf numFmtId="49" fontId="7" fillId="0" borderId="65" xfId="0" applyNumberFormat="1" applyFont="1" applyFill="1" applyBorder="1" applyAlignment="1" applyProtection="1">
      <alignment horizontal="center" vertical="center"/>
      <protection hidden="1"/>
    </xf>
    <xf numFmtId="0" fontId="7" fillId="0" borderId="1" xfId="0" applyFont="1" applyFill="1" applyBorder="1" applyAlignment="1">
      <alignment horizontal="left" vertical="center"/>
    </xf>
    <xf numFmtId="49" fontId="7" fillId="0" borderId="5" xfId="0" applyNumberFormat="1" applyFont="1" applyFill="1" applyBorder="1" applyAlignment="1" applyProtection="1">
      <alignment horizontal="center" vertical="center"/>
      <protection hidden="1"/>
    </xf>
    <xf numFmtId="0" fontId="7" fillId="0" borderId="13" xfId="0" applyFont="1" applyFill="1" applyBorder="1" applyAlignment="1">
      <alignment horizontal="left" vertical="center"/>
    </xf>
    <xf numFmtId="4" fontId="7" fillId="30" borderId="6" xfId="0" applyNumberFormat="1" applyFont="1" applyFill="1" applyBorder="1" applyAlignment="1">
      <alignment vertical="center"/>
    </xf>
    <xf numFmtId="0" fontId="7" fillId="0" borderId="13" xfId="0" applyFont="1" applyFill="1" applyBorder="1" applyAlignment="1">
      <alignment horizontal="left" vertical="center" wrapText="1"/>
    </xf>
    <xf numFmtId="4" fontId="7" fillId="30" borderId="6" xfId="0" applyNumberFormat="1" applyFont="1" applyFill="1" applyBorder="1" applyAlignment="1">
      <alignment horizontal="right" vertical="center"/>
    </xf>
    <xf numFmtId="49" fontId="7" fillId="0" borderId="72" xfId="0" applyNumberFormat="1" applyFont="1" applyFill="1" applyBorder="1" applyAlignment="1" applyProtection="1">
      <alignment horizontal="center" vertical="center"/>
      <protection hidden="1"/>
    </xf>
    <xf numFmtId="0" fontId="7" fillId="0" borderId="9" xfId="0" applyFont="1" applyFill="1" applyBorder="1" applyAlignment="1">
      <alignment horizontal="left" vertical="center"/>
    </xf>
    <xf numFmtId="0" fontId="33" fillId="0" borderId="0" xfId="63" applyFont="1" applyAlignment="1">
      <alignment vertical="center"/>
    </xf>
    <xf numFmtId="0" fontId="11" fillId="0" borderId="0" xfId="63" applyFont="1" applyAlignment="1">
      <alignment vertical="center"/>
    </xf>
    <xf numFmtId="172" fontId="33" fillId="0" borderId="0" xfId="63" applyNumberFormat="1" applyFont="1" applyAlignment="1">
      <alignment horizontal="center" vertical="center"/>
    </xf>
    <xf numFmtId="0" fontId="33" fillId="0" borderId="0" xfId="63" applyFont="1" applyAlignment="1">
      <alignment vertical="center" wrapText="1"/>
    </xf>
    <xf numFmtId="49" fontId="11" fillId="0" borderId="10" xfId="0" applyNumberFormat="1" applyFont="1" applyBorder="1" applyAlignment="1">
      <alignment horizontal="center" vertical="center" wrapText="1"/>
    </xf>
    <xf numFmtId="0" fontId="11" fillId="0" borderId="11" xfId="0" applyFont="1" applyBorder="1" applyAlignment="1">
      <alignment horizontal="left" vertical="center" wrapText="1"/>
    </xf>
    <xf numFmtId="4" fontId="11" fillId="0" borderId="12" xfId="0" applyNumberFormat="1" applyFont="1" applyFill="1" applyBorder="1" applyAlignment="1">
      <alignment vertical="center"/>
    </xf>
    <xf numFmtId="0" fontId="52" fillId="0" borderId="0" xfId="63" applyFont="1" applyAlignment="1" applyProtection="1">
      <alignment horizontal="left" vertical="center"/>
      <protection locked="0"/>
    </xf>
    <xf numFmtId="0" fontId="11" fillId="0" borderId="0" xfId="63" applyFont="1" applyAlignment="1" applyProtection="1">
      <alignment horizontal="left" vertical="center"/>
      <protection locked="0"/>
    </xf>
    <xf numFmtId="49" fontId="11" fillId="0" borderId="5" xfId="0" applyNumberFormat="1" applyFont="1" applyBorder="1" applyAlignment="1">
      <alignment horizontal="center" vertical="center" wrapText="1"/>
    </xf>
    <xf numFmtId="0" fontId="11" fillId="0" borderId="13" xfId="0" applyFont="1" applyBorder="1" applyAlignment="1">
      <alignment horizontal="left" vertical="center" wrapText="1"/>
    </xf>
    <xf numFmtId="4" fontId="11" fillId="0" borderId="6" xfId="0" applyNumberFormat="1" applyFont="1" applyFill="1" applyBorder="1" applyAlignment="1">
      <alignment vertical="center"/>
    </xf>
    <xf numFmtId="0" fontId="52" fillId="0" borderId="0" xfId="63" applyFont="1" applyAlignment="1" applyProtection="1">
      <alignment vertical="center"/>
      <protection locked="0"/>
    </xf>
    <xf numFmtId="0" fontId="11" fillId="0" borderId="0" xfId="63" applyFont="1" applyAlignment="1" applyProtection="1">
      <alignment vertical="center"/>
      <protection locked="0"/>
    </xf>
    <xf numFmtId="0" fontId="11" fillId="0" borderId="13" xfId="0" applyFont="1" applyBorder="1" applyAlignment="1">
      <alignment vertical="center" wrapText="1"/>
    </xf>
    <xf numFmtId="49" fontId="11" fillId="0" borderId="13" xfId="0" applyNumberFormat="1" applyFont="1" applyBorder="1" applyAlignment="1">
      <alignment vertical="center" wrapText="1"/>
    </xf>
    <xf numFmtId="49" fontId="11" fillId="0" borderId="5" xfId="0" applyNumberFormat="1" applyFont="1" applyFill="1" applyBorder="1" applyAlignment="1">
      <alignment horizontal="center" vertical="center" wrapText="1"/>
    </xf>
    <xf numFmtId="0" fontId="11" fillId="0" borderId="13" xfId="0" applyFont="1" applyFill="1" applyBorder="1" applyAlignment="1">
      <alignment horizontal="left" vertical="center" wrapText="1"/>
    </xf>
    <xf numFmtId="49" fontId="11" fillId="0" borderId="72" xfId="0" applyNumberFormat="1" applyFont="1" applyBorder="1" applyAlignment="1">
      <alignment horizontal="center" vertical="center" wrapText="1"/>
    </xf>
    <xf numFmtId="0" fontId="11" fillId="0" borderId="9" xfId="0" applyFont="1" applyBorder="1" applyAlignment="1">
      <alignment horizontal="left" vertical="center" wrapText="1"/>
    </xf>
    <xf numFmtId="0" fontId="11" fillId="0" borderId="13" xfId="0" applyFont="1" applyFill="1" applyBorder="1" applyAlignment="1">
      <alignment vertical="center" wrapText="1"/>
    </xf>
    <xf numFmtId="49" fontId="11" fillId="0" borderId="5" xfId="0" applyNumberFormat="1" applyFont="1" applyBorder="1" applyAlignment="1" applyProtection="1">
      <alignment horizontal="center" vertical="center" wrapText="1"/>
    </xf>
    <xf numFmtId="4" fontId="11" fillId="0" borderId="5" xfId="0" applyNumberFormat="1" applyFont="1" applyBorder="1" applyAlignment="1">
      <alignment horizontal="center" vertical="center" wrapText="1"/>
    </xf>
    <xf numFmtId="4" fontId="11" fillId="0" borderId="13" xfId="0" applyNumberFormat="1" applyFont="1" applyBorder="1" applyAlignment="1">
      <alignment horizontal="left" vertical="center" wrapText="1"/>
    </xf>
    <xf numFmtId="49" fontId="11" fillId="0" borderId="65" xfId="0" applyNumberFormat="1" applyFont="1" applyBorder="1" applyAlignment="1">
      <alignment horizontal="center" vertical="center" wrapText="1"/>
    </xf>
    <xf numFmtId="0" fontId="11" fillId="0" borderId="1" xfId="0" applyFont="1" applyBorder="1" applyAlignment="1">
      <alignment horizontal="left" vertical="center" wrapText="1"/>
    </xf>
    <xf numFmtId="4" fontId="6" fillId="0" borderId="44" xfId="63" applyNumberFormat="1" applyFont="1" applyFill="1" applyBorder="1" applyAlignment="1">
      <alignment vertical="center"/>
    </xf>
    <xf numFmtId="1" fontId="52" fillId="0" borderId="0" xfId="63" applyNumberFormat="1" applyFont="1" applyBorder="1" applyAlignment="1">
      <alignment horizontal="center" vertical="center"/>
    </xf>
    <xf numFmtId="0" fontId="7" fillId="0" borderId="0" xfId="63" applyFont="1" applyBorder="1" applyAlignment="1">
      <alignment vertical="center"/>
    </xf>
    <xf numFmtId="0" fontId="11" fillId="0" borderId="0" xfId="63" applyFont="1" applyBorder="1" applyAlignment="1">
      <alignment vertical="center"/>
    </xf>
    <xf numFmtId="173" fontId="72" fillId="0" borderId="0" xfId="1" applyNumberFormat="1" applyFont="1"/>
    <xf numFmtId="172" fontId="33" fillId="0" borderId="0" xfId="63" applyNumberFormat="1" applyFont="1" applyBorder="1" applyAlignment="1">
      <alignment horizontal="center" vertical="center"/>
    </xf>
    <xf numFmtId="0" fontId="33" fillId="0" borderId="0" xfId="63" applyFont="1" applyBorder="1" applyAlignment="1">
      <alignment vertical="center" wrapText="1"/>
    </xf>
    <xf numFmtId="4" fontId="33" fillId="0" borderId="0" xfId="63" applyNumberFormat="1" applyFont="1" applyBorder="1" applyAlignment="1">
      <alignment vertical="center"/>
    </xf>
    <xf numFmtId="4" fontId="33" fillId="0" borderId="0" xfId="63" applyNumberFormat="1" applyFont="1" applyAlignment="1">
      <alignment vertical="center"/>
    </xf>
    <xf numFmtId="172" fontId="52" fillId="0" borderId="0" xfId="63" applyNumberFormat="1" applyFont="1" applyAlignment="1">
      <alignment horizontal="center"/>
    </xf>
    <xf numFmtId="0" fontId="52" fillId="0" borderId="0" xfId="63" applyFont="1" applyAlignment="1">
      <alignment wrapText="1"/>
    </xf>
    <xf numFmtId="0" fontId="7" fillId="0" borderId="0" xfId="63" applyFont="1" applyAlignment="1">
      <alignment horizontal="right"/>
    </xf>
    <xf numFmtId="0" fontId="7" fillId="0" borderId="0" xfId="63" applyFont="1"/>
    <xf numFmtId="172" fontId="7" fillId="0" borderId="65" xfId="0" applyNumberFormat="1" applyFont="1" applyBorder="1" applyAlignment="1">
      <alignment horizontal="center" vertical="center"/>
    </xf>
    <xf numFmtId="0" fontId="7" fillId="0" borderId="51" xfId="0" applyFont="1" applyBorder="1" applyAlignment="1">
      <alignment vertical="center" wrapText="1"/>
    </xf>
    <xf numFmtId="4" fontId="7" fillId="30" borderId="43" xfId="0" applyNumberFormat="1" applyFont="1" applyFill="1" applyBorder="1" applyAlignment="1">
      <alignment vertical="center"/>
    </xf>
    <xf numFmtId="172" fontId="7" fillId="0" borderId="5" xfId="0" applyNumberFormat="1" applyFont="1" applyBorder="1" applyAlignment="1">
      <alignment horizontal="center" vertical="center"/>
    </xf>
    <xf numFmtId="0" fontId="7" fillId="0" borderId="4" xfId="0" applyFont="1" applyBorder="1" applyAlignment="1">
      <alignment vertical="center" wrapText="1"/>
    </xf>
    <xf numFmtId="0" fontId="52" fillId="0" borderId="0" xfId="0" applyFont="1"/>
    <xf numFmtId="4" fontId="7" fillId="30" borderId="0" xfId="0" applyNumberFormat="1" applyFont="1" applyFill="1" applyBorder="1" applyAlignment="1">
      <alignment vertical="center"/>
    </xf>
    <xf numFmtId="0" fontId="59" fillId="0" borderId="0" xfId="0" applyFont="1" applyAlignment="1">
      <alignment vertical="center"/>
    </xf>
    <xf numFmtId="0" fontId="59" fillId="0" borderId="0" xfId="0" applyFont="1" applyAlignment="1">
      <alignment horizontal="center" vertical="center"/>
    </xf>
    <xf numFmtId="49" fontId="59" fillId="31" borderId="4" xfId="0" applyNumberFormat="1" applyFont="1" applyFill="1" applyBorder="1" applyAlignment="1">
      <alignment horizontal="center" vertical="center"/>
    </xf>
    <xf numFmtId="0" fontId="7" fillId="0" borderId="0" xfId="0" applyFont="1" applyAlignment="1">
      <alignment vertical="center"/>
    </xf>
    <xf numFmtId="0" fontId="7" fillId="30" borderId="0" xfId="0" applyFont="1" applyFill="1" applyAlignment="1">
      <alignment vertical="center"/>
    </xf>
    <xf numFmtId="4" fontId="59" fillId="32" borderId="54" xfId="0" applyNumberFormat="1" applyFont="1" applyFill="1" applyBorder="1" applyAlignment="1">
      <alignment horizontal="center" vertical="center"/>
    </xf>
    <xf numFmtId="49" fontId="74" fillId="32" borderId="4" xfId="0" applyNumberFormat="1" applyFont="1" applyFill="1" applyBorder="1" applyAlignment="1">
      <alignment horizontal="left" vertical="center" wrapText="1"/>
    </xf>
    <xf numFmtId="49" fontId="74" fillId="32" borderId="13" xfId="0" applyNumberFormat="1" applyFont="1" applyFill="1" applyBorder="1" applyAlignment="1">
      <alignment horizontal="center" vertical="center" wrapText="1"/>
    </xf>
    <xf numFmtId="173" fontId="74" fillId="31" borderId="4" xfId="0" applyNumberFormat="1" applyFont="1" applyFill="1" applyBorder="1" applyAlignment="1">
      <alignment horizontal="right" vertical="center" wrapText="1"/>
    </xf>
    <xf numFmtId="49" fontId="75" fillId="0" borderId="52" xfId="0" applyNumberFormat="1" applyFont="1" applyFill="1" applyBorder="1" applyAlignment="1">
      <alignment horizontal="left" vertical="center" wrapText="1"/>
    </xf>
    <xf numFmtId="49" fontId="75" fillId="0" borderId="3" xfId="0" applyNumberFormat="1" applyFont="1" applyFill="1" applyBorder="1" applyAlignment="1">
      <alignment horizontal="center" vertical="center" wrapText="1"/>
    </xf>
    <xf numFmtId="173" fontId="75" fillId="30" borderId="54" xfId="0" applyNumberFormat="1" applyFont="1" applyFill="1" applyBorder="1" applyAlignment="1">
      <alignment horizontal="right" vertical="center" wrapText="1"/>
    </xf>
    <xf numFmtId="173" fontId="75" fillId="30" borderId="52" xfId="0" applyNumberFormat="1" applyFont="1" applyFill="1" applyBorder="1" applyAlignment="1">
      <alignment horizontal="right" vertical="center" wrapText="1"/>
    </xf>
    <xf numFmtId="174" fontId="75" fillId="30" borderId="52" xfId="0" applyNumberFormat="1" applyFont="1" applyFill="1" applyBorder="1" applyAlignment="1">
      <alignment horizontal="right" vertical="center" wrapText="1"/>
    </xf>
    <xf numFmtId="49" fontId="75" fillId="30" borderId="52" xfId="0" applyNumberFormat="1" applyFont="1" applyFill="1" applyBorder="1" applyAlignment="1">
      <alignment horizontal="left" vertical="center" wrapText="1"/>
    </xf>
    <xf numFmtId="49" fontId="75" fillId="0" borderId="52" xfId="0" applyNumberFormat="1" applyFont="1" applyFill="1" applyBorder="1" applyAlignment="1">
      <alignment horizontal="center" vertical="center" wrapText="1"/>
    </xf>
    <xf numFmtId="49" fontId="75" fillId="0" borderId="51" xfId="0" applyNumberFormat="1" applyFont="1" applyFill="1" applyBorder="1" applyAlignment="1">
      <alignment horizontal="left" vertical="center" wrapText="1"/>
    </xf>
    <xf numFmtId="49" fontId="75" fillId="0" borderId="51" xfId="0" applyNumberFormat="1" applyFont="1" applyFill="1" applyBorder="1" applyAlignment="1">
      <alignment horizontal="center" vertical="center" wrapText="1"/>
    </xf>
    <xf numFmtId="173" fontId="75" fillId="30" borderId="51" xfId="0" applyNumberFormat="1" applyFont="1" applyFill="1" applyBorder="1" applyAlignment="1">
      <alignment horizontal="right" vertical="center" wrapText="1"/>
    </xf>
    <xf numFmtId="0" fontId="76" fillId="0" borderId="0" xfId="0" applyFont="1" applyAlignment="1">
      <alignment vertical="center"/>
    </xf>
    <xf numFmtId="0" fontId="7" fillId="0" borderId="55" xfId="0" applyFont="1" applyBorder="1" applyAlignment="1">
      <alignment vertical="center"/>
    </xf>
    <xf numFmtId="174" fontId="75" fillId="30" borderId="55" xfId="0" applyNumberFormat="1" applyFont="1" applyFill="1" applyBorder="1" applyAlignment="1">
      <alignment horizontal="right" vertical="center" wrapText="1"/>
    </xf>
    <xf numFmtId="174" fontId="13" fillId="30" borderId="0" xfId="0" applyNumberFormat="1" applyFont="1" applyFill="1" applyBorder="1" applyAlignment="1">
      <alignment horizontal="right" vertical="center" wrapText="1"/>
    </xf>
    <xf numFmtId="0" fontId="7" fillId="0" borderId="0" xfId="0" applyFont="1" applyBorder="1" applyAlignment="1">
      <alignment vertical="center"/>
    </xf>
    <xf numFmtId="174" fontId="75" fillId="30" borderId="0" xfId="0" applyNumberFormat="1" applyFont="1" applyFill="1" applyBorder="1" applyAlignment="1">
      <alignment horizontal="right" vertical="center" wrapText="1"/>
    </xf>
    <xf numFmtId="0" fontId="77" fillId="0" borderId="2" xfId="0" applyFont="1" applyFill="1" applyBorder="1" applyAlignment="1">
      <alignment horizontal="center" vertical="center" wrapText="1"/>
    </xf>
    <xf numFmtId="0" fontId="78" fillId="0" borderId="0" xfId="0" applyFont="1" applyFill="1" applyBorder="1" applyAlignment="1">
      <alignment horizontal="center" vertical="center" wrapText="1"/>
    </xf>
    <xf numFmtId="0" fontId="77" fillId="0" borderId="26" xfId="0" applyFont="1" applyFill="1" applyBorder="1" applyAlignment="1">
      <alignment horizontal="center" vertical="center" wrapText="1"/>
    </xf>
    <xf numFmtId="1" fontId="74" fillId="31" borderId="4" xfId="0" applyNumberFormat="1" applyFont="1" applyFill="1" applyBorder="1" applyAlignment="1">
      <alignment horizontal="center" vertical="center" wrapText="1"/>
    </xf>
    <xf numFmtId="173" fontId="74" fillId="30" borderId="3" xfId="0" applyNumberFormat="1" applyFont="1" applyFill="1" applyBorder="1" applyAlignment="1">
      <alignment horizontal="right" vertical="center" wrapText="1"/>
    </xf>
    <xf numFmtId="173" fontId="59" fillId="30" borderId="0" xfId="0" applyNumberFormat="1" applyFont="1" applyFill="1" applyBorder="1" applyAlignment="1">
      <alignment horizontal="right" vertical="center" wrapText="1"/>
    </xf>
    <xf numFmtId="173" fontId="75" fillId="30" borderId="3" xfId="0" applyNumberFormat="1" applyFont="1" applyFill="1" applyBorder="1" applyAlignment="1">
      <alignment horizontal="right" vertical="center" wrapText="1"/>
    </xf>
    <xf numFmtId="173" fontId="13" fillId="30" borderId="0" xfId="0" applyNumberFormat="1" applyFont="1" applyFill="1" applyBorder="1" applyAlignment="1">
      <alignment horizontal="right" vertical="center" wrapText="1"/>
    </xf>
    <xf numFmtId="173" fontId="74" fillId="31" borderId="4" xfId="0" applyNumberFormat="1" applyFont="1" applyFill="1" applyBorder="1" applyAlignment="1">
      <alignment horizontal="center" vertical="center" wrapText="1"/>
    </xf>
    <xf numFmtId="174" fontId="74" fillId="31" borderId="4" xfId="0" applyNumberFormat="1" applyFont="1" applyFill="1" applyBorder="1" applyAlignment="1">
      <alignment horizontal="center" vertical="center" wrapText="1"/>
    </xf>
    <xf numFmtId="174" fontId="75" fillId="30" borderId="3" xfId="0" applyNumberFormat="1" applyFont="1" applyFill="1" applyBorder="1" applyAlignment="1">
      <alignment horizontal="right" vertical="center" wrapText="1"/>
    </xf>
    <xf numFmtId="49" fontId="75" fillId="0" borderId="1" xfId="0" applyNumberFormat="1" applyFont="1" applyFill="1" applyBorder="1" applyAlignment="1">
      <alignment horizontal="center" vertical="center" wrapText="1"/>
    </xf>
    <xf numFmtId="174" fontId="75" fillId="30" borderId="51" xfId="0" applyNumberFormat="1" applyFont="1" applyFill="1" applyBorder="1" applyAlignment="1">
      <alignment horizontal="right" vertical="center" wrapText="1"/>
    </xf>
    <xf numFmtId="4" fontId="7" fillId="30" borderId="0" xfId="0" applyNumberFormat="1" applyFont="1" applyFill="1" applyBorder="1" applyAlignment="1"/>
    <xf numFmtId="4" fontId="79" fillId="0" borderId="0" xfId="0" applyNumberFormat="1" applyFont="1" applyFill="1" applyBorder="1" applyAlignment="1">
      <alignment vertical="center"/>
    </xf>
    <xf numFmtId="4" fontId="7" fillId="0" borderId="0" xfId="0" applyNumberFormat="1" applyFont="1" applyFill="1" applyBorder="1" applyAlignment="1">
      <alignment vertical="center"/>
    </xf>
    <xf numFmtId="49" fontId="59" fillId="32" borderId="4" xfId="0" applyNumberFormat="1" applyFont="1" applyFill="1" applyBorder="1" applyAlignment="1">
      <alignment horizontal="center" vertical="center"/>
    </xf>
    <xf numFmtId="4" fontId="59" fillId="31" borderId="4" xfId="0" applyNumberFormat="1" applyFont="1" applyFill="1" applyBorder="1" applyAlignment="1">
      <alignment horizontal="center" vertical="center"/>
    </xf>
    <xf numFmtId="49" fontId="74" fillId="31" borderId="4" xfId="0" applyNumberFormat="1" applyFont="1" applyFill="1" applyBorder="1" applyAlignment="1">
      <alignment horizontal="left" vertical="center" wrapText="1"/>
    </xf>
    <xf numFmtId="49" fontId="74" fillId="31" borderId="4" xfId="0" applyNumberFormat="1" applyFont="1" applyFill="1" applyBorder="1" applyAlignment="1">
      <alignment horizontal="center" vertical="center" wrapText="1"/>
    </xf>
    <xf numFmtId="173" fontId="75" fillId="0" borderId="52" xfId="0" applyNumberFormat="1" applyFont="1" applyFill="1" applyBorder="1" applyAlignment="1">
      <alignment horizontal="right" vertical="center" wrapText="1"/>
    </xf>
    <xf numFmtId="174" fontId="75" fillId="0" borderId="52" xfId="0" applyNumberFormat="1" applyFont="1" applyFill="1" applyBorder="1" applyAlignment="1">
      <alignment horizontal="right" vertical="center" wrapText="1"/>
    </xf>
    <xf numFmtId="49" fontId="13" fillId="0" borderId="52" xfId="0" applyNumberFormat="1" applyFont="1" applyFill="1" applyBorder="1" applyAlignment="1">
      <alignment horizontal="left" vertical="center" wrapText="1"/>
    </xf>
    <xf numFmtId="49" fontId="59" fillId="31" borderId="4" xfId="0" applyNumberFormat="1" applyFont="1" applyFill="1" applyBorder="1" applyAlignment="1">
      <alignment horizontal="left" vertical="center" wrapText="1"/>
    </xf>
    <xf numFmtId="49" fontId="59" fillId="31" borderId="4" xfId="0" applyNumberFormat="1" applyFont="1" applyFill="1" applyBorder="1" applyAlignment="1">
      <alignment horizontal="center" vertical="center" wrapText="1"/>
    </xf>
    <xf numFmtId="174" fontId="74" fillId="31" borderId="4" xfId="0" applyNumberFormat="1" applyFont="1" applyFill="1" applyBorder="1" applyAlignment="1">
      <alignment horizontal="right" vertical="center" wrapText="1"/>
    </xf>
    <xf numFmtId="49" fontId="74" fillId="32" borderId="4" xfId="0" applyNumberFormat="1" applyFont="1" applyFill="1" applyBorder="1" applyAlignment="1">
      <alignment horizontal="center" vertical="center" wrapText="1"/>
    </xf>
    <xf numFmtId="173" fontId="74" fillId="32" borderId="4" xfId="0" applyNumberFormat="1" applyFont="1" applyFill="1" applyBorder="1" applyAlignment="1">
      <alignment horizontal="right" vertical="center" wrapText="1"/>
    </xf>
    <xf numFmtId="174" fontId="74" fillId="32" borderId="4" xfId="0" applyNumberFormat="1" applyFont="1" applyFill="1" applyBorder="1" applyAlignment="1">
      <alignment horizontal="right" vertical="center" wrapText="1"/>
    </xf>
    <xf numFmtId="49" fontId="75" fillId="30" borderId="52" xfId="0" applyNumberFormat="1" applyFont="1" applyFill="1" applyBorder="1" applyAlignment="1">
      <alignment horizontal="center" vertical="center" wrapText="1"/>
    </xf>
    <xf numFmtId="49" fontId="13" fillId="0" borderId="52" xfId="0" applyNumberFormat="1" applyFont="1" applyFill="1" applyBorder="1" applyAlignment="1">
      <alignment horizontal="center" vertical="center" wrapText="1"/>
    </xf>
    <xf numFmtId="173" fontId="75" fillId="0" borderId="51" xfId="0" applyNumberFormat="1" applyFont="1" applyFill="1" applyBorder="1" applyAlignment="1">
      <alignment horizontal="right" vertical="center" wrapText="1"/>
    </xf>
    <xf numFmtId="174" fontId="75" fillId="0" borderId="51" xfId="0" applyNumberFormat="1" applyFont="1" applyFill="1" applyBorder="1" applyAlignment="1">
      <alignment horizontal="right" vertical="center" wrapText="1"/>
    </xf>
    <xf numFmtId="0" fontId="73" fillId="0" borderId="2"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73" fillId="0" borderId="26" xfId="0" applyFont="1" applyFill="1" applyBorder="1" applyAlignment="1">
      <alignment horizontal="center" vertical="center" wrapText="1"/>
    </xf>
    <xf numFmtId="1" fontId="74" fillId="32" borderId="4" xfId="0" applyNumberFormat="1" applyFont="1" applyFill="1" applyBorder="1" applyAlignment="1">
      <alignment horizontal="center" vertical="center" wrapText="1"/>
    </xf>
    <xf numFmtId="173" fontId="74" fillId="31" borderId="54" xfId="0" applyNumberFormat="1" applyFont="1" applyFill="1" applyBorder="1" applyAlignment="1">
      <alignment horizontal="center" vertical="center" wrapText="1"/>
    </xf>
    <xf numFmtId="173" fontId="75" fillId="31" borderId="4" xfId="0" applyNumberFormat="1" applyFont="1" applyFill="1" applyBorder="1" applyAlignment="1">
      <alignment horizontal="right" vertical="center" wrapText="1"/>
    </xf>
    <xf numFmtId="0" fontId="7" fillId="30" borderId="0" xfId="0" applyFont="1" applyFill="1" applyAlignment="1">
      <alignment vertical="center" wrapText="1"/>
    </xf>
    <xf numFmtId="0" fontId="6" fillId="30" borderId="0" xfId="0" applyFont="1" applyFill="1" applyAlignment="1">
      <alignment vertical="center"/>
    </xf>
    <xf numFmtId="49" fontId="75" fillId="0" borderId="54" xfId="0" applyNumberFormat="1" applyFont="1" applyFill="1" applyBorder="1" applyAlignment="1">
      <alignment horizontal="left" vertical="center" wrapText="1"/>
    </xf>
    <xf numFmtId="49" fontId="75" fillId="0" borderId="54" xfId="0" applyNumberFormat="1" applyFont="1" applyFill="1" applyBorder="1" applyAlignment="1">
      <alignment horizontal="center" vertical="center" wrapText="1"/>
    </xf>
    <xf numFmtId="49" fontId="75" fillId="30" borderId="51" xfId="0" applyNumberFormat="1" applyFont="1" applyFill="1" applyBorder="1" applyAlignment="1">
      <alignment horizontal="left" vertical="center" wrapText="1"/>
    </xf>
    <xf numFmtId="49" fontId="75" fillId="30" borderId="51" xfId="0" applyNumberFormat="1" applyFont="1" applyFill="1" applyBorder="1" applyAlignment="1">
      <alignment horizontal="center" vertical="center" wrapText="1"/>
    </xf>
    <xf numFmtId="49" fontId="80" fillId="0" borderId="0" xfId="0" applyNumberFormat="1" applyFont="1" applyFill="1" applyBorder="1" applyAlignment="1">
      <alignment horizontal="left" vertical="center" wrapText="1"/>
    </xf>
    <xf numFmtId="173" fontId="80" fillId="30" borderId="0" xfId="0" applyNumberFormat="1" applyFont="1" applyFill="1" applyBorder="1" applyAlignment="1">
      <alignment horizontal="right" vertical="center" wrapText="1"/>
    </xf>
    <xf numFmtId="49" fontId="80" fillId="30" borderId="0" xfId="0" applyNumberFormat="1" applyFont="1" applyFill="1" applyBorder="1" applyAlignment="1">
      <alignment horizontal="right" vertical="center" wrapText="1"/>
    </xf>
    <xf numFmtId="0" fontId="7" fillId="0" borderId="0" xfId="0" applyFont="1" applyFill="1" applyBorder="1" applyAlignment="1">
      <alignment vertical="center"/>
    </xf>
    <xf numFmtId="0" fontId="7" fillId="0" borderId="0" xfId="0" applyFont="1" applyAlignment="1">
      <alignment horizontal="center" vertical="center"/>
    </xf>
    <xf numFmtId="0" fontId="7" fillId="0" borderId="0" xfId="0" applyFont="1" applyAlignment="1">
      <alignment vertical="top"/>
    </xf>
    <xf numFmtId="0" fontId="52" fillId="0" borderId="0" xfId="0" applyFont="1" applyBorder="1" applyAlignment="1">
      <alignment vertical="center"/>
    </xf>
    <xf numFmtId="0" fontId="52" fillId="0" borderId="0" xfId="0" applyFont="1" applyBorder="1"/>
    <xf numFmtId="49" fontId="81" fillId="0" borderId="2" xfId="0" applyNumberFormat="1" applyFont="1" applyFill="1" applyBorder="1" applyAlignment="1">
      <alignment horizontal="center" vertical="center" wrapText="1"/>
    </xf>
    <xf numFmtId="49" fontId="74" fillId="0" borderId="2" xfId="0" applyNumberFormat="1" applyFont="1" applyFill="1" applyBorder="1" applyAlignment="1">
      <alignment horizontal="center" vertical="center" wrapText="1"/>
    </xf>
    <xf numFmtId="49" fontId="81" fillId="0" borderId="26" xfId="0" applyNumberFormat="1" applyFont="1" applyFill="1" applyBorder="1" applyAlignment="1">
      <alignment horizontal="center" vertical="center" wrapText="1"/>
    </xf>
    <xf numFmtId="0" fontId="6" fillId="32" borderId="4" xfId="0" applyFont="1" applyFill="1" applyBorder="1" applyAlignment="1">
      <alignment horizontal="center" vertical="center"/>
    </xf>
    <xf numFmtId="0" fontId="7" fillId="30" borderId="0" xfId="0" applyFont="1" applyFill="1"/>
    <xf numFmtId="49" fontId="74" fillId="31" borderId="54" xfId="0" applyNumberFormat="1" applyFont="1" applyFill="1" applyBorder="1" applyAlignment="1">
      <alignment horizontal="center" vertical="center" wrapText="1"/>
    </xf>
    <xf numFmtId="49" fontId="59" fillId="31" borderId="54" xfId="0" applyNumberFormat="1" applyFont="1" applyFill="1" applyBorder="1" applyAlignment="1">
      <alignment horizontal="center" vertical="center" wrapText="1"/>
    </xf>
    <xf numFmtId="4" fontId="59" fillId="31" borderId="4" xfId="0" applyNumberFormat="1" applyFont="1" applyFill="1" applyBorder="1" applyAlignment="1">
      <alignment horizontal="right" vertical="center" wrapText="1"/>
    </xf>
    <xf numFmtId="0" fontId="7" fillId="0" borderId="0" xfId="0" applyFont="1" applyAlignment="1">
      <alignment horizontal="center"/>
    </xf>
    <xf numFmtId="0" fontId="13" fillId="0" borderId="0" xfId="0" applyFont="1" applyFill="1" applyAlignment="1">
      <alignment vertical="center"/>
    </xf>
    <xf numFmtId="0" fontId="8" fillId="0" borderId="0" xfId="0" applyFont="1" applyAlignment="1">
      <alignment vertical="center"/>
    </xf>
    <xf numFmtId="0" fontId="8" fillId="0" borderId="0" xfId="0" applyFont="1" applyBorder="1" applyAlignment="1">
      <alignment vertical="center"/>
    </xf>
    <xf numFmtId="0" fontId="7" fillId="0" borderId="0" xfId="0" applyFont="1" applyFill="1" applyAlignment="1">
      <alignment vertical="top"/>
    </xf>
    <xf numFmtId="0" fontId="70" fillId="0" borderId="5" xfId="60" applyFont="1" applyFill="1" applyBorder="1" applyAlignment="1" applyProtection="1">
      <alignment horizontal="left" vertical="center" wrapText="1"/>
      <protection locked="0"/>
    </xf>
    <xf numFmtId="3" fontId="70" fillId="0" borderId="4" xfId="60" applyNumberFormat="1" applyFont="1" applyFill="1" applyBorder="1" applyAlignment="1" applyProtection="1">
      <alignment horizontal="right" vertical="center"/>
      <protection locked="0"/>
    </xf>
    <xf numFmtId="3" fontId="70" fillId="29" borderId="4" xfId="60" applyNumberFormat="1" applyFont="1" applyFill="1" applyBorder="1" applyAlignment="1" applyProtection="1">
      <alignment horizontal="right" vertical="center"/>
      <protection locked="0"/>
    </xf>
    <xf numFmtId="164" fontId="70" fillId="0" borderId="6" xfId="60" applyNumberFormat="1" applyFont="1" applyFill="1" applyBorder="1" applyAlignment="1" applyProtection="1">
      <alignment horizontal="center" vertical="center"/>
      <protection locked="0"/>
    </xf>
    <xf numFmtId="0" fontId="57" fillId="0" borderId="0" xfId="60" applyFont="1" applyAlignment="1" applyProtection="1">
      <alignment vertical="center"/>
      <protection locked="0"/>
    </xf>
    <xf numFmtId="0" fontId="70" fillId="0" borderId="72" xfId="60" applyFont="1" applyFill="1" applyBorder="1" applyAlignment="1" applyProtection="1">
      <alignment vertical="center" wrapText="1"/>
      <protection locked="0"/>
    </xf>
    <xf numFmtId="0" fontId="70" fillId="0" borderId="0" xfId="60" applyFont="1" applyFill="1" applyAlignment="1" applyProtection="1">
      <alignment vertical="center"/>
      <protection locked="0"/>
    </xf>
    <xf numFmtId="1" fontId="70" fillId="0" borderId="13" xfId="60" applyNumberFormat="1" applyFont="1" applyFill="1" applyBorder="1" applyAlignment="1" applyProtection="1">
      <alignment horizontal="center" vertical="center"/>
      <protection locked="0"/>
    </xf>
    <xf numFmtId="1" fontId="70" fillId="0" borderId="42" xfId="60" applyNumberFormat="1" applyFont="1" applyFill="1" applyBorder="1" applyAlignment="1" applyProtection="1">
      <alignment horizontal="center" vertical="center"/>
      <protection locked="0"/>
    </xf>
    <xf numFmtId="0" fontId="70" fillId="0" borderId="13" xfId="60" applyNumberFormat="1" applyFont="1" applyFill="1" applyBorder="1" applyAlignment="1" applyProtection="1">
      <alignment horizontal="center" vertical="center"/>
      <protection locked="0"/>
    </xf>
    <xf numFmtId="0" fontId="84" fillId="0" borderId="0" xfId="64" applyFont="1"/>
    <xf numFmtId="0" fontId="13" fillId="0" borderId="0" xfId="65" applyFont="1" applyFill="1"/>
    <xf numFmtId="0" fontId="13" fillId="0" borderId="0" xfId="65" applyFont="1" applyFill="1" applyAlignment="1">
      <alignment vertical="center" wrapText="1"/>
    </xf>
    <xf numFmtId="4" fontId="13" fillId="0" borderId="0" xfId="65" applyNumberFormat="1" applyFont="1" applyFill="1" applyAlignment="1">
      <alignment vertical="center"/>
    </xf>
    <xf numFmtId="0" fontId="69" fillId="0" borderId="0" xfId="66" applyFont="1" applyFill="1" applyAlignment="1">
      <alignment horizontal="left"/>
    </xf>
    <xf numFmtId="0" fontId="69" fillId="0" borderId="0" xfId="66" applyFont="1" applyFill="1" applyAlignment="1"/>
    <xf numFmtId="0" fontId="59" fillId="0" borderId="0" xfId="65" applyFont="1" applyFill="1"/>
    <xf numFmtId="0" fontId="59" fillId="0" borderId="82" xfId="65" applyFont="1" applyFill="1" applyBorder="1" applyAlignment="1">
      <alignment vertical="center" wrapText="1"/>
    </xf>
    <xf numFmtId="4" fontId="59" fillId="0" borderId="4" xfId="65" applyNumberFormat="1" applyFont="1" applyFill="1" applyBorder="1" applyAlignment="1">
      <alignment vertical="center"/>
    </xf>
    <xf numFmtId="4" fontId="59" fillId="0" borderId="13" xfId="65" applyNumberFormat="1" applyFont="1" applyFill="1" applyBorder="1" applyAlignment="1">
      <alignment vertical="center"/>
    </xf>
    <xf numFmtId="0" fontId="59" fillId="0" borderId="13" xfId="65" applyFont="1" applyFill="1" applyBorder="1" applyAlignment="1">
      <alignment vertical="center"/>
    </xf>
    <xf numFmtId="0" fontId="13" fillId="0" borderId="25" xfId="65" applyFont="1" applyFill="1" applyBorder="1" applyAlignment="1">
      <alignment vertical="center" wrapText="1"/>
    </xf>
    <xf numFmtId="4" fontId="13" fillId="0" borderId="0" xfId="65" applyNumberFormat="1" applyFont="1" applyFill="1" applyBorder="1" applyAlignment="1">
      <alignment vertical="center"/>
    </xf>
    <xf numFmtId="0" fontId="13" fillId="0" borderId="13" xfId="65" applyFont="1" applyFill="1" applyBorder="1"/>
    <xf numFmtId="0" fontId="85" fillId="0" borderId="0" xfId="64" applyFont="1" applyAlignment="1">
      <alignment vertical="center"/>
    </xf>
    <xf numFmtId="0" fontId="59" fillId="0" borderId="82" xfId="64" applyFont="1" applyFill="1" applyBorder="1" applyAlignment="1">
      <alignment vertical="center" wrapText="1"/>
    </xf>
    <xf numFmtId="4" fontId="59" fillId="0" borderId="4" xfId="64" applyNumberFormat="1" applyFont="1" applyFill="1" applyBorder="1" applyAlignment="1">
      <alignment vertical="center"/>
    </xf>
    <xf numFmtId="0" fontId="59" fillId="0" borderId="13" xfId="65" applyFont="1" applyFill="1" applyBorder="1" applyAlignment="1">
      <alignment vertical="center" wrapText="1"/>
    </xf>
    <xf numFmtId="0" fontId="13" fillId="0" borderId="25" xfId="64" applyFont="1" applyFill="1" applyBorder="1" applyAlignment="1">
      <alignment vertical="center" wrapText="1"/>
    </xf>
    <xf numFmtId="4" fontId="13" fillId="0" borderId="52" xfId="64" applyNumberFormat="1" applyFont="1" applyFill="1" applyBorder="1"/>
    <xf numFmtId="0" fontId="13" fillId="0" borderId="23" xfId="64" applyFont="1" applyFill="1" applyBorder="1" applyAlignment="1">
      <alignment vertical="center" wrapText="1"/>
    </xf>
    <xf numFmtId="4" fontId="13" fillId="0" borderId="54" xfId="64" applyNumberFormat="1" applyFont="1" applyFill="1" applyBorder="1"/>
    <xf numFmtId="0" fontId="59" fillId="0" borderId="1" xfId="65" applyFont="1" applyFill="1" applyBorder="1" applyAlignment="1"/>
    <xf numFmtId="4" fontId="13" fillId="0" borderId="52" xfId="64" applyNumberFormat="1" applyFont="1" applyFill="1" applyBorder="1" applyAlignment="1">
      <alignment vertical="center"/>
    </xf>
    <xf numFmtId="0" fontId="13" fillId="0" borderId="26" xfId="64" applyFont="1" applyFill="1" applyBorder="1" applyAlignment="1">
      <alignment vertical="center" wrapText="1"/>
    </xf>
    <xf numFmtId="4" fontId="13" fillId="0" borderId="51" xfId="64" applyNumberFormat="1" applyFont="1" applyFill="1" applyBorder="1" applyAlignment="1">
      <alignment vertical="center"/>
    </xf>
    <xf numFmtId="4" fontId="13" fillId="0" borderId="54" xfId="64" applyNumberFormat="1" applyFont="1" applyFill="1" applyBorder="1" applyAlignment="1">
      <alignment vertical="center"/>
    </xf>
    <xf numFmtId="0" fontId="59" fillId="0" borderId="26" xfId="64" applyFont="1" applyFill="1" applyBorder="1" applyAlignment="1">
      <alignment vertical="center" wrapText="1"/>
    </xf>
    <xf numFmtId="4" fontId="59" fillId="0" borderId="51" xfId="64" applyNumberFormat="1" applyFont="1" applyFill="1" applyBorder="1" applyAlignment="1">
      <alignment vertical="center"/>
    </xf>
    <xf numFmtId="0" fontId="84" fillId="0" borderId="0" xfId="64" applyFont="1" applyAlignment="1">
      <alignment vertical="center"/>
    </xf>
    <xf numFmtId="0" fontId="59" fillId="0" borderId="13" xfId="65" applyFont="1" applyFill="1" applyBorder="1" applyAlignment="1"/>
    <xf numFmtId="0" fontId="13" fillId="0" borderId="82" xfId="64" applyFont="1" applyFill="1" applyBorder="1" applyAlignment="1">
      <alignment vertical="center" wrapText="1"/>
    </xf>
    <xf numFmtId="0" fontId="13" fillId="0" borderId="82" xfId="65" applyFont="1" applyFill="1" applyBorder="1" applyAlignment="1">
      <alignment wrapText="1"/>
    </xf>
    <xf numFmtId="4" fontId="13" fillId="0" borderId="42" xfId="65" applyNumberFormat="1" applyFont="1" applyFill="1" applyBorder="1"/>
    <xf numFmtId="0" fontId="84" fillId="0" borderId="0" xfId="64" applyFont="1" applyFill="1"/>
    <xf numFmtId="4" fontId="59" fillId="0" borderId="13" xfId="64" applyNumberFormat="1" applyFont="1" applyFill="1" applyBorder="1" applyAlignment="1">
      <alignment vertical="center"/>
    </xf>
    <xf numFmtId="4" fontId="13" fillId="0" borderId="42" xfId="65" applyNumberFormat="1" applyFont="1" applyFill="1" applyBorder="1" applyAlignment="1"/>
    <xf numFmtId="0" fontId="13" fillId="0" borderId="0" xfId="65" applyFont="1" applyFill="1" applyAlignment="1">
      <alignment vertical="center"/>
    </xf>
    <xf numFmtId="0" fontId="59" fillId="0" borderId="4" xfId="66" applyFont="1" applyFill="1" applyBorder="1" applyAlignment="1">
      <alignment horizontal="center" vertical="center" wrapText="1"/>
    </xf>
    <xf numFmtId="0" fontId="13" fillId="0" borderId="0" xfId="65" applyFont="1" applyFill="1" applyAlignment="1"/>
    <xf numFmtId="0" fontId="13" fillId="0" borderId="0" xfId="66" applyFont="1" applyFill="1" applyAlignment="1">
      <alignment horizontal="right" wrapText="1"/>
    </xf>
    <xf numFmtId="0" fontId="59" fillId="0" borderId="0" xfId="66" applyFont="1" applyFill="1" applyAlignment="1">
      <alignment horizontal="center" wrapText="1"/>
    </xf>
    <xf numFmtId="0" fontId="3" fillId="0" borderId="0" xfId="65"/>
    <xf numFmtId="0" fontId="34" fillId="0" borderId="0" xfId="65" applyFont="1" applyFill="1" applyAlignment="1">
      <alignment wrapText="1"/>
    </xf>
    <xf numFmtId="0" fontId="13" fillId="0" borderId="0" xfId="65" applyFont="1" applyFill="1" applyAlignment="1">
      <alignment horizontal="right" wrapText="1"/>
    </xf>
    <xf numFmtId="0" fontId="59" fillId="0" borderId="4" xfId="65" applyFont="1" applyFill="1" applyBorder="1" applyAlignment="1">
      <alignment horizontal="center" wrapText="1"/>
    </xf>
    <xf numFmtId="0" fontId="6" fillId="0" borderId="0" xfId="65" applyFont="1"/>
    <xf numFmtId="0" fontId="59" fillId="0" borderId="1" xfId="65" applyFont="1" applyFill="1" applyBorder="1" applyAlignment="1">
      <alignment wrapText="1"/>
    </xf>
    <xf numFmtId="0" fontId="59" fillId="0" borderId="2" xfId="65" applyFont="1" applyFill="1" applyBorder="1" applyAlignment="1">
      <alignment wrapText="1"/>
    </xf>
    <xf numFmtId="0" fontId="59" fillId="0" borderId="26" xfId="65" applyFont="1" applyFill="1" applyBorder="1" applyAlignment="1">
      <alignment wrapText="1"/>
    </xf>
    <xf numFmtId="0" fontId="86" fillId="0" borderId="23" xfId="64" applyFont="1" applyFill="1" applyBorder="1" applyAlignment="1">
      <alignment vertical="center" wrapText="1"/>
    </xf>
    <xf numFmtId="0" fontId="1" fillId="0" borderId="0" xfId="64" applyAlignment="1">
      <alignment vertical="center"/>
    </xf>
    <xf numFmtId="0" fontId="86" fillId="0" borderId="25" xfId="64" applyFont="1" applyFill="1" applyBorder="1" applyAlignment="1">
      <alignment vertical="center" wrapText="1"/>
    </xf>
    <xf numFmtId="0" fontId="86" fillId="0" borderId="26" xfId="64" applyFont="1" applyFill="1" applyBorder="1" applyAlignment="1">
      <alignment vertical="center" wrapText="1"/>
    </xf>
    <xf numFmtId="0" fontId="59" fillId="0" borderId="13" xfId="65" applyFont="1" applyBorder="1" applyAlignment="1">
      <alignment vertical="center"/>
    </xf>
    <xf numFmtId="0" fontId="86" fillId="0" borderId="82" xfId="64" applyFont="1" applyFill="1" applyBorder="1" applyAlignment="1">
      <alignment vertical="center" wrapText="1"/>
    </xf>
    <xf numFmtId="0" fontId="59" fillId="0" borderId="13" xfId="65" applyFont="1" applyBorder="1"/>
    <xf numFmtId="4" fontId="5" fillId="0" borderId="0" xfId="65" applyNumberFormat="1" applyFont="1" applyBorder="1" applyAlignment="1">
      <alignment vertical="center"/>
    </xf>
    <xf numFmtId="0" fontId="3" fillId="0" borderId="25" xfId="65" applyFill="1" applyBorder="1" applyAlignment="1">
      <alignment vertical="center" wrapText="1"/>
    </xf>
    <xf numFmtId="4" fontId="13" fillId="0" borderId="52" xfId="64" applyNumberFormat="1" applyFont="1" applyBorder="1" applyAlignment="1">
      <alignment vertical="center"/>
    </xf>
    <xf numFmtId="0" fontId="59" fillId="0" borderId="13" xfId="65" applyFont="1" applyBorder="1" applyAlignment="1">
      <alignment vertical="center" wrapText="1"/>
    </xf>
    <xf numFmtId="4" fontId="13" fillId="0" borderId="2" xfId="64" applyNumberFormat="1" applyFont="1" applyFill="1" applyBorder="1" applyAlignment="1">
      <alignment vertical="center"/>
    </xf>
    <xf numFmtId="0" fontId="1" fillId="0" borderId="26" xfId="64" applyFont="1" applyFill="1" applyBorder="1" applyAlignment="1">
      <alignment vertical="center" wrapText="1"/>
    </xf>
    <xf numFmtId="0" fontId="87" fillId="0" borderId="13" xfId="64" applyFont="1" applyFill="1" applyBorder="1" applyAlignment="1">
      <alignment vertical="center" wrapText="1"/>
    </xf>
    <xf numFmtId="4" fontId="13" fillId="0" borderId="0" xfId="65" applyNumberFormat="1" applyFont="1" applyBorder="1" applyAlignment="1">
      <alignment vertical="center"/>
    </xf>
    <xf numFmtId="0" fontId="59" fillId="0" borderId="13" xfId="64" applyFont="1" applyFill="1" applyBorder="1" applyAlignment="1">
      <alignment vertical="center" wrapText="1"/>
    </xf>
    <xf numFmtId="4" fontId="13" fillId="0" borderId="54" xfId="64" applyNumberFormat="1" applyFont="1" applyBorder="1" applyAlignment="1">
      <alignment vertical="center"/>
    </xf>
    <xf numFmtId="4" fontId="13" fillId="0" borderId="51" xfId="64" applyNumberFormat="1" applyFont="1" applyBorder="1" applyAlignment="1">
      <alignment vertical="center"/>
    </xf>
    <xf numFmtId="0" fontId="59" fillId="0" borderId="4" xfId="65" applyFont="1" applyBorder="1" applyAlignment="1">
      <alignment vertical="center"/>
    </xf>
    <xf numFmtId="0" fontId="3" fillId="0" borderId="25" xfId="65" applyBorder="1" applyAlignment="1">
      <alignment vertical="center" wrapText="1"/>
    </xf>
    <xf numFmtId="0" fontId="7" fillId="0" borderId="3" xfId="65" applyFont="1" applyFill="1" applyBorder="1"/>
    <xf numFmtId="0" fontId="6" fillId="0" borderId="4" xfId="65" applyFont="1" applyBorder="1" applyAlignment="1">
      <alignment vertical="center"/>
    </xf>
    <xf numFmtId="4" fontId="59" fillId="0" borderId="4" xfId="65" applyNumberFormat="1" applyFont="1" applyBorder="1" applyAlignment="1">
      <alignment vertical="center"/>
    </xf>
    <xf numFmtId="0" fontId="3" fillId="0" borderId="4" xfId="65" applyBorder="1" applyAlignment="1">
      <alignment vertical="center" wrapText="1"/>
    </xf>
    <xf numFmtId="4" fontId="5" fillId="0" borderId="0" xfId="65" applyNumberFormat="1" applyFont="1" applyAlignment="1">
      <alignment vertical="center"/>
    </xf>
    <xf numFmtId="0" fontId="3" fillId="0" borderId="0" xfId="65" applyAlignment="1">
      <alignment vertical="center" wrapText="1"/>
    </xf>
    <xf numFmtId="0" fontId="69" fillId="0" borderId="0" xfId="65" applyFont="1" applyFill="1" applyAlignment="1"/>
    <xf numFmtId="0" fontId="69" fillId="0" borderId="0" xfId="65" applyFont="1" applyFill="1" applyAlignment="1">
      <alignment horizontal="left"/>
    </xf>
    <xf numFmtId="0" fontId="1" fillId="0" borderId="0" xfId="64" applyAlignment="1">
      <alignment wrapText="1"/>
    </xf>
    <xf numFmtId="0" fontId="1" fillId="0" borderId="0" xfId="64"/>
    <xf numFmtId="0" fontId="13" fillId="0" borderId="0" xfId="66" applyFont="1" applyFill="1" applyAlignment="1">
      <alignment vertical="center"/>
    </xf>
    <xf numFmtId="0" fontId="13" fillId="0" borderId="0" xfId="66" applyFont="1" applyFill="1" applyBorder="1" applyAlignment="1">
      <alignment horizontal="left" vertical="center" wrapText="1"/>
    </xf>
    <xf numFmtId="0" fontId="13" fillId="0" borderId="0" xfId="66" applyFont="1" applyFill="1" applyAlignment="1">
      <alignment vertical="center" wrapText="1"/>
    </xf>
    <xf numFmtId="0" fontId="13" fillId="0" borderId="0" xfId="66" applyFont="1" applyFill="1" applyAlignment="1">
      <alignment horizontal="right" vertical="center" wrapText="1"/>
    </xf>
    <xf numFmtId="0" fontId="59" fillId="0" borderId="4" xfId="65" applyFont="1" applyFill="1" applyBorder="1" applyAlignment="1">
      <alignment horizontal="center" vertical="center" wrapText="1"/>
    </xf>
    <xf numFmtId="4" fontId="13" fillId="0" borderId="52" xfId="64" applyNumberFormat="1" applyFont="1" applyFill="1" applyBorder="1" applyAlignment="1">
      <alignment vertical="center" wrapText="1"/>
    </xf>
    <xf numFmtId="0" fontId="84" fillId="0" borderId="0" xfId="64" applyFont="1" applyFill="1" applyAlignment="1">
      <alignment vertical="center" wrapText="1"/>
    </xf>
    <xf numFmtId="4" fontId="13" fillId="0" borderId="54" xfId="64" applyNumberFormat="1" applyFont="1" applyFill="1" applyBorder="1" applyAlignment="1">
      <alignment vertical="center" wrapText="1"/>
    </xf>
    <xf numFmtId="4" fontId="13" fillId="0" borderId="51" xfId="64" applyNumberFormat="1" applyFont="1" applyFill="1" applyBorder="1" applyAlignment="1">
      <alignment vertical="center" wrapText="1"/>
    </xf>
    <xf numFmtId="0" fontId="59" fillId="0" borderId="4" xfId="65" applyFont="1" applyFill="1" applyBorder="1" applyAlignment="1">
      <alignment vertical="center"/>
    </xf>
    <xf numFmtId="4" fontId="59" fillId="0" borderId="4" xfId="64" applyNumberFormat="1" applyFont="1" applyFill="1" applyBorder="1" applyAlignment="1">
      <alignment vertical="center" wrapText="1"/>
    </xf>
    <xf numFmtId="0" fontId="85" fillId="0" borderId="0" xfId="64" applyFont="1" applyFill="1" applyAlignment="1">
      <alignment vertical="center" wrapText="1"/>
    </xf>
    <xf numFmtId="0" fontId="3" fillId="0" borderId="0" xfId="65" applyFill="1"/>
    <xf numFmtId="4" fontId="5" fillId="0" borderId="0" xfId="65" applyNumberFormat="1" applyFont="1" applyFill="1" applyAlignment="1">
      <alignment vertical="center"/>
    </xf>
    <xf numFmtId="0" fontId="3" fillId="0" borderId="0" xfId="65" applyFill="1" applyAlignment="1">
      <alignment vertical="center" wrapText="1"/>
    </xf>
    <xf numFmtId="4" fontId="59" fillId="0" borderId="0" xfId="2" applyNumberFormat="1" applyFont="1" applyFill="1" applyBorder="1" applyAlignment="1">
      <alignment vertical="center"/>
    </xf>
    <xf numFmtId="0" fontId="84" fillId="0" borderId="0" xfId="64" applyFont="1" applyFill="1" applyAlignment="1">
      <alignment wrapText="1"/>
    </xf>
    <xf numFmtId="0" fontId="7" fillId="0" borderId="0" xfId="65" applyFont="1"/>
    <xf numFmtId="0" fontId="13" fillId="0" borderId="0" xfId="65" applyFont="1" applyAlignment="1">
      <alignment wrapText="1"/>
    </xf>
    <xf numFmtId="4" fontId="13" fillId="0" borderId="0" xfId="65" applyNumberFormat="1" applyFont="1" applyAlignment="1"/>
    <xf numFmtId="0" fontId="13" fillId="0" borderId="0" xfId="65" applyFont="1"/>
    <xf numFmtId="0" fontId="13" fillId="0" borderId="0" xfId="65" applyFont="1" applyFill="1" applyAlignment="1">
      <alignment horizontal="right"/>
    </xf>
    <xf numFmtId="0" fontId="9" fillId="0" borderId="0" xfId="2" applyFill="1"/>
    <xf numFmtId="0" fontId="13" fillId="0" borderId="4" xfId="64" applyFont="1" applyFill="1" applyBorder="1" applyAlignment="1">
      <alignment vertical="center" wrapText="1"/>
    </xf>
    <xf numFmtId="4" fontId="13" fillId="0" borderId="4" xfId="64" applyNumberFormat="1" applyFont="1" applyFill="1" applyBorder="1" applyAlignment="1">
      <alignment vertical="center"/>
    </xf>
    <xf numFmtId="0" fontId="59" fillId="0" borderId="4" xfId="64" applyFont="1" applyFill="1" applyBorder="1" applyAlignment="1">
      <alignment vertical="center" wrapText="1"/>
    </xf>
    <xf numFmtId="0" fontId="83" fillId="0" borderId="0" xfId="64" applyFont="1" applyAlignment="1">
      <alignment vertical="center"/>
    </xf>
    <xf numFmtId="0" fontId="9" fillId="0" borderId="0" xfId="2"/>
    <xf numFmtId="0" fontId="3" fillId="0" borderId="0" xfId="65" applyFont="1"/>
    <xf numFmtId="0" fontId="7" fillId="0" borderId="0" xfId="66" applyFont="1" applyFill="1" applyAlignment="1">
      <alignment wrapText="1"/>
    </xf>
    <xf numFmtId="4" fontId="59" fillId="0" borderId="0" xfId="66" applyNumberFormat="1" applyFont="1" applyFill="1" applyBorder="1"/>
    <xf numFmtId="0" fontId="13" fillId="0" borderId="0" xfId="66" applyFont="1" applyFill="1"/>
    <xf numFmtId="175" fontId="13" fillId="0" borderId="0" xfId="65" applyNumberFormat="1" applyFont="1" applyFill="1" applyAlignment="1">
      <alignment horizontal="left"/>
    </xf>
    <xf numFmtId="0" fontId="13" fillId="0" borderId="0" xfId="1" applyFont="1"/>
    <xf numFmtId="0" fontId="13" fillId="0" borderId="0" xfId="1" applyFont="1" applyAlignment="1">
      <alignment vertical="center"/>
    </xf>
    <xf numFmtId="0" fontId="13" fillId="0" borderId="0" xfId="1" applyFont="1" applyAlignment="1">
      <alignment vertical="center" wrapText="1"/>
    </xf>
    <xf numFmtId="4" fontId="13" fillId="0" borderId="0" xfId="1" applyNumberFormat="1" applyFont="1" applyAlignment="1">
      <alignment vertical="center"/>
    </xf>
    <xf numFmtId="0" fontId="70" fillId="0" borderId="0" xfId="1" applyFont="1" applyAlignment="1">
      <alignment vertical="center"/>
    </xf>
    <xf numFmtId="0" fontId="13" fillId="0" borderId="0" xfId="1" applyFont="1" applyAlignment="1">
      <alignment horizontal="center" vertical="center"/>
    </xf>
    <xf numFmtId="0" fontId="13" fillId="0" borderId="0" xfId="1" applyFont="1" applyAlignment="1">
      <alignment horizontal="left" vertical="center"/>
    </xf>
    <xf numFmtId="0" fontId="59" fillId="0" borderId="0" xfId="1" applyFont="1" applyAlignment="1">
      <alignment vertical="center"/>
    </xf>
    <xf numFmtId="0" fontId="59" fillId="0" borderId="0" xfId="1" applyFont="1" applyAlignment="1">
      <alignment horizontal="right"/>
    </xf>
    <xf numFmtId="4" fontId="59" fillId="0" borderId="66" xfId="1" applyNumberFormat="1" applyFont="1" applyBorder="1" applyAlignment="1">
      <alignment horizontal="center" vertical="center" wrapText="1"/>
    </xf>
    <xf numFmtId="4" fontId="59" fillId="0" borderId="12" xfId="1" applyNumberFormat="1" applyFont="1" applyBorder="1" applyAlignment="1">
      <alignment horizontal="center" vertical="center" wrapText="1"/>
    </xf>
    <xf numFmtId="4" fontId="13" fillId="0" borderId="0" xfId="1" applyNumberFormat="1" applyFont="1" applyBorder="1" applyAlignment="1">
      <alignment horizontal="center" vertical="center" wrapText="1"/>
    </xf>
    <xf numFmtId="4" fontId="13" fillId="0" borderId="0" xfId="1" applyNumberFormat="1" applyFont="1" applyBorder="1" applyAlignment="1">
      <alignment horizontal="left" vertical="center" wrapText="1"/>
    </xf>
    <xf numFmtId="4" fontId="13" fillId="24" borderId="4" xfId="1" applyNumberFormat="1" applyFont="1" applyFill="1" applyBorder="1" applyAlignment="1">
      <alignment horizontal="right" vertical="center"/>
    </xf>
    <xf numFmtId="4" fontId="70" fillId="0" borderId="6" xfId="1" applyNumberFormat="1" applyFont="1" applyBorder="1" applyAlignment="1">
      <alignment horizontal="right" vertical="center"/>
    </xf>
    <xf numFmtId="4" fontId="13" fillId="0" borderId="0" xfId="1" applyNumberFormat="1" applyFont="1" applyBorder="1" applyAlignment="1">
      <alignment horizontal="center" vertical="center"/>
    </xf>
    <xf numFmtId="4" fontId="13" fillId="0" borderId="0" xfId="1" applyNumberFormat="1" applyFont="1" applyBorder="1" applyAlignment="1">
      <alignment horizontal="left" vertical="center"/>
    </xf>
    <xf numFmtId="4" fontId="13" fillId="0" borderId="4" xfId="1" applyNumberFormat="1" applyFont="1" applyBorder="1" applyAlignment="1">
      <alignment horizontal="right" vertical="center"/>
    </xf>
    <xf numFmtId="4" fontId="59" fillId="0" borderId="49" xfId="1" applyNumberFormat="1" applyFont="1" applyBorder="1" applyAlignment="1">
      <alignment vertical="center"/>
    </xf>
    <xf numFmtId="4" fontId="59" fillId="0" borderId="49" xfId="1" applyNumberFormat="1" applyFont="1" applyFill="1" applyBorder="1" applyAlignment="1">
      <alignment vertical="center"/>
    </xf>
    <xf numFmtId="4" fontId="88" fillId="0" borderId="8" xfId="1" applyNumberFormat="1" applyFont="1" applyBorder="1" applyAlignment="1">
      <alignment horizontal="right" vertical="center"/>
    </xf>
    <xf numFmtId="0" fontId="89" fillId="0" borderId="0" xfId="1" applyFont="1" applyAlignment="1">
      <alignment vertical="center"/>
    </xf>
    <xf numFmtId="0" fontId="89" fillId="0" borderId="0" xfId="1" applyFont="1" applyAlignment="1">
      <alignment vertical="center" wrapText="1"/>
    </xf>
    <xf numFmtId="4" fontId="89" fillId="0" borderId="0" xfId="1" applyNumberFormat="1" applyFont="1" applyAlignment="1">
      <alignment vertical="center"/>
    </xf>
    <xf numFmtId="0" fontId="90" fillId="0" borderId="0" xfId="1" applyFont="1" applyAlignment="1">
      <alignment vertical="center"/>
    </xf>
    <xf numFmtId="0" fontId="61" fillId="0" borderId="0" xfId="1" applyFont="1" applyAlignment="1">
      <alignment horizontal="center" vertical="center"/>
    </xf>
    <xf numFmtId="0" fontId="61" fillId="0" borderId="0" xfId="1" applyFont="1" applyAlignment="1">
      <alignment horizontal="left" vertical="center"/>
    </xf>
    <xf numFmtId="0" fontId="59" fillId="0" borderId="60" xfId="1" applyFont="1" applyBorder="1" applyAlignment="1">
      <alignment horizontal="center" vertical="center" wrapText="1"/>
    </xf>
    <xf numFmtId="0" fontId="59" fillId="0" borderId="59" xfId="1" applyFont="1" applyBorder="1" applyAlignment="1">
      <alignment horizontal="center" vertical="center" wrapText="1"/>
    </xf>
    <xf numFmtId="4" fontId="59" fillId="0" borderId="59" xfId="1" applyNumberFormat="1" applyFont="1" applyBorder="1" applyAlignment="1">
      <alignment horizontal="center" vertical="center" wrapText="1"/>
    </xf>
    <xf numFmtId="4" fontId="59" fillId="0" borderId="44" xfId="1" applyNumberFormat="1" applyFont="1" applyBorder="1" applyAlignment="1">
      <alignment horizontal="center" vertical="center" wrapText="1"/>
    </xf>
    <xf numFmtId="0" fontId="59" fillId="0" borderId="37" xfId="1" applyFont="1" applyBorder="1" applyAlignment="1"/>
    <xf numFmtId="0" fontId="13" fillId="0" borderId="62" xfId="1" applyFont="1" applyBorder="1" applyAlignment="1">
      <alignment vertical="center" wrapText="1"/>
    </xf>
    <xf numFmtId="4" fontId="13" fillId="0" borderId="62" xfId="1" applyNumberFormat="1" applyFont="1" applyBorder="1" applyAlignment="1">
      <alignment vertical="center"/>
    </xf>
    <xf numFmtId="0" fontId="13" fillId="0" borderId="62" xfId="1" applyFont="1" applyBorder="1" applyAlignment="1">
      <alignment vertical="center"/>
    </xf>
    <xf numFmtId="0" fontId="70" fillId="0" borderId="62" xfId="1" applyFont="1" applyBorder="1" applyAlignment="1">
      <alignment horizontal="right" vertical="center"/>
    </xf>
    <xf numFmtId="0" fontId="13" fillId="0" borderId="62" xfId="1" applyFont="1" applyBorder="1" applyAlignment="1">
      <alignment horizontal="center" vertical="center"/>
    </xf>
    <xf numFmtId="0" fontId="13" fillId="0" borderId="61" xfId="1" applyFont="1" applyBorder="1" applyAlignment="1">
      <alignment horizontal="left"/>
    </xf>
    <xf numFmtId="0" fontId="70" fillId="0" borderId="10" xfId="1" applyFont="1" applyFill="1" applyBorder="1" applyAlignment="1">
      <alignment horizontal="center" vertical="center" wrapText="1"/>
    </xf>
    <xf numFmtId="0" fontId="86" fillId="0" borderId="66" xfId="64" applyFont="1" applyBorder="1" applyAlignment="1">
      <alignment vertical="center" wrapText="1"/>
    </xf>
    <xf numFmtId="4" fontId="86" fillId="0" borderId="66" xfId="64" applyNumberFormat="1" applyFont="1" applyBorder="1" applyAlignment="1">
      <alignment vertical="center"/>
    </xf>
    <xf numFmtId="4" fontId="70" fillId="0" borderId="66" xfId="1" applyNumberFormat="1" applyFont="1" applyBorder="1" applyAlignment="1">
      <alignment horizontal="right" vertical="center"/>
    </xf>
    <xf numFmtId="4" fontId="13" fillId="0" borderId="66" xfId="1" applyNumberFormat="1" applyFont="1" applyBorder="1" applyAlignment="1">
      <alignment horizontal="center" vertical="center" wrapText="1"/>
    </xf>
    <xf numFmtId="0" fontId="13" fillId="0" borderId="12" xfId="1" applyFont="1" applyFill="1" applyBorder="1" applyAlignment="1">
      <alignment horizontal="justify" vertical="center" wrapText="1"/>
    </xf>
    <xf numFmtId="0" fontId="13" fillId="0" borderId="0" xfId="1" applyFont="1" applyFill="1" applyAlignment="1">
      <alignment vertical="center" wrapText="1"/>
    </xf>
    <xf numFmtId="0" fontId="70" fillId="0" borderId="5" xfId="1" applyFont="1" applyFill="1" applyBorder="1" applyAlignment="1">
      <alignment horizontal="center" vertical="center" wrapText="1"/>
    </xf>
    <xf numFmtId="0" fontId="86" fillId="0" borderId="4" xfId="64" applyFont="1" applyBorder="1" applyAlignment="1">
      <alignment vertical="center" wrapText="1"/>
    </xf>
    <xf numFmtId="4" fontId="86" fillId="0" borderId="4" xfId="64" applyNumberFormat="1" applyFont="1" applyBorder="1" applyAlignment="1">
      <alignment vertical="center"/>
    </xf>
    <xf numFmtId="4" fontId="70" fillId="0" borderId="4" xfId="1" applyNumberFormat="1" applyFont="1" applyBorder="1" applyAlignment="1">
      <alignment horizontal="right" vertical="center"/>
    </xf>
    <xf numFmtId="4" fontId="13" fillId="0" borderId="51" xfId="1" applyNumberFormat="1" applyFont="1" applyBorder="1" applyAlignment="1">
      <alignment horizontal="center" vertical="center" wrapText="1"/>
    </xf>
    <xf numFmtId="0" fontId="13" fillId="0" borderId="6" xfId="1" applyFont="1" applyFill="1" applyBorder="1" applyAlignment="1">
      <alignment horizontal="justify" vertical="center" wrapText="1"/>
    </xf>
    <xf numFmtId="4" fontId="13" fillId="0" borderId="26" xfId="1" applyNumberFormat="1" applyFont="1" applyBorder="1" applyAlignment="1">
      <alignment horizontal="center" vertical="center" wrapText="1"/>
    </xf>
    <xf numFmtId="4" fontId="13" fillId="0" borderId="26" xfId="1" applyNumberFormat="1" applyFont="1" applyFill="1" applyBorder="1" applyAlignment="1">
      <alignment horizontal="center" vertical="center" wrapText="1"/>
    </xf>
    <xf numFmtId="0" fontId="61" fillId="0" borderId="0" xfId="1" applyFont="1" applyFill="1" applyAlignment="1">
      <alignment vertical="center" wrapText="1"/>
    </xf>
    <xf numFmtId="4" fontId="13" fillId="0" borderId="82" xfId="1" applyNumberFormat="1" applyFont="1" applyFill="1" applyBorder="1" applyAlignment="1">
      <alignment horizontal="center" vertical="center" wrapText="1"/>
    </xf>
    <xf numFmtId="0" fontId="86" fillId="0" borderId="48" xfId="64" applyFont="1" applyBorder="1" applyAlignment="1">
      <alignment horizontal="justify" vertical="center"/>
    </xf>
    <xf numFmtId="0" fontId="86" fillId="0" borderId="4" xfId="64" applyFont="1" applyFill="1" applyBorder="1" applyAlignment="1">
      <alignment vertical="center" wrapText="1"/>
    </xf>
    <xf numFmtId="0" fontId="86" fillId="0" borderId="54" xfId="64" applyFont="1" applyFill="1" applyBorder="1" applyAlignment="1">
      <alignment vertical="center" wrapText="1"/>
    </xf>
    <xf numFmtId="4" fontId="86" fillId="0" borderId="54" xfId="64" applyNumberFormat="1" applyFont="1" applyBorder="1" applyAlignment="1">
      <alignment vertical="center"/>
    </xf>
    <xf numFmtId="4" fontId="70" fillId="0" borderId="54" xfId="1" applyNumberFormat="1" applyFont="1" applyBorder="1" applyAlignment="1">
      <alignment horizontal="right" vertical="center"/>
    </xf>
    <xf numFmtId="4" fontId="13" fillId="0" borderId="23" xfId="1" applyNumberFormat="1" applyFont="1" applyFill="1" applyBorder="1" applyAlignment="1">
      <alignment horizontal="center" vertical="center" wrapText="1"/>
    </xf>
    <xf numFmtId="0" fontId="13" fillId="0" borderId="46" xfId="1" applyFont="1" applyFill="1" applyBorder="1" applyAlignment="1">
      <alignment horizontal="justify" vertical="center" wrapText="1"/>
    </xf>
    <xf numFmtId="0" fontId="86" fillId="0" borderId="13" xfId="1" applyFont="1" applyFill="1" applyBorder="1" applyAlignment="1">
      <alignment vertical="center" wrapText="1"/>
    </xf>
    <xf numFmtId="4" fontId="13" fillId="0" borderId="4" xfId="1" applyNumberFormat="1" applyFont="1" applyFill="1" applyBorder="1" applyAlignment="1">
      <alignment vertical="center" wrapText="1"/>
    </xf>
    <xf numFmtId="4" fontId="59" fillId="0" borderId="49" xfId="1" applyNumberFormat="1" applyFont="1" applyBorder="1" applyAlignment="1">
      <alignment horizontal="right" vertical="center" wrapText="1"/>
    </xf>
    <xf numFmtId="4" fontId="59" fillId="0" borderId="49" xfId="1" applyNumberFormat="1" applyFont="1" applyFill="1" applyBorder="1" applyAlignment="1">
      <alignment horizontal="right" vertical="center" wrapText="1"/>
    </xf>
    <xf numFmtId="4" fontId="88" fillId="0" borderId="24" xfId="1" applyNumberFormat="1" applyFont="1" applyBorder="1" applyAlignment="1">
      <alignment horizontal="right" vertical="center" wrapText="1"/>
    </xf>
    <xf numFmtId="4" fontId="13" fillId="0" borderId="49" xfId="1" applyNumberFormat="1" applyFont="1" applyBorder="1" applyAlignment="1">
      <alignment horizontal="center" vertical="center" wrapText="1"/>
    </xf>
    <xf numFmtId="0" fontId="13" fillId="0" borderId="8" xfId="1" applyFont="1" applyFill="1" applyBorder="1" applyAlignment="1">
      <alignment horizontal="justify" vertical="center" wrapText="1"/>
    </xf>
    <xf numFmtId="0" fontId="59" fillId="0" borderId="0" xfId="1" applyFont="1" applyAlignment="1">
      <alignment vertical="center" wrapText="1"/>
    </xf>
    <xf numFmtId="0" fontId="59" fillId="0" borderId="32" xfId="1" applyFont="1" applyBorder="1" applyAlignment="1"/>
    <xf numFmtId="0" fontId="59" fillId="0" borderId="0" xfId="1" applyFont="1" applyBorder="1" applyAlignment="1">
      <alignment vertical="center" wrapText="1"/>
    </xf>
    <xf numFmtId="4" fontId="59" fillId="0" borderId="0" xfId="1" applyNumberFormat="1" applyFont="1" applyBorder="1" applyAlignment="1">
      <alignment vertical="center"/>
    </xf>
    <xf numFmtId="0" fontId="59" fillId="0" borderId="0" xfId="1" applyFont="1" applyBorder="1" applyAlignment="1">
      <alignment vertical="center"/>
    </xf>
    <xf numFmtId="0" fontId="70" fillId="0" borderId="0" xfId="1" applyFont="1" applyBorder="1" applyAlignment="1">
      <alignment horizontal="right" vertical="center"/>
    </xf>
    <xf numFmtId="0" fontId="13" fillId="0" borderId="0" xfId="1" applyFont="1" applyBorder="1" applyAlignment="1">
      <alignment horizontal="center" vertical="center"/>
    </xf>
    <xf numFmtId="0" fontId="13" fillId="0" borderId="40" xfId="1" applyFont="1" applyFill="1" applyBorder="1" applyAlignment="1">
      <alignment horizontal="justify" vertical="center" wrapText="1"/>
    </xf>
    <xf numFmtId="4" fontId="13" fillId="0" borderId="123" xfId="1" applyNumberFormat="1" applyFont="1" applyBorder="1" applyAlignment="1">
      <alignment horizontal="center" vertical="center" wrapText="1"/>
    </xf>
    <xf numFmtId="4" fontId="13" fillId="0" borderId="82" xfId="1" applyNumberFormat="1" applyFont="1" applyBorder="1" applyAlignment="1">
      <alignment horizontal="center" vertical="center" wrapText="1"/>
    </xf>
    <xf numFmtId="4" fontId="13" fillId="0" borderId="49" xfId="1" applyNumberFormat="1" applyFont="1" applyFill="1" applyBorder="1" applyAlignment="1">
      <alignment horizontal="center" vertical="center" wrapText="1"/>
    </xf>
    <xf numFmtId="0" fontId="59" fillId="24" borderId="62" xfId="1" applyFont="1" applyFill="1" applyBorder="1" applyAlignment="1">
      <alignment vertical="center" wrapText="1"/>
    </xf>
    <xf numFmtId="4" fontId="59" fillId="0" borderId="62" xfId="1" applyNumberFormat="1" applyFont="1" applyBorder="1" applyAlignment="1">
      <alignment vertical="center"/>
    </xf>
    <xf numFmtId="0" fontId="59" fillId="0" borderId="62" xfId="1" applyFont="1" applyBorder="1" applyAlignment="1">
      <alignment vertical="center"/>
    </xf>
    <xf numFmtId="0" fontId="13" fillId="0" borderId="62" xfId="1" applyFont="1" applyFill="1" applyBorder="1" applyAlignment="1">
      <alignment horizontal="center" vertical="center"/>
    </xf>
    <xf numFmtId="0" fontId="13" fillId="0" borderId="61" xfId="1" applyFont="1" applyBorder="1" applyAlignment="1">
      <alignment horizontal="justify" vertical="center"/>
    </xf>
    <xf numFmtId="4" fontId="13" fillId="0" borderId="123" xfId="1" applyNumberFormat="1" applyFont="1" applyFill="1" applyBorder="1" applyAlignment="1">
      <alignment horizontal="center" vertical="center" wrapText="1"/>
    </xf>
    <xf numFmtId="0" fontId="13" fillId="0" borderId="12" xfId="1" applyNumberFormat="1" applyFont="1" applyFill="1" applyBorder="1" applyAlignment="1">
      <alignment horizontal="justify" vertical="center" wrapText="1"/>
    </xf>
    <xf numFmtId="0" fontId="13" fillId="0" borderId="6" xfId="1" applyNumberFormat="1" applyFont="1" applyFill="1" applyBorder="1" applyAlignment="1">
      <alignment horizontal="justify" vertical="center" wrapText="1"/>
    </xf>
    <xf numFmtId="4" fontId="59" fillId="24" borderId="49" xfId="1" applyNumberFormat="1" applyFont="1" applyFill="1" applyBorder="1" applyAlignment="1">
      <alignment horizontal="right" vertical="center" wrapText="1"/>
    </xf>
    <xf numFmtId="4" fontId="88" fillId="0" borderId="49" xfId="1" applyNumberFormat="1" applyFont="1" applyBorder="1" applyAlignment="1">
      <alignment horizontal="right" vertical="center" wrapText="1"/>
    </xf>
    <xf numFmtId="4" fontId="13" fillId="0" borderId="8" xfId="1" applyNumberFormat="1" applyFont="1" applyBorder="1" applyAlignment="1">
      <alignment horizontal="justify" vertical="center" wrapText="1"/>
    </xf>
    <xf numFmtId="4" fontId="86" fillId="0" borderId="4" xfId="64" applyNumberFormat="1" applyFont="1" applyFill="1" applyBorder="1" applyAlignment="1">
      <alignment vertical="center"/>
    </xf>
    <xf numFmtId="0" fontId="13" fillId="0" borderId="43" xfId="1" applyFont="1" applyFill="1" applyBorder="1" applyAlignment="1">
      <alignment horizontal="justify" vertical="center" wrapText="1"/>
    </xf>
    <xf numFmtId="4" fontId="13" fillId="0" borderId="8" xfId="1" applyNumberFormat="1" applyFont="1" applyBorder="1" applyAlignment="1">
      <alignment horizontal="left" vertical="center" wrapText="1"/>
    </xf>
    <xf numFmtId="4" fontId="61" fillId="0" borderId="0" xfId="1" applyNumberFormat="1" applyFont="1" applyAlignment="1">
      <alignment vertical="center"/>
    </xf>
    <xf numFmtId="4" fontId="61" fillId="0" borderId="0" xfId="1" applyNumberFormat="1" applyFont="1" applyAlignment="1">
      <alignment vertical="center" wrapText="1"/>
    </xf>
    <xf numFmtId="4" fontId="91" fillId="0" borderId="0" xfId="1" applyNumberFormat="1" applyFont="1" applyAlignment="1">
      <alignment vertical="center"/>
    </xf>
    <xf numFmtId="4" fontId="61" fillId="0" borderId="0" xfId="1" applyNumberFormat="1" applyFont="1" applyAlignment="1">
      <alignment horizontal="center" vertical="center"/>
    </xf>
    <xf numFmtId="4" fontId="61" fillId="0" borderId="0" xfId="1" applyNumberFormat="1" applyFont="1" applyAlignment="1">
      <alignment horizontal="left" vertical="center"/>
    </xf>
    <xf numFmtId="0" fontId="89" fillId="0" borderId="0" xfId="1" applyFont="1" applyBorder="1" applyAlignment="1">
      <alignment vertical="center"/>
    </xf>
    <xf numFmtId="0" fontId="13" fillId="0" borderId="0" xfId="1" applyFont="1" applyBorder="1" applyAlignment="1">
      <alignment vertical="center"/>
    </xf>
    <xf numFmtId="4" fontId="86" fillId="0" borderId="66" xfId="64" applyNumberFormat="1" applyFont="1" applyBorder="1" applyAlignment="1">
      <alignment vertical="center" wrapText="1"/>
    </xf>
    <xf numFmtId="4" fontId="70" fillId="0" borderId="66" xfId="1" applyNumberFormat="1" applyFont="1" applyBorder="1" applyAlignment="1">
      <alignment horizontal="right" vertical="center" wrapText="1"/>
    </xf>
    <xf numFmtId="0" fontId="7" fillId="0" borderId="3" xfId="64" applyFont="1" applyFill="1" applyBorder="1" applyAlignment="1">
      <alignment horizontal="justify" vertical="center" wrapText="1"/>
    </xf>
    <xf numFmtId="0" fontId="13" fillId="0" borderId="0" xfId="1" applyNumberFormat="1" applyFont="1" applyFill="1" applyBorder="1" applyAlignment="1">
      <alignment horizontal="justify" vertical="center" wrapText="1"/>
    </xf>
    <xf numFmtId="4" fontId="13" fillId="0" borderId="0" xfId="1" applyNumberFormat="1" applyFont="1" applyFill="1" applyAlignment="1">
      <alignment vertical="center" wrapText="1"/>
    </xf>
    <xf numFmtId="4" fontId="86" fillId="0" borderId="4" xfId="64" applyNumberFormat="1" applyFont="1" applyBorder="1" applyAlignment="1">
      <alignment vertical="center" wrapText="1"/>
    </xf>
    <xf numFmtId="4" fontId="70" fillId="0" borderId="4" xfId="1" applyNumberFormat="1" applyFont="1" applyBorder="1" applyAlignment="1">
      <alignment horizontal="right" vertical="center" wrapText="1"/>
    </xf>
    <xf numFmtId="0" fontId="13" fillId="0" borderId="32" xfId="1" applyFont="1" applyFill="1" applyBorder="1" applyAlignment="1">
      <alignment vertical="center" wrapText="1"/>
    </xf>
    <xf numFmtId="0" fontId="13" fillId="0" borderId="32" xfId="1" applyFont="1" applyFill="1" applyBorder="1" applyAlignment="1">
      <alignment horizontal="justify" vertical="center" wrapText="1"/>
    </xf>
    <xf numFmtId="0" fontId="92" fillId="0" borderId="0" xfId="64" applyFont="1" applyAlignment="1">
      <alignment vertical="center"/>
    </xf>
    <xf numFmtId="0" fontId="13" fillId="0" borderId="0" xfId="1" applyFont="1" applyFill="1" applyBorder="1" applyAlignment="1">
      <alignment vertical="center" wrapText="1"/>
    </xf>
    <xf numFmtId="0" fontId="92" fillId="0" borderId="32" xfId="64" applyFont="1" applyBorder="1" applyAlignment="1">
      <alignment vertical="center"/>
    </xf>
    <xf numFmtId="0" fontId="86" fillId="0" borderId="0" xfId="1" applyFont="1" applyFill="1" applyBorder="1" applyAlignment="1">
      <alignment horizontal="justify" vertical="center" wrapText="1"/>
    </xf>
    <xf numFmtId="2" fontId="7" fillId="0" borderId="32" xfId="64" applyNumberFormat="1" applyFont="1" applyFill="1" applyBorder="1" applyAlignment="1">
      <alignment horizontal="justify" vertical="center" wrapText="1"/>
    </xf>
    <xf numFmtId="0" fontId="86" fillId="0" borderId="32" xfId="64" applyFont="1" applyBorder="1" applyAlignment="1">
      <alignment wrapText="1"/>
    </xf>
    <xf numFmtId="0" fontId="7" fillId="0" borderId="32" xfId="64" applyFont="1" applyFill="1" applyBorder="1" applyAlignment="1">
      <alignment horizontal="justify" vertical="center" wrapText="1"/>
    </xf>
    <xf numFmtId="0" fontId="86" fillId="0" borderId="6" xfId="1" applyFont="1" applyFill="1" applyBorder="1" applyAlignment="1">
      <alignment horizontal="justify" vertical="center" wrapText="1"/>
    </xf>
    <xf numFmtId="0" fontId="61" fillId="0" borderId="32" xfId="1" applyFont="1" applyFill="1" applyBorder="1" applyAlignment="1">
      <alignment vertical="center" wrapText="1"/>
    </xf>
    <xf numFmtId="0" fontId="61" fillId="0" borderId="0" xfId="1" applyFont="1" applyFill="1" applyBorder="1" applyAlignment="1">
      <alignment vertical="center" wrapText="1"/>
    </xf>
    <xf numFmtId="0" fontId="86" fillId="0" borderId="32" xfId="1" applyFont="1" applyFill="1" applyBorder="1" applyAlignment="1">
      <alignment horizontal="justify" vertical="center" wrapText="1"/>
    </xf>
    <xf numFmtId="0" fontId="86" fillId="0" borderId="0" xfId="64" applyFont="1" applyBorder="1" applyAlignment="1">
      <alignment wrapText="1"/>
    </xf>
    <xf numFmtId="4" fontId="13" fillId="0" borderId="4" xfId="1" applyNumberFormat="1" applyFont="1" applyBorder="1" applyAlignment="1">
      <alignment vertical="center" wrapText="1"/>
    </xf>
    <xf numFmtId="0" fontId="93" fillId="0" borderId="32" xfId="64" applyFont="1" applyBorder="1"/>
    <xf numFmtId="0" fontId="94" fillId="0" borderId="0" xfId="64" applyFont="1"/>
    <xf numFmtId="4" fontId="94" fillId="0" borderId="0" xfId="64" applyNumberFormat="1" applyFont="1"/>
    <xf numFmtId="4" fontId="13" fillId="0" borderId="66" xfId="1" applyNumberFormat="1" applyFont="1" applyFill="1" applyBorder="1" applyAlignment="1">
      <alignment horizontal="center" vertical="center" wrapText="1"/>
    </xf>
    <xf numFmtId="0" fontId="89" fillId="0" borderId="0" xfId="1" applyFont="1" applyAlignment="1">
      <alignment horizontal="right" vertical="center" wrapText="1"/>
    </xf>
    <xf numFmtId="0" fontId="86" fillId="0" borderId="66" xfId="64" applyFont="1" applyFill="1" applyBorder="1" applyAlignment="1">
      <alignment vertical="center" wrapText="1"/>
    </xf>
    <xf numFmtId="4" fontId="86" fillId="0" borderId="66" xfId="64" applyNumberFormat="1" applyFont="1" applyFill="1" applyBorder="1" applyAlignment="1">
      <alignment vertical="center" wrapText="1"/>
    </xf>
    <xf numFmtId="4" fontId="70" fillId="0" borderId="66" xfId="1" applyNumberFormat="1" applyFont="1" applyFill="1" applyBorder="1" applyAlignment="1">
      <alignment horizontal="right" vertical="center" wrapText="1"/>
    </xf>
    <xf numFmtId="4" fontId="86" fillId="0" borderId="4" xfId="64" applyNumberFormat="1" applyFont="1" applyFill="1" applyBorder="1" applyAlignment="1">
      <alignment vertical="center" wrapText="1"/>
    </xf>
    <xf numFmtId="4" fontId="70" fillId="0" borderId="4" xfId="1" applyNumberFormat="1" applyFont="1" applyFill="1" applyBorder="1" applyAlignment="1">
      <alignment horizontal="right" vertical="center" wrapText="1"/>
    </xf>
    <xf numFmtId="4" fontId="86" fillId="0" borderId="54" xfId="64" applyNumberFormat="1" applyFont="1" applyFill="1" applyBorder="1" applyAlignment="1">
      <alignment vertical="center" wrapText="1"/>
    </xf>
    <xf numFmtId="0" fontId="86" fillId="0" borderId="46" xfId="64" applyFont="1" applyFill="1" applyBorder="1" applyAlignment="1">
      <alignment wrapText="1"/>
    </xf>
    <xf numFmtId="4" fontId="88" fillId="0" borderId="24" xfId="1" applyNumberFormat="1" applyFont="1" applyFill="1" applyBorder="1" applyAlignment="1">
      <alignment horizontal="right" vertical="center" wrapText="1"/>
    </xf>
    <xf numFmtId="0" fontId="59" fillId="0" borderId="0" xfId="1" applyFont="1" applyFill="1" applyAlignment="1">
      <alignment vertical="center" wrapText="1"/>
    </xf>
    <xf numFmtId="0" fontId="59" fillId="0" borderId="32" xfId="1" applyFont="1" applyFill="1" applyBorder="1" applyAlignment="1"/>
    <xf numFmtId="0" fontId="59" fillId="0" borderId="0" xfId="1" applyFont="1" applyFill="1" applyBorder="1" applyAlignment="1">
      <alignment vertical="center" wrapText="1"/>
    </xf>
    <xf numFmtId="4" fontId="59" fillId="0" borderId="0" xfId="1" applyNumberFormat="1" applyFont="1" applyFill="1" applyBorder="1" applyAlignment="1">
      <alignment vertical="center"/>
    </xf>
    <xf numFmtId="0" fontId="59" fillId="0" borderId="0" xfId="1" applyFont="1" applyFill="1" applyBorder="1" applyAlignment="1">
      <alignment vertical="center"/>
    </xf>
    <xf numFmtId="0" fontId="70" fillId="0" borderId="0" xfId="1" applyFont="1" applyFill="1" applyBorder="1" applyAlignment="1">
      <alignment horizontal="right" vertical="center"/>
    </xf>
    <xf numFmtId="0" fontId="13" fillId="0" borderId="0" xfId="1" applyFont="1" applyFill="1" applyBorder="1" applyAlignment="1">
      <alignment horizontal="center" vertical="center"/>
    </xf>
    <xf numFmtId="0" fontId="59" fillId="0" borderId="0" xfId="1" applyFont="1" applyFill="1" applyAlignment="1">
      <alignment vertical="center"/>
    </xf>
    <xf numFmtId="0" fontId="13" fillId="0" borderId="66" xfId="64" applyFont="1" applyFill="1" applyBorder="1" applyAlignment="1">
      <alignment vertical="center" wrapText="1"/>
    </xf>
    <xf numFmtId="4" fontId="86" fillId="0" borderId="78" xfId="64" applyNumberFormat="1" applyFont="1" applyFill="1" applyBorder="1" applyAlignment="1">
      <alignment vertical="center" wrapText="1"/>
    </xf>
    <xf numFmtId="4" fontId="70" fillId="0" borderId="78" xfId="1" applyNumberFormat="1" applyFont="1" applyFill="1" applyBorder="1" applyAlignment="1">
      <alignment horizontal="right" vertical="center" wrapText="1"/>
    </xf>
    <xf numFmtId="4" fontId="86" fillId="0" borderId="51" xfId="64" applyNumberFormat="1" applyFont="1" applyFill="1" applyBorder="1" applyAlignment="1">
      <alignment vertical="center" wrapText="1"/>
    </xf>
    <xf numFmtId="4" fontId="13" fillId="0" borderId="51" xfId="1" applyNumberFormat="1" applyFont="1" applyFill="1" applyBorder="1" applyAlignment="1">
      <alignment horizontal="center" vertical="center" wrapText="1"/>
    </xf>
    <xf numFmtId="4" fontId="70" fillId="0" borderId="51" xfId="1" applyNumberFormat="1" applyFont="1" applyFill="1" applyBorder="1" applyAlignment="1">
      <alignment horizontal="right" vertical="center" wrapText="1"/>
    </xf>
    <xf numFmtId="4" fontId="13" fillId="0" borderId="4" xfId="1" applyNumberFormat="1" applyFont="1" applyFill="1" applyBorder="1" applyAlignment="1">
      <alignment horizontal="center" vertical="center" wrapText="1"/>
    </xf>
    <xf numFmtId="0" fontId="59" fillId="0" borderId="37" xfId="1" applyFont="1" applyFill="1" applyBorder="1" applyAlignment="1"/>
    <xf numFmtId="0" fontId="59" fillId="0" borderId="62" xfId="1" applyFont="1" applyFill="1" applyBorder="1" applyAlignment="1">
      <alignment vertical="center" wrapText="1"/>
    </xf>
    <xf numFmtId="4" fontId="59" fillId="0" borderId="62" xfId="1" applyNumberFormat="1" applyFont="1" applyFill="1" applyBorder="1" applyAlignment="1">
      <alignment vertical="center"/>
    </xf>
    <xf numFmtId="0" fontId="59" fillId="0" borderId="62" xfId="1" applyFont="1" applyFill="1" applyBorder="1" applyAlignment="1">
      <alignment vertical="center"/>
    </xf>
    <xf numFmtId="0" fontId="70" fillId="0" borderId="62" xfId="1" applyFont="1" applyFill="1" applyBorder="1" applyAlignment="1">
      <alignment horizontal="right" vertical="center"/>
    </xf>
    <xf numFmtId="0" fontId="13" fillId="0" borderId="61" xfId="1" applyFont="1" applyFill="1" applyBorder="1" applyAlignment="1">
      <alignment horizontal="justify" vertical="center"/>
    </xf>
    <xf numFmtId="0" fontId="13" fillId="0" borderId="0" xfId="1" applyFont="1" applyFill="1" applyAlignment="1">
      <alignment vertical="center"/>
    </xf>
    <xf numFmtId="4" fontId="13" fillId="0" borderId="4" xfId="1" applyNumberFormat="1" applyFont="1" applyBorder="1" applyAlignment="1">
      <alignment horizontal="center" vertical="center" wrapText="1"/>
    </xf>
    <xf numFmtId="0" fontId="13" fillId="0" borderId="32" xfId="1" applyFont="1" applyBorder="1" applyAlignment="1">
      <alignment vertical="center"/>
    </xf>
    <xf numFmtId="0" fontId="86" fillId="0" borderId="32" xfId="64" applyFont="1" applyBorder="1" applyAlignment="1">
      <alignment vertical="center" wrapText="1"/>
    </xf>
    <xf numFmtId="4" fontId="86" fillId="0" borderId="0" xfId="64" applyNumberFormat="1" applyFont="1" applyBorder="1" applyAlignment="1">
      <alignment vertical="center" wrapText="1"/>
    </xf>
    <xf numFmtId="4" fontId="13" fillId="0" borderId="0" xfId="1" applyNumberFormat="1" applyFont="1" applyFill="1" applyBorder="1" applyAlignment="1">
      <alignment vertical="center" wrapText="1"/>
    </xf>
    <xf numFmtId="0" fontId="86" fillId="0" borderId="32" xfId="64" applyFont="1" applyFill="1" applyBorder="1" applyAlignment="1">
      <alignment vertical="center" wrapText="1"/>
    </xf>
    <xf numFmtId="4" fontId="86" fillId="0" borderId="0" xfId="64" applyNumberFormat="1" applyFont="1" applyFill="1" applyBorder="1" applyAlignment="1">
      <alignment vertical="center" wrapText="1"/>
    </xf>
    <xf numFmtId="0" fontId="13" fillId="0" borderId="12" xfId="64" applyFont="1" applyFill="1" applyBorder="1" applyAlignment="1">
      <alignment horizontal="justify" vertical="center" wrapText="1"/>
    </xf>
    <xf numFmtId="0" fontId="13" fillId="0" borderId="6" xfId="64" applyFont="1" applyFill="1" applyBorder="1" applyAlignment="1">
      <alignment horizontal="justify" vertical="center" wrapText="1"/>
    </xf>
    <xf numFmtId="0" fontId="7" fillId="0" borderId="0" xfId="1" applyFont="1" applyAlignment="1">
      <alignment vertical="center" wrapText="1"/>
    </xf>
    <xf numFmtId="0" fontId="13" fillId="0" borderId="6" xfId="64" applyNumberFormat="1" applyFont="1" applyFill="1" applyBorder="1" applyAlignment="1">
      <alignment horizontal="justify" vertical="center" wrapText="1"/>
    </xf>
    <xf numFmtId="4" fontId="13" fillId="0" borderId="4" xfId="64" applyNumberFormat="1" applyFont="1" applyFill="1" applyBorder="1" applyAlignment="1">
      <alignment horizontal="center" vertical="center" wrapText="1"/>
    </xf>
    <xf numFmtId="4" fontId="13" fillId="0" borderId="66" xfId="64" applyNumberFormat="1" applyFont="1" applyFill="1" applyBorder="1" applyAlignment="1">
      <alignment horizontal="center" vertical="center" wrapText="1"/>
    </xf>
    <xf numFmtId="4" fontId="13" fillId="0" borderId="4" xfId="64" applyNumberFormat="1" applyFont="1" applyBorder="1" applyAlignment="1">
      <alignment horizontal="center" vertical="center" wrapText="1"/>
    </xf>
    <xf numFmtId="4" fontId="13" fillId="0" borderId="82" xfId="64" applyNumberFormat="1" applyFont="1" applyFill="1" applyBorder="1" applyAlignment="1">
      <alignment horizontal="center" vertical="center" wrapText="1"/>
    </xf>
    <xf numFmtId="0" fontId="13" fillId="0" borderId="13" xfId="64" applyFont="1" applyFill="1" applyBorder="1" applyAlignment="1">
      <alignment vertical="center" wrapText="1"/>
    </xf>
    <xf numFmtId="4" fontId="13" fillId="0" borderId="4" xfId="64" applyNumberFormat="1" applyFont="1" applyFill="1" applyBorder="1" applyAlignment="1">
      <alignment vertical="center" wrapText="1"/>
    </xf>
    <xf numFmtId="0" fontId="13" fillId="0" borderId="13" xfId="1" applyFont="1" applyFill="1" applyBorder="1" applyAlignment="1">
      <alignment vertical="center" wrapText="1"/>
    </xf>
    <xf numFmtId="0" fontId="13" fillId="0" borderId="5" xfId="1" applyFont="1" applyBorder="1" applyAlignment="1">
      <alignment horizontal="left" vertical="center"/>
    </xf>
    <xf numFmtId="0" fontId="13" fillId="0" borderId="4" xfId="1" applyFont="1" applyBorder="1" applyAlignment="1">
      <alignment horizontal="left" vertical="center" wrapText="1"/>
    </xf>
    <xf numFmtId="0" fontId="13" fillId="0" borderId="4" xfId="64" applyFont="1" applyBorder="1" applyAlignment="1">
      <alignment vertical="center" wrapText="1"/>
    </xf>
    <xf numFmtId="4" fontId="13" fillId="0" borderId="4" xfId="64" applyNumberFormat="1" applyFont="1" applyBorder="1" applyAlignment="1">
      <alignment vertical="center" wrapText="1"/>
    </xf>
    <xf numFmtId="0" fontId="86" fillId="0" borderId="4" xfId="64" applyFont="1" applyFill="1" applyBorder="1" applyAlignment="1">
      <alignment wrapText="1"/>
    </xf>
    <xf numFmtId="0" fontId="95" fillId="0" borderId="6" xfId="1" applyFont="1" applyFill="1" applyBorder="1" applyAlignment="1">
      <alignment horizontal="justify" vertical="center" wrapText="1"/>
    </xf>
    <xf numFmtId="0" fontId="13" fillId="0" borderId="4" xfId="64" applyFont="1" applyBorder="1" applyAlignment="1">
      <alignment wrapText="1"/>
    </xf>
    <xf numFmtId="0" fontId="13" fillId="0" borderId="4" xfId="1" applyFont="1" applyFill="1" applyBorder="1" applyAlignment="1">
      <alignment vertical="center" wrapText="1"/>
    </xf>
    <xf numFmtId="0" fontId="96" fillId="0" borderId="0" xfId="1" applyFont="1" applyBorder="1" applyAlignment="1">
      <alignment vertical="center" wrapText="1"/>
    </xf>
    <xf numFmtId="4" fontId="96" fillId="0" borderId="0" xfId="1" applyNumberFormat="1" applyFont="1" applyBorder="1" applyAlignment="1">
      <alignment vertical="center"/>
    </xf>
    <xf numFmtId="0" fontId="96" fillId="0" borderId="0" xfId="1" applyFont="1" applyBorder="1" applyAlignment="1">
      <alignment vertical="center"/>
    </xf>
    <xf numFmtId="0" fontId="97" fillId="0" borderId="0" xfId="1" applyFont="1" applyBorder="1" applyAlignment="1">
      <alignment horizontal="right" vertical="center"/>
    </xf>
    <xf numFmtId="0" fontId="95" fillId="0" borderId="0" xfId="1" applyFont="1" applyBorder="1" applyAlignment="1">
      <alignment horizontal="center" vertical="center"/>
    </xf>
    <xf numFmtId="0" fontId="95" fillId="0" borderId="40" xfId="1" applyFont="1" applyFill="1" applyBorder="1" applyAlignment="1">
      <alignment horizontal="justify" vertical="center" wrapText="1"/>
    </xf>
    <xf numFmtId="4" fontId="13" fillId="0" borderId="66" xfId="64" applyNumberFormat="1" applyFont="1" applyBorder="1" applyAlignment="1">
      <alignment vertical="center" wrapText="1"/>
    </xf>
    <xf numFmtId="0" fontId="13" fillId="0" borderId="66" xfId="1" applyFont="1" applyFill="1" applyBorder="1" applyAlignment="1">
      <alignment vertical="center" wrapText="1"/>
    </xf>
    <xf numFmtId="4" fontId="88" fillId="0" borderId="49" xfId="1" applyNumberFormat="1" applyFont="1" applyFill="1" applyBorder="1" applyAlignment="1">
      <alignment horizontal="right" vertical="center" wrapText="1"/>
    </xf>
    <xf numFmtId="0" fontId="96" fillId="24" borderId="62" xfId="1" applyFont="1" applyFill="1" applyBorder="1" applyAlignment="1">
      <alignment vertical="center" wrapText="1"/>
    </xf>
    <xf numFmtId="4" fontId="96" fillId="0" borderId="62" xfId="1" applyNumberFormat="1" applyFont="1" applyBorder="1" applyAlignment="1">
      <alignment vertical="center"/>
    </xf>
    <xf numFmtId="0" fontId="96" fillId="0" borderId="62" xfId="1" applyFont="1" applyBorder="1" applyAlignment="1">
      <alignment vertical="center"/>
    </xf>
    <xf numFmtId="0" fontId="97" fillId="0" borderId="62" xfId="1" applyFont="1" applyBorder="1" applyAlignment="1">
      <alignment horizontal="right" vertical="center"/>
    </xf>
    <xf numFmtId="0" fontId="95" fillId="0" borderId="62" xfId="1" applyFont="1" applyFill="1" applyBorder="1" applyAlignment="1">
      <alignment horizontal="center" vertical="center"/>
    </xf>
    <xf numFmtId="0" fontId="95" fillId="0" borderId="61" xfId="1" applyFont="1" applyBorder="1" applyAlignment="1">
      <alignment horizontal="justify" vertical="center"/>
    </xf>
    <xf numFmtId="0" fontId="13" fillId="0" borderId="66" xfId="64" applyFont="1" applyBorder="1" applyAlignment="1">
      <alignment vertical="center" wrapText="1"/>
    </xf>
    <xf numFmtId="0" fontId="13" fillId="0" borderId="43" xfId="1" applyNumberFormat="1" applyFont="1" applyFill="1" applyBorder="1" applyAlignment="1">
      <alignment horizontal="justify" vertical="center" wrapText="1"/>
    </xf>
    <xf numFmtId="4" fontId="13" fillId="24" borderId="4" xfId="1" applyNumberFormat="1" applyFont="1" applyFill="1" applyBorder="1" applyAlignment="1">
      <alignment horizontal="center" vertical="center" wrapText="1"/>
    </xf>
    <xf numFmtId="0" fontId="13" fillId="24" borderId="6" xfId="1" applyNumberFormat="1" applyFont="1" applyFill="1" applyBorder="1" applyAlignment="1">
      <alignment horizontal="justify" vertical="center" wrapText="1"/>
    </xf>
    <xf numFmtId="0" fontId="13" fillId="24" borderId="6" xfId="1" applyFont="1" applyFill="1" applyBorder="1" applyAlignment="1">
      <alignment horizontal="justify" vertical="center" wrapText="1"/>
    </xf>
    <xf numFmtId="0" fontId="95" fillId="0" borderId="62" xfId="1" applyFont="1" applyBorder="1" applyAlignment="1">
      <alignment vertical="center" wrapText="1"/>
    </xf>
    <xf numFmtId="4" fontId="95" fillId="0" borderId="62" xfId="1" applyNumberFormat="1" applyFont="1" applyBorder="1" applyAlignment="1">
      <alignment vertical="center"/>
    </xf>
    <xf numFmtId="0" fontId="95" fillId="0" borderId="62" xfId="1" applyFont="1" applyBorder="1" applyAlignment="1">
      <alignment vertical="center"/>
    </xf>
    <xf numFmtId="0" fontId="95" fillId="0" borderId="62" xfId="1" applyFont="1" applyBorder="1" applyAlignment="1">
      <alignment horizontal="center" vertical="center"/>
    </xf>
    <xf numFmtId="0" fontId="13" fillId="0" borderId="1" xfId="1" applyFont="1" applyBorder="1" applyAlignment="1">
      <alignment vertical="center" wrapText="1"/>
    </xf>
    <xf numFmtId="4" fontId="95" fillId="0" borderId="49" xfId="1" applyNumberFormat="1" applyFont="1" applyBorder="1" applyAlignment="1">
      <alignment horizontal="center" vertical="center" wrapText="1"/>
    </xf>
    <xf numFmtId="4" fontId="95" fillId="0" borderId="8" xfId="1" applyNumberFormat="1" applyFont="1" applyBorder="1" applyAlignment="1">
      <alignment horizontal="justify" vertical="center" wrapText="1"/>
    </xf>
    <xf numFmtId="4" fontId="13" fillId="0" borderId="4" xfId="1" applyNumberFormat="1" applyFont="1" applyFill="1" applyBorder="1" applyAlignment="1">
      <alignment horizontal="right" vertical="center"/>
    </xf>
    <xf numFmtId="0" fontId="13" fillId="0" borderId="71" xfId="1" applyFont="1" applyBorder="1" applyAlignment="1">
      <alignment horizontal="center" vertical="center"/>
    </xf>
    <xf numFmtId="0" fontId="13" fillId="0" borderId="61" xfId="1" applyFont="1" applyFill="1" applyBorder="1" applyAlignment="1">
      <alignment horizontal="left"/>
    </xf>
    <xf numFmtId="0" fontId="13" fillId="0" borderId="4" xfId="67" applyFont="1" applyBorder="1" applyAlignment="1">
      <alignment vertical="center" wrapText="1"/>
    </xf>
    <xf numFmtId="0" fontId="13" fillId="0" borderId="13" xfId="67" applyFont="1" applyFill="1" applyBorder="1" applyAlignment="1">
      <alignment vertical="center" wrapText="1"/>
    </xf>
    <xf numFmtId="0" fontId="13" fillId="0" borderId="4" xfId="67" applyFont="1" applyBorder="1" applyAlignment="1">
      <alignment vertical="center"/>
    </xf>
    <xf numFmtId="0" fontId="13" fillId="0" borderId="4" xfId="67" applyFont="1" applyBorder="1" applyAlignment="1">
      <alignment horizontal="left" vertical="center"/>
    </xf>
    <xf numFmtId="0" fontId="13" fillId="0" borderId="4" xfId="1" applyFont="1" applyBorder="1" applyAlignment="1">
      <alignment vertical="center" wrapText="1"/>
    </xf>
    <xf numFmtId="0" fontId="13" fillId="0" borderId="4" xfId="1" applyFont="1" applyBorder="1" applyAlignment="1">
      <alignment vertical="center"/>
    </xf>
    <xf numFmtId="0" fontId="13" fillId="0" borderId="12" xfId="1" applyFont="1" applyFill="1" applyBorder="1" applyAlignment="1">
      <alignment vertical="center" wrapText="1"/>
    </xf>
    <xf numFmtId="0" fontId="59" fillId="0" borderId="28" xfId="1" applyFont="1" applyBorder="1" applyAlignment="1"/>
    <xf numFmtId="0" fontId="59" fillId="24" borderId="71" xfId="1" applyFont="1" applyFill="1" applyBorder="1" applyAlignment="1">
      <alignment vertical="center" wrapText="1"/>
    </xf>
    <xf numFmtId="4" fontId="59" fillId="0" borderId="71" xfId="1" applyNumberFormat="1" applyFont="1" applyBorder="1" applyAlignment="1">
      <alignment vertical="center"/>
    </xf>
    <xf numFmtId="0" fontId="59" fillId="0" borderId="71" xfId="1" applyFont="1" applyBorder="1" applyAlignment="1">
      <alignment vertical="center"/>
    </xf>
    <xf numFmtId="0" fontId="70" fillId="0" borderId="71" xfId="1" applyFont="1" applyBorder="1" applyAlignment="1">
      <alignment horizontal="right" vertical="center"/>
    </xf>
    <xf numFmtId="0" fontId="13" fillId="0" borderId="71" xfId="1" applyFont="1" applyFill="1" applyBorder="1" applyAlignment="1">
      <alignment horizontal="center" vertical="center"/>
    </xf>
    <xf numFmtId="0" fontId="13" fillId="0" borderId="58" xfId="1" applyFont="1" applyBorder="1" applyAlignment="1">
      <alignment horizontal="justify" vertical="center"/>
    </xf>
    <xf numFmtId="4" fontId="13" fillId="0" borderId="0" xfId="1" applyNumberFormat="1" applyFont="1" applyAlignment="1">
      <alignment vertical="center" wrapText="1"/>
    </xf>
    <xf numFmtId="4" fontId="13" fillId="0" borderId="54" xfId="1" applyNumberFormat="1" applyFont="1" applyBorder="1" applyAlignment="1">
      <alignment horizontal="center" vertical="center" wrapText="1"/>
    </xf>
    <xf numFmtId="0" fontId="13" fillId="30" borderId="6" xfId="1" applyNumberFormat="1" applyFont="1" applyFill="1" applyBorder="1" applyAlignment="1">
      <alignment horizontal="justify" vertical="center" wrapText="1"/>
    </xf>
    <xf numFmtId="0" fontId="13" fillId="0" borderId="1" xfId="1" applyFont="1" applyFill="1" applyBorder="1" applyAlignment="1">
      <alignment vertical="center" wrapText="1"/>
    </xf>
    <xf numFmtId="0" fontId="86" fillId="0" borderId="6" xfId="64" applyFont="1" applyBorder="1" applyAlignment="1">
      <alignment vertical="center" wrapText="1"/>
    </xf>
    <xf numFmtId="0" fontId="13" fillId="0" borderId="71" xfId="1" applyFont="1" applyBorder="1" applyAlignment="1">
      <alignment vertical="center" wrapText="1"/>
    </xf>
    <xf numFmtId="4" fontId="13" fillId="0" borderId="71" xfId="1" applyNumberFormat="1" applyFont="1" applyBorder="1" applyAlignment="1">
      <alignment vertical="center"/>
    </xf>
    <xf numFmtId="0" fontId="13" fillId="0" borderId="71" xfId="1" applyFont="1" applyBorder="1" applyAlignment="1">
      <alignment vertical="center"/>
    </xf>
    <xf numFmtId="0" fontId="13" fillId="0" borderId="58" xfId="1" applyFont="1" applyBorder="1" applyAlignment="1">
      <alignment horizontal="left"/>
    </xf>
    <xf numFmtId="4" fontId="59" fillId="0" borderId="0" xfId="1" applyNumberFormat="1" applyFont="1" applyAlignment="1">
      <alignment vertical="center"/>
    </xf>
    <xf numFmtId="0" fontId="88" fillId="0" borderId="0" xfId="1" applyFont="1" applyAlignment="1">
      <alignment vertical="center"/>
    </xf>
    <xf numFmtId="0" fontId="13" fillId="0" borderId="6" xfId="64" applyFont="1" applyBorder="1" applyAlignment="1">
      <alignment horizontal="justify" vertical="center" wrapText="1"/>
    </xf>
    <xf numFmtId="4" fontId="13" fillId="0" borderId="4" xfId="1" applyNumberFormat="1" applyFont="1" applyFill="1" applyBorder="1" applyAlignment="1">
      <alignment horizontal="center" vertical="center"/>
    </xf>
    <xf numFmtId="0" fontId="13" fillId="0" borderId="126" xfId="1" applyFont="1" applyBorder="1" applyAlignment="1">
      <alignment horizontal="justify" vertical="center" wrapText="1"/>
    </xf>
    <xf numFmtId="4" fontId="13" fillId="0" borderId="51" xfId="1" applyNumberFormat="1" applyFont="1" applyFill="1" applyBorder="1" applyAlignment="1">
      <alignment horizontal="center" vertical="center"/>
    </xf>
    <xf numFmtId="0" fontId="13" fillId="0" borderId="46" xfId="64" applyFont="1" applyBorder="1" applyAlignment="1">
      <alignment horizontal="justify" vertical="center" wrapText="1"/>
    </xf>
    <xf numFmtId="4" fontId="70" fillId="0" borderId="0" xfId="1" applyNumberFormat="1" applyFont="1" applyAlignment="1">
      <alignment vertical="center"/>
    </xf>
    <xf numFmtId="4" fontId="13" fillId="0" borderId="0" xfId="1" applyNumberFormat="1" applyFont="1" applyAlignment="1">
      <alignment horizontal="center" vertical="center"/>
    </xf>
    <xf numFmtId="4" fontId="13" fillId="0" borderId="0" xfId="1" applyNumberFormat="1" applyFont="1" applyAlignment="1">
      <alignment horizontal="left" vertical="center"/>
    </xf>
    <xf numFmtId="0" fontId="13" fillId="30" borderId="0" xfId="1" applyFont="1" applyFill="1"/>
    <xf numFmtId="0" fontId="13" fillId="30" borderId="0" xfId="1" applyFont="1" applyFill="1" applyAlignment="1">
      <alignment vertical="center"/>
    </xf>
    <xf numFmtId="0" fontId="13" fillId="30" borderId="0" xfId="1" applyFont="1" applyFill="1" applyAlignment="1">
      <alignment vertical="center" wrapText="1"/>
    </xf>
    <xf numFmtId="4" fontId="13" fillId="30" borderId="0" xfId="1" applyNumberFormat="1" applyFont="1" applyFill="1" applyAlignment="1">
      <alignment vertical="center"/>
    </xf>
    <xf numFmtId="0" fontId="70" fillId="30" borderId="0" xfId="1" applyFont="1" applyFill="1" applyAlignment="1">
      <alignment vertical="center"/>
    </xf>
    <xf numFmtId="0" fontId="13" fillId="30" borderId="0" xfId="1" applyFont="1" applyFill="1" applyAlignment="1">
      <alignment horizontal="center" vertical="center"/>
    </xf>
    <xf numFmtId="0" fontId="13" fillId="30" borderId="0" xfId="1" applyFont="1" applyFill="1" applyAlignment="1">
      <alignment horizontal="left" vertical="center"/>
    </xf>
    <xf numFmtId="0" fontId="59" fillId="30" borderId="0" xfId="1" applyFont="1" applyFill="1" applyAlignment="1">
      <alignment vertical="center"/>
    </xf>
    <xf numFmtId="0" fontId="59" fillId="30" borderId="0" xfId="1" applyFont="1" applyFill="1" applyAlignment="1">
      <alignment horizontal="right"/>
    </xf>
    <xf numFmtId="4" fontId="59" fillId="30" borderId="66" xfId="1" applyNumberFormat="1" applyFont="1" applyFill="1" applyBorder="1" applyAlignment="1">
      <alignment horizontal="center" vertical="center" wrapText="1"/>
    </xf>
    <xf numFmtId="4" fontId="59" fillId="30" borderId="12" xfId="1" applyNumberFormat="1" applyFont="1" applyFill="1" applyBorder="1" applyAlignment="1">
      <alignment horizontal="center" vertical="center" wrapText="1"/>
    </xf>
    <xf numFmtId="4" fontId="13" fillId="30" borderId="0" xfId="1" applyNumberFormat="1" applyFont="1" applyFill="1" applyBorder="1" applyAlignment="1">
      <alignment horizontal="center" vertical="center" wrapText="1"/>
    </xf>
    <xf numFmtId="4" fontId="13" fillId="30" borderId="0" xfId="1" applyNumberFormat="1" applyFont="1" applyFill="1" applyBorder="1" applyAlignment="1">
      <alignment horizontal="left" vertical="center" wrapText="1"/>
    </xf>
    <xf numFmtId="4" fontId="13" fillId="30" borderId="4" xfId="1" applyNumberFormat="1" applyFont="1" applyFill="1" applyBorder="1" applyAlignment="1">
      <alignment horizontal="right" vertical="center"/>
    </xf>
    <xf numFmtId="4" fontId="70" fillId="30" borderId="6" xfId="1" applyNumberFormat="1" applyFont="1" applyFill="1" applyBorder="1" applyAlignment="1">
      <alignment horizontal="right" vertical="center"/>
    </xf>
    <xf numFmtId="4" fontId="13" fillId="30" borderId="0" xfId="1" applyNumberFormat="1" applyFont="1" applyFill="1" applyBorder="1" applyAlignment="1">
      <alignment horizontal="center" vertical="center"/>
    </xf>
    <xf numFmtId="4" fontId="13" fillId="30" borderId="0" xfId="1" applyNumberFormat="1" applyFont="1" applyFill="1" applyBorder="1" applyAlignment="1">
      <alignment horizontal="left" vertical="center"/>
    </xf>
    <xf numFmtId="4" fontId="59" fillId="30" borderId="49" xfId="1" applyNumberFormat="1" applyFont="1" applyFill="1" applyBorder="1" applyAlignment="1">
      <alignment vertical="center"/>
    </xf>
    <xf numFmtId="4" fontId="88" fillId="30" borderId="8" xfId="1" applyNumberFormat="1" applyFont="1" applyFill="1" applyBorder="1" applyAlignment="1">
      <alignment horizontal="right" vertical="center"/>
    </xf>
    <xf numFmtId="0" fontId="89" fillId="30" borderId="0" xfId="1" applyFont="1" applyFill="1" applyAlignment="1">
      <alignment vertical="center"/>
    </xf>
    <xf numFmtId="0" fontId="89" fillId="30" borderId="0" xfId="1" applyFont="1" applyFill="1" applyAlignment="1">
      <alignment vertical="center" wrapText="1"/>
    </xf>
    <xf numFmtId="4" fontId="89" fillId="30" borderId="0" xfId="1" applyNumberFormat="1" applyFont="1" applyFill="1" applyAlignment="1">
      <alignment vertical="center"/>
    </xf>
    <xf numFmtId="0" fontId="90" fillId="30" borderId="0" xfId="1" applyFont="1" applyFill="1" applyAlignment="1">
      <alignment vertical="center"/>
    </xf>
    <xf numFmtId="0" fontId="61" fillId="30" borderId="0" xfId="1" applyFont="1" applyFill="1" applyAlignment="1">
      <alignment horizontal="center" vertical="center"/>
    </xf>
    <xf numFmtId="0" fontId="61" fillId="30" borderId="0" xfId="1" applyFont="1" applyFill="1" applyAlignment="1">
      <alignment horizontal="left" vertical="center"/>
    </xf>
    <xf numFmtId="0" fontId="59" fillId="30" borderId="60" xfId="1" applyFont="1" applyFill="1" applyBorder="1" applyAlignment="1">
      <alignment horizontal="center" vertical="center" wrapText="1"/>
    </xf>
    <xf numFmtId="0" fontId="59" fillId="30" borderId="59" xfId="1" applyFont="1" applyFill="1" applyBorder="1" applyAlignment="1">
      <alignment horizontal="center" vertical="center" wrapText="1"/>
    </xf>
    <xf numFmtId="4" fontId="59" fillId="30" borderId="59" xfId="1" applyNumberFormat="1" applyFont="1" applyFill="1" applyBorder="1" applyAlignment="1">
      <alignment horizontal="center" vertical="center" wrapText="1"/>
    </xf>
    <xf numFmtId="4" fontId="59" fillId="30" borderId="44" xfId="1" applyNumberFormat="1" applyFont="1" applyFill="1" applyBorder="1" applyAlignment="1">
      <alignment horizontal="center" vertical="center" wrapText="1"/>
    </xf>
    <xf numFmtId="0" fontId="59" fillId="30" borderId="28" xfId="1" applyFont="1" applyFill="1" applyBorder="1" applyAlignment="1"/>
    <xf numFmtId="0" fontId="13" fillId="30" borderId="71" xfId="1" applyFont="1" applyFill="1" applyBorder="1" applyAlignment="1">
      <alignment vertical="center" wrapText="1"/>
    </xf>
    <xf numFmtId="4" fontId="13" fillId="30" borderId="71" xfId="1" applyNumberFormat="1" applyFont="1" applyFill="1" applyBorder="1" applyAlignment="1">
      <alignment vertical="center"/>
    </xf>
    <xf numFmtId="0" fontId="13" fillId="30" borderId="71" xfId="1" applyFont="1" applyFill="1" applyBorder="1" applyAlignment="1">
      <alignment vertical="center"/>
    </xf>
    <xf numFmtId="0" fontId="70" fillId="30" borderId="71" xfId="1" applyFont="1" applyFill="1" applyBorder="1" applyAlignment="1">
      <alignment horizontal="right" vertical="center"/>
    </xf>
    <xf numFmtId="0" fontId="13" fillId="30" borderId="71" xfId="1" applyFont="1" applyFill="1" applyBorder="1" applyAlignment="1">
      <alignment horizontal="center" vertical="center"/>
    </xf>
    <xf numFmtId="0" fontId="13" fillId="30" borderId="58" xfId="1" applyFont="1" applyFill="1" applyBorder="1" applyAlignment="1">
      <alignment horizontal="left"/>
    </xf>
    <xf numFmtId="0" fontId="70" fillId="30" borderId="5" xfId="1" applyFont="1" applyFill="1" applyBorder="1" applyAlignment="1">
      <alignment horizontal="center" vertical="center" wrapText="1"/>
    </xf>
    <xf numFmtId="0" fontId="86" fillId="30" borderId="4" xfId="64" applyFont="1" applyFill="1" applyBorder="1" applyAlignment="1">
      <alignment vertical="center" wrapText="1"/>
    </xf>
    <xf numFmtId="4" fontId="86" fillId="30" borderId="4" xfId="64" applyNumberFormat="1" applyFont="1" applyFill="1" applyBorder="1" applyAlignment="1">
      <alignment vertical="center" wrapText="1"/>
    </xf>
    <xf numFmtId="4" fontId="70" fillId="30" borderId="4" xfId="1" applyNumberFormat="1" applyFont="1" applyFill="1" applyBorder="1" applyAlignment="1">
      <alignment horizontal="right" vertical="center" wrapText="1"/>
    </xf>
    <xf numFmtId="4" fontId="13" fillId="30" borderId="26" xfId="1" applyNumberFormat="1" applyFont="1" applyFill="1" applyBorder="1" applyAlignment="1">
      <alignment horizontal="center" vertical="center" wrapText="1"/>
    </xf>
    <xf numFmtId="0" fontId="13" fillId="30" borderId="6" xfId="1" applyFont="1" applyFill="1" applyBorder="1" applyAlignment="1">
      <alignment horizontal="justify" vertical="center" wrapText="1"/>
    </xf>
    <xf numFmtId="0" fontId="86" fillId="30" borderId="6" xfId="64" applyFont="1" applyFill="1" applyBorder="1" applyAlignment="1">
      <alignment horizontal="justify" vertical="center" wrapText="1"/>
    </xf>
    <xf numFmtId="0" fontId="13" fillId="30" borderId="13" xfId="64" applyFont="1" applyFill="1" applyBorder="1" applyAlignment="1">
      <alignment vertical="center" wrapText="1"/>
    </xf>
    <xf numFmtId="4" fontId="13" fillId="30" borderId="4" xfId="64" applyNumberFormat="1" applyFont="1" applyFill="1" applyBorder="1" applyAlignment="1">
      <alignment vertical="center" wrapText="1"/>
    </xf>
    <xf numFmtId="4" fontId="59" fillId="30" borderId="49" xfId="1" applyNumberFormat="1" applyFont="1" applyFill="1" applyBorder="1" applyAlignment="1">
      <alignment horizontal="right" vertical="center" wrapText="1"/>
    </xf>
    <xf numFmtId="4" fontId="88" fillId="30" borderId="24" xfId="1" applyNumberFormat="1" applyFont="1" applyFill="1" applyBorder="1" applyAlignment="1">
      <alignment horizontal="right" vertical="center" wrapText="1"/>
    </xf>
    <xf numFmtId="4" fontId="13" fillId="30" borderId="49" xfId="1" applyNumberFormat="1" applyFont="1" applyFill="1" applyBorder="1" applyAlignment="1">
      <alignment horizontal="center" vertical="center" wrapText="1"/>
    </xf>
    <xf numFmtId="0" fontId="13" fillId="30" borderId="8" xfId="1" applyFont="1" applyFill="1" applyBorder="1" applyAlignment="1">
      <alignment horizontal="justify" vertical="center" wrapText="1"/>
    </xf>
    <xf numFmtId="0" fontId="59" fillId="30" borderId="0" xfId="1" applyFont="1" applyFill="1" applyAlignment="1">
      <alignment vertical="center" wrapText="1"/>
    </xf>
    <xf numFmtId="0" fontId="59" fillId="30" borderId="32" xfId="1" applyFont="1" applyFill="1" applyBorder="1" applyAlignment="1"/>
    <xf numFmtId="0" fontId="59" fillId="30" borderId="0" xfId="1" applyFont="1" applyFill="1" applyBorder="1" applyAlignment="1">
      <alignment vertical="center" wrapText="1"/>
    </xf>
    <xf numFmtId="4" fontId="59" fillId="30" borderId="0" xfId="1" applyNumberFormat="1" applyFont="1" applyFill="1" applyBorder="1" applyAlignment="1">
      <alignment vertical="center"/>
    </xf>
    <xf numFmtId="0" fontId="59" fillId="30" borderId="0" xfId="1" applyFont="1" applyFill="1" applyBorder="1" applyAlignment="1">
      <alignment vertical="center"/>
    </xf>
    <xf numFmtId="0" fontId="70" fillId="30" borderId="0" xfId="1" applyFont="1" applyFill="1" applyBorder="1" applyAlignment="1">
      <alignment horizontal="right" vertical="center"/>
    </xf>
    <xf numFmtId="0" fontId="13" fillId="30" borderId="0" xfId="1" applyFont="1" applyFill="1" applyBorder="1" applyAlignment="1">
      <alignment horizontal="center" vertical="center"/>
    </xf>
    <xf numFmtId="0" fontId="13" fillId="30" borderId="40" xfId="1" applyFont="1" applyFill="1" applyBorder="1" applyAlignment="1">
      <alignment horizontal="justify" vertical="center" wrapText="1"/>
    </xf>
    <xf numFmtId="0" fontId="70" fillId="30" borderId="10" xfId="1" applyFont="1" applyFill="1" applyBorder="1" applyAlignment="1">
      <alignment horizontal="center" vertical="center" wrapText="1"/>
    </xf>
    <xf numFmtId="0" fontId="86" fillId="30" borderId="66" xfId="64" applyFont="1" applyFill="1" applyBorder="1" applyAlignment="1">
      <alignment vertical="center" wrapText="1"/>
    </xf>
    <xf numFmtId="4" fontId="86" fillId="30" borderId="66" xfId="64" applyNumberFormat="1" applyFont="1" applyFill="1" applyBorder="1" applyAlignment="1">
      <alignment vertical="center" wrapText="1"/>
    </xf>
    <xf numFmtId="4" fontId="70" fillId="30" borderId="66" xfId="1" applyNumberFormat="1" applyFont="1" applyFill="1" applyBorder="1" applyAlignment="1">
      <alignment horizontal="right" vertical="center" wrapText="1"/>
    </xf>
    <xf numFmtId="4" fontId="13" fillId="30" borderId="123" xfId="1" applyNumberFormat="1" applyFont="1" applyFill="1" applyBorder="1" applyAlignment="1">
      <alignment horizontal="center" vertical="center" wrapText="1"/>
    </xf>
    <xf numFmtId="0" fontId="13" fillId="30" borderId="12" xfId="1" applyFont="1" applyFill="1" applyBorder="1" applyAlignment="1">
      <alignment horizontal="justify" vertical="center" wrapText="1"/>
    </xf>
    <xf numFmtId="0" fontId="59" fillId="30" borderId="71" xfId="1" applyFont="1" applyFill="1" applyBorder="1" applyAlignment="1">
      <alignment vertical="center" wrapText="1"/>
    </xf>
    <xf numFmtId="4" fontId="59" fillId="30" borderId="71" xfId="1" applyNumberFormat="1" applyFont="1" applyFill="1" applyBorder="1" applyAlignment="1">
      <alignment vertical="center"/>
    </xf>
    <xf numFmtId="0" fontId="59" fillId="30" borderId="71" xfId="1" applyFont="1" applyFill="1" applyBorder="1" applyAlignment="1">
      <alignment vertical="center"/>
    </xf>
    <xf numFmtId="0" fontId="13" fillId="30" borderId="58" xfId="1" applyFont="1" applyFill="1" applyBorder="1" applyAlignment="1">
      <alignment horizontal="justify" vertical="center"/>
    </xf>
    <xf numFmtId="4" fontId="88" fillId="30" borderId="49" xfId="1" applyNumberFormat="1" applyFont="1" applyFill="1" applyBorder="1" applyAlignment="1">
      <alignment horizontal="right" vertical="center" wrapText="1"/>
    </xf>
    <xf numFmtId="4" fontId="13" fillId="30" borderId="8" xfId="1" applyNumberFormat="1" applyFont="1" applyFill="1" applyBorder="1" applyAlignment="1">
      <alignment horizontal="justify" vertical="center" wrapText="1"/>
    </xf>
    <xf numFmtId="4" fontId="13" fillId="30" borderId="4" xfId="1" applyNumberFormat="1" applyFont="1" applyFill="1" applyBorder="1" applyAlignment="1">
      <alignment horizontal="center" vertical="center" wrapText="1"/>
    </xf>
    <xf numFmtId="0" fontId="13" fillId="30" borderId="4" xfId="68" applyFont="1" applyFill="1" applyBorder="1" applyAlignment="1">
      <alignment horizontal="center" vertical="center"/>
    </xf>
    <xf numFmtId="4" fontId="13" fillId="30" borderId="8" xfId="1" applyNumberFormat="1" applyFont="1" applyFill="1" applyBorder="1" applyAlignment="1">
      <alignment horizontal="left" vertical="center" wrapText="1"/>
    </xf>
    <xf numFmtId="4" fontId="61" fillId="30" borderId="0" xfId="1" applyNumberFormat="1" applyFont="1" applyFill="1" applyAlignment="1">
      <alignment vertical="center"/>
    </xf>
    <xf numFmtId="4" fontId="61" fillId="30" borderId="0" xfId="1" applyNumberFormat="1" applyFont="1" applyFill="1" applyAlignment="1">
      <alignment vertical="center" wrapText="1"/>
    </xf>
    <xf numFmtId="4" fontId="91" fillId="30" borderId="0" xfId="1" applyNumberFormat="1" applyFont="1" applyFill="1" applyAlignment="1">
      <alignment vertical="center"/>
    </xf>
    <xf numFmtId="4" fontId="61" fillId="30" borderId="0" xfId="1" applyNumberFormat="1" applyFont="1" applyFill="1" applyAlignment="1">
      <alignment horizontal="center" vertical="center"/>
    </xf>
    <xf numFmtId="4" fontId="61" fillId="30" borderId="0" xfId="1" applyNumberFormat="1" applyFont="1" applyFill="1" applyAlignment="1">
      <alignment horizontal="left" vertical="center"/>
    </xf>
    <xf numFmtId="0" fontId="13" fillId="0" borderId="43" xfId="64" applyFont="1" applyFill="1" applyBorder="1" applyAlignment="1">
      <alignment horizontal="justify" vertical="center" wrapText="1"/>
    </xf>
    <xf numFmtId="4" fontId="13" fillId="0" borderId="32" xfId="1" applyNumberFormat="1" applyFont="1" applyFill="1" applyBorder="1" applyAlignment="1">
      <alignment horizontal="justify" vertical="center" wrapText="1"/>
    </xf>
    <xf numFmtId="0" fontId="98" fillId="0" borderId="0" xfId="64" applyFont="1" applyAlignment="1">
      <alignment vertical="top"/>
    </xf>
    <xf numFmtId="0" fontId="13" fillId="0" borderId="32" xfId="1" applyFont="1" applyBorder="1" applyAlignment="1">
      <alignment vertical="center" wrapText="1"/>
    </xf>
    <xf numFmtId="0" fontId="98" fillId="0" borderId="0" xfId="64" applyFont="1"/>
    <xf numFmtId="0" fontId="13" fillId="0" borderId="62" xfId="1" applyFont="1" applyBorder="1" applyAlignment="1">
      <alignment horizontal="left" vertical="center"/>
    </xf>
    <xf numFmtId="0" fontId="13" fillId="0" borderId="0" xfId="1" applyFont="1" applyBorder="1" applyAlignment="1">
      <alignment horizontal="left" vertical="center"/>
    </xf>
    <xf numFmtId="49" fontId="11" fillId="0" borderId="13" xfId="0" applyNumberFormat="1" applyFont="1" applyFill="1" applyBorder="1" applyAlignment="1">
      <alignment vertical="center" wrapText="1"/>
    </xf>
    <xf numFmtId="4" fontId="13" fillId="26" borderId="121" xfId="0" applyNumberFormat="1" applyFont="1" applyFill="1" applyBorder="1" applyAlignment="1">
      <alignment horizontal="right" vertical="center"/>
    </xf>
    <xf numFmtId="4" fontId="13" fillId="0" borderId="82" xfId="0" applyNumberFormat="1" applyFont="1" applyFill="1" applyBorder="1" applyAlignment="1">
      <alignment vertical="center"/>
    </xf>
    <xf numFmtId="0" fontId="13" fillId="0" borderId="32" xfId="64" applyFont="1" applyBorder="1" applyAlignment="1">
      <alignment wrapText="1"/>
    </xf>
    <xf numFmtId="0" fontId="13" fillId="0" borderId="32" xfId="1" applyFont="1" applyBorder="1" applyAlignment="1">
      <alignment horizontal="justify" vertical="center" wrapText="1"/>
    </xf>
    <xf numFmtId="0" fontId="5" fillId="24" borderId="0" xfId="53" applyFont="1" applyFill="1" applyBorder="1" applyAlignment="1">
      <alignment horizontal="center" vertical="center"/>
    </xf>
    <xf numFmtId="0" fontId="5" fillId="24" borderId="9" xfId="53" applyFont="1" applyFill="1" applyBorder="1" applyAlignment="1">
      <alignment horizontal="center" vertical="center"/>
    </xf>
    <xf numFmtId="0" fontId="5" fillId="24" borderId="23" xfId="53" applyFont="1" applyFill="1" applyBorder="1" applyAlignment="1">
      <alignment horizontal="center" vertical="center"/>
    </xf>
    <xf numFmtId="0" fontId="7" fillId="0" borderId="0" xfId="53" applyFont="1" applyAlignment="1">
      <alignment horizontal="justify" wrapText="1"/>
    </xf>
    <xf numFmtId="0" fontId="8" fillId="0" borderId="0" xfId="0" applyFont="1" applyAlignment="1">
      <alignment horizontal="center" vertical="center"/>
    </xf>
    <xf numFmtId="0" fontId="8" fillId="0" borderId="0" xfId="0" applyFont="1" applyAlignment="1">
      <alignment horizontal="center"/>
    </xf>
    <xf numFmtId="0" fontId="6" fillId="0" borderId="5" xfId="0" applyFont="1" applyBorder="1" applyAlignment="1">
      <alignment horizontal="left"/>
    </xf>
    <xf numFmtId="0" fontId="6" fillId="0" borderId="4" xfId="0" applyFont="1" applyBorder="1" applyAlignment="1">
      <alignment horizontal="left"/>
    </xf>
    <xf numFmtId="0" fontId="6" fillId="0" borderId="7" xfId="0" applyFont="1" applyBorder="1" applyAlignment="1">
      <alignment horizontal="left"/>
    </xf>
    <xf numFmtId="0" fontId="6" fillId="0" borderId="49" xfId="0" applyFont="1" applyBorder="1" applyAlignment="1">
      <alignment horizontal="left"/>
    </xf>
    <xf numFmtId="0" fontId="6" fillId="0" borderId="29" xfId="0" applyFont="1" applyBorder="1" applyAlignment="1">
      <alignment horizontal="left"/>
    </xf>
    <xf numFmtId="0" fontId="6" fillId="0" borderId="57" xfId="0" applyFont="1" applyBorder="1" applyAlignment="1">
      <alignment horizontal="left"/>
    </xf>
    <xf numFmtId="0" fontId="6" fillId="0" borderId="56" xfId="0" applyFont="1" applyBorder="1" applyAlignment="1">
      <alignment horizontal="left"/>
    </xf>
    <xf numFmtId="0" fontId="8" fillId="0" borderId="0" xfId="1" applyFont="1" applyAlignment="1">
      <alignment horizontal="center" vertical="center"/>
    </xf>
    <xf numFmtId="0" fontId="8" fillId="0" borderId="0" xfId="1" applyFont="1" applyAlignment="1">
      <alignment horizontal="center"/>
    </xf>
    <xf numFmtId="0" fontId="59" fillId="0" borderId="61" xfId="56" applyFont="1" applyFill="1" applyBorder="1" applyAlignment="1">
      <alignment horizontal="center" vertical="center"/>
    </xf>
    <xf numFmtId="0" fontId="59" fillId="0" borderId="48" xfId="56" applyFont="1" applyFill="1" applyBorder="1" applyAlignment="1">
      <alignment horizontal="center" vertical="center"/>
    </xf>
    <xf numFmtId="0" fontId="59" fillId="0" borderId="68" xfId="56" applyFont="1" applyFill="1" applyBorder="1" applyAlignment="1">
      <alignment horizontal="center" vertical="center"/>
    </xf>
    <xf numFmtId="0" fontId="59" fillId="26" borderId="60" xfId="56" applyFont="1" applyFill="1" applyBorder="1" applyAlignment="1">
      <alignment vertical="center"/>
    </xf>
    <xf numFmtId="0" fontId="13" fillId="26" borderId="45" xfId="56" applyFont="1" applyFill="1" applyBorder="1" applyAlignment="1">
      <alignment vertical="center"/>
    </xf>
    <xf numFmtId="0" fontId="59" fillId="0" borderId="28" xfId="56" applyFont="1" applyFill="1" applyBorder="1" applyAlignment="1"/>
    <xf numFmtId="0" fontId="59" fillId="0" borderId="71" xfId="56" applyFont="1" applyFill="1" applyBorder="1" applyAlignment="1"/>
    <xf numFmtId="0" fontId="59" fillId="0" borderId="58" xfId="56" applyFont="1" applyFill="1" applyBorder="1" applyAlignment="1"/>
    <xf numFmtId="0" fontId="65" fillId="0" borderId="0" xfId="56" applyFont="1" applyFill="1" applyAlignment="1">
      <alignment horizontal="center" vertical="center" wrapText="1"/>
    </xf>
    <xf numFmtId="0" fontId="59" fillId="0" borderId="37" xfId="56" applyFont="1" applyFill="1" applyBorder="1" applyAlignment="1">
      <alignment horizontal="center" vertical="center" wrapText="1"/>
    </xf>
    <xf numFmtId="0" fontId="59" fillId="0" borderId="32" xfId="56" applyFont="1" applyFill="1" applyBorder="1" applyAlignment="1">
      <alignment horizontal="center" vertical="center" wrapText="1"/>
    </xf>
    <xf numFmtId="0" fontId="59" fillId="0" borderId="29" xfId="56" applyFont="1" applyFill="1" applyBorder="1" applyAlignment="1">
      <alignment horizontal="center" vertical="center" wrapText="1"/>
    </xf>
    <xf numFmtId="0" fontId="59" fillId="0" borderId="77" xfId="56" applyFont="1" applyFill="1" applyBorder="1" applyAlignment="1">
      <alignment horizontal="center" vertical="center"/>
    </xf>
    <xf numFmtId="0" fontId="59" fillId="0" borderId="3" xfId="56" applyFont="1" applyFill="1" applyBorder="1" applyAlignment="1">
      <alignment horizontal="center" vertical="center"/>
    </xf>
    <xf numFmtId="0" fontId="59" fillId="0" borderId="39" xfId="56" applyFont="1" applyFill="1" applyBorder="1" applyAlignment="1">
      <alignment horizontal="center" vertical="center"/>
    </xf>
    <xf numFmtId="0" fontId="56" fillId="0" borderId="76" xfId="56" applyFont="1" applyFill="1" applyBorder="1" applyAlignment="1">
      <alignment horizontal="center" vertical="center" wrapText="1"/>
    </xf>
    <xf numFmtId="0" fontId="7" fillId="0" borderId="75" xfId="56" applyFont="1" applyBorder="1" applyAlignment="1">
      <alignment horizontal="center" vertical="center" wrapText="1"/>
    </xf>
    <xf numFmtId="0" fontId="7" fillId="0" borderId="74" xfId="56" applyFont="1" applyBorder="1" applyAlignment="1">
      <alignment horizontal="center" vertical="center" wrapText="1"/>
    </xf>
    <xf numFmtId="0" fontId="56" fillId="0" borderId="62" xfId="56" applyFont="1" applyFill="1" applyBorder="1" applyAlignment="1">
      <alignment horizontal="center" vertical="center" wrapText="1"/>
    </xf>
    <xf numFmtId="0" fontId="7" fillId="0" borderId="61" xfId="56" applyFont="1" applyBorder="1" applyAlignment="1">
      <alignment wrapText="1"/>
    </xf>
    <xf numFmtId="0" fontId="7" fillId="0" borderId="2" xfId="56" applyFont="1" applyBorder="1" applyAlignment="1">
      <alignment wrapText="1"/>
    </xf>
    <xf numFmtId="0" fontId="7" fillId="0" borderId="50" xfId="56" applyFont="1" applyBorder="1" applyAlignment="1">
      <alignment wrapText="1"/>
    </xf>
    <xf numFmtId="0" fontId="56" fillId="0" borderId="37" xfId="56" applyNumberFormat="1" applyFont="1" applyFill="1" applyBorder="1" applyAlignment="1">
      <alignment horizontal="center" vertical="center"/>
    </xf>
    <xf numFmtId="0" fontId="11" fillId="0" borderId="62" xfId="56" applyFont="1" applyBorder="1" applyAlignment="1">
      <alignment horizontal="center" vertical="center"/>
    </xf>
    <xf numFmtId="0" fontId="11" fillId="0" borderId="61" xfId="56" applyFont="1" applyBorder="1" applyAlignment="1">
      <alignment horizontal="center" vertical="center"/>
    </xf>
    <xf numFmtId="0" fontId="11" fillId="0" borderId="34" xfId="56" applyFont="1" applyBorder="1" applyAlignment="1">
      <alignment horizontal="center" vertical="center"/>
    </xf>
    <xf numFmtId="0" fontId="11" fillId="0" borderId="2" xfId="56" applyFont="1" applyBorder="1" applyAlignment="1">
      <alignment horizontal="center" vertical="center"/>
    </xf>
    <xf numFmtId="0" fontId="11" fillId="0" borderId="50" xfId="56" applyFont="1" applyBorder="1" applyAlignment="1">
      <alignment horizontal="center" vertical="center"/>
    </xf>
    <xf numFmtId="0" fontId="11" fillId="0" borderId="62" xfId="56" applyFont="1" applyFill="1" applyBorder="1" applyAlignment="1">
      <alignment horizontal="center" vertical="center"/>
    </xf>
    <xf numFmtId="0" fontId="11" fillId="0" borderId="61" xfId="56" applyFont="1" applyFill="1" applyBorder="1" applyAlignment="1">
      <alignment horizontal="center" vertical="center"/>
    </xf>
    <xf numFmtId="0" fontId="11" fillId="0" borderId="34" xfId="56" applyFont="1" applyFill="1" applyBorder="1" applyAlignment="1">
      <alignment horizontal="center" vertical="center"/>
    </xf>
    <xf numFmtId="0" fontId="11" fillId="0" borderId="2" xfId="56" applyFont="1" applyFill="1" applyBorder="1" applyAlignment="1">
      <alignment horizontal="center" vertical="center"/>
    </xf>
    <xf numFmtId="0" fontId="11" fillId="0" borderId="50" xfId="56" applyFont="1" applyFill="1" applyBorder="1" applyAlignment="1">
      <alignment horizontal="center" vertical="center"/>
    </xf>
    <xf numFmtId="0" fontId="56" fillId="0" borderId="37" xfId="56" applyFont="1" applyFill="1" applyBorder="1" applyAlignment="1">
      <alignment horizontal="center" vertical="center"/>
    </xf>
    <xf numFmtId="0" fontId="7" fillId="0" borderId="62" xfId="56" applyFont="1" applyBorder="1" applyAlignment="1">
      <alignment horizontal="center" vertical="center"/>
    </xf>
    <xf numFmtId="0" fontId="7" fillId="0" borderId="61" xfId="56" applyFont="1" applyBorder="1" applyAlignment="1">
      <alignment horizontal="center" vertical="center"/>
    </xf>
    <xf numFmtId="0" fontId="59" fillId="0" borderId="29" xfId="56" applyFont="1" applyFill="1" applyBorder="1" applyAlignment="1">
      <alignment horizontal="left"/>
    </xf>
    <xf numFmtId="0" fontId="59" fillId="0" borderId="57" xfId="56" applyFont="1" applyFill="1" applyBorder="1" applyAlignment="1">
      <alignment horizontal="left"/>
    </xf>
    <xf numFmtId="0" fontId="59" fillId="0" borderId="68" xfId="56" applyFont="1" applyFill="1" applyBorder="1" applyAlignment="1">
      <alignment horizontal="left"/>
    </xf>
    <xf numFmtId="0" fontId="59" fillId="0" borderId="28" xfId="56" applyFont="1" applyFill="1" applyBorder="1" applyAlignment="1">
      <alignment horizontal="left"/>
    </xf>
    <xf numFmtId="0" fontId="59" fillId="0" borderId="71" xfId="56" applyFont="1" applyFill="1" applyBorder="1" applyAlignment="1">
      <alignment horizontal="left"/>
    </xf>
    <xf numFmtId="0" fontId="59" fillId="0" borderId="58" xfId="56" applyFont="1" applyFill="1" applyBorder="1" applyAlignment="1">
      <alignment horizontal="left"/>
    </xf>
    <xf numFmtId="0" fontId="63" fillId="0" borderId="67" xfId="56" applyFont="1" applyFill="1" applyBorder="1" applyAlignment="1">
      <alignment horizontal="center" vertical="center" textRotation="90"/>
    </xf>
    <xf numFmtId="0" fontId="63" fillId="0" borderId="64" xfId="56" applyFont="1" applyFill="1" applyBorder="1" applyAlignment="1">
      <alignment horizontal="center" vertical="center" textRotation="90"/>
    </xf>
    <xf numFmtId="0" fontId="63" fillId="0" borderId="65" xfId="56" applyFont="1" applyFill="1" applyBorder="1" applyAlignment="1">
      <alignment horizontal="center" vertical="center" textRotation="90"/>
    </xf>
    <xf numFmtId="0" fontId="6" fillId="0" borderId="0" xfId="56" applyFont="1" applyFill="1" applyBorder="1" applyAlignment="1">
      <alignment horizontal="center" vertical="center"/>
    </xf>
    <xf numFmtId="0" fontId="7" fillId="0" borderId="0" xfId="56" applyFont="1" applyBorder="1" applyAlignment="1">
      <alignment vertical="center"/>
    </xf>
    <xf numFmtId="0" fontId="59" fillId="26" borderId="60" xfId="56" applyFont="1" applyFill="1" applyBorder="1" applyAlignment="1">
      <alignment vertical="center" wrapText="1"/>
    </xf>
    <xf numFmtId="0" fontId="13" fillId="26" borderId="45" xfId="56" applyFont="1" applyFill="1" applyBorder="1" applyAlignment="1">
      <alignment vertical="center" wrapText="1"/>
    </xf>
    <xf numFmtId="0" fontId="59" fillId="0" borderId="37" xfId="56" applyFont="1" applyFill="1" applyBorder="1" applyAlignment="1">
      <alignment horizontal="left"/>
    </xf>
    <xf numFmtId="0" fontId="59" fillId="0" borderId="62" xfId="56" applyFont="1" applyFill="1" applyBorder="1" applyAlignment="1">
      <alignment horizontal="left"/>
    </xf>
    <xf numFmtId="0" fontId="59" fillId="0" borderId="61" xfId="56" applyFont="1" applyFill="1" applyBorder="1" applyAlignment="1">
      <alignment horizontal="left"/>
    </xf>
    <xf numFmtId="0" fontId="6" fillId="0" borderId="0" xfId="56" applyFont="1" applyFill="1" applyBorder="1" applyAlignment="1">
      <alignment vertical="top" wrapText="1"/>
    </xf>
    <xf numFmtId="0" fontId="8" fillId="0" borderId="0" xfId="56" applyFont="1" applyFill="1" applyBorder="1" applyAlignment="1">
      <alignment vertical="top" wrapText="1"/>
    </xf>
    <xf numFmtId="0" fontId="59" fillId="26" borderId="10" xfId="56" applyFont="1" applyFill="1" applyBorder="1" applyAlignment="1">
      <alignment vertical="center"/>
    </xf>
    <xf numFmtId="0" fontId="13" fillId="26" borderId="11" xfId="56" applyFont="1" applyFill="1" applyBorder="1" applyAlignment="1">
      <alignment vertical="center"/>
    </xf>
    <xf numFmtId="0" fontId="8" fillId="0" borderId="0" xfId="58" applyFont="1" applyFill="1" applyBorder="1" applyAlignment="1">
      <alignment horizontal="center" vertical="center" wrapText="1"/>
    </xf>
    <xf numFmtId="0" fontId="6" fillId="0" borderId="5" xfId="58" applyFont="1" applyFill="1" applyBorder="1" applyAlignment="1">
      <alignment horizontal="left" vertical="center" wrapText="1"/>
    </xf>
    <xf numFmtId="0" fontId="6" fillId="0" borderId="4" xfId="58" applyFont="1" applyFill="1" applyBorder="1" applyAlignment="1">
      <alignment horizontal="left" vertical="center" wrapText="1"/>
    </xf>
    <xf numFmtId="0" fontId="6" fillId="0" borderId="29" xfId="58" applyFont="1" applyFill="1" applyBorder="1" applyAlignment="1">
      <alignment horizontal="left" vertical="center" wrapText="1"/>
    </xf>
    <xf numFmtId="0" fontId="6" fillId="0" borderId="56" xfId="58" applyFont="1" applyFill="1" applyBorder="1" applyAlignment="1">
      <alignment horizontal="left" vertical="center" wrapText="1"/>
    </xf>
    <xf numFmtId="0" fontId="54" fillId="0" borderId="72" xfId="59" applyFont="1" applyBorder="1" applyAlignment="1">
      <alignment horizontal="left" vertical="center" wrapText="1"/>
    </xf>
    <xf numFmtId="0" fontId="54" fillId="0" borderId="64" xfId="59" applyFont="1" applyBorder="1" applyAlignment="1">
      <alignment horizontal="left" vertical="center" wrapText="1"/>
    </xf>
    <xf numFmtId="0" fontId="54" fillId="0" borderId="65" xfId="59" applyFont="1" applyBorder="1" applyAlignment="1">
      <alignment horizontal="left" vertical="center" wrapText="1"/>
    </xf>
    <xf numFmtId="0" fontId="6" fillId="0" borderId="47" xfId="58" applyFont="1" applyFill="1" applyBorder="1" applyAlignment="1">
      <alignment horizontal="left" wrapText="1"/>
    </xf>
    <xf numFmtId="0" fontId="6" fillId="0" borderId="55" xfId="58" applyFont="1" applyFill="1" applyBorder="1" applyAlignment="1">
      <alignment horizontal="left" wrapText="1"/>
    </xf>
    <xf numFmtId="0" fontId="6" fillId="0" borderId="53" xfId="58" applyFont="1" applyFill="1" applyBorder="1" applyAlignment="1">
      <alignment horizontal="left" wrapText="1"/>
    </xf>
    <xf numFmtId="0" fontId="6" fillId="0" borderId="5" xfId="58" applyFont="1" applyFill="1" applyBorder="1" applyAlignment="1">
      <alignment horizontal="left" wrapText="1"/>
    </xf>
    <xf numFmtId="0" fontId="6" fillId="0" borderId="4" xfId="58" applyFont="1" applyFill="1" applyBorder="1" applyAlignment="1">
      <alignment horizontal="left" wrapText="1"/>
    </xf>
    <xf numFmtId="0" fontId="6" fillId="0" borderId="6" xfId="58" applyFont="1" applyFill="1" applyBorder="1" applyAlignment="1">
      <alignment horizontal="left" wrapText="1"/>
    </xf>
    <xf numFmtId="0" fontId="54" fillId="0" borderId="72" xfId="59" applyFont="1" applyFill="1" applyBorder="1" applyAlignment="1">
      <alignment horizontal="left" vertical="center" wrapText="1"/>
    </xf>
    <xf numFmtId="0" fontId="54" fillId="0" borderId="64" xfId="59" applyFont="1" applyFill="1" applyBorder="1" applyAlignment="1">
      <alignment horizontal="left" vertical="center" wrapText="1"/>
    </xf>
    <xf numFmtId="0" fontId="54" fillId="0" borderId="65" xfId="59" applyFont="1" applyFill="1" applyBorder="1" applyAlignment="1">
      <alignment horizontal="left" vertical="center" wrapText="1"/>
    </xf>
    <xf numFmtId="0" fontId="6" fillId="0" borderId="31" xfId="58" applyFont="1" applyFill="1" applyBorder="1" applyAlignment="1">
      <alignment horizontal="left" wrapText="1"/>
    </xf>
    <xf numFmtId="0" fontId="6" fillId="0" borderId="42" xfId="58" applyFont="1" applyFill="1" applyBorder="1" applyAlignment="1">
      <alignment horizontal="left" wrapText="1"/>
    </xf>
    <xf numFmtId="0" fontId="6" fillId="0" borderId="41" xfId="58" applyFont="1" applyFill="1" applyBorder="1" applyAlignment="1">
      <alignment horizontal="left" wrapText="1"/>
    </xf>
    <xf numFmtId="0" fontId="11" fillId="0" borderId="0" xfId="58" applyFont="1" applyFill="1" applyBorder="1" applyAlignment="1">
      <alignment horizontal="left" vertical="center" wrapText="1"/>
    </xf>
    <xf numFmtId="0" fontId="6" fillId="0" borderId="36" xfId="58" applyFont="1" applyFill="1" applyBorder="1" applyAlignment="1">
      <alignment horizontal="left" wrapText="1"/>
    </xf>
    <xf numFmtId="0" fontId="6" fillId="0" borderId="70" xfId="58" applyFont="1" applyFill="1" applyBorder="1" applyAlignment="1">
      <alignment horizontal="left" wrapText="1"/>
    </xf>
    <xf numFmtId="0" fontId="6" fillId="0" borderId="69" xfId="58" applyFont="1" applyFill="1" applyBorder="1" applyAlignment="1">
      <alignment horizontal="left" wrapText="1"/>
    </xf>
    <xf numFmtId="0" fontId="54" fillId="0" borderId="5" xfId="59" applyFont="1" applyBorder="1" applyAlignment="1">
      <alignment horizontal="left" vertical="center" wrapText="1"/>
    </xf>
    <xf numFmtId="0" fontId="8" fillId="0" borderId="0" xfId="60" applyFont="1" applyAlignment="1" applyProtection="1">
      <alignment horizontal="center" vertical="center" wrapText="1"/>
      <protection locked="0"/>
    </xf>
    <xf numFmtId="1" fontId="59" fillId="0" borderId="77" xfId="60" applyNumberFormat="1" applyFont="1" applyFill="1" applyBorder="1" applyAlignment="1" applyProtection="1">
      <alignment horizontal="center" vertical="center" wrapText="1"/>
      <protection locked="0"/>
    </xf>
    <xf numFmtId="1" fontId="59" fillId="0" borderId="39" xfId="60" applyNumberFormat="1" applyFont="1" applyFill="1" applyBorder="1" applyAlignment="1" applyProtection="1">
      <alignment horizontal="center" vertical="center" wrapText="1"/>
      <protection locked="0"/>
    </xf>
    <xf numFmtId="0" fontId="59" fillId="0" borderId="67" xfId="60" applyFont="1" applyFill="1" applyBorder="1" applyAlignment="1" applyProtection="1">
      <alignment horizontal="center" vertical="center" wrapText="1"/>
      <protection locked="0"/>
    </xf>
    <xf numFmtId="0" fontId="59" fillId="0" borderId="80" xfId="60" applyFont="1" applyFill="1" applyBorder="1" applyAlignment="1" applyProtection="1">
      <alignment horizontal="center" vertical="center" wrapText="1"/>
      <protection locked="0"/>
    </xf>
    <xf numFmtId="4" fontId="59" fillId="0" borderId="78" xfId="60" applyNumberFormat="1" applyFont="1" applyFill="1" applyBorder="1" applyAlignment="1" applyProtection="1">
      <alignment horizontal="center" vertical="center" wrapText="1"/>
      <protection locked="0"/>
    </xf>
    <xf numFmtId="4" fontId="59" fillId="0" borderId="81" xfId="60" applyNumberFormat="1" applyFont="1" applyFill="1" applyBorder="1" applyAlignment="1" applyProtection="1">
      <alignment horizontal="center" vertical="center" wrapText="1"/>
      <protection locked="0"/>
    </xf>
    <xf numFmtId="0" fontId="59" fillId="0" borderId="11" xfId="60" applyFont="1" applyBorder="1" applyAlignment="1" applyProtection="1">
      <alignment horizontal="center" vertical="center"/>
      <protection locked="0"/>
    </xf>
    <xf numFmtId="0" fontId="67" fillId="0" borderId="70" xfId="48" applyFont="1" applyBorder="1" applyAlignment="1">
      <alignment horizontal="center" vertical="center"/>
    </xf>
    <xf numFmtId="0" fontId="68" fillId="0" borderId="70" xfId="48" applyFont="1" applyBorder="1" applyAlignment="1">
      <alignment horizontal="center" vertical="center"/>
    </xf>
    <xf numFmtId="4" fontId="59" fillId="0" borderId="79" xfId="60" applyNumberFormat="1" applyFont="1" applyFill="1" applyBorder="1" applyAlignment="1" applyProtection="1">
      <alignment horizontal="center" vertical="center" wrapText="1"/>
      <protection locked="0"/>
    </xf>
    <xf numFmtId="4" fontId="59" fillId="0" borderId="38" xfId="60" applyNumberFormat="1" applyFont="1" applyFill="1" applyBorder="1" applyAlignment="1" applyProtection="1">
      <alignment horizontal="center" vertical="center" wrapText="1"/>
      <protection locked="0"/>
    </xf>
    <xf numFmtId="0" fontId="59" fillId="26" borderId="28" xfId="0" applyFont="1" applyFill="1" applyBorder="1" applyAlignment="1">
      <alignment vertical="center"/>
    </xf>
    <xf numFmtId="0" fontId="13" fillId="26" borderId="71" xfId="0" applyFont="1" applyFill="1" applyBorder="1" applyAlignment="1">
      <alignment vertical="center"/>
    </xf>
    <xf numFmtId="0" fontId="13" fillId="26" borderId="105" xfId="0" applyFont="1" applyFill="1" applyBorder="1" applyAlignment="1">
      <alignment vertical="center"/>
    </xf>
    <xf numFmtId="0" fontId="13" fillId="0" borderId="86"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59" fillId="26" borderId="31" xfId="0" applyFont="1" applyFill="1" applyBorder="1" applyAlignment="1">
      <alignment horizontal="left" vertical="center"/>
    </xf>
    <xf numFmtId="0" fontId="13" fillId="26" borderId="42" xfId="0" applyFont="1" applyFill="1" applyBorder="1" applyAlignment="1">
      <alignment horizontal="left" vertical="center"/>
    </xf>
    <xf numFmtId="0" fontId="13" fillId="26" borderId="116" xfId="0" applyFont="1" applyFill="1" applyBorder="1" applyAlignment="1">
      <alignment horizontal="left" vertical="center"/>
    </xf>
    <xf numFmtId="0" fontId="59" fillId="26" borderId="42" xfId="0" applyFont="1" applyFill="1" applyBorder="1" applyAlignment="1">
      <alignment horizontal="left" vertical="center"/>
    </xf>
    <xf numFmtId="0" fontId="59" fillId="26" borderId="116" xfId="0" applyFont="1" applyFill="1" applyBorder="1" applyAlignment="1">
      <alignment horizontal="left" vertical="center"/>
    </xf>
    <xf numFmtId="4" fontId="59" fillId="26" borderId="5" xfId="0" applyNumberFormat="1" applyFont="1" applyFill="1" applyBorder="1" applyAlignment="1">
      <alignment horizontal="left" vertical="center"/>
    </xf>
    <xf numFmtId="4" fontId="59" fillId="26" borderId="4" xfId="0" applyNumberFormat="1" applyFont="1" applyFill="1" applyBorder="1" applyAlignment="1">
      <alignment horizontal="left" vertical="center"/>
    </xf>
    <xf numFmtId="0" fontId="13" fillId="0" borderId="47" xfId="0" applyFont="1" applyFill="1" applyBorder="1" applyAlignment="1">
      <alignment horizontal="center" vertical="center" wrapText="1"/>
    </xf>
    <xf numFmtId="0" fontId="13" fillId="0" borderId="86" xfId="0" applyFont="1" applyFill="1" applyBorder="1" applyAlignment="1">
      <alignment horizontal="center" vertical="center"/>
    </xf>
    <xf numFmtId="0" fontId="13" fillId="0" borderId="113" xfId="0" applyFont="1" applyFill="1" applyBorder="1" applyAlignment="1">
      <alignment horizontal="center" vertical="center"/>
    </xf>
    <xf numFmtId="0" fontId="8" fillId="0" borderId="0" xfId="62" applyFont="1" applyAlignment="1">
      <alignment horizontal="center" vertical="center"/>
    </xf>
    <xf numFmtId="0" fontId="13" fillId="0" borderId="34" xfId="0" applyFont="1" applyFill="1" applyBorder="1" applyAlignment="1">
      <alignment horizontal="center" vertical="center" wrapText="1"/>
    </xf>
    <xf numFmtId="0" fontId="13" fillId="0" borderId="31" xfId="1" applyFont="1" applyBorder="1" applyAlignment="1">
      <alignment horizontal="left" vertical="center"/>
    </xf>
    <xf numFmtId="0" fontId="13" fillId="0" borderId="82" xfId="1" applyFont="1" applyBorder="1" applyAlignment="1">
      <alignment horizontal="left" vertical="center"/>
    </xf>
    <xf numFmtId="0" fontId="59" fillId="0" borderId="36" xfId="1" applyFont="1" applyBorder="1" applyAlignment="1">
      <alignment horizontal="left" vertical="center"/>
    </xf>
    <xf numFmtId="0" fontId="59" fillId="0" borderId="123" xfId="1" applyFont="1" applyBorder="1" applyAlignment="1">
      <alignment horizontal="left" vertical="center"/>
    </xf>
    <xf numFmtId="0" fontId="59" fillId="0" borderId="124" xfId="1" applyFont="1" applyBorder="1" applyAlignment="1">
      <alignment horizontal="left" vertical="center"/>
    </xf>
    <xf numFmtId="0" fontId="59" fillId="0" borderId="125" xfId="1" applyFont="1" applyBorder="1" applyAlignment="1">
      <alignment horizontal="left" vertical="center"/>
    </xf>
    <xf numFmtId="0" fontId="59" fillId="0" borderId="7" xfId="1" applyFont="1" applyBorder="1" applyAlignment="1">
      <alignment vertical="center" wrapText="1"/>
    </xf>
    <xf numFmtId="0" fontId="59" fillId="0" borderId="49" xfId="1" applyFont="1" applyBorder="1" applyAlignment="1">
      <alignment vertical="center" wrapText="1"/>
    </xf>
    <xf numFmtId="0" fontId="59" fillId="0" borderId="7" xfId="1" applyFont="1" applyFill="1" applyBorder="1" applyAlignment="1">
      <alignment vertical="center" wrapText="1"/>
    </xf>
    <xf numFmtId="0" fontId="59" fillId="0" borderId="49" xfId="1" applyFont="1" applyFill="1" applyBorder="1" applyAlignment="1">
      <alignment vertical="center" wrapText="1"/>
    </xf>
    <xf numFmtId="0" fontId="13" fillId="0" borderId="79" xfId="1" applyFont="1" applyFill="1" applyBorder="1" applyAlignment="1">
      <alignment horizontal="justify" vertical="center" wrapText="1"/>
    </xf>
    <xf numFmtId="0" fontId="13" fillId="0" borderId="40" xfId="1" applyFont="1" applyFill="1" applyBorder="1" applyAlignment="1">
      <alignment horizontal="justify" vertical="center" wrapText="1"/>
    </xf>
    <xf numFmtId="0" fontId="13" fillId="0" borderId="43" xfId="1" applyFont="1" applyFill="1" applyBorder="1" applyAlignment="1">
      <alignment horizontal="justify" vertical="center" wrapText="1"/>
    </xf>
    <xf numFmtId="0" fontId="13" fillId="30" borderId="31" xfId="1" applyFont="1" applyFill="1" applyBorder="1" applyAlignment="1">
      <alignment horizontal="left" vertical="center"/>
    </xf>
    <xf numFmtId="0" fontId="13" fillId="30" borderId="82" xfId="1" applyFont="1" applyFill="1" applyBorder="1" applyAlignment="1">
      <alignment horizontal="left" vertical="center"/>
    </xf>
    <xf numFmtId="0" fontId="8" fillId="30" borderId="0" xfId="1" applyFont="1" applyFill="1" applyAlignment="1">
      <alignment horizontal="center"/>
    </xf>
    <xf numFmtId="0" fontId="59" fillId="30" borderId="36" xfId="1" applyFont="1" applyFill="1" applyBorder="1" applyAlignment="1">
      <alignment horizontal="left" vertical="center"/>
    </xf>
    <xf numFmtId="0" fontId="59" fillId="30" borderId="123" xfId="1" applyFont="1" applyFill="1" applyBorder="1" applyAlignment="1">
      <alignment horizontal="left" vertical="center"/>
    </xf>
    <xf numFmtId="0" fontId="59" fillId="30" borderId="124" xfId="1" applyFont="1" applyFill="1" applyBorder="1" applyAlignment="1">
      <alignment horizontal="left" vertical="center"/>
    </xf>
    <xf numFmtId="0" fontId="59" fillId="30" borderId="125" xfId="1" applyFont="1" applyFill="1" applyBorder="1" applyAlignment="1">
      <alignment horizontal="left" vertical="center"/>
    </xf>
    <xf numFmtId="0" fontId="59" fillId="30" borderId="7" xfId="1" applyFont="1" applyFill="1" applyBorder="1" applyAlignment="1">
      <alignment vertical="center" wrapText="1"/>
    </xf>
    <xf numFmtId="0" fontId="59" fillId="30" borderId="49" xfId="1" applyFont="1" applyFill="1" applyBorder="1" applyAlignment="1">
      <alignment vertical="center" wrapText="1"/>
    </xf>
    <xf numFmtId="172" fontId="8" fillId="0" borderId="0" xfId="63" applyNumberFormat="1" applyFont="1" applyFill="1" applyAlignment="1">
      <alignment horizontal="center" vertical="center" wrapText="1"/>
    </xf>
    <xf numFmtId="172" fontId="6" fillId="0" borderId="60" xfId="63" applyNumberFormat="1" applyFont="1" applyBorder="1" applyAlignment="1">
      <alignment horizontal="left" vertical="center"/>
    </xf>
    <xf numFmtId="172" fontId="6" fillId="0" borderId="59" xfId="63" applyNumberFormat="1" applyFont="1" applyBorder="1" applyAlignment="1">
      <alignment horizontal="left" vertical="center"/>
    </xf>
    <xf numFmtId="172" fontId="8" fillId="0" borderId="0" xfId="63" applyNumberFormat="1" applyFont="1" applyFill="1" applyAlignment="1">
      <alignment horizontal="center" wrapText="1"/>
    </xf>
    <xf numFmtId="172" fontId="6" fillId="0" borderId="28" xfId="63" applyNumberFormat="1" applyFont="1" applyFill="1" applyBorder="1" applyAlignment="1">
      <alignment horizontal="left" vertical="top"/>
    </xf>
    <xf numFmtId="172" fontId="6" fillId="0" borderId="63" xfId="63" applyNumberFormat="1" applyFont="1" applyFill="1" applyBorder="1" applyAlignment="1">
      <alignment horizontal="left" vertical="top"/>
    </xf>
    <xf numFmtId="0" fontId="52" fillId="0" borderId="0" xfId="63" applyNumberFormat="1" applyFont="1" applyBorder="1" applyAlignment="1">
      <alignment horizontal="center" vertical="center"/>
    </xf>
    <xf numFmtId="0" fontId="52" fillId="0" borderId="0" xfId="63" applyNumberFormat="1" applyFont="1" applyBorder="1" applyAlignment="1">
      <alignment vertical="center" wrapText="1"/>
    </xf>
    <xf numFmtId="0" fontId="52" fillId="0" borderId="0" xfId="63" applyNumberFormat="1" applyFont="1" applyBorder="1" applyAlignment="1">
      <alignment vertical="center"/>
    </xf>
    <xf numFmtId="1" fontId="52" fillId="0" borderId="0" xfId="63" applyNumberFormat="1" applyFont="1" applyAlignment="1">
      <alignment horizontal="center" vertical="center"/>
    </xf>
    <xf numFmtId="172" fontId="6" fillId="0" borderId="60" xfId="63" applyNumberFormat="1" applyFont="1" applyFill="1" applyBorder="1" applyAlignment="1">
      <alignment horizontal="left" vertical="center"/>
    </xf>
    <xf numFmtId="0" fontId="6" fillId="0" borderId="59" xfId="63" applyFont="1" applyFill="1" applyBorder="1" applyAlignment="1">
      <alignment horizontal="left" vertical="center"/>
    </xf>
    <xf numFmtId="1" fontId="52" fillId="0" borderId="0" xfId="63" applyNumberFormat="1" applyFont="1" applyAlignment="1">
      <alignment horizontal="center"/>
    </xf>
    <xf numFmtId="0" fontId="13" fillId="0" borderId="3" xfId="64" applyFont="1" applyFill="1" applyBorder="1" applyAlignment="1">
      <alignment horizontal="left" vertical="center" wrapText="1"/>
    </xf>
    <xf numFmtId="0" fontId="13" fillId="0" borderId="9" xfId="64" applyFont="1" applyFill="1" applyBorder="1" applyAlignment="1">
      <alignment horizontal="left" vertical="center" wrapText="1"/>
    </xf>
    <xf numFmtId="0" fontId="13" fillId="0" borderId="1" xfId="64" applyFont="1" applyFill="1" applyBorder="1" applyAlignment="1">
      <alignment horizontal="left" vertical="center" wrapText="1"/>
    </xf>
    <xf numFmtId="0" fontId="6" fillId="0" borderId="0" xfId="66" applyFont="1" applyFill="1" applyAlignment="1">
      <alignment horizontal="center" vertical="center" wrapText="1"/>
    </xf>
    <xf numFmtId="0" fontId="86" fillId="0" borderId="3" xfId="64" applyFont="1" applyFill="1" applyBorder="1" applyAlignment="1">
      <alignment horizontal="left" vertical="center" wrapText="1"/>
    </xf>
    <xf numFmtId="0" fontId="86" fillId="0" borderId="9" xfId="64" applyFont="1" applyFill="1" applyBorder="1" applyAlignment="1">
      <alignment horizontal="left" vertical="center" wrapText="1"/>
    </xf>
    <xf numFmtId="0" fontId="86" fillId="0" borderId="1" xfId="64" applyFont="1" applyFill="1" applyBorder="1" applyAlignment="1">
      <alignment horizontal="left" vertical="center" wrapText="1"/>
    </xf>
    <xf numFmtId="0" fontId="6" fillId="0" borderId="0" xfId="65" applyFont="1" applyFill="1" applyAlignment="1">
      <alignment horizontal="center" vertical="center" wrapText="1"/>
    </xf>
    <xf numFmtId="0" fontId="86" fillId="0" borderId="3" xfId="64" applyFont="1" applyBorder="1" applyAlignment="1">
      <alignment horizontal="left" vertical="center" wrapText="1"/>
    </xf>
    <xf numFmtId="0" fontId="86" fillId="0" borderId="9" xfId="64" applyFont="1" applyBorder="1" applyAlignment="1">
      <alignment horizontal="left" vertical="center" wrapText="1"/>
    </xf>
    <xf numFmtId="0" fontId="86" fillId="0" borderId="1" xfId="64" applyFont="1" applyBorder="1" applyAlignment="1">
      <alignment horizontal="left" vertical="center" wrapText="1"/>
    </xf>
    <xf numFmtId="0" fontId="6" fillId="0" borderId="0" xfId="66" applyFont="1" applyFill="1" applyAlignment="1">
      <alignment horizontal="center" vertical="center"/>
    </xf>
    <xf numFmtId="0" fontId="59" fillId="0" borderId="4" xfId="2" applyFont="1" applyFill="1" applyBorder="1" applyAlignment="1">
      <alignment horizontal="center" vertical="center" wrapText="1"/>
    </xf>
    <xf numFmtId="0" fontId="59" fillId="0" borderId="4" xfId="66" applyFont="1" applyFill="1" applyBorder="1" applyAlignment="1">
      <alignment horizontal="center" vertical="center" wrapText="1"/>
    </xf>
    <xf numFmtId="0" fontId="59" fillId="32" borderId="9" xfId="0" applyFont="1" applyFill="1" applyBorder="1" applyAlignment="1">
      <alignment horizontal="center" vertical="center" wrapText="1"/>
    </xf>
    <xf numFmtId="0" fontId="59" fillId="32" borderId="23" xfId="0" applyFont="1" applyFill="1" applyBorder="1" applyAlignment="1">
      <alignment horizontal="center" vertical="center" wrapText="1"/>
    </xf>
    <xf numFmtId="0" fontId="59" fillId="32" borderId="1" xfId="0" applyFont="1" applyFill="1" applyBorder="1" applyAlignment="1">
      <alignment horizontal="center" vertical="center" wrapText="1"/>
    </xf>
    <xf numFmtId="0" fontId="59" fillId="32" borderId="26" xfId="0" applyFont="1" applyFill="1" applyBorder="1" applyAlignment="1">
      <alignment horizontal="center" vertical="center" wrapText="1"/>
    </xf>
    <xf numFmtId="0" fontId="73" fillId="32" borderId="54" xfId="0" applyFont="1" applyFill="1" applyBorder="1" applyAlignment="1">
      <alignment horizontal="center" vertical="center" wrapText="1"/>
    </xf>
    <xf numFmtId="0" fontId="73" fillId="32" borderId="51" xfId="0" applyFont="1" applyFill="1" applyBorder="1" applyAlignment="1">
      <alignment horizontal="center" vertical="center" wrapText="1"/>
    </xf>
    <xf numFmtId="173" fontId="74" fillId="31" borderId="13" xfId="0" applyNumberFormat="1" applyFont="1" applyFill="1" applyBorder="1" applyAlignment="1">
      <alignment horizontal="center" vertical="center" wrapText="1"/>
    </xf>
    <xf numFmtId="173" fontId="74" fillId="31" borderId="82" xfId="0" applyNumberFormat="1" applyFont="1" applyFill="1" applyBorder="1" applyAlignment="1">
      <alignment horizontal="center" vertical="center" wrapText="1"/>
    </xf>
    <xf numFmtId="0" fontId="8" fillId="0" borderId="0" xfId="0" applyFont="1" applyBorder="1" applyAlignment="1">
      <alignment horizontal="center"/>
    </xf>
    <xf numFmtId="0" fontId="8" fillId="0" borderId="0" xfId="0" applyFont="1" applyBorder="1" applyAlignment="1">
      <alignment horizontal="center" vertical="center"/>
    </xf>
    <xf numFmtId="0" fontId="59" fillId="31" borderId="9" xfId="0" applyFont="1" applyFill="1" applyBorder="1" applyAlignment="1">
      <alignment horizontal="center" vertical="center" wrapText="1"/>
    </xf>
    <xf numFmtId="0" fontId="59" fillId="31" borderId="23" xfId="0" applyFont="1" applyFill="1" applyBorder="1" applyAlignment="1">
      <alignment horizontal="center" vertical="center" wrapText="1"/>
    </xf>
    <xf numFmtId="0" fontId="59" fillId="31" borderId="3" xfId="0" applyFont="1" applyFill="1" applyBorder="1" applyAlignment="1">
      <alignment horizontal="center" vertical="center" wrapText="1"/>
    </xf>
    <xf numFmtId="0" fontId="59" fillId="31" borderId="25" xfId="0" applyFont="1" applyFill="1" applyBorder="1" applyAlignment="1">
      <alignment horizontal="center" vertical="center" wrapText="1"/>
    </xf>
    <xf numFmtId="0" fontId="59" fillId="31" borderId="1" xfId="0" applyFont="1" applyFill="1" applyBorder="1" applyAlignment="1">
      <alignment horizontal="center" vertical="center" wrapText="1"/>
    </xf>
    <xf numFmtId="0" fontId="59" fillId="31" borderId="26" xfId="0" applyFont="1" applyFill="1" applyBorder="1" applyAlignment="1">
      <alignment horizontal="center" vertical="center" wrapText="1"/>
    </xf>
    <xf numFmtId="0" fontId="73" fillId="31" borderId="54" xfId="0" applyFont="1" applyFill="1" applyBorder="1" applyAlignment="1">
      <alignment horizontal="center" vertical="center" wrapText="1"/>
    </xf>
    <xf numFmtId="0" fontId="73" fillId="31" borderId="52" xfId="0" applyFont="1" applyFill="1" applyBorder="1" applyAlignment="1">
      <alignment horizontal="center" vertical="center" wrapText="1"/>
    </xf>
    <xf numFmtId="4" fontId="59" fillId="32" borderId="4" xfId="0" applyNumberFormat="1" applyFont="1" applyFill="1" applyBorder="1" applyAlignment="1">
      <alignment horizontal="center" vertical="center" wrapText="1"/>
    </xf>
    <xf numFmtId="4" fontId="59" fillId="32" borderId="4" xfId="0" applyNumberFormat="1" applyFont="1" applyFill="1" applyBorder="1" applyAlignment="1">
      <alignment horizontal="center" vertical="center"/>
    </xf>
    <xf numFmtId="4" fontId="59" fillId="32" borderId="54" xfId="0" applyNumberFormat="1" applyFont="1" applyFill="1" applyBorder="1" applyAlignment="1">
      <alignment horizontal="center" vertical="center"/>
    </xf>
    <xf numFmtId="4" fontId="59" fillId="31" borderId="13" xfId="0" applyNumberFormat="1" applyFont="1" applyFill="1" applyBorder="1" applyAlignment="1">
      <alignment horizontal="center" vertical="center" wrapText="1"/>
    </xf>
    <xf numFmtId="4" fontId="59" fillId="31" borderId="42" xfId="0" applyNumberFormat="1" applyFont="1" applyFill="1" applyBorder="1" applyAlignment="1">
      <alignment horizontal="center" vertical="center" wrapText="1"/>
    </xf>
    <xf numFmtId="4" fontId="59" fillId="31" borderId="82" xfId="0" applyNumberFormat="1" applyFont="1" applyFill="1" applyBorder="1" applyAlignment="1">
      <alignment horizontal="center" vertical="center" wrapText="1"/>
    </xf>
    <xf numFmtId="4" fontId="59" fillId="31" borderId="13" xfId="0" applyNumberFormat="1" applyFont="1" applyFill="1" applyBorder="1" applyAlignment="1">
      <alignment horizontal="center" vertical="center"/>
    </xf>
    <xf numFmtId="4" fontId="59" fillId="31" borderId="42" xfId="0" applyNumberFormat="1" applyFont="1" applyFill="1" applyBorder="1" applyAlignment="1">
      <alignment horizontal="center" vertical="center"/>
    </xf>
    <xf numFmtId="4" fontId="59" fillId="31" borderId="82" xfId="0" applyNumberFormat="1" applyFont="1" applyFill="1" applyBorder="1" applyAlignment="1">
      <alignment horizontal="center" vertical="center"/>
    </xf>
    <xf numFmtId="4" fontId="59" fillId="31" borderId="54" xfId="0" applyNumberFormat="1" applyFont="1" applyFill="1" applyBorder="1" applyAlignment="1">
      <alignment horizontal="center" vertical="center"/>
    </xf>
    <xf numFmtId="4" fontId="59" fillId="31" borderId="52" xfId="0" applyNumberFormat="1" applyFont="1" applyFill="1" applyBorder="1" applyAlignment="1">
      <alignment horizontal="center" vertical="center"/>
    </xf>
    <xf numFmtId="0" fontId="73" fillId="31" borderId="51" xfId="0" applyFont="1" applyFill="1" applyBorder="1" applyAlignment="1">
      <alignment horizontal="center" vertical="center" wrapText="1"/>
    </xf>
    <xf numFmtId="173" fontId="74" fillId="31" borderId="4" xfId="0" applyNumberFormat="1" applyFont="1" applyFill="1" applyBorder="1" applyAlignment="1">
      <alignment horizontal="center" vertical="center" wrapText="1"/>
    </xf>
    <xf numFmtId="4" fontId="59" fillId="31" borderId="51" xfId="0" applyNumberFormat="1" applyFont="1" applyFill="1" applyBorder="1" applyAlignment="1">
      <alignment horizontal="center" vertical="center"/>
    </xf>
    <xf numFmtId="49" fontId="74" fillId="31" borderId="9" xfId="0" applyNumberFormat="1" applyFont="1" applyFill="1" applyBorder="1" applyAlignment="1">
      <alignment horizontal="center" vertical="center" wrapText="1"/>
    </xf>
    <xf numFmtId="49" fontId="74" fillId="31" borderId="23" xfId="0" applyNumberFormat="1" applyFont="1" applyFill="1" applyBorder="1" applyAlignment="1">
      <alignment horizontal="center" vertical="center" wrapText="1"/>
    </xf>
    <xf numFmtId="49" fontId="74" fillId="31" borderId="1" xfId="0" applyNumberFormat="1" applyFont="1" applyFill="1" applyBorder="1" applyAlignment="1">
      <alignment horizontal="center" vertical="center" wrapText="1"/>
    </xf>
    <xf numFmtId="49" fontId="74" fillId="31" borderId="26" xfId="0" applyNumberFormat="1" applyFont="1" applyFill="1" applyBorder="1" applyAlignment="1">
      <alignment horizontal="center" vertical="center" wrapText="1"/>
    </xf>
    <xf numFmtId="49" fontId="81" fillId="31" borderId="54" xfId="0" applyNumberFormat="1" applyFont="1" applyFill="1" applyBorder="1" applyAlignment="1">
      <alignment horizontal="center" vertical="center" wrapText="1"/>
    </xf>
    <xf numFmtId="49" fontId="81" fillId="31" borderId="51" xfId="0" applyNumberFormat="1" applyFont="1" applyFill="1" applyBorder="1" applyAlignment="1">
      <alignment horizontal="center" vertical="center" wrapText="1"/>
    </xf>
    <xf numFmtId="0" fontId="6" fillId="31" borderId="4" xfId="0" applyFont="1" applyFill="1" applyBorder="1" applyAlignment="1">
      <alignment horizontal="center" vertical="center"/>
    </xf>
  </cellXfs>
  <cellStyles count="70">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Bad" xfId="30"/>
    <cellStyle name="Calculation" xfId="31"/>
    <cellStyle name="číslo" xfId="32"/>
    <cellStyle name="Explanatory Text" xfId="33"/>
    <cellStyle name="Good" xfId="34"/>
    <cellStyle name="Heading 1" xfId="35"/>
    <cellStyle name="Heading 2" xfId="36"/>
    <cellStyle name="Heading 3" xfId="37"/>
    <cellStyle name="Heading 4" xfId="38"/>
    <cellStyle name="Check Cell" xfId="39"/>
    <cellStyle name="Input" xfId="40"/>
    <cellStyle name="Linked Cell" xfId="41"/>
    <cellStyle name="Neutral" xfId="42"/>
    <cellStyle name="Normal" xfId="4"/>
    <cellStyle name="Normální" xfId="0" builtinId="0"/>
    <cellStyle name="Normální 10" xfId="64"/>
    <cellStyle name="Normální 2" xfId="1"/>
    <cellStyle name="Normální 2 2" xfId="50"/>
    <cellStyle name="Normální 3" xfId="2"/>
    <cellStyle name="Normální 4" xfId="3"/>
    <cellStyle name="Normální 4 2" xfId="57"/>
    <cellStyle name="Normální 5" xfId="5"/>
    <cellStyle name="Normální 5 2" xfId="49"/>
    <cellStyle name="Normální 5 2 2" xfId="65"/>
    <cellStyle name="Normální 6" xfId="48"/>
    <cellStyle name="Normální 6 2" xfId="51"/>
    <cellStyle name="Normální 7" xfId="52"/>
    <cellStyle name="Normální 8" xfId="53"/>
    <cellStyle name="Normální 8 2" xfId="68"/>
    <cellStyle name="Normální 9" xfId="59"/>
    <cellStyle name="Normální 9 2" xfId="67"/>
    <cellStyle name="normální_Anička-TAB 3-RMK 2" xfId="56"/>
    <cellStyle name="normální_číselníky MSK" xfId="61"/>
    <cellStyle name="normální_Galina-Dotace Příloha č.7-nová" xfId="62"/>
    <cellStyle name="normální_graf3" xfId="55"/>
    <cellStyle name="normální_Tab.- DP - ZÚ 2009" xfId="58"/>
    <cellStyle name="normální_Tabulky - výsledky hospodaření PO - z VYK" xfId="63"/>
    <cellStyle name="normální_Z005_002_01_str_123-351" xfId="66"/>
    <cellStyle name="normální_Z024_004_05" xfId="60"/>
    <cellStyle name="Note" xfId="43"/>
    <cellStyle name="Note 2" xfId="54"/>
    <cellStyle name="Note 2 2" xfId="69"/>
    <cellStyle name="Output" xfId="44"/>
    <cellStyle name="Title" xfId="45"/>
    <cellStyle name="Total" xfId="46"/>
    <cellStyle name="Warning Text" xfId="47"/>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Srovnání skutečných příjmů rozpočtu Moravskoslezského kraje
v letech 2009 - 2015</a:t>
            </a:r>
          </a:p>
        </c:rich>
      </c:tx>
      <c:layout>
        <c:manualLayout>
          <c:xMode val="edge"/>
          <c:yMode val="edge"/>
          <c:x val="0.15871262763196473"/>
          <c:y val="2.8282884080816133E-2"/>
        </c:manualLayout>
      </c:layout>
      <c:overlay val="0"/>
      <c:spPr>
        <a:noFill/>
        <a:ln w="25400">
          <a:noFill/>
        </a:ln>
      </c:spPr>
    </c:title>
    <c:autoTitleDeleted val="0"/>
    <c:view3D>
      <c:rotX val="15"/>
      <c:hPercent val="52"/>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sideWall>
    <c:back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backWall>
    <c:plotArea>
      <c:layout>
        <c:manualLayout>
          <c:layoutTarget val="inner"/>
          <c:xMode val="edge"/>
          <c:yMode val="edge"/>
          <c:x val="8.657052416288985E-2"/>
          <c:y val="0.1373740083925355"/>
          <c:w val="0.78357423152564398"/>
          <c:h val="0.77373890021089842"/>
        </c:manualLayout>
      </c:layout>
      <c:bar3DChart>
        <c:barDir val="col"/>
        <c:grouping val="stacked"/>
        <c:varyColors val="0"/>
        <c:ser>
          <c:idx val="0"/>
          <c:order val="0"/>
          <c:tx>
            <c:strRef>
              <c:f>'Data-grafy'!$A$4</c:f>
              <c:strCache>
                <c:ptCount val="1"/>
                <c:pt idx="0">
                  <c:v>dotace</c:v>
                </c:pt>
              </c:strCache>
            </c:strRef>
          </c:tx>
          <c:spPr>
            <a:solidFill>
              <a:srgbClr val="9999FF"/>
            </a:solidFill>
            <a:ln w="12700">
              <a:solidFill>
                <a:srgbClr val="000000"/>
              </a:solidFill>
              <a:prstDash val="solid"/>
            </a:ln>
          </c:spPr>
          <c:invertIfNegative val="0"/>
          <c:dLbls>
            <c:dLbl>
              <c:idx val="0"/>
              <c:layout/>
              <c:tx>
                <c:rich>
                  <a:bodyPr/>
                  <a:lstStyle/>
                  <a:p>
                    <a:r>
                      <a:rPr lang="cs-CZ"/>
                      <a:t>71,7 %</a:t>
                    </a:r>
                  </a:p>
                </c:rich>
              </c:tx>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4.0034841905787271E-3"/>
                  <c:y val="-4.9069524166859748E-3"/>
                </c:manualLayout>
              </c:layout>
              <c:tx>
                <c:rich>
                  <a:bodyPr/>
                  <a:lstStyle/>
                  <a:p>
                    <a:r>
                      <a:rPr lang="cs-CZ"/>
                      <a:t>69,7 %</a:t>
                    </a:r>
                  </a:p>
                </c:rich>
              </c:tx>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4.5342952288229465E-3"/>
                  <c:y val="-1.6886075067285874E-3"/>
                </c:manualLayout>
              </c:layout>
              <c:tx>
                <c:rich>
                  <a:bodyPr/>
                  <a:lstStyle/>
                  <a:p>
                    <a:r>
                      <a:rPr lang="cs-CZ"/>
                      <a:t>70,2 %</a:t>
                    </a:r>
                  </a:p>
                </c:rich>
              </c:tx>
              <c:showLegendKey val="0"/>
              <c:showVal val="0"/>
              <c:showCatName val="0"/>
              <c:showSerName val="0"/>
              <c:showPercent val="0"/>
              <c:showBubbleSize val="0"/>
              <c:extLst>
                <c:ext xmlns:c15="http://schemas.microsoft.com/office/drawing/2012/chart" uri="{CE6537A1-D6FC-4f65-9D91-7224C49458BB}">
                  <c15:layout/>
                </c:ext>
              </c:extLst>
            </c:dLbl>
            <c:dLbl>
              <c:idx val="3"/>
              <c:layout>
                <c:manualLayout>
                  <c:x val="5.0653393122983871E-3"/>
                  <c:y val="-2.7495291109709686E-3"/>
                </c:manualLayout>
              </c:layout>
              <c:tx>
                <c:rich>
                  <a:bodyPr/>
                  <a:lstStyle/>
                  <a:p>
                    <a:r>
                      <a:rPr lang="cs-CZ"/>
                      <a:t>70,6 %</a:t>
                    </a:r>
                  </a:p>
                </c:rich>
              </c:tx>
              <c:showLegendKey val="0"/>
              <c:showVal val="0"/>
              <c:showCatName val="0"/>
              <c:showSerName val="0"/>
              <c:showPercent val="0"/>
              <c:showBubbleSize val="0"/>
              <c:extLst>
                <c:ext xmlns:c15="http://schemas.microsoft.com/office/drawing/2012/chart" uri="{CE6537A1-D6FC-4f65-9D91-7224C49458BB}">
                  <c15:layout/>
                </c:ext>
              </c:extLst>
            </c:dLbl>
            <c:dLbl>
              <c:idx val="4"/>
              <c:layout>
                <c:manualLayout>
                  <c:x val="5.596150350542662E-3"/>
                  <c:y val="-8.1490957743512189E-3"/>
                </c:manualLayout>
              </c:layout>
              <c:tx>
                <c:rich>
                  <a:bodyPr/>
                  <a:lstStyle/>
                  <a:p>
                    <a:r>
                      <a:rPr lang="cs-CZ"/>
                      <a:t>69,7 %</a:t>
                    </a:r>
                  </a:p>
                </c:rich>
              </c:tx>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3.9074693909654191E-3"/>
                  <c:y val="-2.8658235902330391E-3"/>
                </c:manualLayout>
              </c:layout>
              <c:tx>
                <c:rich>
                  <a:bodyPr/>
                  <a:lstStyle/>
                  <a:p>
                    <a:r>
                      <a:rPr lang="cs-CZ"/>
                      <a:t>69,8 %</a:t>
                    </a:r>
                  </a:p>
                </c:rich>
              </c:tx>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4.4383464275622592E-3"/>
                  <c:y val="-2.7623213764946049E-3"/>
                </c:manualLayout>
              </c:layout>
              <c:tx>
                <c:rich>
                  <a:bodyPr/>
                  <a:lstStyle/>
                  <a:p>
                    <a:r>
                      <a:rPr lang="cs-CZ"/>
                      <a:t>71,9 %</a:t>
                    </a:r>
                  </a:p>
                </c:rich>
              </c:tx>
              <c:showLegendKey val="0"/>
              <c:showVal val="0"/>
              <c:showCatName val="0"/>
              <c:showSerName val="0"/>
              <c:showPercent val="0"/>
              <c:showBubbleSize val="0"/>
              <c:extLst>
                <c:ext xmlns:c15="http://schemas.microsoft.com/office/drawing/2012/chart" uri="{CE6537A1-D6FC-4f65-9D91-7224C49458BB}">
                  <c15:layout/>
                </c:ext>
              </c:extLst>
            </c:dLbl>
            <c:dLbl>
              <c:idx val="7"/>
              <c:layout>
                <c:manualLayout>
                  <c:x val="3.489502768868653E-3"/>
                  <c:y val="-2.5105649672578808E-3"/>
                </c:manualLayout>
              </c:layout>
              <c:tx>
                <c:rich>
                  <a:bodyPr/>
                  <a:lstStyle/>
                  <a:p>
                    <a:r>
                      <a:rPr lang="cs-CZ"/>
                      <a:t>69,8 %</a:t>
                    </a:r>
                  </a:p>
                </c:rich>
              </c:tx>
              <c:showLegendKey val="0"/>
              <c:showVal val="0"/>
              <c:showCatName val="0"/>
              <c:showSerName val="0"/>
              <c:showPercent val="0"/>
              <c:showBubbleSize val="0"/>
              <c:extLst>
                <c:ext xmlns:c15="http://schemas.microsoft.com/office/drawing/2012/chart" uri="{CE6537A1-D6FC-4f65-9D91-7224C49458BB}"/>
              </c:extLst>
            </c:dLbl>
            <c:dLbl>
              <c:idx val="8"/>
              <c:layout>
                <c:manualLayout>
                  <c:xMode val="edge"/>
                  <c:yMode val="edge"/>
                  <c:x val="0.64927893122167379"/>
                  <c:y val="0.64848612785299842"/>
                </c:manualLayout>
              </c:layout>
              <c:tx>
                <c:rich>
                  <a:bodyPr/>
                  <a:lstStyle/>
                  <a:p>
                    <a:r>
                      <a:t>71,7 %</a:t>
                    </a:r>
                  </a:p>
                </c:rich>
              </c:tx>
              <c:showLegendKey val="0"/>
              <c:showVal val="0"/>
              <c:showCatName val="0"/>
              <c:showSerName val="0"/>
              <c:showPercent val="0"/>
              <c:showBubbleSize val="0"/>
              <c:extLst>
                <c:ext xmlns:c15="http://schemas.microsoft.com/office/drawing/2012/chart" uri="{CE6537A1-D6FC-4f65-9D91-7224C49458BB}"/>
              </c:extLst>
            </c:dLbl>
            <c:dLbl>
              <c:idx val="9"/>
              <c:layout>
                <c:manualLayout>
                  <c:xMode val="edge"/>
                  <c:yMode val="edge"/>
                  <c:x val="0.71587164211620447"/>
                  <c:y val="0.67070839391649684"/>
                </c:manualLayout>
              </c:layout>
              <c:tx>
                <c:rich>
                  <a:bodyPr/>
                  <a:lstStyle/>
                  <a:p>
                    <a:r>
                      <a:t>69,7 %</a:t>
                    </a:r>
                  </a:p>
                </c:rich>
              </c:tx>
              <c:showLegendKey val="0"/>
              <c:showVal val="0"/>
              <c:showCatName val="0"/>
              <c:showSerName val="0"/>
              <c:showPercent val="0"/>
              <c:showBubbleSize val="0"/>
              <c:extLst>
                <c:ext xmlns:c15="http://schemas.microsoft.com/office/drawing/2012/chart" uri="{CE6537A1-D6FC-4f65-9D91-7224C49458BB}"/>
              </c:extLst>
            </c:dLbl>
            <c:dLbl>
              <c:idx val="10"/>
              <c:tx>
                <c:rich>
                  <a:bodyPr/>
                  <a:lstStyle/>
                  <a:p>
                    <a:r>
                      <a:t>70,2 %</a:t>
                    </a:r>
                  </a:p>
                </c:rich>
              </c:tx>
              <c:showLegendKey val="0"/>
              <c:showVal val="0"/>
              <c:showCatName val="0"/>
              <c:showSerName val="0"/>
              <c:showPercent val="0"/>
              <c:showBubbleSize val="0"/>
              <c:extLst>
                <c:ext xmlns:c15="http://schemas.microsoft.com/office/drawing/2012/chart" uri="{CE6537A1-D6FC-4f65-9D91-7224C49458BB}"/>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f>'Data-grafy'!$B$3:$H$3</c:f>
              <c:numCache>
                <c:formatCode>General</c:formatCode>
                <c:ptCount val="7"/>
                <c:pt idx="0">
                  <c:v>2009</c:v>
                </c:pt>
                <c:pt idx="1">
                  <c:v>2010</c:v>
                </c:pt>
                <c:pt idx="2">
                  <c:v>2011</c:v>
                </c:pt>
                <c:pt idx="3">
                  <c:v>2012</c:v>
                </c:pt>
                <c:pt idx="4">
                  <c:v>2013</c:v>
                </c:pt>
                <c:pt idx="5">
                  <c:v>2014</c:v>
                </c:pt>
                <c:pt idx="6">
                  <c:v>2015</c:v>
                </c:pt>
              </c:numCache>
            </c:numRef>
          </c:cat>
          <c:val>
            <c:numRef>
              <c:f>'Data-grafy'!$B$4:$H$4</c:f>
              <c:numCache>
                <c:formatCode>General</c:formatCode>
                <c:ptCount val="7"/>
                <c:pt idx="0">
                  <c:v>12404.834999999999</c:v>
                </c:pt>
                <c:pt idx="1">
                  <c:v>11209.286</c:v>
                </c:pt>
                <c:pt idx="2" formatCode="#\ ##0.000">
                  <c:v>11790.804</c:v>
                </c:pt>
                <c:pt idx="3" formatCode="#\ ##0.0">
                  <c:v>11574.909</c:v>
                </c:pt>
                <c:pt idx="4" formatCode="#\ ##0.0">
                  <c:v>11415.745999999999</c:v>
                </c:pt>
                <c:pt idx="5" formatCode="#\ ##0.0">
                  <c:v>12137.583000000001</c:v>
                </c:pt>
                <c:pt idx="6" formatCode="#\ ##0.0">
                  <c:v>13726.48</c:v>
                </c:pt>
              </c:numCache>
            </c:numRef>
          </c:val>
        </c:ser>
        <c:ser>
          <c:idx val="1"/>
          <c:order val="1"/>
          <c:tx>
            <c:strRef>
              <c:f>'Data-grafy'!$A$5</c:f>
              <c:strCache>
                <c:ptCount val="1"/>
                <c:pt idx="0">
                  <c:v>vlastní příjmy</c:v>
                </c:pt>
              </c:strCache>
            </c:strRef>
          </c:tx>
          <c:spPr>
            <a:solidFill>
              <a:srgbClr val="993366"/>
            </a:solidFill>
            <a:ln w="12700">
              <a:solidFill>
                <a:srgbClr val="000000"/>
              </a:solidFill>
              <a:prstDash val="solid"/>
            </a:ln>
          </c:spPr>
          <c:invertIfNegative val="0"/>
          <c:dLbls>
            <c:dLbl>
              <c:idx val="0"/>
              <c:layout/>
              <c:tx>
                <c:rich>
                  <a:bodyPr/>
                  <a:lstStyle/>
                  <a:p>
                    <a:r>
                      <a:rPr lang="cs-CZ"/>
                      <a:t>28,3 %</a:t>
                    </a:r>
                  </a:p>
                </c:rich>
              </c:tx>
              <c:showLegendKey val="0"/>
              <c:showVal val="0"/>
              <c:showCatName val="0"/>
              <c:showSerName val="0"/>
              <c:showPercent val="0"/>
              <c:showBubbleSize val="0"/>
              <c:extLst>
                <c:ext xmlns:c15="http://schemas.microsoft.com/office/drawing/2012/chart" uri="{CE6537A1-D6FC-4f65-9D91-7224C49458BB}">
                  <c15:layout/>
                </c:ext>
              </c:extLst>
            </c:dLbl>
            <c:dLbl>
              <c:idx val="1"/>
              <c:layout/>
              <c:tx>
                <c:rich>
                  <a:bodyPr/>
                  <a:lstStyle/>
                  <a:p>
                    <a:r>
                      <a:rPr lang="cs-CZ"/>
                      <a:t>30,3 %</a:t>
                    </a:r>
                  </a:p>
                </c:rich>
              </c:tx>
              <c:showLegendKey val="0"/>
              <c:showVal val="0"/>
              <c:showCatName val="0"/>
              <c:showSerName val="0"/>
              <c:showPercent val="0"/>
              <c:showBubbleSize val="0"/>
              <c:extLst>
                <c:ext xmlns:c15="http://schemas.microsoft.com/office/drawing/2012/chart" uri="{CE6537A1-D6FC-4f65-9D91-7224C49458BB}">
                  <c15:layout/>
                </c:ext>
              </c:extLst>
            </c:dLbl>
            <c:dLbl>
              <c:idx val="2"/>
              <c:layout/>
              <c:tx>
                <c:rich>
                  <a:bodyPr/>
                  <a:lstStyle/>
                  <a:p>
                    <a:r>
                      <a:rPr lang="cs-CZ"/>
                      <a:t>29,8 %</a:t>
                    </a:r>
                  </a:p>
                </c:rich>
              </c:tx>
              <c:showLegendKey val="0"/>
              <c:showVal val="0"/>
              <c:showCatName val="0"/>
              <c:showSerName val="0"/>
              <c:showPercent val="0"/>
              <c:showBubbleSize val="0"/>
              <c:extLst>
                <c:ext xmlns:c15="http://schemas.microsoft.com/office/drawing/2012/chart" uri="{CE6537A1-D6FC-4f65-9D91-7224C49458BB}">
                  <c15:layout/>
                </c:ext>
              </c:extLst>
            </c:dLbl>
            <c:dLbl>
              <c:idx val="3"/>
              <c:layout/>
              <c:tx>
                <c:rich>
                  <a:bodyPr/>
                  <a:lstStyle/>
                  <a:p>
                    <a:r>
                      <a:rPr lang="cs-CZ"/>
                      <a:t>29,4 %</a:t>
                    </a:r>
                  </a:p>
                </c:rich>
              </c:tx>
              <c:showLegendKey val="0"/>
              <c:showVal val="0"/>
              <c:showCatName val="0"/>
              <c:showSerName val="0"/>
              <c:showPercent val="0"/>
              <c:showBubbleSize val="0"/>
              <c:extLst>
                <c:ext xmlns:c15="http://schemas.microsoft.com/office/drawing/2012/chart" uri="{CE6537A1-D6FC-4f65-9D91-7224C49458BB}">
                  <c15:layout/>
                </c:ext>
              </c:extLst>
            </c:dLbl>
            <c:dLbl>
              <c:idx val="4"/>
              <c:layout/>
              <c:tx>
                <c:rich>
                  <a:bodyPr/>
                  <a:lstStyle/>
                  <a:p>
                    <a:r>
                      <a:rPr lang="cs-CZ"/>
                      <a:t>30,3 %</a:t>
                    </a:r>
                  </a:p>
                </c:rich>
              </c:tx>
              <c:showLegendKey val="0"/>
              <c:showVal val="0"/>
              <c:showCatName val="0"/>
              <c:showSerName val="0"/>
              <c:showPercent val="0"/>
              <c:showBubbleSize val="0"/>
              <c:extLst>
                <c:ext xmlns:c15="http://schemas.microsoft.com/office/drawing/2012/chart" uri="{CE6537A1-D6FC-4f65-9D91-7224C49458BB}">
                  <c15:layout/>
                </c:ext>
              </c:extLst>
            </c:dLbl>
            <c:dLbl>
              <c:idx val="5"/>
              <c:layout/>
              <c:tx>
                <c:rich>
                  <a:bodyPr/>
                  <a:lstStyle/>
                  <a:p>
                    <a:r>
                      <a:rPr lang="cs-CZ"/>
                      <a:t>30,2 %</a:t>
                    </a:r>
                  </a:p>
                </c:rich>
              </c:tx>
              <c:showLegendKey val="0"/>
              <c:showVal val="0"/>
              <c:showCatName val="0"/>
              <c:showSerName val="0"/>
              <c:showPercent val="0"/>
              <c:showBubbleSize val="0"/>
              <c:extLst>
                <c:ext xmlns:c15="http://schemas.microsoft.com/office/drawing/2012/chart" uri="{CE6537A1-D6FC-4f65-9D91-7224C49458BB}">
                  <c15:layout/>
                </c:ext>
              </c:extLst>
            </c:dLbl>
            <c:dLbl>
              <c:idx val="6"/>
              <c:layout/>
              <c:tx>
                <c:rich>
                  <a:bodyPr/>
                  <a:lstStyle/>
                  <a:p>
                    <a:r>
                      <a:rPr lang="cs-CZ"/>
                      <a:t>28,1 %</a:t>
                    </a:r>
                  </a:p>
                </c:rich>
              </c:tx>
              <c:showLegendKey val="0"/>
              <c:showVal val="0"/>
              <c:showCatName val="0"/>
              <c:showSerName val="0"/>
              <c:showPercent val="0"/>
              <c:showBubbleSize val="0"/>
              <c:extLst>
                <c:ext xmlns:c15="http://schemas.microsoft.com/office/drawing/2012/chart" uri="{CE6537A1-D6FC-4f65-9D91-7224C49458BB}">
                  <c15:layout/>
                </c:ext>
              </c:extLst>
            </c:dLbl>
            <c:dLbl>
              <c:idx val="7"/>
              <c:tx>
                <c:rich>
                  <a:bodyPr/>
                  <a:lstStyle/>
                  <a:p>
                    <a:r>
                      <a:rPr lang="cs-CZ"/>
                      <a:t>30,2 %</a:t>
                    </a:r>
                  </a:p>
                </c:rich>
              </c:tx>
              <c:showLegendKey val="0"/>
              <c:showVal val="0"/>
              <c:showCatName val="0"/>
              <c:showSerName val="0"/>
              <c:showPercent val="0"/>
              <c:showBubbleSize val="0"/>
              <c:extLst>
                <c:ext xmlns:c15="http://schemas.microsoft.com/office/drawing/2012/chart" uri="{CE6537A1-D6FC-4f65-9D91-7224C49458BB}"/>
              </c:extLst>
            </c:dLbl>
            <c:dLbl>
              <c:idx val="8"/>
              <c:tx>
                <c:rich>
                  <a:bodyPr/>
                  <a:lstStyle/>
                  <a:p>
                    <a:r>
                      <a:t>28,3 %</a:t>
                    </a:r>
                  </a:p>
                </c:rich>
              </c:tx>
              <c:showLegendKey val="0"/>
              <c:showVal val="0"/>
              <c:showCatName val="0"/>
              <c:showSerName val="0"/>
              <c:showPercent val="0"/>
              <c:showBubbleSize val="0"/>
              <c:extLst>
                <c:ext xmlns:c15="http://schemas.microsoft.com/office/drawing/2012/chart" uri="{CE6537A1-D6FC-4f65-9D91-7224C49458BB}"/>
              </c:extLst>
            </c:dLbl>
            <c:dLbl>
              <c:idx val="9"/>
              <c:tx>
                <c:rich>
                  <a:bodyPr/>
                  <a:lstStyle/>
                  <a:p>
                    <a:r>
                      <a:t>30,3 %</a:t>
                    </a:r>
                  </a:p>
                </c:rich>
              </c:tx>
              <c:showLegendKey val="0"/>
              <c:showVal val="0"/>
              <c:showCatName val="0"/>
              <c:showSerName val="0"/>
              <c:showPercent val="0"/>
              <c:showBubbleSize val="0"/>
              <c:extLst>
                <c:ext xmlns:c15="http://schemas.microsoft.com/office/drawing/2012/chart" uri="{CE6537A1-D6FC-4f65-9D91-7224C49458BB}"/>
              </c:extLst>
            </c:dLbl>
            <c:dLbl>
              <c:idx val="10"/>
              <c:tx>
                <c:rich>
                  <a:bodyPr/>
                  <a:lstStyle/>
                  <a:p>
                    <a:r>
                      <a:t>29,8 %</a:t>
                    </a:r>
                  </a:p>
                </c:rich>
              </c:tx>
              <c:showLegendKey val="0"/>
              <c:showVal val="0"/>
              <c:showCatName val="0"/>
              <c:showSerName val="0"/>
              <c:showPercent val="0"/>
              <c:showBubbleSize val="0"/>
              <c:extLst>
                <c:ext xmlns:c15="http://schemas.microsoft.com/office/drawing/2012/chart" uri="{CE6537A1-D6FC-4f65-9D91-7224C49458BB}"/>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f>'Data-grafy'!$B$3:$H$3</c:f>
              <c:numCache>
                <c:formatCode>General</c:formatCode>
                <c:ptCount val="7"/>
                <c:pt idx="0">
                  <c:v>2009</c:v>
                </c:pt>
                <c:pt idx="1">
                  <c:v>2010</c:v>
                </c:pt>
                <c:pt idx="2">
                  <c:v>2011</c:v>
                </c:pt>
                <c:pt idx="3">
                  <c:v>2012</c:v>
                </c:pt>
                <c:pt idx="4">
                  <c:v>2013</c:v>
                </c:pt>
                <c:pt idx="5">
                  <c:v>2014</c:v>
                </c:pt>
                <c:pt idx="6">
                  <c:v>2015</c:v>
                </c:pt>
              </c:numCache>
            </c:numRef>
          </c:cat>
          <c:val>
            <c:numRef>
              <c:f>'Data-grafy'!$B$5:$H$5</c:f>
              <c:numCache>
                <c:formatCode>General</c:formatCode>
                <c:ptCount val="7"/>
                <c:pt idx="0">
                  <c:v>4890.2520000000004</c:v>
                </c:pt>
                <c:pt idx="1">
                  <c:v>4866.2070000000003</c:v>
                </c:pt>
                <c:pt idx="2" formatCode="#\ ##0.000">
                  <c:v>5006.0230000000001</c:v>
                </c:pt>
                <c:pt idx="3" formatCode="#\ ##0.0">
                  <c:v>4827.9070000000002</c:v>
                </c:pt>
                <c:pt idx="4" formatCode="#\ ##0.0">
                  <c:v>4951.1000000000004</c:v>
                </c:pt>
                <c:pt idx="5" formatCode="#\ ##0.0">
                  <c:v>5259.0230000000001</c:v>
                </c:pt>
                <c:pt idx="6" formatCode="#\ ##0.0">
                  <c:v>5360.3950000000004</c:v>
                </c:pt>
              </c:numCache>
            </c:numRef>
          </c:val>
        </c:ser>
        <c:dLbls>
          <c:showLegendKey val="0"/>
          <c:showVal val="0"/>
          <c:showCatName val="1"/>
          <c:showSerName val="0"/>
          <c:showPercent val="0"/>
          <c:showBubbleSize val="0"/>
        </c:dLbls>
        <c:gapWidth val="50"/>
        <c:gapDepth val="60"/>
        <c:shape val="box"/>
        <c:axId val="293564088"/>
        <c:axId val="296352720"/>
        <c:axId val="0"/>
      </c:bar3DChart>
      <c:catAx>
        <c:axId val="29356408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296352720"/>
        <c:crosses val="autoZero"/>
        <c:auto val="1"/>
        <c:lblAlgn val="ctr"/>
        <c:lblOffset val="100"/>
        <c:tickLblSkip val="1"/>
        <c:tickMarkSkip val="1"/>
        <c:noMultiLvlLbl val="0"/>
      </c:catAx>
      <c:valAx>
        <c:axId val="296352720"/>
        <c:scaling>
          <c:orientation val="minMax"/>
          <c:max val="2000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Tahoma"/>
                    <a:ea typeface="Tahoma"/>
                    <a:cs typeface="Tahoma"/>
                  </a:defRPr>
                </a:pPr>
                <a:r>
                  <a:rPr lang="cs-CZ"/>
                  <a:t>v mil. Kč</a:t>
                </a:r>
              </a:p>
            </c:rich>
          </c:tx>
          <c:layout>
            <c:manualLayout>
              <c:xMode val="edge"/>
              <c:yMode val="edge"/>
              <c:x val="5.5493925745442206E-3"/>
              <c:y val="0.4525261452930581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293564088"/>
        <c:crosses val="autoZero"/>
        <c:crossBetween val="between"/>
      </c:valAx>
      <c:spPr>
        <a:noFill/>
        <a:ln w="25400">
          <a:noFill/>
        </a:ln>
      </c:spPr>
    </c:plotArea>
    <c:legend>
      <c:legendPos val="r"/>
      <c:layout>
        <c:manualLayout>
          <c:xMode val="edge"/>
          <c:yMode val="edge"/>
          <c:x val="0.32482450237560484"/>
          <c:y val="0.95472390275539887"/>
          <c:w val="0.36785677040092518"/>
          <c:h val="4.3616860145446253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Tahoma"/>
              <a:ea typeface="Tahoma"/>
              <a:cs typeface="Tahoma"/>
            </a:defRPr>
          </a:pPr>
          <a:endParaRPr lang="cs-CZ"/>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Srovnání skutečných výdajů rozpočtu Moravskoslezského kraje 
v letech 2009 - 2015</a:t>
            </a:r>
          </a:p>
        </c:rich>
      </c:tx>
      <c:layout>
        <c:manualLayout>
          <c:xMode val="edge"/>
          <c:yMode val="edge"/>
          <c:x val="0.15022429747949301"/>
          <c:y val="9.3985048667550829E-3"/>
        </c:manualLayout>
      </c:layout>
      <c:overlay val="0"/>
      <c:spPr>
        <a:noFill/>
        <a:ln w="25400">
          <a:noFill/>
        </a:ln>
      </c:spPr>
    </c:title>
    <c:autoTitleDeleted val="0"/>
    <c:view3D>
      <c:rotX val="15"/>
      <c:hPercent val="50"/>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sideWall>
    <c:back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backWall>
    <c:plotArea>
      <c:layout>
        <c:manualLayout>
          <c:layoutTarget val="inner"/>
          <c:xMode val="edge"/>
          <c:yMode val="edge"/>
          <c:x val="5.9417072883680068E-2"/>
          <c:y val="0.16729338662824048"/>
          <c:w val="0.93161485974222891"/>
          <c:h val="0.66729384553961091"/>
        </c:manualLayout>
      </c:layout>
      <c:bar3DChart>
        <c:barDir val="col"/>
        <c:grouping val="stacked"/>
        <c:varyColors val="0"/>
        <c:ser>
          <c:idx val="0"/>
          <c:order val="0"/>
          <c:tx>
            <c:strRef>
              <c:f>'Data-grafy'!$A$13</c:f>
              <c:strCache>
                <c:ptCount val="1"/>
                <c:pt idx="0">
                  <c:v>běžné výdaje</c:v>
                </c:pt>
              </c:strCache>
            </c:strRef>
          </c:tx>
          <c:spPr>
            <a:solidFill>
              <a:srgbClr val="9999FF"/>
            </a:solidFill>
            <a:ln w="12700">
              <a:solidFill>
                <a:srgbClr val="000000"/>
              </a:solidFill>
              <a:prstDash val="solid"/>
            </a:ln>
          </c:spPr>
          <c:invertIfNegative val="0"/>
          <c:dLbls>
            <c:dLbl>
              <c:idx val="0"/>
              <c:tx>
                <c:rich>
                  <a:bodyPr/>
                  <a:lstStyle/>
                  <a:p>
                    <a:r>
                      <a:rPr lang="cs-CZ"/>
                      <a:t>87,3 %</a:t>
                    </a:r>
                  </a:p>
                </c:rich>
              </c:tx>
              <c:showLegendKey val="0"/>
              <c:showVal val="0"/>
              <c:showCatName val="0"/>
              <c:showSerName val="0"/>
              <c:showPercent val="0"/>
              <c:showBubbleSize val="0"/>
              <c:extLst>
                <c:ext xmlns:c15="http://schemas.microsoft.com/office/drawing/2012/chart" uri="{CE6537A1-D6FC-4f65-9D91-7224C49458BB}"/>
              </c:extLst>
            </c:dLbl>
            <c:dLbl>
              <c:idx val="1"/>
              <c:tx>
                <c:rich>
                  <a:bodyPr/>
                  <a:lstStyle/>
                  <a:p>
                    <a:r>
                      <a:rPr lang="cs-CZ"/>
                      <a:t>87,5 %</a:t>
                    </a:r>
                  </a:p>
                </c:rich>
              </c:tx>
              <c:showLegendKey val="0"/>
              <c:showVal val="0"/>
              <c:showCatName val="0"/>
              <c:showSerName val="0"/>
              <c:showPercent val="0"/>
              <c:showBubbleSize val="0"/>
              <c:extLst>
                <c:ext xmlns:c15="http://schemas.microsoft.com/office/drawing/2012/chart" uri="{CE6537A1-D6FC-4f65-9D91-7224C49458BB}"/>
              </c:extLst>
            </c:dLbl>
            <c:dLbl>
              <c:idx val="2"/>
              <c:tx>
                <c:rich>
                  <a:bodyPr/>
                  <a:lstStyle/>
                  <a:p>
                    <a:r>
                      <a:rPr lang="cs-CZ"/>
                      <a:t>87,7 %</a:t>
                    </a:r>
                  </a:p>
                </c:rich>
              </c:tx>
              <c:showLegendKey val="0"/>
              <c:showVal val="0"/>
              <c:showCatName val="0"/>
              <c:showSerName val="0"/>
              <c:showPercent val="0"/>
              <c:showBubbleSize val="0"/>
              <c:extLst>
                <c:ext xmlns:c15="http://schemas.microsoft.com/office/drawing/2012/chart" uri="{CE6537A1-D6FC-4f65-9D91-7224C49458BB}"/>
              </c:extLst>
            </c:dLbl>
            <c:dLbl>
              <c:idx val="3"/>
              <c:layout>
                <c:manualLayout>
                  <c:x val="1.5472617492320734E-3"/>
                  <c:y val="-2.6305922286030037E-4"/>
                </c:manualLayout>
              </c:layout>
              <c:tx>
                <c:rich>
                  <a:bodyPr/>
                  <a:lstStyle/>
                  <a:p>
                    <a:r>
                      <a:rPr lang="cs-CZ"/>
                      <a:t>88,6 %</a:t>
                    </a:r>
                  </a:p>
                </c:rich>
              </c:tx>
              <c:showLegendKey val="0"/>
              <c:showVal val="0"/>
              <c:showCatName val="0"/>
              <c:showSerName val="0"/>
              <c:showPercent val="0"/>
              <c:showBubbleSize val="0"/>
              <c:extLst>
                <c:ext xmlns:c15="http://schemas.microsoft.com/office/drawing/2012/chart" uri="{CE6537A1-D6FC-4f65-9D91-7224C49458BB}"/>
              </c:extLst>
            </c:dLbl>
            <c:dLbl>
              <c:idx val="4"/>
              <c:layout>
                <c:manualLayout>
                  <c:x val="3.8581500182432353E-4"/>
                  <c:y val="-2.6146073846032404E-3"/>
                </c:manualLayout>
              </c:layout>
              <c:tx>
                <c:rich>
                  <a:bodyPr/>
                  <a:lstStyle/>
                  <a:p>
                    <a:r>
                      <a:rPr lang="cs-CZ"/>
                      <a:t>88,1 %</a:t>
                    </a:r>
                  </a:p>
                </c:rich>
              </c:tx>
              <c:showLegendKey val="0"/>
              <c:showVal val="0"/>
              <c:showCatName val="0"/>
              <c:showSerName val="0"/>
              <c:showPercent val="0"/>
              <c:showBubbleSize val="0"/>
              <c:extLst>
                <c:ext xmlns:c15="http://schemas.microsoft.com/office/drawing/2012/chart" uri="{CE6537A1-D6FC-4f65-9D91-7224C49458BB}"/>
              </c:extLst>
            </c:dLbl>
            <c:dLbl>
              <c:idx val="5"/>
              <c:tx>
                <c:rich>
                  <a:bodyPr/>
                  <a:lstStyle/>
                  <a:p>
                    <a:r>
                      <a:rPr lang="cs-CZ"/>
                      <a:t>86,8 %</a:t>
                    </a:r>
                  </a:p>
                </c:rich>
              </c:tx>
              <c:showLegendKey val="0"/>
              <c:showVal val="0"/>
              <c:showCatName val="0"/>
              <c:showSerName val="0"/>
              <c:showPercent val="0"/>
              <c:showBubbleSize val="0"/>
              <c:extLst>
                <c:ext xmlns:c15="http://schemas.microsoft.com/office/drawing/2012/chart" uri="{CE6537A1-D6FC-4f65-9D91-7224C49458BB}"/>
              </c:extLst>
            </c:dLbl>
            <c:dLbl>
              <c:idx val="6"/>
              <c:tx>
                <c:rich>
                  <a:bodyPr/>
                  <a:lstStyle/>
                  <a:p>
                    <a:r>
                      <a:rPr lang="cs-CZ"/>
                      <a:t>78,8 %</a:t>
                    </a:r>
                  </a:p>
                </c:rich>
              </c:tx>
              <c:showLegendKey val="0"/>
              <c:showVal val="0"/>
              <c:showCatName val="0"/>
              <c:showSerName val="0"/>
              <c:showPercent val="0"/>
              <c:showBubbleSize val="0"/>
              <c:extLst>
                <c:ext xmlns:c15="http://schemas.microsoft.com/office/drawing/2012/chart" uri="{CE6537A1-D6FC-4f65-9D91-7224C49458BB}"/>
              </c:extLst>
            </c:dLbl>
            <c:dLbl>
              <c:idx val="7"/>
              <c:tx>
                <c:rich>
                  <a:bodyPr/>
                  <a:lstStyle/>
                  <a:p>
                    <a:r>
                      <a:rPr lang="cs-CZ"/>
                      <a:t>86,8 %</a:t>
                    </a:r>
                  </a:p>
                </c:rich>
              </c:tx>
              <c:showLegendKey val="0"/>
              <c:showVal val="0"/>
              <c:showCatName val="0"/>
              <c:showSerName val="0"/>
              <c:showPercent val="0"/>
              <c:showBubbleSize val="0"/>
              <c:extLst>
                <c:ext xmlns:c15="http://schemas.microsoft.com/office/drawing/2012/chart" uri="{CE6537A1-D6FC-4f65-9D91-7224C49458BB}"/>
              </c:extLst>
            </c:dLbl>
            <c:dLbl>
              <c:idx val="8"/>
              <c:tx>
                <c:rich>
                  <a:bodyPr/>
                  <a:lstStyle/>
                  <a:p>
                    <a:r>
                      <a:t>87,3 %</a:t>
                    </a:r>
                  </a:p>
                </c:rich>
              </c:tx>
              <c:showLegendKey val="0"/>
              <c:showVal val="0"/>
              <c:showCatName val="0"/>
              <c:showSerName val="0"/>
              <c:showPercent val="0"/>
              <c:showBubbleSize val="0"/>
              <c:extLst>
                <c:ext xmlns:c15="http://schemas.microsoft.com/office/drawing/2012/chart" uri="{CE6537A1-D6FC-4f65-9D91-7224C49458BB}"/>
              </c:extLst>
            </c:dLbl>
            <c:dLbl>
              <c:idx val="9"/>
              <c:tx>
                <c:rich>
                  <a:bodyPr/>
                  <a:lstStyle/>
                  <a:p>
                    <a:r>
                      <a:t>87,5 %</a:t>
                    </a:r>
                  </a:p>
                </c:rich>
              </c:tx>
              <c:showLegendKey val="0"/>
              <c:showVal val="0"/>
              <c:showCatName val="0"/>
              <c:showSerName val="0"/>
              <c:showPercent val="0"/>
              <c:showBubbleSize val="0"/>
              <c:extLst>
                <c:ext xmlns:c15="http://schemas.microsoft.com/office/drawing/2012/chart" uri="{CE6537A1-D6FC-4f65-9D91-7224C49458BB}"/>
              </c:extLst>
            </c:dLbl>
            <c:dLbl>
              <c:idx val="10"/>
              <c:tx>
                <c:rich>
                  <a:bodyPr/>
                  <a:lstStyle/>
                  <a:p>
                    <a:r>
                      <a:t>87,7 %</a:t>
                    </a:r>
                  </a:p>
                </c:rich>
              </c:tx>
              <c:showLegendKey val="0"/>
              <c:showVal val="0"/>
              <c:showCatName val="0"/>
              <c:showSerName val="0"/>
              <c:showPercent val="0"/>
              <c:showBubbleSize val="0"/>
              <c:extLst>
                <c:ext xmlns:c15="http://schemas.microsoft.com/office/drawing/2012/chart" uri="{CE6537A1-D6FC-4f65-9D91-7224C49458BB}"/>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f>'Data-grafy'!$B$12:$H$12</c:f>
              <c:numCache>
                <c:formatCode>General</c:formatCode>
                <c:ptCount val="7"/>
                <c:pt idx="0">
                  <c:v>2009</c:v>
                </c:pt>
                <c:pt idx="1">
                  <c:v>2010</c:v>
                </c:pt>
                <c:pt idx="2">
                  <c:v>2011</c:v>
                </c:pt>
                <c:pt idx="3">
                  <c:v>2012</c:v>
                </c:pt>
                <c:pt idx="4">
                  <c:v>2013</c:v>
                </c:pt>
                <c:pt idx="5">
                  <c:v>2014</c:v>
                </c:pt>
                <c:pt idx="6">
                  <c:v>2015</c:v>
                </c:pt>
              </c:numCache>
            </c:numRef>
          </c:cat>
          <c:val>
            <c:numRef>
              <c:f>'Data-grafy'!$B$13:$H$13</c:f>
              <c:numCache>
                <c:formatCode>#\ ##0.0</c:formatCode>
                <c:ptCount val="7"/>
                <c:pt idx="0">
                  <c:v>14927.606</c:v>
                </c:pt>
                <c:pt idx="1">
                  <c:v>14619.688</c:v>
                </c:pt>
                <c:pt idx="2">
                  <c:v>14769.003000000001</c:v>
                </c:pt>
                <c:pt idx="3">
                  <c:v>14909.261</c:v>
                </c:pt>
                <c:pt idx="4">
                  <c:v>14904.712</c:v>
                </c:pt>
                <c:pt idx="5">
                  <c:v>15138.14</c:v>
                </c:pt>
                <c:pt idx="6">
                  <c:v>16356.737999999999</c:v>
                </c:pt>
              </c:numCache>
            </c:numRef>
          </c:val>
        </c:ser>
        <c:ser>
          <c:idx val="1"/>
          <c:order val="1"/>
          <c:tx>
            <c:strRef>
              <c:f>'Data-grafy'!$A$14</c:f>
              <c:strCache>
                <c:ptCount val="1"/>
                <c:pt idx="0">
                  <c:v>kapitálové výdaje</c:v>
                </c:pt>
              </c:strCache>
            </c:strRef>
          </c:tx>
          <c:spPr>
            <a:solidFill>
              <a:srgbClr val="993366"/>
            </a:solidFill>
            <a:ln w="12700">
              <a:solidFill>
                <a:srgbClr val="000000"/>
              </a:solidFill>
              <a:prstDash val="solid"/>
            </a:ln>
          </c:spPr>
          <c:invertIfNegative val="0"/>
          <c:dLbls>
            <c:dLbl>
              <c:idx val="0"/>
              <c:layout>
                <c:manualLayout>
                  <c:x val="-1.5937751528474413E-3"/>
                  <c:y val="-5.9584685557508574E-3"/>
                </c:manualLayout>
              </c:layout>
              <c:tx>
                <c:rich>
                  <a:bodyPr/>
                  <a:lstStyle/>
                  <a:p>
                    <a:r>
                      <a:rPr lang="cs-CZ"/>
                      <a:t>12,7 %</a:t>
                    </a:r>
                  </a:p>
                </c:rich>
              </c:tx>
              <c:showLegendKey val="0"/>
              <c:showVal val="0"/>
              <c:showCatName val="0"/>
              <c:showSerName val="0"/>
              <c:showPercent val="0"/>
              <c:showBubbleSize val="0"/>
              <c:extLst>
                <c:ext xmlns:c15="http://schemas.microsoft.com/office/drawing/2012/chart" uri="{CE6537A1-D6FC-4f65-9D91-7224C49458BB}"/>
              </c:extLst>
            </c:dLbl>
            <c:dLbl>
              <c:idx val="1"/>
              <c:layout>
                <c:manualLayout>
                  <c:x val="-6.1400608802861917E-4"/>
                  <c:y val="-1.0058726294796014E-2"/>
                </c:manualLayout>
              </c:layout>
              <c:tx>
                <c:rich>
                  <a:bodyPr/>
                  <a:lstStyle/>
                  <a:p>
                    <a:r>
                      <a:rPr lang="cs-CZ"/>
                      <a:t>12,5 %</a:t>
                    </a:r>
                  </a:p>
                </c:rich>
              </c:tx>
              <c:showLegendKey val="0"/>
              <c:showVal val="0"/>
              <c:showCatName val="0"/>
              <c:showSerName val="0"/>
              <c:showPercent val="0"/>
              <c:showBubbleSize val="0"/>
              <c:extLst>
                <c:ext xmlns:c15="http://schemas.microsoft.com/office/drawing/2012/chart" uri="{CE6537A1-D6FC-4f65-9D91-7224C49458BB}"/>
              </c:extLst>
            </c:dLbl>
            <c:dLbl>
              <c:idx val="2"/>
              <c:tx>
                <c:rich>
                  <a:bodyPr/>
                  <a:lstStyle/>
                  <a:p>
                    <a:r>
                      <a:rPr lang="cs-CZ"/>
                      <a:t>12,3 %</a:t>
                    </a:r>
                  </a:p>
                </c:rich>
              </c:tx>
              <c:showLegendKey val="0"/>
              <c:showVal val="0"/>
              <c:showCatName val="0"/>
              <c:showSerName val="0"/>
              <c:showPercent val="0"/>
              <c:showBubbleSize val="0"/>
              <c:extLst>
                <c:ext xmlns:c15="http://schemas.microsoft.com/office/drawing/2012/chart" uri="{CE6537A1-D6FC-4f65-9D91-7224C49458BB}"/>
              </c:extLst>
            </c:dLbl>
            <c:dLbl>
              <c:idx val="3"/>
              <c:tx>
                <c:rich>
                  <a:bodyPr/>
                  <a:lstStyle/>
                  <a:p>
                    <a:r>
                      <a:rPr lang="cs-CZ"/>
                      <a:t>11,4 %</a:t>
                    </a:r>
                  </a:p>
                </c:rich>
              </c:tx>
              <c:showLegendKey val="0"/>
              <c:showVal val="0"/>
              <c:showCatName val="0"/>
              <c:showSerName val="0"/>
              <c:showPercent val="0"/>
              <c:showBubbleSize val="0"/>
              <c:extLst>
                <c:ext xmlns:c15="http://schemas.microsoft.com/office/drawing/2012/chart" uri="{CE6537A1-D6FC-4f65-9D91-7224C49458BB}"/>
              </c:extLst>
            </c:dLbl>
            <c:dLbl>
              <c:idx val="4"/>
              <c:tx>
                <c:rich>
                  <a:bodyPr/>
                  <a:lstStyle/>
                  <a:p>
                    <a:r>
                      <a:rPr lang="cs-CZ"/>
                      <a:t>11,9 %</a:t>
                    </a:r>
                  </a:p>
                </c:rich>
              </c:tx>
              <c:showLegendKey val="0"/>
              <c:showVal val="0"/>
              <c:showCatName val="0"/>
              <c:showSerName val="0"/>
              <c:showPercent val="0"/>
              <c:showBubbleSize val="0"/>
              <c:extLst>
                <c:ext xmlns:c15="http://schemas.microsoft.com/office/drawing/2012/chart" uri="{CE6537A1-D6FC-4f65-9D91-7224C49458BB}"/>
              </c:extLst>
            </c:dLbl>
            <c:dLbl>
              <c:idx val="5"/>
              <c:tx>
                <c:rich>
                  <a:bodyPr/>
                  <a:lstStyle/>
                  <a:p>
                    <a:r>
                      <a:rPr lang="cs-CZ"/>
                      <a:t>13,2 %</a:t>
                    </a:r>
                  </a:p>
                </c:rich>
              </c:tx>
              <c:showLegendKey val="0"/>
              <c:showVal val="0"/>
              <c:showCatName val="0"/>
              <c:showSerName val="0"/>
              <c:showPercent val="0"/>
              <c:showBubbleSize val="0"/>
              <c:extLst>
                <c:ext xmlns:c15="http://schemas.microsoft.com/office/drawing/2012/chart" uri="{CE6537A1-D6FC-4f65-9D91-7224C49458BB}"/>
              </c:extLst>
            </c:dLbl>
            <c:dLbl>
              <c:idx val="6"/>
              <c:tx>
                <c:rich>
                  <a:bodyPr/>
                  <a:lstStyle/>
                  <a:p>
                    <a:r>
                      <a:rPr lang="cs-CZ"/>
                      <a:t>21,2 %</a:t>
                    </a:r>
                  </a:p>
                </c:rich>
              </c:tx>
              <c:showLegendKey val="0"/>
              <c:showVal val="0"/>
              <c:showCatName val="0"/>
              <c:showSerName val="0"/>
              <c:showPercent val="0"/>
              <c:showBubbleSize val="0"/>
              <c:extLst>
                <c:ext xmlns:c15="http://schemas.microsoft.com/office/drawing/2012/chart" uri="{CE6537A1-D6FC-4f65-9D91-7224C49458BB}"/>
              </c:extLst>
            </c:dLbl>
            <c:dLbl>
              <c:idx val="7"/>
              <c:tx>
                <c:rich>
                  <a:bodyPr/>
                  <a:lstStyle/>
                  <a:p>
                    <a:r>
                      <a:rPr lang="cs-CZ"/>
                      <a:t>13,2 %</a:t>
                    </a:r>
                  </a:p>
                </c:rich>
              </c:tx>
              <c:showLegendKey val="0"/>
              <c:showVal val="0"/>
              <c:showCatName val="0"/>
              <c:showSerName val="0"/>
              <c:showPercent val="0"/>
              <c:showBubbleSize val="0"/>
              <c:extLst>
                <c:ext xmlns:c15="http://schemas.microsoft.com/office/drawing/2012/chart" uri="{CE6537A1-D6FC-4f65-9D91-7224C49458BB}"/>
              </c:extLst>
            </c:dLbl>
            <c:dLbl>
              <c:idx val="8"/>
              <c:tx>
                <c:rich>
                  <a:bodyPr/>
                  <a:lstStyle/>
                  <a:p>
                    <a:r>
                      <a:t>12,7 %</a:t>
                    </a:r>
                  </a:p>
                </c:rich>
              </c:tx>
              <c:showLegendKey val="0"/>
              <c:showVal val="0"/>
              <c:showCatName val="0"/>
              <c:showSerName val="0"/>
              <c:showPercent val="0"/>
              <c:showBubbleSize val="0"/>
              <c:extLst>
                <c:ext xmlns:c15="http://schemas.microsoft.com/office/drawing/2012/chart" uri="{CE6537A1-D6FC-4f65-9D91-7224C49458BB}"/>
              </c:extLst>
            </c:dLbl>
            <c:dLbl>
              <c:idx val="9"/>
              <c:tx>
                <c:rich>
                  <a:bodyPr/>
                  <a:lstStyle/>
                  <a:p>
                    <a:r>
                      <a:t>12,5 %</a:t>
                    </a:r>
                  </a:p>
                </c:rich>
              </c:tx>
              <c:showLegendKey val="0"/>
              <c:showVal val="0"/>
              <c:showCatName val="0"/>
              <c:showSerName val="0"/>
              <c:showPercent val="0"/>
              <c:showBubbleSize val="0"/>
              <c:extLst>
                <c:ext xmlns:c15="http://schemas.microsoft.com/office/drawing/2012/chart" uri="{CE6537A1-D6FC-4f65-9D91-7224C49458BB}"/>
              </c:extLst>
            </c:dLbl>
            <c:dLbl>
              <c:idx val="10"/>
              <c:tx>
                <c:rich>
                  <a:bodyPr/>
                  <a:lstStyle/>
                  <a:p>
                    <a:r>
                      <a:t>12,3 %</a:t>
                    </a:r>
                  </a:p>
                </c:rich>
              </c:tx>
              <c:showLegendKey val="0"/>
              <c:showVal val="0"/>
              <c:showCatName val="0"/>
              <c:showSerName val="0"/>
              <c:showPercent val="0"/>
              <c:showBubbleSize val="0"/>
              <c:extLst>
                <c:ext xmlns:c15="http://schemas.microsoft.com/office/drawing/2012/chart" uri="{CE6537A1-D6FC-4f65-9D91-7224C49458BB}"/>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f>'Data-grafy'!$B$12:$H$12</c:f>
              <c:numCache>
                <c:formatCode>General</c:formatCode>
                <c:ptCount val="7"/>
                <c:pt idx="0">
                  <c:v>2009</c:v>
                </c:pt>
                <c:pt idx="1">
                  <c:v>2010</c:v>
                </c:pt>
                <c:pt idx="2">
                  <c:v>2011</c:v>
                </c:pt>
                <c:pt idx="3">
                  <c:v>2012</c:v>
                </c:pt>
                <c:pt idx="4">
                  <c:v>2013</c:v>
                </c:pt>
                <c:pt idx="5">
                  <c:v>2014</c:v>
                </c:pt>
                <c:pt idx="6">
                  <c:v>2015</c:v>
                </c:pt>
              </c:numCache>
            </c:numRef>
          </c:cat>
          <c:val>
            <c:numRef>
              <c:f>'Data-grafy'!$B$14:$H$14</c:f>
              <c:numCache>
                <c:formatCode>#\ ##0.0</c:formatCode>
                <c:ptCount val="7"/>
                <c:pt idx="0">
                  <c:v>2177.3580000000002</c:v>
                </c:pt>
                <c:pt idx="1">
                  <c:v>2091.1819999999998</c:v>
                </c:pt>
                <c:pt idx="2">
                  <c:v>2062.2800000000002</c:v>
                </c:pt>
                <c:pt idx="3">
                  <c:v>1912.375</c:v>
                </c:pt>
                <c:pt idx="4">
                  <c:v>2009.296</c:v>
                </c:pt>
                <c:pt idx="5">
                  <c:v>2299.4070000000002</c:v>
                </c:pt>
                <c:pt idx="6">
                  <c:v>4409.991</c:v>
                </c:pt>
              </c:numCache>
            </c:numRef>
          </c:val>
        </c:ser>
        <c:dLbls>
          <c:showLegendKey val="0"/>
          <c:showVal val="0"/>
          <c:showCatName val="1"/>
          <c:showSerName val="0"/>
          <c:showPercent val="0"/>
          <c:showBubbleSize val="0"/>
        </c:dLbls>
        <c:gapWidth val="50"/>
        <c:gapDepth val="80"/>
        <c:shape val="box"/>
        <c:axId val="296349584"/>
        <c:axId val="296354680"/>
        <c:axId val="0"/>
      </c:bar3DChart>
      <c:catAx>
        <c:axId val="296349584"/>
        <c:scaling>
          <c:orientation val="minMax"/>
        </c:scaling>
        <c:delete val="0"/>
        <c:axPos val="b"/>
        <c:title>
          <c:tx>
            <c:rich>
              <a:bodyPr rot="-5400000" vert="horz"/>
              <a:lstStyle/>
              <a:p>
                <a:pPr algn="ctr">
                  <a:defRPr sz="1000" b="1" i="0" u="none" strike="noStrike" baseline="0">
                    <a:solidFill>
                      <a:srgbClr val="000000"/>
                    </a:solidFill>
                    <a:latin typeface="Tahoma"/>
                    <a:ea typeface="Tahoma"/>
                    <a:cs typeface="Tahoma"/>
                  </a:defRPr>
                </a:pPr>
                <a:r>
                  <a:rPr lang="cs-CZ"/>
                  <a:t>v mil. Kč</a:t>
                </a:r>
              </a:p>
            </c:rich>
          </c:tx>
          <c:layout>
            <c:manualLayout>
              <c:xMode val="edge"/>
              <c:yMode val="edge"/>
              <c:x val="4.70852275681993E-2"/>
              <c:y val="0.46616584139105216"/>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296354680"/>
        <c:crosses val="autoZero"/>
        <c:auto val="1"/>
        <c:lblAlgn val="ctr"/>
        <c:lblOffset val="100"/>
        <c:tickLblSkip val="1"/>
        <c:tickMarkSkip val="1"/>
        <c:noMultiLvlLbl val="0"/>
      </c:catAx>
      <c:valAx>
        <c:axId val="296354680"/>
        <c:scaling>
          <c:orientation val="minMax"/>
          <c:max val="22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296349584"/>
        <c:crosses val="autoZero"/>
        <c:crossBetween val="between"/>
        <c:majorUnit val="2000"/>
      </c:valAx>
      <c:spPr>
        <a:noFill/>
        <a:ln w="25400">
          <a:noFill/>
        </a:ln>
      </c:spPr>
    </c:plotArea>
    <c:legend>
      <c:legendPos val="r"/>
      <c:layout>
        <c:manualLayout>
          <c:xMode val="edge"/>
          <c:yMode val="edge"/>
          <c:x val="0.33295982351798076"/>
          <c:y val="0.87970005552827579"/>
          <c:w val="0.38452935847362762"/>
          <c:h val="3.759401946702033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ahoma"/>
              <a:ea typeface="Tahoma"/>
              <a:cs typeface="Tahoma"/>
            </a:defRPr>
          </a:pPr>
          <a:endParaRPr lang="cs-CZ"/>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Struktura skutečných příjmů rozpočtu Moravskoslezského kraje
v roce 2015</a:t>
            </a:r>
          </a:p>
        </c:rich>
      </c:tx>
      <c:layout>
        <c:manualLayout>
          <c:xMode val="edge"/>
          <c:yMode val="edge"/>
          <c:x val="0.16118047673098751"/>
          <c:y val="9.8846866993528466E-3"/>
        </c:manualLayout>
      </c:layout>
      <c:overlay val="0"/>
      <c:spPr>
        <a:noFill/>
        <a:ln w="25400">
          <a:noFill/>
        </a:ln>
      </c:spPr>
    </c:title>
    <c:autoTitleDeleted val="0"/>
    <c:view3D>
      <c:rotX val="15"/>
      <c:rotY val="160"/>
      <c:rAngAx val="0"/>
      <c:perspective val="0"/>
    </c:view3D>
    <c:floor>
      <c:thickness val="0"/>
    </c:floor>
    <c:sideWall>
      <c:thickness val="0"/>
    </c:sideWall>
    <c:backWall>
      <c:thickness val="0"/>
    </c:backWall>
    <c:plotArea>
      <c:layout>
        <c:manualLayout>
          <c:layoutTarget val="inner"/>
          <c:xMode val="edge"/>
          <c:yMode val="edge"/>
          <c:x val="9.3832765796443438E-2"/>
          <c:y val="0.2350358676335145"/>
          <c:w val="0.77563374952705255"/>
          <c:h val="0.44700748485516739"/>
        </c:manualLayout>
      </c:layout>
      <c:pie3DChart>
        <c:varyColors val="1"/>
        <c:ser>
          <c:idx val="0"/>
          <c:order val="0"/>
          <c:tx>
            <c:strRef>
              <c:f>'Data-grafy'!$B$30</c:f>
              <c:strCache>
                <c:ptCount val="1"/>
                <c:pt idx="0">
                  <c:v>Čerpání v tis. Kč</c:v>
                </c:pt>
              </c:strCache>
            </c:strRef>
          </c:tx>
          <c:spPr>
            <a:solidFill>
              <a:srgbClr val="9999FF"/>
            </a:solidFill>
            <a:ln w="12700">
              <a:solidFill>
                <a:srgbClr val="000000"/>
              </a:solidFill>
              <a:prstDash val="solid"/>
            </a:ln>
          </c:spPr>
          <c:explosion val="25"/>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Lbls>
            <c:dLbl>
              <c:idx val="0"/>
              <c:layout>
                <c:manualLayout>
                  <c:x val="-0.1887941703087341"/>
                  <c:y val="0.10766352073516164"/>
                </c:manualLayout>
              </c:layout>
              <c:tx>
                <c:rich>
                  <a:bodyPr/>
                  <a:lstStyle/>
                  <a:p>
                    <a:pPr>
                      <a:defRPr sz="1000" b="0" i="0" u="none" strike="noStrike" baseline="0">
                        <a:solidFill>
                          <a:srgbClr val="000000"/>
                        </a:solidFill>
                        <a:latin typeface="Tahoma"/>
                        <a:ea typeface="Tahoma"/>
                        <a:cs typeface="Tahoma"/>
                      </a:defRPr>
                    </a:pPr>
                    <a:r>
                      <a:rPr lang="cs-CZ"/>
                      <a:t>Kapitálové příjmy
0,2 %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layout>
                <c:manualLayout>
                  <c:x val="6.2080491924888254E-3"/>
                  <c:y val="8.4976287904508965E-2"/>
                </c:manualLayout>
              </c:layout>
              <c:tx>
                <c:rich>
                  <a:bodyPr/>
                  <a:lstStyle/>
                  <a:p>
                    <a:pPr>
                      <a:defRPr sz="1000" b="0" i="0" u="none" strike="noStrike" baseline="0">
                        <a:solidFill>
                          <a:srgbClr val="000000"/>
                        </a:solidFill>
                        <a:latin typeface="Tahoma"/>
                        <a:ea typeface="Tahoma"/>
                        <a:cs typeface="Tahoma"/>
                      </a:defRPr>
                    </a:pPr>
                    <a:r>
                      <a:rPr lang="cs-CZ"/>
                      <a:t>Daňové příjmy
26,5 %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2"/>
              <c:layout>
                <c:manualLayout>
                  <c:x val="1.7304244460929329E-2"/>
                  <c:y val="-0.11597936584121384"/>
                </c:manualLayout>
              </c:layout>
              <c:tx>
                <c:rich>
                  <a:bodyPr/>
                  <a:lstStyle/>
                  <a:p>
                    <a:pPr>
                      <a:defRPr sz="1000" b="0" i="0" u="none" strike="noStrike" baseline="0">
                        <a:solidFill>
                          <a:srgbClr val="000000"/>
                        </a:solidFill>
                        <a:latin typeface="Tahoma"/>
                        <a:ea typeface="Tahoma"/>
                        <a:cs typeface="Tahoma"/>
                      </a:defRPr>
                    </a:pPr>
                    <a:r>
                      <a:rPr lang="cs-CZ"/>
                      <a:t>Investiční dotace
10,7 %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3"/>
              <c:layout>
                <c:manualLayout>
                  <c:x val="6.9358072579179591E-3"/>
                  <c:y val="-9.7663220433524892E-2"/>
                </c:manualLayout>
              </c:layout>
              <c:tx>
                <c:rich>
                  <a:bodyPr/>
                  <a:lstStyle/>
                  <a:p>
                    <a:pPr>
                      <a:defRPr sz="1000" b="0" i="0" u="none" strike="noStrike" baseline="0">
                        <a:solidFill>
                          <a:srgbClr val="000000"/>
                        </a:solidFill>
                        <a:latin typeface="Tahoma"/>
                        <a:ea typeface="Tahoma"/>
                        <a:cs typeface="Tahoma"/>
                      </a:defRPr>
                    </a:pPr>
                    <a:r>
                      <a:rPr lang="cs-CZ"/>
                      <a:t>Neinvestiční dotace
61,2 %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4"/>
              <c:layout>
                <c:manualLayout>
                  <c:x val="7.6908666779876081E-2"/>
                  <c:y val="8.4179817843276106E-2"/>
                </c:manualLayout>
              </c:layout>
              <c:tx>
                <c:rich>
                  <a:bodyPr/>
                  <a:lstStyle/>
                  <a:p>
                    <a:pPr>
                      <a:defRPr sz="1000" b="0" i="0" u="none" strike="noStrike" baseline="0">
                        <a:solidFill>
                          <a:srgbClr val="000000"/>
                        </a:solidFill>
                        <a:latin typeface="Tahoma"/>
                        <a:ea typeface="Tahoma"/>
                        <a:cs typeface="Tahoma"/>
                      </a:defRPr>
                    </a:pPr>
                    <a:r>
                      <a:rPr lang="cs-CZ"/>
                      <a:t>Nedaňové příjmy
1,4 %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'Data-grafy'!$A$31:$A$35</c:f>
              <c:strCache>
                <c:ptCount val="5"/>
                <c:pt idx="0">
                  <c:v>Kapitálové příjmy</c:v>
                </c:pt>
                <c:pt idx="1">
                  <c:v>Daňové příjmy</c:v>
                </c:pt>
                <c:pt idx="2">
                  <c:v>Investiční dotace</c:v>
                </c:pt>
                <c:pt idx="3">
                  <c:v>Neinvestiční dotace</c:v>
                </c:pt>
                <c:pt idx="4">
                  <c:v>Nedaňové příjmy</c:v>
                </c:pt>
              </c:strCache>
            </c:strRef>
          </c:cat>
          <c:val>
            <c:numRef>
              <c:f>'Data-grafy'!$B$31:$B$35</c:f>
              <c:numCache>
                <c:formatCode>#,##0.00</c:formatCode>
                <c:ptCount val="5"/>
                <c:pt idx="0">
                  <c:v>47410.751479999999</c:v>
                </c:pt>
                <c:pt idx="1">
                  <c:v>5050979.6178099997</c:v>
                </c:pt>
                <c:pt idx="2">
                  <c:v>2051894.21309</c:v>
                </c:pt>
                <c:pt idx="3">
                  <c:v>11674585.62033</c:v>
                </c:pt>
                <c:pt idx="4">
                  <c:v>262004.48222999999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Struktura skutečných výdajů rozpočtu Moravskoslezského kraje</a:t>
            </a:r>
          </a:p>
          <a:p>
            <a:pPr>
              <a:defRPr sz="1400" b="1" i="0" u="none" strike="noStrike" baseline="0">
                <a:solidFill>
                  <a:srgbClr val="000000"/>
                </a:solidFill>
                <a:latin typeface="Tahoma"/>
                <a:ea typeface="Tahoma"/>
                <a:cs typeface="Tahoma"/>
              </a:defRPr>
            </a:pPr>
            <a:r>
              <a:rPr lang="cs-CZ"/>
              <a:t>v roce 2015</a:t>
            </a:r>
          </a:p>
        </c:rich>
      </c:tx>
      <c:layout>
        <c:manualLayout>
          <c:xMode val="edge"/>
          <c:yMode val="edge"/>
          <c:x val="0.14512168683317103"/>
          <c:y val="1.0169418204657856E-2"/>
        </c:manualLayout>
      </c:layout>
      <c:overlay val="0"/>
      <c:spPr>
        <a:noFill/>
        <a:ln w="25400">
          <a:noFill/>
        </a:ln>
      </c:spPr>
    </c:title>
    <c:autoTitleDeleted val="0"/>
    <c:view3D>
      <c:rotX val="15"/>
      <c:rotY val="190"/>
      <c:rAngAx val="0"/>
      <c:perspective val="0"/>
    </c:view3D>
    <c:floor>
      <c:thickness val="0"/>
    </c:floor>
    <c:sideWall>
      <c:thickness val="0"/>
    </c:sideWall>
    <c:backWall>
      <c:thickness val="0"/>
    </c:backWall>
    <c:plotArea>
      <c:layout>
        <c:manualLayout>
          <c:layoutTarget val="inner"/>
          <c:xMode val="edge"/>
          <c:yMode val="edge"/>
          <c:x val="1.9824540959864162E-2"/>
          <c:y val="0.16326432039445551"/>
          <c:w val="0.8051895871506628"/>
          <c:h val="0.4909282853114042"/>
        </c:manualLayout>
      </c:layout>
      <c:pie3DChart>
        <c:varyColors val="1"/>
        <c:ser>
          <c:idx val="0"/>
          <c:order val="0"/>
          <c:spPr>
            <a:solidFill>
              <a:srgbClr val="9999FF"/>
            </a:solidFill>
            <a:ln w="12700">
              <a:solidFill>
                <a:srgbClr val="000000"/>
              </a:solidFill>
              <a:prstDash val="solid"/>
            </a:ln>
          </c:spPr>
          <c:explosion val="26"/>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Lbls>
            <c:dLbl>
              <c:idx val="0"/>
              <c:layout>
                <c:manualLayout>
                  <c:x val="-0.11479082410296197"/>
                  <c:y val="1.6661800000831908E-2"/>
                </c:manualLayout>
              </c:layout>
              <c:tx>
                <c:rich>
                  <a:bodyPr/>
                  <a:lstStyle/>
                  <a:p>
                    <a:pPr>
                      <a:defRPr sz="825" b="1" i="0" u="none" strike="noStrike" baseline="0">
                        <a:solidFill>
                          <a:srgbClr val="000000"/>
                        </a:solidFill>
                        <a:latin typeface="Tahoma"/>
                        <a:ea typeface="Tahoma"/>
                        <a:cs typeface="Tahoma"/>
                      </a:defRPr>
                    </a:pPr>
                    <a:r>
                      <a:rPr lang="cs-CZ" sz="825" b="1" i="0" u="none" strike="noStrike" baseline="0">
                        <a:solidFill>
                          <a:srgbClr val="000000"/>
                        </a:solidFill>
                        <a:latin typeface="Tahoma"/>
                        <a:cs typeface="Tahoma"/>
                      </a:rPr>
                      <a:t>Regionální rozvoj</a:t>
                    </a:r>
                    <a:endParaRPr lang="cs-CZ"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cs-CZ" sz="825" b="0" i="0" u="none" strike="noStrike" baseline="0">
                        <a:solidFill>
                          <a:srgbClr val="000000"/>
                        </a:solidFill>
                        <a:latin typeface="Tahoma"/>
                        <a:cs typeface="Tahoma"/>
                      </a:rPr>
                      <a:t>0,5 %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layout>
                <c:manualLayout>
                  <c:x val="-3.8505642769496577E-2"/>
                  <c:y val="2.5461397357026093E-2"/>
                </c:manualLayout>
              </c:layout>
              <c:tx>
                <c:rich>
                  <a:bodyPr/>
                  <a:lstStyle/>
                  <a:p>
                    <a:pPr>
                      <a:defRPr sz="825" b="1" i="0" u="none" strike="noStrike" baseline="0">
                        <a:solidFill>
                          <a:srgbClr val="000000"/>
                        </a:solidFill>
                        <a:latin typeface="Tahoma"/>
                        <a:ea typeface="Tahoma"/>
                        <a:cs typeface="Tahoma"/>
                      </a:defRPr>
                    </a:pPr>
                    <a:r>
                      <a:rPr lang="cs-CZ" sz="825" b="1" i="0" u="none" strike="noStrike" baseline="0">
                        <a:solidFill>
                          <a:srgbClr val="000000"/>
                        </a:solidFill>
                        <a:latin typeface="Tahoma"/>
                        <a:cs typeface="Tahoma"/>
                      </a:rPr>
                      <a:t>Doprava</a:t>
                    </a:r>
                    <a:endParaRPr lang="cs-CZ"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cs-CZ" sz="825" b="0" i="0" u="none" strike="noStrike" baseline="0">
                        <a:solidFill>
                          <a:srgbClr val="000000"/>
                        </a:solidFill>
                        <a:latin typeface="Tahoma"/>
                        <a:cs typeface="Tahoma"/>
                      </a:rPr>
                      <a:t>17,8 %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2"/>
              <c:layout>
                <c:manualLayout>
                  <c:x val="0.12128394328067492"/>
                  <c:y val="-2.2612110094795995E-2"/>
                </c:manualLayout>
              </c:layout>
              <c:tx>
                <c:rich>
                  <a:bodyPr/>
                  <a:lstStyle/>
                  <a:p>
                    <a:pPr>
                      <a:defRPr sz="825" b="1" i="0" u="none" strike="noStrike" baseline="0">
                        <a:solidFill>
                          <a:srgbClr val="000000"/>
                        </a:solidFill>
                        <a:latin typeface="Tahoma"/>
                        <a:ea typeface="Tahoma"/>
                        <a:cs typeface="Tahoma"/>
                      </a:defRPr>
                    </a:pPr>
                    <a:r>
                      <a:rPr lang="cs-CZ" sz="825" b="1" i="0" u="none" strike="noStrike" baseline="0">
                        <a:solidFill>
                          <a:srgbClr val="000000"/>
                        </a:solidFill>
                        <a:latin typeface="Tahoma"/>
                        <a:cs typeface="Tahoma"/>
                      </a:rPr>
                      <a:t>Školství</a:t>
                    </a:r>
                    <a:endParaRPr lang="cs-CZ"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cs-CZ" sz="825" b="0" i="0" u="none" strike="noStrike" baseline="0">
                        <a:solidFill>
                          <a:srgbClr val="000000"/>
                        </a:solidFill>
                        <a:latin typeface="Tahoma"/>
                        <a:cs typeface="Tahoma"/>
                      </a:rPr>
                      <a:t>57,0 %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3"/>
              <c:layout>
                <c:manualLayout>
                  <c:x val="7.6237970253718285E-2"/>
                  <c:y val="-2.5035293726160618E-2"/>
                </c:manualLayout>
              </c:layout>
              <c:tx>
                <c:rich>
                  <a:bodyPr/>
                  <a:lstStyle/>
                  <a:p>
                    <a:pPr>
                      <a:defRPr sz="825" b="1" i="0" u="none" strike="noStrike" baseline="0">
                        <a:solidFill>
                          <a:srgbClr val="000000"/>
                        </a:solidFill>
                        <a:latin typeface="Tahoma"/>
                        <a:ea typeface="Tahoma"/>
                        <a:cs typeface="Tahoma"/>
                      </a:defRPr>
                    </a:pPr>
                    <a:r>
                      <a:rPr lang="cs-CZ" sz="825" b="1" i="0" u="none" strike="noStrike" baseline="0">
                        <a:solidFill>
                          <a:srgbClr val="000000"/>
                        </a:solidFill>
                        <a:latin typeface="Tahoma"/>
                        <a:cs typeface="Tahoma"/>
                      </a:rPr>
                      <a:t>Kultura</a:t>
                    </a:r>
                    <a:endParaRPr lang="cs-CZ"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cs-CZ" sz="825" b="0" i="0" u="none" strike="noStrike" baseline="0">
                        <a:solidFill>
                          <a:srgbClr val="000000"/>
                        </a:solidFill>
                        <a:latin typeface="Tahoma"/>
                        <a:cs typeface="Tahoma"/>
                      </a:rPr>
                      <a:t>1,4 %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4"/>
              <c:layout>
                <c:manualLayout>
                  <c:x val="8.3310828284829178E-2"/>
                  <c:y val="2.8468747270299612E-2"/>
                </c:manualLayout>
              </c:layout>
              <c:tx>
                <c:rich>
                  <a:bodyPr/>
                  <a:lstStyle/>
                  <a:p>
                    <a:pPr>
                      <a:defRPr sz="825" b="1" i="0" u="none" strike="noStrike" baseline="0">
                        <a:solidFill>
                          <a:srgbClr val="000000"/>
                        </a:solidFill>
                        <a:latin typeface="Tahoma"/>
                        <a:ea typeface="Tahoma"/>
                        <a:cs typeface="Tahoma"/>
                      </a:defRPr>
                    </a:pPr>
                    <a:r>
                      <a:rPr lang="cs-CZ" sz="825" b="1" i="0" u="none" strike="noStrike" baseline="0">
                        <a:solidFill>
                          <a:srgbClr val="000000"/>
                        </a:solidFill>
                        <a:latin typeface="Tahoma"/>
                        <a:cs typeface="Tahoma"/>
                      </a:rPr>
                      <a:t>Zdravotnictví</a:t>
                    </a:r>
                    <a:endParaRPr lang="cs-CZ"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cs-CZ" sz="825" b="0" i="0" u="none" strike="noStrike" baseline="0">
                        <a:solidFill>
                          <a:srgbClr val="000000"/>
                        </a:solidFill>
                        <a:latin typeface="Tahoma"/>
                        <a:cs typeface="Tahoma"/>
                      </a:rPr>
                      <a:t>5,7 %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5"/>
              <c:layout>
                <c:manualLayout>
                  <c:x val="0.10599085491672032"/>
                  <c:y val="7.1322859602930055E-2"/>
                </c:manualLayout>
              </c:layout>
              <c:tx>
                <c:rich>
                  <a:bodyPr/>
                  <a:lstStyle/>
                  <a:p>
                    <a:pPr>
                      <a:defRPr sz="825" b="1" i="0" u="none" strike="noStrike" baseline="0">
                        <a:solidFill>
                          <a:srgbClr val="000000"/>
                        </a:solidFill>
                        <a:latin typeface="Tahoma"/>
                        <a:ea typeface="Tahoma"/>
                        <a:cs typeface="Tahoma"/>
                      </a:defRPr>
                    </a:pPr>
                    <a:r>
                      <a:rPr lang="cs-CZ" sz="825" b="1" i="0" u="none" strike="noStrike" baseline="0">
                        <a:solidFill>
                          <a:srgbClr val="000000"/>
                        </a:solidFill>
                        <a:latin typeface="Tahoma"/>
                        <a:cs typeface="Tahoma"/>
                      </a:rPr>
                      <a:t>Životní prostředí</a:t>
                    </a:r>
                    <a:endParaRPr lang="cs-CZ"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cs-CZ" sz="825" b="0" i="0" u="none" strike="noStrike" baseline="0">
                        <a:solidFill>
                          <a:srgbClr val="000000"/>
                        </a:solidFill>
                        <a:latin typeface="Tahoma"/>
                        <a:cs typeface="Tahoma"/>
                      </a:rPr>
                      <a:t>0,5 %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6"/>
              <c:layout>
                <c:manualLayout>
                  <c:x val="7.65528208345026E-2"/>
                  <c:y val="0.11989351568771811"/>
                </c:manualLayout>
              </c:layout>
              <c:tx>
                <c:rich>
                  <a:bodyPr/>
                  <a:lstStyle/>
                  <a:p>
                    <a:pPr>
                      <a:defRPr sz="825" b="1" i="0" u="none" strike="noStrike" baseline="0">
                        <a:solidFill>
                          <a:srgbClr val="000000"/>
                        </a:solidFill>
                        <a:latin typeface="Tahoma"/>
                        <a:ea typeface="Tahoma"/>
                        <a:cs typeface="Tahoma"/>
                      </a:defRPr>
                    </a:pPr>
                    <a:r>
                      <a:rPr lang="cs-CZ" sz="825" b="1" i="0" u="none" strike="noStrike" baseline="0">
                        <a:solidFill>
                          <a:srgbClr val="000000"/>
                        </a:solidFill>
                        <a:latin typeface="Tahoma"/>
                        <a:cs typeface="Tahoma"/>
                      </a:rPr>
                      <a:t>Sociální věci</a:t>
                    </a:r>
                    <a:endParaRPr lang="cs-CZ"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cs-CZ" sz="825" b="0" i="0" u="none" strike="noStrike" baseline="0">
                        <a:solidFill>
                          <a:srgbClr val="000000"/>
                        </a:solidFill>
                        <a:latin typeface="Tahoma"/>
                        <a:cs typeface="Tahoma"/>
                      </a:rPr>
                      <a:t>7,7 %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7"/>
              <c:layout>
                <c:manualLayout>
                  <c:x val="8.195843444097789E-2"/>
                  <c:y val="0.16882372270819554"/>
                </c:manualLayout>
              </c:layout>
              <c:tx>
                <c:rich>
                  <a:bodyPr/>
                  <a:lstStyle/>
                  <a:p>
                    <a:pPr>
                      <a:defRPr sz="825" b="1" i="0" u="none" strike="noStrike" baseline="0">
                        <a:solidFill>
                          <a:srgbClr val="000000"/>
                        </a:solidFill>
                        <a:latin typeface="Tahoma"/>
                        <a:ea typeface="Tahoma"/>
                        <a:cs typeface="Tahoma"/>
                      </a:defRPr>
                    </a:pPr>
                    <a:r>
                      <a:rPr lang="cs-CZ" sz="825" b="1" i="0" u="none" strike="noStrike" baseline="0">
                        <a:solidFill>
                          <a:srgbClr val="000000"/>
                        </a:solidFill>
                        <a:latin typeface="Tahoma"/>
                        <a:cs typeface="Tahoma"/>
                      </a:rPr>
                      <a:t>Krizové řízen</a:t>
                    </a:r>
                    <a:r>
                      <a:rPr lang="cs-CZ" sz="825" b="0" i="0" u="none" strike="noStrike" baseline="0">
                        <a:solidFill>
                          <a:srgbClr val="000000"/>
                        </a:solidFill>
                        <a:latin typeface="Tahoma"/>
                        <a:cs typeface="Tahoma"/>
                      </a:rPr>
                      <a:t>í</a:t>
                    </a:r>
                  </a:p>
                  <a:p>
                    <a:pPr>
                      <a:defRPr sz="825" b="1" i="0" u="none" strike="noStrike" baseline="0">
                        <a:solidFill>
                          <a:srgbClr val="000000"/>
                        </a:solidFill>
                        <a:latin typeface="Tahoma"/>
                        <a:ea typeface="Tahoma"/>
                        <a:cs typeface="Tahoma"/>
                      </a:defRPr>
                    </a:pPr>
                    <a:r>
                      <a:rPr lang="cs-CZ" sz="825" b="0" i="0" u="none" strike="noStrike" baseline="0">
                        <a:solidFill>
                          <a:srgbClr val="000000"/>
                        </a:solidFill>
                        <a:latin typeface="Tahoma"/>
                        <a:cs typeface="Tahoma"/>
                      </a:rPr>
                      <a:t>5,4 %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8"/>
              <c:layout>
                <c:manualLayout>
                  <c:x val="1.7573966776165559E-2"/>
                  <c:y val="0.18949099666820571"/>
                </c:manualLayout>
              </c:layout>
              <c:tx>
                <c:rich>
                  <a:bodyPr/>
                  <a:lstStyle/>
                  <a:p>
                    <a:pPr>
                      <a:defRPr sz="825" b="1" i="0" u="none" strike="noStrike" baseline="0">
                        <a:solidFill>
                          <a:srgbClr val="000000"/>
                        </a:solidFill>
                        <a:latin typeface="Tahoma"/>
                        <a:ea typeface="Tahoma"/>
                        <a:cs typeface="Tahoma"/>
                      </a:defRPr>
                    </a:pPr>
                    <a:r>
                      <a:rPr lang="cs-CZ" sz="825" b="1" i="0" u="none" strike="noStrike" baseline="0">
                        <a:solidFill>
                          <a:srgbClr val="000000"/>
                        </a:solidFill>
                        <a:latin typeface="Tahoma"/>
                        <a:cs typeface="Tahoma"/>
                      </a:rPr>
                      <a:t>Cestovní ruch</a:t>
                    </a:r>
                    <a:endParaRPr lang="cs-CZ"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cs-CZ" sz="825" b="0" i="0" u="none" strike="noStrike" baseline="0">
                        <a:solidFill>
                          <a:srgbClr val="000000"/>
                        </a:solidFill>
                        <a:latin typeface="Tahoma"/>
                        <a:cs typeface="Tahoma"/>
                      </a:rPr>
                      <a:t>0,3 %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9"/>
              <c:layout>
                <c:manualLayout>
                  <c:x val="-4.0817995234872367E-2"/>
                  <c:y val="0.17560344576579276"/>
                </c:manualLayout>
              </c:layout>
              <c:tx>
                <c:rich>
                  <a:bodyPr/>
                  <a:lstStyle/>
                  <a:p>
                    <a:pPr>
                      <a:defRPr sz="825" b="1" i="0" u="none" strike="noStrike" baseline="0">
                        <a:solidFill>
                          <a:srgbClr val="000000"/>
                        </a:solidFill>
                        <a:latin typeface="Tahoma"/>
                        <a:ea typeface="Tahoma"/>
                        <a:cs typeface="Tahoma"/>
                      </a:defRPr>
                    </a:pPr>
                    <a:r>
                      <a:rPr lang="cs-CZ" sz="825" b="1" i="0" u="none" strike="noStrike" baseline="0">
                        <a:solidFill>
                          <a:srgbClr val="000000"/>
                        </a:solidFill>
                        <a:latin typeface="Tahoma"/>
                        <a:cs typeface="Tahoma"/>
                      </a:rPr>
                      <a:t>Všeobecná veřejná</a:t>
                    </a:r>
                  </a:p>
                  <a:p>
                    <a:pPr>
                      <a:defRPr sz="825" b="1" i="0" u="none" strike="noStrike" baseline="0">
                        <a:solidFill>
                          <a:srgbClr val="000000"/>
                        </a:solidFill>
                        <a:latin typeface="Tahoma"/>
                        <a:ea typeface="Tahoma"/>
                        <a:cs typeface="Tahoma"/>
                      </a:defRPr>
                    </a:pPr>
                    <a:r>
                      <a:rPr lang="cs-CZ" sz="825" b="1" i="0" u="none" strike="noStrike" baseline="0">
                        <a:solidFill>
                          <a:srgbClr val="000000"/>
                        </a:solidFill>
                        <a:latin typeface="Tahoma"/>
                        <a:cs typeface="Tahoma"/>
                      </a:rPr>
                      <a:t>správa a služby</a:t>
                    </a:r>
                    <a:endParaRPr lang="cs-CZ"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cs-CZ" sz="825" b="0" i="0" u="none" strike="noStrike" baseline="0">
                        <a:solidFill>
                          <a:srgbClr val="000000"/>
                        </a:solidFill>
                        <a:latin typeface="Tahoma"/>
                        <a:cs typeface="Tahoma"/>
                      </a:rPr>
                      <a:t>2,5 %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0"/>
              <c:layout>
                <c:manualLayout>
                  <c:x val="-5.1845358952772411E-2"/>
                  <c:y val="7.6221470731372601E-2"/>
                </c:manualLayout>
              </c:layout>
              <c:tx>
                <c:rich>
                  <a:bodyPr/>
                  <a:lstStyle/>
                  <a:p>
                    <a:pPr>
                      <a:defRPr sz="825" b="1" i="0" u="none" strike="noStrike" baseline="0">
                        <a:solidFill>
                          <a:srgbClr val="000000"/>
                        </a:solidFill>
                        <a:latin typeface="Tahoma"/>
                        <a:ea typeface="Tahoma"/>
                        <a:cs typeface="Tahoma"/>
                      </a:defRPr>
                    </a:pPr>
                    <a:r>
                      <a:rPr lang="cs-CZ" sz="825" b="1" i="0" u="none" strike="noStrike" baseline="0">
                        <a:solidFill>
                          <a:srgbClr val="000000"/>
                        </a:solidFill>
                        <a:latin typeface="Tahoma"/>
                        <a:cs typeface="Tahoma"/>
                      </a:rPr>
                      <a:t>Ostatní</a:t>
                    </a:r>
                    <a:endParaRPr lang="cs-CZ"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cs-CZ" sz="825" b="0" i="0" u="none" strike="noStrike" baseline="0">
                        <a:solidFill>
                          <a:srgbClr val="000000"/>
                        </a:solidFill>
                        <a:latin typeface="Tahoma"/>
                        <a:cs typeface="Tahoma"/>
                      </a:rPr>
                      <a:t>1,2 %</a:t>
                    </a:r>
                  </a:p>
                  <a:p>
                    <a:pPr>
                      <a:defRPr sz="825" b="1" i="0" u="none" strike="noStrike" baseline="0">
                        <a:solidFill>
                          <a:srgbClr val="000000"/>
                        </a:solidFill>
                        <a:latin typeface="Tahoma"/>
                        <a:ea typeface="Tahoma"/>
                        <a:cs typeface="Tahoma"/>
                      </a:defRPr>
                    </a:pPr>
                    <a:r>
                      <a:rPr lang="cs-CZ" sz="825" b="0" i="1" u="none" strike="noStrike" baseline="0">
                        <a:solidFill>
                          <a:srgbClr val="000000"/>
                        </a:solidFill>
                        <a:latin typeface="Tahoma"/>
                        <a:cs typeface="Tahoma"/>
                      </a:rPr>
                      <a:t>- zahrnuje finance a správa majetku, prezentace kraje, územní plánování a stavební řád</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numFmt formatCode="0%" sourceLinked="0"/>
            <c:spPr>
              <a:noFill/>
              <a:ln w="25400">
                <a:noFill/>
              </a:ln>
            </c:spPr>
            <c:txPr>
              <a:bodyPr/>
              <a:lstStyle/>
              <a:p>
                <a:pPr>
                  <a:defRPr sz="825"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'Data-grafy'!$A$44:$A$54</c:f>
              <c:strCache>
                <c:ptCount val="11"/>
                <c:pt idx="0">
                  <c:v>Regionální rozvoj</c:v>
                </c:pt>
                <c:pt idx="1">
                  <c:v>Doprava</c:v>
                </c:pt>
                <c:pt idx="2">
                  <c:v>Školství</c:v>
                </c:pt>
                <c:pt idx="3">
                  <c:v>Kultura</c:v>
                </c:pt>
                <c:pt idx="4">
                  <c:v>Zdravotnictví</c:v>
                </c:pt>
                <c:pt idx="5">
                  <c:v>Životní prostředí</c:v>
                </c:pt>
                <c:pt idx="6">
                  <c:v>Sociální věci</c:v>
                </c:pt>
                <c:pt idx="7">
                  <c:v>Krizové řízení</c:v>
                </c:pt>
                <c:pt idx="8">
                  <c:v>Cestovní ruch</c:v>
                </c:pt>
                <c:pt idx="9">
                  <c:v>Všeobecná veřejná správa a služby</c:v>
                </c:pt>
                <c:pt idx="10">
                  <c:v>Ostatní</c:v>
                </c:pt>
              </c:strCache>
            </c:strRef>
          </c:cat>
          <c:val>
            <c:numRef>
              <c:f>'Data-grafy'!$L$44:$L$54</c:f>
              <c:numCache>
                <c:formatCode>#,##0.00</c:formatCode>
                <c:ptCount val="11"/>
                <c:pt idx="0">
                  <c:v>102520.63812</c:v>
                </c:pt>
                <c:pt idx="1">
                  <c:v>3703631.5427000001</c:v>
                </c:pt>
                <c:pt idx="2">
                  <c:v>11831940.61582</c:v>
                </c:pt>
                <c:pt idx="3">
                  <c:v>293797.01584000001</c:v>
                </c:pt>
                <c:pt idx="4">
                  <c:v>1179862.43521</c:v>
                </c:pt>
                <c:pt idx="5">
                  <c:v>104008.06471000001</c:v>
                </c:pt>
                <c:pt idx="6">
                  <c:v>1607572.18295</c:v>
                </c:pt>
                <c:pt idx="7">
                  <c:v>1123194.92481</c:v>
                </c:pt>
                <c:pt idx="8">
                  <c:v>59088.62081</c:v>
                </c:pt>
                <c:pt idx="9">
                  <c:v>507481.09860999999</c:v>
                </c:pt>
                <c:pt idx="10">
                  <c:v>253632.42847000001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75" b="0" i="0" u="none" strike="noStrike" baseline="0">
          <a:solidFill>
            <a:srgbClr val="000000"/>
          </a:solidFill>
          <a:latin typeface="Tahoma"/>
          <a:ea typeface="Tahoma"/>
          <a:cs typeface="Tahoma"/>
        </a:defRPr>
      </a:pPr>
      <a:endParaRPr lang="cs-CZ"/>
    </a:p>
  </c:txPr>
  <c:printSettings>
    <c:headerFooter alignWithMargins="0">
      <c:oddHeader>&amp;L&amp;"Arial,Kurzíva"&amp;9Zavěrečný účet za rok 2009&amp;R&amp;"Arial,Kurzíva"&amp;9Graf č. 4</c:oddHeader>
      <c:oddFooter>&amp;C&amp;P</c:oddFooter>
    </c:headerFooter>
    <c:pageMargins b="0.984251969" l="0.78740157499999996" r="0.78740157499999996" t="0.984251969" header="0.4921259845" footer="0.4921259845"/>
    <c:pageSetup paperSize="9" firstPageNumber="273" orientation="landscape" useFirstPageNumber="1"/>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Skutečné výdaje v rámci dotačních programů v jednotlivých odvětvích</a:t>
            </a:r>
          </a:p>
          <a:p>
            <a:pPr>
              <a:defRPr sz="1400" b="1" i="0" u="none" strike="noStrike" baseline="0">
                <a:solidFill>
                  <a:srgbClr val="000000"/>
                </a:solidFill>
                <a:latin typeface="Tahoma"/>
                <a:ea typeface="Tahoma"/>
                <a:cs typeface="Tahoma"/>
              </a:defRPr>
            </a:pPr>
            <a:r>
              <a:rPr lang="cs-CZ"/>
              <a:t>v roce 2015</a:t>
            </a:r>
          </a:p>
        </c:rich>
      </c:tx>
      <c:layout>
        <c:manualLayout>
          <c:xMode val="edge"/>
          <c:yMode val="edge"/>
          <c:x val="0.12061416424042737"/>
          <c:y val="8.0000062500048836E-3"/>
        </c:manualLayout>
      </c:layout>
      <c:overlay val="0"/>
      <c:spPr>
        <a:noFill/>
        <a:ln w="25400">
          <a:noFill/>
        </a:ln>
      </c:spPr>
    </c:title>
    <c:autoTitleDeleted val="0"/>
    <c:view3D>
      <c:rotX val="15"/>
      <c:rotY val="160"/>
      <c:rAngAx val="0"/>
      <c:perspective val="0"/>
    </c:view3D>
    <c:floor>
      <c:thickness val="0"/>
    </c:floor>
    <c:sideWall>
      <c:thickness val="0"/>
    </c:sideWall>
    <c:backWall>
      <c:thickness val="0"/>
    </c:backWall>
    <c:plotArea>
      <c:layout>
        <c:manualLayout>
          <c:layoutTarget val="inner"/>
          <c:xMode val="edge"/>
          <c:yMode val="edge"/>
          <c:x val="0.1260966262513559"/>
          <c:y val="0.29920023375018262"/>
          <c:w val="0.74561483348627833"/>
          <c:h val="0.43200033750026368"/>
        </c:manualLayout>
      </c:layout>
      <c:pie3DChart>
        <c:varyColors val="1"/>
        <c:ser>
          <c:idx val="0"/>
          <c:order val="0"/>
          <c:spPr>
            <a:solidFill>
              <a:srgbClr val="9999FF"/>
            </a:solidFill>
            <a:ln w="12700">
              <a:solidFill>
                <a:srgbClr val="000000"/>
              </a:solidFill>
              <a:prstDash val="solid"/>
            </a:ln>
          </c:spPr>
          <c:explosion val="17"/>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Lbls>
            <c:dLbl>
              <c:idx val="0"/>
              <c:layout>
                <c:manualLayout>
                  <c:x val="0.11751841875028779"/>
                  <c:y val="-3.3867929085551422E-3"/>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Regionální rozvoj
</a:t>
                    </a:r>
                    <a:r>
                      <a:rPr lang="cs-CZ" sz="1000" b="0" i="0" u="none" strike="noStrike" baseline="0">
                        <a:solidFill>
                          <a:srgbClr val="000000"/>
                        </a:solidFill>
                        <a:latin typeface="Tahoma"/>
                        <a:cs typeface="Tahoma"/>
                      </a:rPr>
                      <a:t>2,8 </a:t>
                    </a:r>
                    <a:r>
                      <a:rPr lang="en-US" sz="1000" b="0" i="0" u="none" strike="noStrike" baseline="0">
                        <a:solidFill>
                          <a:srgbClr val="000000"/>
                        </a:solidFill>
                        <a:latin typeface="Tahoma"/>
                        <a:cs typeface="Tahoma"/>
                      </a:rPr>
                      <a:t>%</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10096583321821614"/>
                  <c:y val="7.6809332882469453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Cestovní ruch
</a:t>
                    </a:r>
                    <a:r>
                      <a:rPr lang="cs-CZ" sz="1000" b="0" i="0" u="none" strike="noStrike" baseline="0">
                        <a:solidFill>
                          <a:srgbClr val="000000"/>
                        </a:solidFill>
                        <a:latin typeface="Tahoma"/>
                        <a:cs typeface="Tahoma"/>
                      </a:rPr>
                      <a:t>0,9 </a:t>
                    </a:r>
                    <a:r>
                      <a:rPr lang="en-US" sz="1000" b="0" i="0" u="none" strike="noStrike" baseline="0">
                        <a:solidFill>
                          <a:srgbClr val="000000"/>
                        </a:solidFill>
                        <a:latin typeface="Tahoma"/>
                        <a:cs typeface="Tahoma"/>
                      </a:rPr>
                      <a:t>%</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1.6155085877423217E-2"/>
                  <c:y val="9.2868943529298101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Školství
</a:t>
                    </a:r>
                    <a:r>
                      <a:rPr lang="en-US" sz="1000" b="0" i="0" u="none" strike="noStrike" baseline="0">
                        <a:solidFill>
                          <a:srgbClr val="000000"/>
                        </a:solidFill>
                        <a:latin typeface="Tahoma"/>
                        <a:cs typeface="Tahoma"/>
                      </a:rPr>
                      <a:t>1</a:t>
                    </a:r>
                    <a:r>
                      <a:rPr lang="cs-CZ" sz="1000" b="0" i="0" u="none" strike="noStrike" baseline="0">
                        <a:solidFill>
                          <a:srgbClr val="000000"/>
                        </a:solidFill>
                        <a:latin typeface="Tahoma"/>
                        <a:cs typeface="Tahoma"/>
                      </a:rPr>
                      <a:t>,5 </a:t>
                    </a:r>
                    <a:r>
                      <a:rPr lang="en-US" sz="1000" b="0" i="0" u="none" strike="noStrike" baseline="0">
                        <a:solidFill>
                          <a:srgbClr val="000000"/>
                        </a:solidFill>
                        <a:latin typeface="Tahoma"/>
                        <a:cs typeface="Tahoma"/>
                      </a:rPr>
                      <a:t>%</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4.5256481097757463E-2"/>
                  <c:y val="8.7415905833856652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Kultura
</a:t>
                    </a:r>
                    <a:r>
                      <a:rPr lang="cs-CZ" sz="1000" b="0" i="0" u="none" strike="noStrike" baseline="0">
                        <a:solidFill>
                          <a:srgbClr val="000000"/>
                        </a:solidFill>
                        <a:latin typeface="Tahoma"/>
                        <a:cs typeface="Tahoma"/>
                      </a:rPr>
                      <a:t>0,8 </a:t>
                    </a:r>
                    <a:r>
                      <a:rPr lang="en-US" sz="1000" b="0" i="0" u="none" strike="noStrike" baseline="0">
                        <a:solidFill>
                          <a:srgbClr val="000000"/>
                        </a:solidFill>
                        <a:latin typeface="Tahoma"/>
                        <a:cs typeface="Tahoma"/>
                      </a:rPr>
                      <a:t>%</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Lst>
            </c:dLbl>
            <c:dLbl>
              <c:idx val="4"/>
              <c:layout>
                <c:manualLayout>
                  <c:x val="-0.15181689459870149"/>
                  <c:y val="7.1226027728129082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Zdravotnictví
</a:t>
                    </a:r>
                    <a:r>
                      <a:rPr lang="en-US" sz="1000" b="0" i="0" u="none" strike="noStrike" baseline="0">
                        <a:solidFill>
                          <a:srgbClr val="000000"/>
                        </a:solidFill>
                        <a:latin typeface="Tahoma"/>
                        <a:cs typeface="Tahoma"/>
                      </a:rPr>
                      <a:t>0</a:t>
                    </a:r>
                    <a:r>
                      <a:rPr lang="cs-CZ" sz="1000" b="0" i="0" u="none" strike="noStrike" baseline="0">
                        <a:solidFill>
                          <a:srgbClr val="000000"/>
                        </a:solidFill>
                        <a:latin typeface="Tahoma"/>
                        <a:cs typeface="Tahoma"/>
                      </a:rPr>
                      <a:t>,1 </a:t>
                    </a:r>
                    <a:r>
                      <a:rPr lang="en-US" sz="1000" b="0" i="0" u="none" strike="noStrike" baseline="0">
                        <a:solidFill>
                          <a:srgbClr val="000000"/>
                        </a:solidFill>
                        <a:latin typeface="Tahoma"/>
                        <a:cs typeface="Tahoma"/>
                      </a:rPr>
                      <a:t>%</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Lst>
            </c:dLbl>
            <c:dLbl>
              <c:idx val="5"/>
              <c:layout>
                <c:manualLayout>
                  <c:x val="-0.11235299534926559"/>
                  <c:y val="1.1644848074972224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Životní prostředí 
</a:t>
                    </a:r>
                    <a:r>
                      <a:rPr lang="cs-CZ" sz="1000" b="0" i="0" u="none" strike="noStrike" baseline="0">
                        <a:solidFill>
                          <a:srgbClr val="000000"/>
                        </a:solidFill>
                        <a:latin typeface="Tahoma"/>
                        <a:cs typeface="Tahoma"/>
                      </a:rPr>
                      <a:t>5,9 </a:t>
                    </a:r>
                    <a:r>
                      <a:rPr lang="en-US" sz="1000" b="0" i="0" u="none" strike="noStrike" baseline="0">
                        <a:solidFill>
                          <a:srgbClr val="000000"/>
                        </a:solidFill>
                        <a:latin typeface="Tahoma"/>
                        <a:cs typeface="Tahoma"/>
                      </a:rPr>
                      <a:t>%</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Lst>
            </c:dLbl>
            <c:dLbl>
              <c:idx val="6"/>
              <c:layout>
                <c:manualLayout>
                  <c:x val="-2.708707464198554E-3"/>
                  <c:y val="-7.1790734747113671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Sociální věcí
</a:t>
                    </a:r>
                    <a:r>
                      <a:rPr lang="en-US" sz="1000" b="0" i="0" u="none" strike="noStrike" baseline="0">
                        <a:solidFill>
                          <a:srgbClr val="000000"/>
                        </a:solidFill>
                        <a:latin typeface="Tahoma"/>
                        <a:cs typeface="Tahoma"/>
                      </a:rPr>
                      <a:t>88</a:t>
                    </a:r>
                    <a:r>
                      <a:rPr lang="cs-CZ" sz="1000" b="0" i="0" u="none" strike="noStrike" baseline="0">
                        <a:solidFill>
                          <a:srgbClr val="000000"/>
                        </a:solidFill>
                        <a:latin typeface="Tahoma"/>
                        <a:cs typeface="Tahoma"/>
                      </a:rPr>
                      <a:t>,0 </a:t>
                    </a:r>
                    <a:r>
                      <a:rPr lang="en-US" sz="1000" b="0" i="0" u="none" strike="noStrike" baseline="0">
                        <a:solidFill>
                          <a:srgbClr val="000000"/>
                        </a:solidFill>
                        <a:latin typeface="Tahoma"/>
                        <a:cs typeface="Tahoma"/>
                      </a:rPr>
                      <a:t>%</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Lst>
            </c:dLbl>
            <c:dLbl>
              <c:idx val="7"/>
              <c:layout>
                <c:manualLayout>
                  <c:x val="-1.1696021549937837E-2"/>
                  <c:y val="-0.10355377356971483"/>
                </c:manualLayout>
              </c:layout>
              <c:spPr>
                <a:noFill/>
                <a:ln w="25400">
                  <a:noFill/>
                </a:ln>
              </c:spPr>
              <c:txPr>
                <a:bodyPr/>
                <a:lstStyle/>
                <a:p>
                  <a:pPr>
                    <a:defRPr sz="1000" b="1" i="0" u="none" strike="noStrike" baseline="0">
                      <a:solidFill>
                        <a:srgbClr val="000000"/>
                      </a:solidFill>
                      <a:latin typeface="Tahoma"/>
                      <a:ea typeface="Tahoma"/>
                      <a:cs typeface="Tahoma"/>
                    </a:defRPr>
                  </a:pPr>
                  <a:endParaRPr lang="cs-CZ"/>
                </a:p>
              </c:txPr>
              <c:dLblPos val="bestFit"/>
              <c:showLegendKey val="0"/>
              <c:showVal val="0"/>
              <c:showCatName val="1"/>
              <c:showSerName val="0"/>
              <c:showPercent val="1"/>
              <c:showBubbleSize val="0"/>
              <c:extLst>
                <c:ext xmlns:c15="http://schemas.microsoft.com/office/drawing/2012/chart" uri="{CE6537A1-D6FC-4f65-9D91-7224C49458BB}"/>
              </c:extLst>
            </c:dLbl>
            <c:dLbl>
              <c:idx val="8"/>
              <c:layout>
                <c:manualLayout>
                  <c:x val="1.5570175438596491E-2"/>
                  <c:y val="-8.9951580052493443E-2"/>
                </c:manualLayout>
              </c:layout>
              <c:spPr>
                <a:noFill/>
                <a:ln w="25400">
                  <a:noFill/>
                </a:ln>
              </c:spPr>
              <c:txPr>
                <a:bodyPr/>
                <a:lstStyle/>
                <a:p>
                  <a:pPr>
                    <a:defRPr sz="1000" b="1" i="0" u="none" strike="noStrike" baseline="0">
                      <a:solidFill>
                        <a:srgbClr val="000000"/>
                      </a:solidFill>
                      <a:latin typeface="Tahoma"/>
                      <a:ea typeface="Tahoma"/>
                      <a:cs typeface="Tahoma"/>
                    </a:defRPr>
                  </a:pPr>
                  <a:endParaRPr lang="cs-CZ"/>
                </a:p>
              </c:txPr>
              <c:dLblPos val="bestFit"/>
              <c:showLegendKey val="0"/>
              <c:showVal val="0"/>
              <c:showCatName val="1"/>
              <c:showSerName val="0"/>
              <c:showPercent val="1"/>
              <c:showBubbleSize val="0"/>
              <c:extLs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'Data-grafy'!$A$65:$A$71</c:f>
              <c:strCache>
                <c:ptCount val="7"/>
                <c:pt idx="0">
                  <c:v>Regionální rozvoj</c:v>
                </c:pt>
                <c:pt idx="1">
                  <c:v>Cestovní ruch</c:v>
                </c:pt>
                <c:pt idx="2">
                  <c:v>Školství</c:v>
                </c:pt>
                <c:pt idx="3">
                  <c:v>Kultura</c:v>
                </c:pt>
                <c:pt idx="4">
                  <c:v>Zdravotnictví</c:v>
                </c:pt>
                <c:pt idx="5">
                  <c:v>Životní prostředí </c:v>
                </c:pt>
                <c:pt idx="6">
                  <c:v>Sociální věcí</c:v>
                </c:pt>
              </c:strCache>
            </c:strRef>
          </c:cat>
          <c:val>
            <c:numRef>
              <c:f>'Data-grafy'!$B$65:$B$71</c:f>
              <c:numCache>
                <c:formatCode>#,##0.00</c:formatCode>
                <c:ptCount val="7"/>
                <c:pt idx="0">
                  <c:v>35069.633979999999</c:v>
                </c:pt>
                <c:pt idx="1">
                  <c:v>10618.732</c:v>
                </c:pt>
                <c:pt idx="2">
                  <c:v>17998.253000000001</c:v>
                </c:pt>
                <c:pt idx="3">
                  <c:v>9423.0489999999991</c:v>
                </c:pt>
                <c:pt idx="4">
                  <c:v>812.8</c:v>
                </c:pt>
                <c:pt idx="5">
                  <c:v>72239.371570000003</c:v>
                </c:pt>
                <c:pt idx="6">
                  <c:v>1077565.00348</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7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firstPageNumber="274" orientation="landscape" useFirstPageNumber="1"/>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581025</xdr:colOff>
      <xdr:row>22</xdr:row>
      <xdr:rowOff>533400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438150</xdr:colOff>
      <xdr:row>31</xdr:row>
      <xdr:rowOff>47625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466725</xdr:colOff>
      <xdr:row>35</xdr:row>
      <xdr:rowOff>114300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485775</xdr:colOff>
      <xdr:row>22</xdr:row>
      <xdr:rowOff>76200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10</xdr:col>
      <xdr:colOff>419100</xdr:colOff>
      <xdr:row>31</xdr:row>
      <xdr:rowOff>66675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8"/>
  <sheetViews>
    <sheetView showGridLines="0" tabSelected="1" zoomScaleNormal="100" zoomScaleSheetLayoutView="100" workbookViewId="0">
      <selection activeCell="O18" sqref="O18"/>
    </sheetView>
  </sheetViews>
  <sheetFormatPr defaultRowHeight="15.75" x14ac:dyDescent="0.25"/>
  <cols>
    <col min="1" max="1" width="0.140625" style="3" customWidth="1"/>
    <col min="2" max="2" width="12.42578125" style="3" customWidth="1"/>
    <col min="3" max="3" width="15.7109375" style="3" customWidth="1"/>
    <col min="4" max="4" width="10.28515625" style="3" bestFit="1" customWidth="1"/>
    <col min="5" max="5" width="9.7109375" style="3" customWidth="1"/>
    <col min="6" max="11" width="10.42578125" style="3" customWidth="1"/>
    <col min="12" max="16384" width="9.140625" style="3"/>
  </cols>
  <sheetData>
    <row r="1" spans="2:9" x14ac:dyDescent="0.25">
      <c r="B1" s="2"/>
      <c r="C1" s="2"/>
      <c r="D1" s="2"/>
      <c r="E1" s="2"/>
      <c r="F1" s="2"/>
      <c r="G1" s="2"/>
      <c r="H1" s="2"/>
    </row>
    <row r="2" spans="2:9" x14ac:dyDescent="0.25">
      <c r="B2" s="2"/>
      <c r="C2" s="2"/>
      <c r="D2" s="2"/>
      <c r="E2" s="2"/>
      <c r="F2" s="2"/>
      <c r="G2" s="2"/>
      <c r="H2" s="2"/>
    </row>
    <row r="3" spans="2:9" x14ac:dyDescent="0.25">
      <c r="B3" s="2"/>
      <c r="C3" s="2"/>
      <c r="D3" s="2"/>
      <c r="E3" s="2"/>
      <c r="F3" s="2"/>
      <c r="G3" s="2"/>
      <c r="H3" s="2"/>
    </row>
    <row r="4" spans="2:9" x14ac:dyDescent="0.25">
      <c r="B4" s="2"/>
      <c r="C4" s="2"/>
      <c r="D4" s="2"/>
      <c r="E4" s="2"/>
      <c r="F4" s="2"/>
      <c r="G4" s="2"/>
      <c r="H4" s="2"/>
    </row>
    <row r="5" spans="2:9" x14ac:dyDescent="0.25">
      <c r="B5" s="2"/>
      <c r="C5" s="2"/>
      <c r="D5" s="2"/>
      <c r="E5" s="2"/>
      <c r="F5" s="2"/>
      <c r="G5" s="2"/>
      <c r="H5" s="2"/>
    </row>
    <row r="6" spans="2:9" x14ac:dyDescent="0.25">
      <c r="B6" s="2"/>
      <c r="C6" s="2"/>
      <c r="D6" s="2"/>
      <c r="E6" s="2"/>
      <c r="F6" s="2"/>
      <c r="G6" s="2"/>
      <c r="H6" s="2"/>
    </row>
    <row r="7" spans="2:9" x14ac:dyDescent="0.25">
      <c r="B7" s="2"/>
      <c r="C7" s="2"/>
      <c r="D7" s="2"/>
      <c r="E7" s="2"/>
      <c r="F7" s="2"/>
      <c r="G7" s="2"/>
      <c r="H7" s="2"/>
    </row>
    <row r="8" spans="2:9" x14ac:dyDescent="0.25">
      <c r="B8" s="2"/>
      <c r="C8" s="2"/>
      <c r="D8" s="2"/>
      <c r="E8" s="2"/>
      <c r="F8" s="2"/>
      <c r="G8" s="2"/>
      <c r="H8" s="2"/>
    </row>
    <row r="9" spans="2:9" x14ac:dyDescent="0.25">
      <c r="B9" s="2"/>
      <c r="C9" s="2"/>
      <c r="D9" s="2"/>
      <c r="E9" s="2"/>
      <c r="F9" s="2"/>
      <c r="G9" s="2"/>
      <c r="H9" s="2"/>
    </row>
    <row r="10" spans="2:9" x14ac:dyDescent="0.25">
      <c r="B10" s="2"/>
      <c r="C10" s="2"/>
      <c r="D10" s="2"/>
      <c r="E10" s="2"/>
      <c r="F10" s="2"/>
      <c r="G10" s="2"/>
      <c r="H10" s="2"/>
    </row>
    <row r="11" spans="2:9" x14ac:dyDescent="0.25">
      <c r="B11" s="4"/>
      <c r="C11" s="4"/>
      <c r="D11" s="4"/>
      <c r="E11" s="4"/>
      <c r="F11" s="4"/>
      <c r="G11" s="4"/>
      <c r="H11" s="4"/>
      <c r="I11" s="2"/>
    </row>
    <row r="17" spans="2:11" x14ac:dyDescent="0.25">
      <c r="B17" s="4"/>
      <c r="C17" s="4"/>
      <c r="D17" s="4"/>
      <c r="E17" s="4"/>
      <c r="F17" s="4"/>
      <c r="G17" s="4"/>
      <c r="H17" s="4"/>
    </row>
    <row r="18" spans="2:11" x14ac:dyDescent="0.25">
      <c r="B18" s="2"/>
      <c r="C18" s="2"/>
      <c r="D18" s="2"/>
      <c r="E18" s="2"/>
      <c r="F18" s="2"/>
      <c r="G18" s="2"/>
      <c r="H18" s="2"/>
    </row>
    <row r="19" spans="2:11" x14ac:dyDescent="0.25">
      <c r="B19" s="2"/>
      <c r="C19" s="2"/>
      <c r="D19" s="2"/>
      <c r="E19" s="2"/>
      <c r="F19" s="2"/>
      <c r="G19" s="2"/>
      <c r="H19" s="2"/>
    </row>
    <row r="20" spans="2:11" x14ac:dyDescent="0.25">
      <c r="B20" s="2"/>
      <c r="C20" s="2"/>
      <c r="D20" s="2"/>
      <c r="E20" s="2"/>
      <c r="F20" s="2"/>
      <c r="G20" s="2"/>
      <c r="H20" s="2"/>
    </row>
    <row r="21" spans="2:11" x14ac:dyDescent="0.25">
      <c r="B21" s="2"/>
      <c r="C21" s="2"/>
      <c r="D21" s="2"/>
      <c r="E21" s="2"/>
      <c r="F21" s="2"/>
      <c r="G21" s="2"/>
      <c r="H21" s="2"/>
    </row>
    <row r="22" spans="2:11" x14ac:dyDescent="0.25">
      <c r="B22" s="2"/>
      <c r="C22" s="2"/>
      <c r="D22" s="2"/>
      <c r="E22" s="2"/>
      <c r="F22" s="2"/>
      <c r="G22" s="2"/>
      <c r="H22" s="2"/>
    </row>
    <row r="23" spans="2:11" ht="57" customHeight="1" thickBot="1" x14ac:dyDescent="0.3">
      <c r="D23" s="5"/>
      <c r="E23" s="6"/>
      <c r="F23" s="6"/>
      <c r="G23" s="6"/>
      <c r="H23" s="6"/>
      <c r="I23" s="6"/>
      <c r="J23" s="6" t="s">
        <v>12</v>
      </c>
      <c r="K23" s="84"/>
    </row>
    <row r="24" spans="2:11" x14ac:dyDescent="0.25">
      <c r="C24" s="7"/>
      <c r="D24" s="8" t="s">
        <v>13</v>
      </c>
      <c r="E24" s="8" t="s">
        <v>14</v>
      </c>
      <c r="F24" s="8" t="s">
        <v>15</v>
      </c>
      <c r="G24" s="8" t="s">
        <v>16</v>
      </c>
      <c r="H24" s="8" t="s">
        <v>17</v>
      </c>
      <c r="I24" s="8" t="s">
        <v>18</v>
      </c>
      <c r="J24" s="9" t="s">
        <v>62</v>
      </c>
      <c r="K24" s="85"/>
    </row>
    <row r="25" spans="2:11" x14ac:dyDescent="0.25">
      <c r="C25" s="10" t="s">
        <v>19</v>
      </c>
      <c r="D25" s="12">
        <v>12404.834999999999</v>
      </c>
      <c r="E25" s="12">
        <v>11209.286</v>
      </c>
      <c r="F25" s="12">
        <v>11790.804</v>
      </c>
      <c r="G25" s="12">
        <v>11574.909</v>
      </c>
      <c r="H25" s="12">
        <v>11415.745999999999</v>
      </c>
      <c r="I25" s="12">
        <v>12137.583000000001</v>
      </c>
      <c r="J25" s="13">
        <v>13726.48</v>
      </c>
      <c r="K25" s="86"/>
    </row>
    <row r="26" spans="2:11" x14ac:dyDescent="0.25">
      <c r="C26" s="10" t="s">
        <v>20</v>
      </c>
      <c r="D26" s="12">
        <v>4890.2520000000004</v>
      </c>
      <c r="E26" s="12">
        <v>4866.2070000000003</v>
      </c>
      <c r="F26" s="12">
        <v>5006.0230000000001</v>
      </c>
      <c r="G26" s="12">
        <v>4827.9070000000002</v>
      </c>
      <c r="H26" s="12">
        <v>4951.1000000000004</v>
      </c>
      <c r="I26" s="12">
        <v>5259.0230000000001</v>
      </c>
      <c r="J26" s="13">
        <v>5360.3950000000004</v>
      </c>
      <c r="K26" s="86"/>
    </row>
    <row r="27" spans="2:11" ht="16.5" thickBot="1" x14ac:dyDescent="0.3">
      <c r="C27" s="14" t="s">
        <v>11</v>
      </c>
      <c r="D27" s="15">
        <f t="shared" ref="D27:I27" si="0">SUM(D25:D26)</f>
        <v>17295.087</v>
      </c>
      <c r="E27" s="15">
        <f t="shared" si="0"/>
        <v>16075.493</v>
      </c>
      <c r="F27" s="15">
        <f t="shared" si="0"/>
        <v>16796.827000000001</v>
      </c>
      <c r="G27" s="15">
        <f t="shared" si="0"/>
        <v>16402.815999999999</v>
      </c>
      <c r="H27" s="15">
        <f t="shared" si="0"/>
        <v>16366.846</v>
      </c>
      <c r="I27" s="15">
        <f t="shared" si="0"/>
        <v>17396.606</v>
      </c>
      <c r="J27" s="16">
        <f t="shared" ref="J27" si="1">SUM(J25:J26)</f>
        <v>19086.875</v>
      </c>
      <c r="K27" s="87"/>
    </row>
    <row r="28" spans="2:11" x14ac:dyDescent="0.25">
      <c r="B28" s="2"/>
      <c r="C28" s="2"/>
      <c r="D28" s="2"/>
      <c r="E28" s="2"/>
      <c r="F28" s="2"/>
      <c r="G28" s="2"/>
      <c r="H28" s="2"/>
      <c r="K28" s="88"/>
    </row>
  </sheetData>
  <customSheetViews>
    <customSheetView guid="{53E72506-0B1D-4F4A-A157-6DE69D2E678D}" showPageBreaks="1" showGridLines="0">
      <selection activeCell="P11" sqref="P11"/>
      <pageMargins left="0.78740157480314965" right="0.78740157480314965" top="0.98425196850393704" bottom="0.98425196850393704" header="0.51181102362204722" footer="0.51181102362204722"/>
      <pageSetup paperSize="9" firstPageNumber="147" orientation="landscape" useFirstPageNumber="1" r:id="rId1"/>
      <headerFooter alignWithMargins="0">
        <oddHeader>&amp;L&amp;"Tahoma,Kurzíva"&amp;9Závěrečný účet za rok 2014&amp;R&amp;"Tahoma,Kurzíva"&amp;9Graf č. 1</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61" orientation="landscape" useFirstPageNumber="1" r:id="rId2"/>
  <headerFooter alignWithMargins="0">
    <oddHeader>&amp;L&amp;"Tahoma,Kurzíva"&amp;9Závěrečný účet za rok 2015&amp;R&amp;"Tahoma,Kurzíva"&amp;9Graf č. 1</oddHeader>
    <oddFooter>&amp;C&amp;"Tahoma,Obyčejné"&amp;P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92"/>
  <sheetViews>
    <sheetView zoomScaleNormal="100" zoomScaleSheetLayoutView="100" workbookViewId="0">
      <selection activeCell="R5" sqref="R5"/>
    </sheetView>
  </sheetViews>
  <sheetFormatPr defaultRowHeight="11.25" x14ac:dyDescent="0.2"/>
  <cols>
    <col min="1" max="1" width="4" style="294" customWidth="1"/>
    <col min="2" max="2" width="37.85546875" style="294" customWidth="1"/>
    <col min="3" max="3" width="9.5703125" style="294" customWidth="1"/>
    <col min="4" max="4" width="10.7109375" style="294" customWidth="1"/>
    <col min="5" max="5" width="7.140625" style="294" customWidth="1"/>
    <col min="6" max="6" width="10.140625" style="296" bestFit="1" customWidth="1"/>
    <col min="7" max="7" width="9.85546875" style="294" bestFit="1" customWidth="1"/>
    <col min="8" max="9" width="8.140625" style="295" customWidth="1"/>
    <col min="10" max="10" width="11.5703125" style="295" customWidth="1"/>
    <col min="11" max="11" width="8.85546875" style="295" customWidth="1"/>
    <col min="12" max="13" width="7.85546875" style="294" customWidth="1"/>
    <col min="14" max="14" width="9.5703125" style="294" customWidth="1"/>
    <col min="15" max="15" width="9.140625" style="294" customWidth="1"/>
    <col min="16" max="16" width="8.7109375" style="294" customWidth="1"/>
    <col min="17" max="17" width="32" style="294" customWidth="1"/>
    <col min="18" max="19" width="9.140625" style="294"/>
    <col min="20" max="20" width="14.7109375" style="294" customWidth="1"/>
    <col min="21" max="16384" width="9.140625" style="294"/>
  </cols>
  <sheetData>
    <row r="2" spans="1:28" ht="42" customHeight="1" x14ac:dyDescent="0.2">
      <c r="A2" s="1334" t="s">
        <v>666</v>
      </c>
      <c r="B2" s="1334"/>
      <c r="C2" s="1334"/>
      <c r="D2" s="1334"/>
      <c r="E2" s="1334"/>
      <c r="F2" s="1334"/>
      <c r="G2" s="1334"/>
      <c r="H2" s="1334"/>
      <c r="I2" s="1334"/>
      <c r="J2" s="1334"/>
      <c r="K2" s="1334"/>
      <c r="L2" s="1334"/>
      <c r="M2" s="1334"/>
      <c r="N2" s="1334"/>
      <c r="O2" s="1334"/>
      <c r="P2" s="1334"/>
      <c r="Q2" s="1334"/>
    </row>
    <row r="3" spans="1:28" s="410" customFormat="1" ht="13.5" customHeight="1" thickBot="1" x14ac:dyDescent="0.2">
      <c r="A3" s="425"/>
      <c r="B3" s="424"/>
      <c r="D3" s="423"/>
      <c r="E3" s="423"/>
      <c r="F3" s="422"/>
      <c r="Q3" s="421" t="s">
        <v>2</v>
      </c>
      <c r="W3" s="420"/>
      <c r="X3" s="420"/>
      <c r="Y3" s="420"/>
      <c r="Z3" s="420"/>
      <c r="AA3" s="420"/>
      <c r="AB3" s="420"/>
    </row>
    <row r="4" spans="1:28" s="295" customFormat="1" ht="15" customHeight="1" x14ac:dyDescent="0.2">
      <c r="A4" s="1335"/>
      <c r="B4" s="1338" t="s">
        <v>665</v>
      </c>
      <c r="C4" s="1341" t="s">
        <v>664</v>
      </c>
      <c r="D4" s="1344" t="s">
        <v>663</v>
      </c>
      <c r="E4" s="1345"/>
      <c r="F4" s="1348" t="s">
        <v>662</v>
      </c>
      <c r="G4" s="1349"/>
      <c r="H4" s="1349"/>
      <c r="I4" s="1350"/>
      <c r="J4" s="1348" t="s">
        <v>661</v>
      </c>
      <c r="K4" s="1354"/>
      <c r="L4" s="1354"/>
      <c r="M4" s="1355"/>
      <c r="N4" s="1359" t="s">
        <v>660</v>
      </c>
      <c r="O4" s="1360"/>
      <c r="P4" s="1361"/>
      <c r="Q4" s="1326" t="s">
        <v>659</v>
      </c>
    </row>
    <row r="5" spans="1:28" s="295" customFormat="1" ht="24" customHeight="1" x14ac:dyDescent="0.2">
      <c r="A5" s="1336"/>
      <c r="B5" s="1339"/>
      <c r="C5" s="1342"/>
      <c r="D5" s="1346"/>
      <c r="E5" s="1347"/>
      <c r="F5" s="1351"/>
      <c r="G5" s="1352"/>
      <c r="H5" s="1352"/>
      <c r="I5" s="1353"/>
      <c r="J5" s="1356"/>
      <c r="K5" s="1357"/>
      <c r="L5" s="1357"/>
      <c r="M5" s="1358"/>
      <c r="N5" s="419">
        <v>2017</v>
      </c>
      <c r="O5" s="418">
        <v>2018</v>
      </c>
      <c r="P5" s="417" t="s">
        <v>658</v>
      </c>
      <c r="Q5" s="1327"/>
    </row>
    <row r="6" spans="1:28" s="295" customFormat="1" ht="15.75" customHeight="1" thickBot="1" x14ac:dyDescent="0.25">
      <c r="A6" s="1337"/>
      <c r="B6" s="1340"/>
      <c r="C6" s="1343"/>
      <c r="D6" s="414" t="s">
        <v>657</v>
      </c>
      <c r="E6" s="415" t="s">
        <v>656</v>
      </c>
      <c r="F6" s="416" t="s">
        <v>477</v>
      </c>
      <c r="G6" s="413" t="s">
        <v>655</v>
      </c>
      <c r="H6" s="412" t="s">
        <v>654</v>
      </c>
      <c r="I6" s="415" t="s">
        <v>8</v>
      </c>
      <c r="J6" s="414" t="s">
        <v>477</v>
      </c>
      <c r="K6" s="413" t="s">
        <v>655</v>
      </c>
      <c r="L6" s="413" t="s">
        <v>654</v>
      </c>
      <c r="M6" s="412" t="s">
        <v>8</v>
      </c>
      <c r="N6" s="414" t="s">
        <v>477</v>
      </c>
      <c r="O6" s="413" t="s">
        <v>477</v>
      </c>
      <c r="P6" s="412" t="s">
        <v>477</v>
      </c>
      <c r="Q6" s="1328"/>
      <c r="T6" s="411"/>
    </row>
    <row r="7" spans="1:28" s="410" customFormat="1" ht="18.75" customHeight="1" thickBot="1" x14ac:dyDescent="0.2">
      <c r="A7" s="1362" t="s">
        <v>653</v>
      </c>
      <c r="B7" s="1363"/>
      <c r="C7" s="1363"/>
      <c r="D7" s="1363"/>
      <c r="E7" s="1363"/>
      <c r="F7" s="1363"/>
      <c r="G7" s="1363"/>
      <c r="H7" s="1363"/>
      <c r="I7" s="1363"/>
      <c r="J7" s="1363"/>
      <c r="K7" s="1363"/>
      <c r="L7" s="1363"/>
      <c r="M7" s="1363"/>
      <c r="N7" s="1363"/>
      <c r="O7" s="1363"/>
      <c r="P7" s="1363"/>
      <c r="Q7" s="1364"/>
      <c r="T7" s="411"/>
    </row>
    <row r="8" spans="1:28" s="311" customFormat="1" ht="69" customHeight="1" x14ac:dyDescent="0.2">
      <c r="A8" s="409"/>
      <c r="B8" s="363" t="s">
        <v>652</v>
      </c>
      <c r="C8" s="408">
        <f>SUM(E8+F8+J8+N8+O8+P8)+1169.51</f>
        <v>145769.51</v>
      </c>
      <c r="D8" s="406" t="s">
        <v>279</v>
      </c>
      <c r="E8" s="403">
        <v>47000</v>
      </c>
      <c r="F8" s="407">
        <f>SUM(G8:I8)</f>
        <v>47600</v>
      </c>
      <c r="G8" s="404">
        <v>47600</v>
      </c>
      <c r="H8" s="404">
        <v>0</v>
      </c>
      <c r="I8" s="403">
        <v>0</v>
      </c>
      <c r="J8" s="406">
        <f>SUM(K8:M8)</f>
        <v>50000</v>
      </c>
      <c r="K8" s="358">
        <v>50000</v>
      </c>
      <c r="L8" s="404">
        <v>0</v>
      </c>
      <c r="M8" s="403">
        <v>0</v>
      </c>
      <c r="N8" s="405">
        <v>0</v>
      </c>
      <c r="O8" s="404">
        <v>0</v>
      </c>
      <c r="P8" s="403">
        <v>0</v>
      </c>
      <c r="Q8" s="402" t="s">
        <v>651</v>
      </c>
      <c r="T8" s="312"/>
    </row>
    <row r="9" spans="1:28" s="311" customFormat="1" ht="34.5" customHeight="1" x14ac:dyDescent="0.2">
      <c r="A9" s="401"/>
      <c r="B9" s="354" t="s">
        <v>650</v>
      </c>
      <c r="C9" s="396">
        <f>SUM(E9+F9+J9+N9+O9+P9)</f>
        <v>19000</v>
      </c>
      <c r="D9" s="394" t="s">
        <v>279</v>
      </c>
      <c r="E9" s="391">
        <v>5000</v>
      </c>
      <c r="F9" s="395">
        <f>SUM(G9:I9)</f>
        <v>14000</v>
      </c>
      <c r="G9" s="392">
        <v>14000</v>
      </c>
      <c r="H9" s="392">
        <v>0</v>
      </c>
      <c r="I9" s="391">
        <v>0</v>
      </c>
      <c r="J9" s="394">
        <f>K9+L9+M9</f>
        <v>0</v>
      </c>
      <c r="K9" s="349">
        <v>0</v>
      </c>
      <c r="L9" s="392">
        <v>0</v>
      </c>
      <c r="M9" s="391">
        <v>0</v>
      </c>
      <c r="N9" s="393">
        <v>0</v>
      </c>
      <c r="O9" s="392">
        <v>0</v>
      </c>
      <c r="P9" s="391">
        <v>0</v>
      </c>
      <c r="Q9" s="390" t="s">
        <v>649</v>
      </c>
      <c r="T9" s="312"/>
    </row>
    <row r="10" spans="1:28" s="311" customFormat="1" ht="24" customHeight="1" x14ac:dyDescent="0.2">
      <c r="A10" s="401"/>
      <c r="B10" s="354" t="s">
        <v>648</v>
      </c>
      <c r="C10" s="396">
        <f>D10+E10+F10+J10+N10+O10+P10</f>
        <v>160.64599999999999</v>
      </c>
      <c r="D10" s="394">
        <v>150.72185999999999</v>
      </c>
      <c r="E10" s="391">
        <v>0</v>
      </c>
      <c r="F10" s="395">
        <f>G10+H10+I10</f>
        <v>9.9241399999999995</v>
      </c>
      <c r="G10" s="392">
        <v>9.9241399999999995</v>
      </c>
      <c r="H10" s="392">
        <v>0</v>
      </c>
      <c r="I10" s="391">
        <v>0</v>
      </c>
      <c r="J10" s="394">
        <f>K10+L10+M10</f>
        <v>0</v>
      </c>
      <c r="K10" s="349">
        <v>0</v>
      </c>
      <c r="L10" s="392">
        <v>0</v>
      </c>
      <c r="M10" s="391">
        <v>0</v>
      </c>
      <c r="N10" s="393">
        <v>0</v>
      </c>
      <c r="O10" s="392">
        <v>0</v>
      </c>
      <c r="P10" s="391">
        <v>0</v>
      </c>
      <c r="Q10" s="390" t="s">
        <v>488</v>
      </c>
      <c r="T10" s="312"/>
    </row>
    <row r="11" spans="1:28" s="311" customFormat="1" ht="45" customHeight="1" x14ac:dyDescent="0.2">
      <c r="A11" s="401"/>
      <c r="B11" s="354" t="s">
        <v>647</v>
      </c>
      <c r="C11" s="396">
        <f>D11+E11+F11+J11+N11+O11+P11+24.04128</f>
        <v>10644.041279999999</v>
      </c>
      <c r="D11" s="394">
        <v>0</v>
      </c>
      <c r="E11" s="391">
        <v>0</v>
      </c>
      <c r="F11" s="395">
        <f>G11+H11+I11</f>
        <v>10620</v>
      </c>
      <c r="G11" s="392">
        <v>10620</v>
      </c>
      <c r="H11" s="392">
        <v>0</v>
      </c>
      <c r="I11" s="391">
        <v>0</v>
      </c>
      <c r="J11" s="394">
        <f>K11+L11+M11</f>
        <v>0</v>
      </c>
      <c r="K11" s="349">
        <v>0</v>
      </c>
      <c r="L11" s="392">
        <v>0</v>
      </c>
      <c r="M11" s="391">
        <v>0</v>
      </c>
      <c r="N11" s="393">
        <v>0</v>
      </c>
      <c r="O11" s="392">
        <v>0</v>
      </c>
      <c r="P11" s="391">
        <v>0</v>
      </c>
      <c r="Q11" s="390" t="s">
        <v>502</v>
      </c>
      <c r="T11" s="312"/>
    </row>
    <row r="12" spans="1:28" s="311" customFormat="1" ht="24.75" customHeight="1" thickBot="1" x14ac:dyDescent="0.25">
      <c r="A12" s="389"/>
      <c r="B12" s="354" t="s">
        <v>646</v>
      </c>
      <c r="C12" s="396">
        <f>D12+E12+F12+J12+N12+O12+P12</f>
        <v>8198.2005399999998</v>
      </c>
      <c r="D12" s="394">
        <v>0</v>
      </c>
      <c r="E12" s="391">
        <v>0</v>
      </c>
      <c r="F12" s="395">
        <f>G12+H12+I12</f>
        <v>8198.2005399999998</v>
      </c>
      <c r="G12" s="392">
        <v>8198.2005399999998</v>
      </c>
      <c r="H12" s="392">
        <v>0</v>
      </c>
      <c r="I12" s="391">
        <v>0</v>
      </c>
      <c r="J12" s="394">
        <f>K12+L12+M12</f>
        <v>0</v>
      </c>
      <c r="K12" s="349">
        <v>0</v>
      </c>
      <c r="L12" s="392">
        <v>0</v>
      </c>
      <c r="M12" s="391">
        <v>0</v>
      </c>
      <c r="N12" s="393">
        <v>0</v>
      </c>
      <c r="O12" s="392">
        <v>0</v>
      </c>
      <c r="P12" s="391">
        <v>0</v>
      </c>
      <c r="Q12" s="390" t="s">
        <v>488</v>
      </c>
      <c r="T12" s="312"/>
    </row>
    <row r="13" spans="1:28" s="400" customFormat="1" ht="15.75" customHeight="1" thickBot="1" x14ac:dyDescent="0.25">
      <c r="A13" s="1329" t="s">
        <v>645</v>
      </c>
      <c r="B13" s="1330"/>
      <c r="C13" s="365">
        <f t="shared" ref="C13:P13" si="0">SUM(C8:C12)</f>
        <v>183772.39782000001</v>
      </c>
      <c r="D13" s="332">
        <f t="shared" si="0"/>
        <v>150.72185999999999</v>
      </c>
      <c r="E13" s="330">
        <f t="shared" si="0"/>
        <v>52000</v>
      </c>
      <c r="F13" s="333">
        <f t="shared" si="0"/>
        <v>80428.124680000008</v>
      </c>
      <c r="G13" s="364">
        <f t="shared" si="0"/>
        <v>80428.124680000008</v>
      </c>
      <c r="H13" s="364">
        <f t="shared" si="0"/>
        <v>0</v>
      </c>
      <c r="I13" s="330">
        <f t="shared" si="0"/>
        <v>0</v>
      </c>
      <c r="J13" s="333">
        <f t="shared" si="0"/>
        <v>50000</v>
      </c>
      <c r="K13" s="382">
        <f t="shared" si="0"/>
        <v>50000</v>
      </c>
      <c r="L13" s="364">
        <f t="shared" si="0"/>
        <v>0</v>
      </c>
      <c r="M13" s="330">
        <f t="shared" si="0"/>
        <v>0</v>
      </c>
      <c r="N13" s="332">
        <f t="shared" si="0"/>
        <v>0</v>
      </c>
      <c r="O13" s="331">
        <f t="shared" si="0"/>
        <v>0</v>
      </c>
      <c r="P13" s="330">
        <f t="shared" si="0"/>
        <v>0</v>
      </c>
      <c r="Q13" s="313"/>
      <c r="T13" s="312"/>
    </row>
    <row r="14" spans="1:28" s="368" customFormat="1" ht="18.75" customHeight="1" thickBot="1" x14ac:dyDescent="0.2">
      <c r="A14" s="1362" t="s">
        <v>644</v>
      </c>
      <c r="B14" s="1363"/>
      <c r="C14" s="1363"/>
      <c r="D14" s="1363"/>
      <c r="E14" s="1363"/>
      <c r="F14" s="1363"/>
      <c r="G14" s="1363"/>
      <c r="H14" s="1363"/>
      <c r="I14" s="1363"/>
      <c r="J14" s="1363"/>
      <c r="K14" s="1363"/>
      <c r="L14" s="1363"/>
      <c r="M14" s="1363"/>
      <c r="N14" s="1363"/>
      <c r="O14" s="1363"/>
      <c r="P14" s="1363"/>
      <c r="Q14" s="1364"/>
      <c r="T14" s="369"/>
    </row>
    <row r="15" spans="1:28" s="311" customFormat="1" ht="57" customHeight="1" x14ac:dyDescent="0.2">
      <c r="A15" s="367"/>
      <c r="B15" s="354" t="s">
        <v>643</v>
      </c>
      <c r="C15" s="396">
        <f>D15+E15+F15+J15+N15+O15+P15</f>
        <v>217115.23579000001</v>
      </c>
      <c r="D15" s="394">
        <v>19322.43579</v>
      </c>
      <c r="E15" s="391">
        <v>19567.067999999999</v>
      </c>
      <c r="F15" s="395">
        <f>G15+H15+I15</f>
        <v>19772.732</v>
      </c>
      <c r="G15" s="392">
        <v>19772.732</v>
      </c>
      <c r="H15" s="392">
        <v>0</v>
      </c>
      <c r="I15" s="391">
        <v>0</v>
      </c>
      <c r="J15" s="394">
        <f>K15+L15+M15</f>
        <v>25371</v>
      </c>
      <c r="K15" s="349">
        <v>25371</v>
      </c>
      <c r="L15" s="392">
        <v>0</v>
      </c>
      <c r="M15" s="391">
        <v>0</v>
      </c>
      <c r="N15" s="393">
        <v>22014</v>
      </c>
      <c r="O15" s="392">
        <v>22014</v>
      </c>
      <c r="P15" s="391">
        <f>22014+67040</f>
        <v>89054</v>
      </c>
      <c r="Q15" s="390" t="s">
        <v>642</v>
      </c>
      <c r="T15" s="312"/>
    </row>
    <row r="16" spans="1:28" s="311" customFormat="1" ht="24" customHeight="1" x14ac:dyDescent="0.2">
      <c r="A16" s="389"/>
      <c r="B16" s="354" t="s">
        <v>641</v>
      </c>
      <c r="C16" s="396">
        <f>D16+E16+F16+J16+N16+O16+P16</f>
        <v>2157.1880000000001</v>
      </c>
      <c r="D16" s="394">
        <v>0</v>
      </c>
      <c r="E16" s="391">
        <v>0</v>
      </c>
      <c r="F16" s="395">
        <f>G16+H16+I16</f>
        <v>2157.1880000000001</v>
      </c>
      <c r="G16" s="392">
        <v>2157.1880000000001</v>
      </c>
      <c r="H16" s="392">
        <v>0</v>
      </c>
      <c r="I16" s="391">
        <v>0</v>
      </c>
      <c r="J16" s="394">
        <f>K16+L16+M16</f>
        <v>0</v>
      </c>
      <c r="K16" s="349">
        <v>0</v>
      </c>
      <c r="L16" s="392">
        <v>0</v>
      </c>
      <c r="M16" s="391">
        <v>0</v>
      </c>
      <c r="N16" s="393">
        <v>0</v>
      </c>
      <c r="O16" s="392">
        <v>0</v>
      </c>
      <c r="P16" s="391">
        <v>0</v>
      </c>
      <c r="Q16" s="390" t="s">
        <v>640</v>
      </c>
      <c r="T16" s="312"/>
    </row>
    <row r="17" spans="1:20" s="311" customFormat="1" ht="13.5" customHeight="1" thickBot="1" x14ac:dyDescent="0.25">
      <c r="A17" s="366"/>
      <c r="B17" s="354" t="s">
        <v>639</v>
      </c>
      <c r="C17" s="396">
        <f>D17+E17+F17+J17+N17+O17+P17</f>
        <v>544.26163000000008</v>
      </c>
      <c r="D17" s="394">
        <v>0</v>
      </c>
      <c r="E17" s="391">
        <v>24.2</v>
      </c>
      <c r="F17" s="395">
        <f>G17+H17+I17</f>
        <v>520.06163000000004</v>
      </c>
      <c r="G17" s="392">
        <v>520.06163000000004</v>
      </c>
      <c r="H17" s="392">
        <v>0</v>
      </c>
      <c r="I17" s="391">
        <v>0</v>
      </c>
      <c r="J17" s="394">
        <f>K17+L17+M17</f>
        <v>0</v>
      </c>
      <c r="K17" s="349">
        <v>0</v>
      </c>
      <c r="L17" s="392">
        <v>0</v>
      </c>
      <c r="M17" s="391">
        <v>0</v>
      </c>
      <c r="N17" s="393">
        <v>0</v>
      </c>
      <c r="O17" s="392">
        <v>0</v>
      </c>
      <c r="P17" s="391">
        <v>0</v>
      </c>
      <c r="Q17" s="390" t="s">
        <v>488</v>
      </c>
      <c r="T17" s="312"/>
    </row>
    <row r="18" spans="1:20" s="311" customFormat="1" ht="15.75" customHeight="1" thickBot="1" x14ac:dyDescent="0.25">
      <c r="A18" s="1329" t="s">
        <v>638</v>
      </c>
      <c r="B18" s="1330"/>
      <c r="C18" s="365">
        <f t="shared" ref="C18:P18" si="1">SUM(C15:C17)</f>
        <v>219816.68541999999</v>
      </c>
      <c r="D18" s="332">
        <f t="shared" si="1"/>
        <v>19322.43579</v>
      </c>
      <c r="E18" s="330">
        <f t="shared" si="1"/>
        <v>19591.268</v>
      </c>
      <c r="F18" s="332">
        <f t="shared" si="1"/>
        <v>22449.981629999998</v>
      </c>
      <c r="G18" s="331">
        <f t="shared" si="1"/>
        <v>22449.981629999998</v>
      </c>
      <c r="H18" s="364">
        <f t="shared" si="1"/>
        <v>0</v>
      </c>
      <c r="I18" s="330">
        <f t="shared" si="1"/>
        <v>0</v>
      </c>
      <c r="J18" s="332">
        <f t="shared" si="1"/>
        <v>25371</v>
      </c>
      <c r="K18" s="331">
        <f t="shared" si="1"/>
        <v>25371</v>
      </c>
      <c r="L18" s="364">
        <f t="shared" si="1"/>
        <v>0</v>
      </c>
      <c r="M18" s="330">
        <f t="shared" si="1"/>
        <v>0</v>
      </c>
      <c r="N18" s="332">
        <f t="shared" si="1"/>
        <v>22014</v>
      </c>
      <c r="O18" s="331">
        <f t="shared" si="1"/>
        <v>22014</v>
      </c>
      <c r="P18" s="330">
        <f t="shared" si="1"/>
        <v>89054</v>
      </c>
      <c r="Q18" s="313"/>
      <c r="T18" s="312"/>
    </row>
    <row r="19" spans="1:20" s="368" customFormat="1" ht="18.75" customHeight="1" thickBot="1" x14ac:dyDescent="0.2">
      <c r="A19" s="1365" t="s">
        <v>637</v>
      </c>
      <c r="B19" s="1366"/>
      <c r="C19" s="1366"/>
      <c r="D19" s="1366"/>
      <c r="E19" s="1366"/>
      <c r="F19" s="1366"/>
      <c r="G19" s="1366"/>
      <c r="H19" s="1366"/>
      <c r="I19" s="1366"/>
      <c r="J19" s="1366"/>
      <c r="K19" s="1366"/>
      <c r="L19" s="1366"/>
      <c r="M19" s="1366"/>
      <c r="N19" s="1366"/>
      <c r="O19" s="1366"/>
      <c r="P19" s="1366"/>
      <c r="Q19" s="1367"/>
      <c r="T19" s="369"/>
    </row>
    <row r="20" spans="1:20" s="311" customFormat="1" ht="25.5" customHeight="1" thickBot="1" x14ac:dyDescent="0.25">
      <c r="A20" s="384"/>
      <c r="B20" s="354" t="s">
        <v>636</v>
      </c>
      <c r="C20" s="353">
        <f>D20+E20+F20+J20+N20+O20+M20</f>
        <v>48247.888200000001</v>
      </c>
      <c r="D20" s="351">
        <v>5660.8281999999999</v>
      </c>
      <c r="E20" s="348">
        <v>630</v>
      </c>
      <c r="F20" s="352">
        <f>G20+H20+I20</f>
        <v>951.06</v>
      </c>
      <c r="G20" s="349">
        <v>951.06</v>
      </c>
      <c r="H20" s="349">
        <v>0</v>
      </c>
      <c r="I20" s="348">
        <v>0</v>
      </c>
      <c r="J20" s="351">
        <f>K20+L20+M20</f>
        <v>41006</v>
      </c>
      <c r="K20" s="349">
        <v>41006</v>
      </c>
      <c r="L20" s="349">
        <v>0</v>
      </c>
      <c r="M20" s="348">
        <v>0</v>
      </c>
      <c r="N20" s="350">
        <v>0</v>
      </c>
      <c r="O20" s="349">
        <v>0</v>
      </c>
      <c r="P20" s="348">
        <v>0</v>
      </c>
      <c r="Q20" s="347" t="s">
        <v>635</v>
      </c>
      <c r="T20" s="312"/>
    </row>
    <row r="21" spans="1:20" s="311" customFormat="1" ht="15.75" customHeight="1" thickBot="1" x14ac:dyDescent="0.25">
      <c r="A21" s="1329" t="s">
        <v>634</v>
      </c>
      <c r="B21" s="1330"/>
      <c r="C21" s="365">
        <f t="shared" ref="C21:P21" si="2">SUM(C20:C20)</f>
        <v>48247.888200000001</v>
      </c>
      <c r="D21" s="333">
        <f t="shared" si="2"/>
        <v>5660.8281999999999</v>
      </c>
      <c r="E21" s="313">
        <f t="shared" si="2"/>
        <v>630</v>
      </c>
      <c r="F21" s="333">
        <f t="shared" si="2"/>
        <v>951.06</v>
      </c>
      <c r="G21" s="382">
        <f t="shared" si="2"/>
        <v>951.06</v>
      </c>
      <c r="H21" s="382">
        <f t="shared" si="2"/>
        <v>0</v>
      </c>
      <c r="I21" s="313">
        <f t="shared" si="2"/>
        <v>0</v>
      </c>
      <c r="J21" s="333">
        <f t="shared" si="2"/>
        <v>41006</v>
      </c>
      <c r="K21" s="382">
        <f t="shared" si="2"/>
        <v>41006</v>
      </c>
      <c r="L21" s="382">
        <f t="shared" si="2"/>
        <v>0</v>
      </c>
      <c r="M21" s="313">
        <f t="shared" si="2"/>
        <v>0</v>
      </c>
      <c r="N21" s="332">
        <f t="shared" si="2"/>
        <v>0</v>
      </c>
      <c r="O21" s="364">
        <f t="shared" si="2"/>
        <v>0</v>
      </c>
      <c r="P21" s="330">
        <f t="shared" si="2"/>
        <v>0</v>
      </c>
      <c r="Q21" s="313"/>
      <c r="T21" s="312"/>
    </row>
    <row r="22" spans="1:20" s="328" customFormat="1" ht="18.75" customHeight="1" thickBot="1" x14ac:dyDescent="0.2">
      <c r="A22" s="1362" t="s">
        <v>633</v>
      </c>
      <c r="B22" s="1363"/>
      <c r="C22" s="1363"/>
      <c r="D22" s="1363"/>
      <c r="E22" s="1363"/>
      <c r="F22" s="1363"/>
      <c r="G22" s="1363"/>
      <c r="H22" s="1363"/>
      <c r="I22" s="1363"/>
      <c r="J22" s="1363"/>
      <c r="K22" s="1363"/>
      <c r="L22" s="1363"/>
      <c r="M22" s="1363"/>
      <c r="N22" s="1363"/>
      <c r="O22" s="1363"/>
      <c r="P22" s="1363"/>
      <c r="Q22" s="1364"/>
      <c r="T22" s="329"/>
    </row>
    <row r="23" spans="1:20" s="311" customFormat="1" ht="24.75" customHeight="1" x14ac:dyDescent="0.2">
      <c r="A23" s="367"/>
      <c r="B23" s="354" t="s">
        <v>632</v>
      </c>
      <c r="C23" s="353">
        <f>D23+F23+E23+J23+N23+O23+P23</f>
        <v>2673</v>
      </c>
      <c r="D23" s="351">
        <v>2000</v>
      </c>
      <c r="E23" s="348">
        <v>0</v>
      </c>
      <c r="F23" s="352">
        <f t="shared" ref="F23:F38" si="3">G23+H23+I23</f>
        <v>673</v>
      </c>
      <c r="G23" s="349">
        <v>673</v>
      </c>
      <c r="H23" s="349">
        <v>0</v>
      </c>
      <c r="I23" s="348">
        <v>0</v>
      </c>
      <c r="J23" s="351">
        <f t="shared" ref="J23:J38" si="4">K23+L23+M23</f>
        <v>0</v>
      </c>
      <c r="K23" s="349">
        <v>0</v>
      </c>
      <c r="L23" s="349">
        <v>0</v>
      </c>
      <c r="M23" s="348">
        <v>0</v>
      </c>
      <c r="N23" s="350">
        <v>0</v>
      </c>
      <c r="O23" s="349">
        <v>0</v>
      </c>
      <c r="P23" s="348">
        <v>0</v>
      </c>
      <c r="Q23" s="347" t="s">
        <v>488</v>
      </c>
      <c r="T23" s="312"/>
    </row>
    <row r="24" spans="1:20" s="311" customFormat="1" ht="34.5" customHeight="1" x14ac:dyDescent="0.2">
      <c r="A24" s="379"/>
      <c r="B24" s="354" t="s">
        <v>631</v>
      </c>
      <c r="C24" s="396">
        <f>D24+F24+E24+J24+N24+O24+P24</f>
        <v>5523.2739999999994</v>
      </c>
      <c r="D24" s="394">
        <v>3158.45</v>
      </c>
      <c r="E24" s="391">
        <v>2122.8240000000001</v>
      </c>
      <c r="F24" s="395">
        <f t="shared" si="3"/>
        <v>242</v>
      </c>
      <c r="G24" s="392">
        <v>242</v>
      </c>
      <c r="H24" s="392">
        <v>0</v>
      </c>
      <c r="I24" s="391">
        <v>0</v>
      </c>
      <c r="J24" s="394">
        <f t="shared" si="4"/>
        <v>0</v>
      </c>
      <c r="K24" s="349">
        <v>0</v>
      </c>
      <c r="L24" s="392">
        <v>0</v>
      </c>
      <c r="M24" s="391">
        <v>0</v>
      </c>
      <c r="N24" s="393">
        <v>0</v>
      </c>
      <c r="O24" s="392">
        <v>0</v>
      </c>
      <c r="P24" s="391">
        <v>0</v>
      </c>
      <c r="Q24" s="390" t="s">
        <v>630</v>
      </c>
      <c r="T24" s="312"/>
    </row>
    <row r="25" spans="1:20" s="311" customFormat="1" ht="24" customHeight="1" x14ac:dyDescent="0.2">
      <c r="A25" s="379"/>
      <c r="B25" s="354" t="s">
        <v>629</v>
      </c>
      <c r="C25" s="396">
        <f>D25+F25+E25+J25+N25+O25+P25</f>
        <v>48309.421029999998</v>
      </c>
      <c r="D25" s="394">
        <v>24387.465929999998</v>
      </c>
      <c r="E25" s="391">
        <v>1003.8651</v>
      </c>
      <c r="F25" s="395">
        <f t="shared" si="3"/>
        <v>32</v>
      </c>
      <c r="G25" s="392">
        <v>32</v>
      </c>
      <c r="H25" s="392">
        <v>0</v>
      </c>
      <c r="I25" s="391">
        <v>0</v>
      </c>
      <c r="J25" s="394">
        <f t="shared" si="4"/>
        <v>22886.09</v>
      </c>
      <c r="K25" s="349">
        <v>22886.09</v>
      </c>
      <c r="L25" s="392">
        <v>0</v>
      </c>
      <c r="M25" s="391">
        <v>0</v>
      </c>
      <c r="N25" s="393">
        <v>0</v>
      </c>
      <c r="O25" s="392">
        <v>0</v>
      </c>
      <c r="P25" s="391">
        <v>0</v>
      </c>
      <c r="Q25" s="390" t="s">
        <v>488</v>
      </c>
      <c r="T25" s="312"/>
    </row>
    <row r="26" spans="1:20" s="311" customFormat="1" ht="57" customHeight="1" x14ac:dyDescent="0.2">
      <c r="A26" s="379"/>
      <c r="B26" s="354" t="s">
        <v>628</v>
      </c>
      <c r="C26" s="396">
        <f>D26+F26+E26+J26+N26+O26+P26+245</f>
        <v>490</v>
      </c>
      <c r="D26" s="394">
        <v>0</v>
      </c>
      <c r="E26" s="391">
        <v>0</v>
      </c>
      <c r="F26" s="395">
        <f t="shared" si="3"/>
        <v>245</v>
      </c>
      <c r="G26" s="392">
        <v>0</v>
      </c>
      <c r="H26" s="392">
        <v>245</v>
      </c>
      <c r="I26" s="391">
        <v>0</v>
      </c>
      <c r="J26" s="394">
        <f t="shared" si="4"/>
        <v>0</v>
      </c>
      <c r="K26" s="349">
        <v>0</v>
      </c>
      <c r="L26" s="392">
        <v>0</v>
      </c>
      <c r="M26" s="391">
        <v>0</v>
      </c>
      <c r="N26" s="393">
        <v>0</v>
      </c>
      <c r="O26" s="392">
        <v>0</v>
      </c>
      <c r="P26" s="391">
        <v>0</v>
      </c>
      <c r="Q26" s="390" t="s">
        <v>502</v>
      </c>
      <c r="T26" s="312"/>
    </row>
    <row r="27" spans="1:20" s="311" customFormat="1" ht="45" customHeight="1" x14ac:dyDescent="0.2">
      <c r="A27" s="379"/>
      <c r="B27" s="354" t="s">
        <v>627</v>
      </c>
      <c r="C27" s="396">
        <f>D27+F27+E27+J27+N27+O27+P27+49.594</f>
        <v>214.59399999999999</v>
      </c>
      <c r="D27" s="394">
        <v>0</v>
      </c>
      <c r="E27" s="391">
        <v>0</v>
      </c>
      <c r="F27" s="395">
        <f t="shared" si="3"/>
        <v>165</v>
      </c>
      <c r="G27" s="392">
        <v>0</v>
      </c>
      <c r="H27" s="392">
        <f>25+140</f>
        <v>165</v>
      </c>
      <c r="I27" s="391">
        <v>0</v>
      </c>
      <c r="J27" s="394">
        <f t="shared" si="4"/>
        <v>0</v>
      </c>
      <c r="K27" s="349">
        <v>0</v>
      </c>
      <c r="L27" s="392">
        <v>0</v>
      </c>
      <c r="M27" s="391">
        <v>0</v>
      </c>
      <c r="N27" s="393">
        <v>0</v>
      </c>
      <c r="O27" s="392">
        <v>0</v>
      </c>
      <c r="P27" s="391">
        <v>0</v>
      </c>
      <c r="Q27" s="399" t="s">
        <v>502</v>
      </c>
      <c r="T27" s="312"/>
    </row>
    <row r="28" spans="1:20" s="311" customFormat="1" ht="45" customHeight="1" x14ac:dyDescent="0.2">
      <c r="A28" s="379"/>
      <c r="B28" s="354" t="s">
        <v>626</v>
      </c>
      <c r="C28" s="396">
        <f>D28+F28+E28+J28+N28+O28+P28+21.97</f>
        <v>41.97</v>
      </c>
      <c r="D28" s="394">
        <v>0</v>
      </c>
      <c r="E28" s="391">
        <v>0</v>
      </c>
      <c r="F28" s="395">
        <f t="shared" si="3"/>
        <v>20</v>
      </c>
      <c r="G28" s="392">
        <v>0</v>
      </c>
      <c r="H28" s="392">
        <v>20</v>
      </c>
      <c r="I28" s="391">
        <v>0</v>
      </c>
      <c r="J28" s="394">
        <f t="shared" si="4"/>
        <v>0</v>
      </c>
      <c r="K28" s="349">
        <v>0</v>
      </c>
      <c r="L28" s="392">
        <v>0</v>
      </c>
      <c r="M28" s="391">
        <v>0</v>
      </c>
      <c r="N28" s="393">
        <v>0</v>
      </c>
      <c r="O28" s="392">
        <v>0</v>
      </c>
      <c r="P28" s="391">
        <v>0</v>
      </c>
      <c r="Q28" s="390" t="s">
        <v>502</v>
      </c>
      <c r="T28" s="312"/>
    </row>
    <row r="29" spans="1:20" s="311" customFormat="1" ht="34.5" customHeight="1" x14ac:dyDescent="0.2">
      <c r="A29" s="379"/>
      <c r="B29" s="354" t="s">
        <v>625</v>
      </c>
      <c r="C29" s="396">
        <f>D29+F29+E29+J29+N29+O29+P29+68.4</f>
        <v>128.4</v>
      </c>
      <c r="D29" s="394">
        <v>0</v>
      </c>
      <c r="E29" s="391">
        <v>0</v>
      </c>
      <c r="F29" s="395">
        <f t="shared" si="3"/>
        <v>60</v>
      </c>
      <c r="G29" s="392">
        <v>0</v>
      </c>
      <c r="H29" s="392">
        <v>60</v>
      </c>
      <c r="I29" s="391">
        <v>0</v>
      </c>
      <c r="J29" s="394">
        <f t="shared" si="4"/>
        <v>0</v>
      </c>
      <c r="K29" s="349">
        <v>0</v>
      </c>
      <c r="L29" s="392">
        <v>0</v>
      </c>
      <c r="M29" s="391">
        <v>0</v>
      </c>
      <c r="N29" s="393">
        <v>0</v>
      </c>
      <c r="O29" s="392">
        <v>0</v>
      </c>
      <c r="P29" s="391">
        <v>0</v>
      </c>
      <c r="Q29" s="390" t="s">
        <v>502</v>
      </c>
      <c r="T29" s="312"/>
    </row>
    <row r="30" spans="1:20" s="311" customFormat="1" ht="42" x14ac:dyDescent="0.2">
      <c r="A30" s="379"/>
      <c r="B30" s="354" t="s">
        <v>624</v>
      </c>
      <c r="C30" s="396">
        <f>D30+F30+E30+J30+N30+O30+P30+60.25</f>
        <v>180.25</v>
      </c>
      <c r="D30" s="394">
        <v>0</v>
      </c>
      <c r="E30" s="391">
        <v>0</v>
      </c>
      <c r="F30" s="395">
        <f t="shared" si="3"/>
        <v>120</v>
      </c>
      <c r="G30" s="392">
        <v>0</v>
      </c>
      <c r="H30" s="392">
        <v>120</v>
      </c>
      <c r="I30" s="391">
        <v>0</v>
      </c>
      <c r="J30" s="394">
        <f t="shared" si="4"/>
        <v>0</v>
      </c>
      <c r="K30" s="349">
        <v>0</v>
      </c>
      <c r="L30" s="392">
        <v>0</v>
      </c>
      <c r="M30" s="391">
        <v>0</v>
      </c>
      <c r="N30" s="393">
        <v>0</v>
      </c>
      <c r="O30" s="392">
        <v>0</v>
      </c>
      <c r="P30" s="391">
        <v>0</v>
      </c>
      <c r="Q30" s="390" t="s">
        <v>502</v>
      </c>
      <c r="T30" s="312"/>
    </row>
    <row r="31" spans="1:20" s="311" customFormat="1" ht="42" x14ac:dyDescent="0.2">
      <c r="A31" s="379"/>
      <c r="B31" s="354" t="s">
        <v>623</v>
      </c>
      <c r="C31" s="396">
        <f>D31+F31+E31+J31+N31+O31+P31+0.54</f>
        <v>275.54000000000002</v>
      </c>
      <c r="D31" s="394">
        <v>0</v>
      </c>
      <c r="E31" s="391">
        <v>0</v>
      </c>
      <c r="F31" s="395">
        <f t="shared" si="3"/>
        <v>275</v>
      </c>
      <c r="G31" s="392">
        <v>0</v>
      </c>
      <c r="H31" s="392">
        <v>275</v>
      </c>
      <c r="I31" s="391">
        <v>0</v>
      </c>
      <c r="J31" s="394">
        <f t="shared" si="4"/>
        <v>0</v>
      </c>
      <c r="K31" s="349">
        <v>0</v>
      </c>
      <c r="L31" s="392">
        <v>0</v>
      </c>
      <c r="M31" s="391">
        <v>0</v>
      </c>
      <c r="N31" s="393">
        <v>0</v>
      </c>
      <c r="O31" s="392">
        <v>0</v>
      </c>
      <c r="P31" s="391">
        <v>0</v>
      </c>
      <c r="Q31" s="390" t="s">
        <v>502</v>
      </c>
      <c r="R31" s="398"/>
      <c r="T31" s="312"/>
    </row>
    <row r="32" spans="1:20" s="311" customFormat="1" ht="34.5" customHeight="1" x14ac:dyDescent="0.2">
      <c r="A32" s="379"/>
      <c r="B32" s="354" t="s">
        <v>622</v>
      </c>
      <c r="C32" s="396">
        <f>D32+F32+E32+J32+N32+O32+P32+418.94</f>
        <v>1018.94</v>
      </c>
      <c r="D32" s="394">
        <v>0</v>
      </c>
      <c r="E32" s="391">
        <v>0</v>
      </c>
      <c r="F32" s="395">
        <f t="shared" si="3"/>
        <v>600</v>
      </c>
      <c r="G32" s="392">
        <v>0</v>
      </c>
      <c r="H32" s="392">
        <v>600</v>
      </c>
      <c r="I32" s="391">
        <v>0</v>
      </c>
      <c r="J32" s="394">
        <f t="shared" si="4"/>
        <v>0</v>
      </c>
      <c r="K32" s="349">
        <v>0</v>
      </c>
      <c r="L32" s="392">
        <v>0</v>
      </c>
      <c r="M32" s="391">
        <v>0</v>
      </c>
      <c r="N32" s="393">
        <v>0</v>
      </c>
      <c r="O32" s="392">
        <v>0</v>
      </c>
      <c r="P32" s="391">
        <v>0</v>
      </c>
      <c r="Q32" s="390" t="s">
        <v>502</v>
      </c>
      <c r="R32" s="398"/>
      <c r="T32" s="312"/>
    </row>
    <row r="33" spans="1:20" s="311" customFormat="1" ht="34.5" customHeight="1" x14ac:dyDescent="0.2">
      <c r="A33" s="379"/>
      <c r="B33" s="354" t="s">
        <v>621</v>
      </c>
      <c r="C33" s="396">
        <f>D33+F33+E33+J33+N33+O33+P33</f>
        <v>873</v>
      </c>
      <c r="D33" s="394">
        <v>0</v>
      </c>
      <c r="E33" s="391">
        <v>0</v>
      </c>
      <c r="F33" s="395">
        <f t="shared" si="3"/>
        <v>873</v>
      </c>
      <c r="G33" s="392">
        <v>873</v>
      </c>
      <c r="H33" s="392">
        <v>0</v>
      </c>
      <c r="I33" s="391">
        <v>0</v>
      </c>
      <c r="J33" s="394">
        <f t="shared" si="4"/>
        <v>0</v>
      </c>
      <c r="K33" s="349">
        <v>0</v>
      </c>
      <c r="L33" s="392">
        <v>0</v>
      </c>
      <c r="M33" s="391">
        <v>0</v>
      </c>
      <c r="N33" s="393">
        <v>0</v>
      </c>
      <c r="O33" s="392">
        <v>0</v>
      </c>
      <c r="P33" s="391">
        <v>0</v>
      </c>
      <c r="Q33" s="390" t="s">
        <v>488</v>
      </c>
      <c r="R33" s="398"/>
      <c r="T33" s="312"/>
    </row>
    <row r="34" spans="1:20" s="311" customFormat="1" ht="34.5" customHeight="1" x14ac:dyDescent="0.2">
      <c r="A34" s="379"/>
      <c r="B34" s="354" t="s">
        <v>620</v>
      </c>
      <c r="C34" s="396">
        <f>D34+F34+E34+J34+N34+O34+P34+46</f>
        <v>416</v>
      </c>
      <c r="D34" s="394">
        <v>0</v>
      </c>
      <c r="E34" s="391">
        <v>0</v>
      </c>
      <c r="F34" s="395">
        <f t="shared" si="3"/>
        <v>370</v>
      </c>
      <c r="G34" s="392">
        <v>370</v>
      </c>
      <c r="H34" s="392">
        <v>0</v>
      </c>
      <c r="I34" s="391">
        <v>0</v>
      </c>
      <c r="J34" s="394">
        <f t="shared" si="4"/>
        <v>0</v>
      </c>
      <c r="K34" s="349">
        <v>0</v>
      </c>
      <c r="L34" s="392">
        <v>0</v>
      </c>
      <c r="M34" s="391">
        <v>0</v>
      </c>
      <c r="N34" s="393">
        <v>0</v>
      </c>
      <c r="O34" s="392">
        <v>0</v>
      </c>
      <c r="P34" s="391">
        <v>0</v>
      </c>
      <c r="Q34" s="390" t="s">
        <v>502</v>
      </c>
      <c r="T34" s="312"/>
    </row>
    <row r="35" spans="1:20" s="311" customFormat="1" ht="34.5" customHeight="1" x14ac:dyDescent="0.2">
      <c r="A35" s="397"/>
      <c r="B35" s="354" t="s">
        <v>619</v>
      </c>
      <c r="C35" s="396">
        <f>D35+F35+E35+J35+N35+O35+P35+418.24</f>
        <v>2418.2399999999998</v>
      </c>
      <c r="D35" s="394">
        <v>0</v>
      </c>
      <c r="E35" s="391">
        <v>0</v>
      </c>
      <c r="F35" s="395">
        <f t="shared" si="3"/>
        <v>2000</v>
      </c>
      <c r="G35" s="392">
        <v>2000</v>
      </c>
      <c r="H35" s="392">
        <v>0</v>
      </c>
      <c r="I35" s="391">
        <v>0</v>
      </c>
      <c r="J35" s="394">
        <f t="shared" si="4"/>
        <v>0</v>
      </c>
      <c r="K35" s="349">
        <v>0</v>
      </c>
      <c r="L35" s="392">
        <v>0</v>
      </c>
      <c r="M35" s="391">
        <v>0</v>
      </c>
      <c r="N35" s="393">
        <v>0</v>
      </c>
      <c r="O35" s="392">
        <v>0</v>
      </c>
      <c r="P35" s="391">
        <v>0</v>
      </c>
      <c r="Q35" s="390" t="s">
        <v>502</v>
      </c>
      <c r="T35" s="312"/>
    </row>
    <row r="36" spans="1:20" s="311" customFormat="1" ht="34.5" customHeight="1" x14ac:dyDescent="0.2">
      <c r="A36" s="379"/>
      <c r="B36" s="354" t="s">
        <v>618</v>
      </c>
      <c r="C36" s="396">
        <f>D36+F36+E36+J36+N36+O36+P36+10</f>
        <v>1060</v>
      </c>
      <c r="D36" s="394">
        <v>0</v>
      </c>
      <c r="E36" s="391">
        <v>0</v>
      </c>
      <c r="F36" s="395">
        <f t="shared" si="3"/>
        <v>1050</v>
      </c>
      <c r="G36" s="392">
        <v>1050</v>
      </c>
      <c r="H36" s="392">
        <v>0</v>
      </c>
      <c r="I36" s="391">
        <v>0</v>
      </c>
      <c r="J36" s="394">
        <f t="shared" si="4"/>
        <v>0</v>
      </c>
      <c r="K36" s="349">
        <v>0</v>
      </c>
      <c r="L36" s="392">
        <v>0</v>
      </c>
      <c r="M36" s="391">
        <v>0</v>
      </c>
      <c r="N36" s="393">
        <v>0</v>
      </c>
      <c r="O36" s="392">
        <v>0</v>
      </c>
      <c r="P36" s="391">
        <v>0</v>
      </c>
      <c r="Q36" s="390" t="s">
        <v>502</v>
      </c>
      <c r="T36" s="312"/>
    </row>
    <row r="37" spans="1:20" s="311" customFormat="1" ht="34.5" customHeight="1" x14ac:dyDescent="0.2">
      <c r="A37" s="379"/>
      <c r="B37" s="354" t="s">
        <v>617</v>
      </c>
      <c r="C37" s="396">
        <f>D37+F37+E37+J37+N37+O37+P37</f>
        <v>2521</v>
      </c>
      <c r="D37" s="394">
        <v>0</v>
      </c>
      <c r="E37" s="391">
        <v>0</v>
      </c>
      <c r="F37" s="395">
        <f t="shared" si="3"/>
        <v>1901</v>
      </c>
      <c r="G37" s="392">
        <v>1901</v>
      </c>
      <c r="H37" s="392">
        <v>0</v>
      </c>
      <c r="I37" s="391">
        <v>0</v>
      </c>
      <c r="J37" s="394">
        <f t="shared" si="4"/>
        <v>620</v>
      </c>
      <c r="K37" s="349">
        <v>620</v>
      </c>
      <c r="L37" s="392">
        <v>0</v>
      </c>
      <c r="M37" s="391">
        <v>0</v>
      </c>
      <c r="N37" s="393">
        <v>0</v>
      </c>
      <c r="O37" s="392">
        <v>0</v>
      </c>
      <c r="P37" s="391">
        <v>0</v>
      </c>
      <c r="Q37" s="390" t="s">
        <v>488</v>
      </c>
      <c r="T37" s="312"/>
    </row>
    <row r="38" spans="1:20" s="311" customFormat="1" ht="35.25" customHeight="1" thickBot="1" x14ac:dyDescent="0.25">
      <c r="A38" s="379"/>
      <c r="B38" s="354" t="s">
        <v>616</v>
      </c>
      <c r="C38" s="396">
        <f>D38+F38+E38+J38+N38+O38+P38+140</f>
        <v>340</v>
      </c>
      <c r="D38" s="394">
        <v>0</v>
      </c>
      <c r="E38" s="391">
        <v>0</v>
      </c>
      <c r="F38" s="395">
        <f t="shared" si="3"/>
        <v>200</v>
      </c>
      <c r="G38" s="392">
        <v>200</v>
      </c>
      <c r="H38" s="392">
        <v>0</v>
      </c>
      <c r="I38" s="391">
        <v>0</v>
      </c>
      <c r="J38" s="394">
        <f t="shared" si="4"/>
        <v>0</v>
      </c>
      <c r="K38" s="349">
        <v>0</v>
      </c>
      <c r="L38" s="392">
        <v>0</v>
      </c>
      <c r="M38" s="391">
        <v>0</v>
      </c>
      <c r="N38" s="393">
        <v>0</v>
      </c>
      <c r="O38" s="392">
        <v>0</v>
      </c>
      <c r="P38" s="391">
        <v>0</v>
      </c>
      <c r="Q38" s="390" t="s">
        <v>502</v>
      </c>
      <c r="T38" s="312"/>
    </row>
    <row r="39" spans="1:20" s="311" customFormat="1" ht="15.75" customHeight="1" thickBot="1" x14ac:dyDescent="0.25">
      <c r="A39" s="1329" t="s">
        <v>615</v>
      </c>
      <c r="B39" s="1330"/>
      <c r="C39" s="365">
        <f t="shared" ref="C39:P39" si="5">SUM(C23:C38)</f>
        <v>66483.629029999996</v>
      </c>
      <c r="D39" s="333">
        <f t="shared" si="5"/>
        <v>29545.915929999999</v>
      </c>
      <c r="E39" s="313">
        <f t="shared" si="5"/>
        <v>3126.6891000000001</v>
      </c>
      <c r="F39" s="333">
        <f t="shared" si="5"/>
        <v>8826</v>
      </c>
      <c r="G39" s="382">
        <f t="shared" si="5"/>
        <v>7341</v>
      </c>
      <c r="H39" s="382">
        <f t="shared" si="5"/>
        <v>1485</v>
      </c>
      <c r="I39" s="313">
        <f t="shared" si="5"/>
        <v>0</v>
      </c>
      <c r="J39" s="333">
        <f t="shared" si="5"/>
        <v>23506.09</v>
      </c>
      <c r="K39" s="382">
        <f t="shared" si="5"/>
        <v>23506.09</v>
      </c>
      <c r="L39" s="382">
        <f t="shared" si="5"/>
        <v>0</v>
      </c>
      <c r="M39" s="313">
        <f t="shared" si="5"/>
        <v>0</v>
      </c>
      <c r="N39" s="332">
        <f t="shared" si="5"/>
        <v>0</v>
      </c>
      <c r="O39" s="364">
        <f t="shared" si="5"/>
        <v>0</v>
      </c>
      <c r="P39" s="330">
        <f t="shared" si="5"/>
        <v>0</v>
      </c>
      <c r="Q39" s="313"/>
      <c r="T39" s="312"/>
    </row>
    <row r="40" spans="1:20" s="368" customFormat="1" ht="18.75" customHeight="1" thickBot="1" x14ac:dyDescent="0.2">
      <c r="A40" s="1362" t="s">
        <v>614</v>
      </c>
      <c r="B40" s="1363"/>
      <c r="C40" s="1363"/>
      <c r="D40" s="1363"/>
      <c r="E40" s="1363"/>
      <c r="F40" s="1363"/>
      <c r="G40" s="1363"/>
      <c r="H40" s="1363"/>
      <c r="I40" s="1363"/>
      <c r="J40" s="1363"/>
      <c r="K40" s="1363"/>
      <c r="L40" s="1363"/>
      <c r="M40" s="1363"/>
      <c r="N40" s="1363"/>
      <c r="O40" s="1363"/>
      <c r="P40" s="1363"/>
      <c r="Q40" s="1364"/>
      <c r="T40" s="369"/>
    </row>
    <row r="41" spans="1:20" s="311" customFormat="1" ht="25.5" customHeight="1" thickBot="1" x14ac:dyDescent="0.25">
      <c r="A41" s="367"/>
      <c r="B41" s="354" t="s">
        <v>613</v>
      </c>
      <c r="C41" s="396">
        <f>D41+E41+F41+J41+N41+O41+P41</f>
        <v>199.65</v>
      </c>
      <c r="D41" s="394">
        <v>0</v>
      </c>
      <c r="E41" s="391">
        <v>0</v>
      </c>
      <c r="F41" s="395">
        <v>199.65</v>
      </c>
      <c r="G41" s="392">
        <v>199.65</v>
      </c>
      <c r="H41" s="392">
        <v>0</v>
      </c>
      <c r="I41" s="391">
        <v>0</v>
      </c>
      <c r="J41" s="394">
        <f>K41+L41+M41</f>
        <v>0</v>
      </c>
      <c r="K41" s="349">
        <v>0</v>
      </c>
      <c r="L41" s="392">
        <v>0</v>
      </c>
      <c r="M41" s="391">
        <v>0</v>
      </c>
      <c r="N41" s="393">
        <v>0</v>
      </c>
      <c r="O41" s="392">
        <v>0</v>
      </c>
      <c r="P41" s="391">
        <v>0</v>
      </c>
      <c r="Q41" s="390" t="s">
        <v>488</v>
      </c>
      <c r="T41" s="312"/>
    </row>
    <row r="42" spans="1:20" s="311" customFormat="1" ht="15.75" customHeight="1" thickBot="1" x14ac:dyDescent="0.25">
      <c r="A42" s="1329" t="s">
        <v>612</v>
      </c>
      <c r="B42" s="1330"/>
      <c r="C42" s="365">
        <f t="shared" ref="C42:P42" si="6">SUM(C41:C41)</f>
        <v>199.65</v>
      </c>
      <c r="D42" s="333">
        <f t="shared" si="6"/>
        <v>0</v>
      </c>
      <c r="E42" s="313">
        <f t="shared" si="6"/>
        <v>0</v>
      </c>
      <c r="F42" s="333">
        <f t="shared" si="6"/>
        <v>199.65</v>
      </c>
      <c r="G42" s="382">
        <f t="shared" si="6"/>
        <v>199.65</v>
      </c>
      <c r="H42" s="382">
        <f t="shared" si="6"/>
        <v>0</v>
      </c>
      <c r="I42" s="313">
        <f t="shared" si="6"/>
        <v>0</v>
      </c>
      <c r="J42" s="333">
        <f t="shared" si="6"/>
        <v>0</v>
      </c>
      <c r="K42" s="382">
        <f t="shared" si="6"/>
        <v>0</v>
      </c>
      <c r="L42" s="382">
        <f t="shared" si="6"/>
        <v>0</v>
      </c>
      <c r="M42" s="313">
        <f t="shared" si="6"/>
        <v>0</v>
      </c>
      <c r="N42" s="332">
        <f t="shared" si="6"/>
        <v>0</v>
      </c>
      <c r="O42" s="364">
        <f t="shared" si="6"/>
        <v>0</v>
      </c>
      <c r="P42" s="330">
        <f t="shared" si="6"/>
        <v>0</v>
      </c>
      <c r="Q42" s="313"/>
      <c r="T42" s="312"/>
    </row>
    <row r="43" spans="1:20" s="368" customFormat="1" ht="18.75" customHeight="1" thickBot="1" x14ac:dyDescent="0.2">
      <c r="A43" s="1362" t="s">
        <v>611</v>
      </c>
      <c r="B43" s="1363"/>
      <c r="C43" s="1363"/>
      <c r="D43" s="1363"/>
      <c r="E43" s="1363"/>
      <c r="F43" s="1363"/>
      <c r="G43" s="1363"/>
      <c r="H43" s="1363"/>
      <c r="I43" s="1363"/>
      <c r="J43" s="1363"/>
      <c r="K43" s="1363"/>
      <c r="L43" s="1363"/>
      <c r="M43" s="1363"/>
      <c r="N43" s="1363"/>
      <c r="O43" s="1363"/>
      <c r="P43" s="1363"/>
      <c r="Q43" s="1364"/>
      <c r="T43" s="369"/>
    </row>
    <row r="44" spans="1:20" s="311" customFormat="1" ht="21" x14ac:dyDescent="0.2">
      <c r="A44" s="367"/>
      <c r="B44" s="354" t="s">
        <v>610</v>
      </c>
      <c r="C44" s="353">
        <f>D44+E44+F44+J44+N44+O44+P44</f>
        <v>88.378399999999999</v>
      </c>
      <c r="D44" s="351">
        <v>0</v>
      </c>
      <c r="E44" s="348">
        <v>0</v>
      </c>
      <c r="F44" s="352">
        <f>G44+H44+I44</f>
        <v>88.378399999999999</v>
      </c>
      <c r="G44" s="349">
        <v>88.378399999999999</v>
      </c>
      <c r="H44" s="349">
        <v>0</v>
      </c>
      <c r="I44" s="348">
        <v>0</v>
      </c>
      <c r="J44" s="351">
        <f>K44+L44+M44</f>
        <v>0</v>
      </c>
      <c r="K44" s="349">
        <v>0</v>
      </c>
      <c r="L44" s="349">
        <v>0</v>
      </c>
      <c r="M44" s="348">
        <v>0</v>
      </c>
      <c r="N44" s="350">
        <v>0</v>
      </c>
      <c r="O44" s="349">
        <v>0</v>
      </c>
      <c r="P44" s="348">
        <v>0</v>
      </c>
      <c r="Q44" s="347" t="s">
        <v>488</v>
      </c>
      <c r="T44" s="312"/>
    </row>
    <row r="45" spans="1:20" s="311" customFormat="1" ht="24.75" customHeight="1" thickBot="1" x14ac:dyDescent="0.25">
      <c r="A45" s="366"/>
      <c r="B45" s="354" t="s">
        <v>609</v>
      </c>
      <c r="C45" s="353">
        <f>D45+E45+F45+J45+N45+O45+P45</f>
        <v>820.98500000000001</v>
      </c>
      <c r="D45" s="351">
        <v>0</v>
      </c>
      <c r="E45" s="348">
        <v>0</v>
      </c>
      <c r="F45" s="352">
        <f>G45+H45+I45</f>
        <v>820.98500000000001</v>
      </c>
      <c r="G45" s="349">
        <v>820.98500000000001</v>
      </c>
      <c r="H45" s="349">
        <v>0</v>
      </c>
      <c r="I45" s="348">
        <v>0</v>
      </c>
      <c r="J45" s="351">
        <f>K45+L45+M45</f>
        <v>0</v>
      </c>
      <c r="K45" s="349">
        <v>0</v>
      </c>
      <c r="L45" s="349">
        <v>0</v>
      </c>
      <c r="M45" s="348">
        <v>0</v>
      </c>
      <c r="N45" s="350">
        <v>0</v>
      </c>
      <c r="O45" s="349">
        <v>0</v>
      </c>
      <c r="P45" s="348">
        <v>0</v>
      </c>
      <c r="Q45" s="347" t="s">
        <v>488</v>
      </c>
      <c r="T45" s="312"/>
    </row>
    <row r="46" spans="1:20" s="311" customFormat="1" ht="15.75" customHeight="1" thickBot="1" x14ac:dyDescent="0.25">
      <c r="A46" s="1329" t="s">
        <v>608</v>
      </c>
      <c r="B46" s="1330"/>
      <c r="C46" s="365">
        <f t="shared" ref="C46:P46" si="7">SUM(C44:C45)</f>
        <v>909.36339999999996</v>
      </c>
      <c r="D46" s="332">
        <f t="shared" si="7"/>
        <v>0</v>
      </c>
      <c r="E46" s="330">
        <f t="shared" si="7"/>
        <v>0</v>
      </c>
      <c r="F46" s="332">
        <f t="shared" si="7"/>
        <v>909.36339999999996</v>
      </c>
      <c r="G46" s="331">
        <f t="shared" si="7"/>
        <v>909.36339999999996</v>
      </c>
      <c r="H46" s="331">
        <f t="shared" si="7"/>
        <v>0</v>
      </c>
      <c r="I46" s="330">
        <f t="shared" si="7"/>
        <v>0</v>
      </c>
      <c r="J46" s="332">
        <f t="shared" si="7"/>
        <v>0</v>
      </c>
      <c r="K46" s="331">
        <f t="shared" si="7"/>
        <v>0</v>
      </c>
      <c r="L46" s="331">
        <f t="shared" si="7"/>
        <v>0</v>
      </c>
      <c r="M46" s="330">
        <f t="shared" si="7"/>
        <v>0</v>
      </c>
      <c r="N46" s="332">
        <f t="shared" si="7"/>
        <v>0</v>
      </c>
      <c r="O46" s="331">
        <f t="shared" si="7"/>
        <v>0</v>
      </c>
      <c r="P46" s="330">
        <f t="shared" si="7"/>
        <v>0</v>
      </c>
      <c r="Q46" s="313"/>
      <c r="T46" s="312"/>
    </row>
    <row r="47" spans="1:20" s="328" customFormat="1" ht="18.75" customHeight="1" thickBot="1" x14ac:dyDescent="0.2">
      <c r="A47" s="1331" t="s">
        <v>607</v>
      </c>
      <c r="B47" s="1332"/>
      <c r="C47" s="1332"/>
      <c r="D47" s="1332"/>
      <c r="E47" s="1332"/>
      <c r="F47" s="1332"/>
      <c r="G47" s="1332"/>
      <c r="H47" s="1332"/>
      <c r="I47" s="1332"/>
      <c r="J47" s="1332"/>
      <c r="K47" s="1332"/>
      <c r="L47" s="1332"/>
      <c r="M47" s="1332"/>
      <c r="N47" s="1332"/>
      <c r="O47" s="1332"/>
      <c r="P47" s="1332"/>
      <c r="Q47" s="1333"/>
      <c r="T47" s="329"/>
    </row>
    <row r="48" spans="1:20" s="311" customFormat="1" ht="24.75" customHeight="1" x14ac:dyDescent="0.2">
      <c r="A48" s="389"/>
      <c r="B48" s="354" t="s">
        <v>606</v>
      </c>
      <c r="C48" s="353">
        <f>D48+E48+F48+J48+N48+O48+P48</f>
        <v>40607.050320000002</v>
      </c>
      <c r="D48" s="351">
        <v>783.6</v>
      </c>
      <c r="E48" s="348">
        <v>216.59</v>
      </c>
      <c r="F48" s="352">
        <f t="shared" ref="F48:F67" si="8">G48+H48+I48</f>
        <v>1047.9603199999999</v>
      </c>
      <c r="G48" s="349">
        <v>1047.9603199999999</v>
      </c>
      <c r="H48" s="349">
        <v>0</v>
      </c>
      <c r="I48" s="348">
        <v>0</v>
      </c>
      <c r="J48" s="351">
        <f t="shared" ref="J48:J67" si="9">K48+L48+M48</f>
        <v>38558.9</v>
      </c>
      <c r="K48" s="349">
        <v>38558.9</v>
      </c>
      <c r="L48" s="349">
        <v>0</v>
      </c>
      <c r="M48" s="348">
        <v>0</v>
      </c>
      <c r="N48" s="350">
        <v>0</v>
      </c>
      <c r="O48" s="349">
        <v>0</v>
      </c>
      <c r="P48" s="348">
        <v>0</v>
      </c>
      <c r="Q48" s="347" t="s">
        <v>605</v>
      </c>
      <c r="T48" s="312"/>
    </row>
    <row r="49" spans="1:20" s="385" customFormat="1" ht="34.5" customHeight="1" x14ac:dyDescent="0.2">
      <c r="A49" s="388"/>
      <c r="B49" s="354" t="s">
        <v>604</v>
      </c>
      <c r="C49" s="353">
        <f>D49+E49+F49+J49+N49+O49+P49+36.24</f>
        <v>886.24</v>
      </c>
      <c r="D49" s="351">
        <v>350</v>
      </c>
      <c r="E49" s="348">
        <v>0</v>
      </c>
      <c r="F49" s="352">
        <f t="shared" si="8"/>
        <v>250</v>
      </c>
      <c r="G49" s="349">
        <v>250</v>
      </c>
      <c r="H49" s="349">
        <v>0</v>
      </c>
      <c r="I49" s="348">
        <v>0</v>
      </c>
      <c r="J49" s="351">
        <f t="shared" si="9"/>
        <v>250</v>
      </c>
      <c r="K49" s="349">
        <v>250</v>
      </c>
      <c r="L49" s="349">
        <v>0</v>
      </c>
      <c r="M49" s="348">
        <v>0</v>
      </c>
      <c r="N49" s="350">
        <v>0</v>
      </c>
      <c r="O49" s="349">
        <v>0</v>
      </c>
      <c r="P49" s="348">
        <v>0</v>
      </c>
      <c r="Q49" s="347" t="s">
        <v>502</v>
      </c>
      <c r="T49" s="386"/>
    </row>
    <row r="50" spans="1:20" s="385" customFormat="1" ht="24" customHeight="1" x14ac:dyDescent="0.2">
      <c r="A50" s="388"/>
      <c r="B50" s="354" t="s">
        <v>603</v>
      </c>
      <c r="C50" s="353">
        <f>D50+E50+F50+J50+N50+O50+P50</f>
        <v>12922.047739999998</v>
      </c>
      <c r="D50" s="351">
        <v>0</v>
      </c>
      <c r="E50" s="348">
        <v>2545.1924399999998</v>
      </c>
      <c r="F50" s="352">
        <f t="shared" si="8"/>
        <v>10376.855299999999</v>
      </c>
      <c r="G50" s="349">
        <v>10376.855299999999</v>
      </c>
      <c r="H50" s="349">
        <v>0</v>
      </c>
      <c r="I50" s="348">
        <v>0</v>
      </c>
      <c r="J50" s="351">
        <f t="shared" si="9"/>
        <v>0</v>
      </c>
      <c r="K50" s="349">
        <v>0</v>
      </c>
      <c r="L50" s="349">
        <v>0</v>
      </c>
      <c r="M50" s="348">
        <v>0</v>
      </c>
      <c r="N50" s="350">
        <v>0</v>
      </c>
      <c r="O50" s="349">
        <v>0</v>
      </c>
      <c r="P50" s="348">
        <v>0</v>
      </c>
      <c r="Q50" s="347" t="s">
        <v>597</v>
      </c>
      <c r="T50" s="386"/>
    </row>
    <row r="51" spans="1:20" s="385" customFormat="1" ht="34.5" customHeight="1" x14ac:dyDescent="0.2">
      <c r="A51" s="389"/>
      <c r="B51" s="354" t="s">
        <v>602</v>
      </c>
      <c r="C51" s="353">
        <f>D51+E51+F51+J51+N51+O51+P51+1050+67.76</f>
        <v>2202.5114800000001</v>
      </c>
      <c r="D51" s="351">
        <v>0</v>
      </c>
      <c r="E51" s="348">
        <v>0</v>
      </c>
      <c r="F51" s="352">
        <f t="shared" si="8"/>
        <v>1084.7514799999999</v>
      </c>
      <c r="G51" s="349">
        <v>1084.7514799999999</v>
      </c>
      <c r="H51" s="349">
        <v>0</v>
      </c>
      <c r="I51" s="348">
        <v>0</v>
      </c>
      <c r="J51" s="351">
        <f t="shared" si="9"/>
        <v>0</v>
      </c>
      <c r="K51" s="349">
        <v>0</v>
      </c>
      <c r="L51" s="349">
        <v>0</v>
      </c>
      <c r="M51" s="348">
        <v>0</v>
      </c>
      <c r="N51" s="350">
        <v>0</v>
      </c>
      <c r="O51" s="349">
        <v>0</v>
      </c>
      <c r="P51" s="348">
        <v>0</v>
      </c>
      <c r="Q51" s="380" t="s">
        <v>502</v>
      </c>
      <c r="T51" s="386"/>
    </row>
    <row r="52" spans="1:20" s="385" customFormat="1" ht="34.5" customHeight="1" x14ac:dyDescent="0.2">
      <c r="A52" s="388"/>
      <c r="B52" s="354" t="s">
        <v>601</v>
      </c>
      <c r="C52" s="353">
        <f>D52+E52+F52+J52+N52+O52+P52</f>
        <v>75000</v>
      </c>
      <c r="D52" s="351">
        <v>0</v>
      </c>
      <c r="E52" s="348">
        <v>0</v>
      </c>
      <c r="F52" s="352">
        <f t="shared" si="8"/>
        <v>121</v>
      </c>
      <c r="G52" s="349">
        <v>121</v>
      </c>
      <c r="H52" s="349">
        <v>0</v>
      </c>
      <c r="I52" s="348">
        <v>0</v>
      </c>
      <c r="J52" s="351">
        <f t="shared" si="9"/>
        <v>22679</v>
      </c>
      <c r="K52" s="349">
        <v>22679</v>
      </c>
      <c r="L52" s="349">
        <v>0</v>
      </c>
      <c r="M52" s="348">
        <v>0</v>
      </c>
      <c r="N52" s="350">
        <v>15000</v>
      </c>
      <c r="O52" s="349">
        <v>37200</v>
      </c>
      <c r="P52" s="348">
        <v>0</v>
      </c>
      <c r="Q52" s="347" t="s">
        <v>597</v>
      </c>
      <c r="T52" s="386"/>
    </row>
    <row r="53" spans="1:20" s="385" customFormat="1" ht="24" customHeight="1" x14ac:dyDescent="0.2">
      <c r="A53" s="388"/>
      <c r="B53" s="354" t="s">
        <v>600</v>
      </c>
      <c r="C53" s="353">
        <f>D53+E53+F53+J53+N53+O53+P53</f>
        <v>21000</v>
      </c>
      <c r="D53" s="351">
        <v>0</v>
      </c>
      <c r="E53" s="348">
        <v>0</v>
      </c>
      <c r="F53" s="352">
        <f t="shared" si="8"/>
        <v>12.1</v>
      </c>
      <c r="G53" s="349">
        <v>12.1</v>
      </c>
      <c r="H53" s="349">
        <v>0</v>
      </c>
      <c r="I53" s="348">
        <v>0</v>
      </c>
      <c r="J53" s="351">
        <f t="shared" si="9"/>
        <v>17487.900000000001</v>
      </c>
      <c r="K53" s="349">
        <v>17487.900000000001</v>
      </c>
      <c r="L53" s="349">
        <v>0</v>
      </c>
      <c r="M53" s="348">
        <v>0</v>
      </c>
      <c r="N53" s="350">
        <v>3500</v>
      </c>
      <c r="O53" s="349">
        <v>0</v>
      </c>
      <c r="P53" s="348">
        <v>0</v>
      </c>
      <c r="Q53" s="347" t="s">
        <v>597</v>
      </c>
      <c r="T53" s="386"/>
    </row>
    <row r="54" spans="1:20" s="385" customFormat="1" ht="34.5" customHeight="1" x14ac:dyDescent="0.2">
      <c r="A54" s="388"/>
      <c r="B54" s="354" t="s">
        <v>599</v>
      </c>
      <c r="C54" s="353">
        <f>D54+E54+F54+J54+N54+O54+P54</f>
        <v>1471.9191700000001</v>
      </c>
      <c r="D54" s="351">
        <v>0</v>
      </c>
      <c r="E54" s="348">
        <v>0</v>
      </c>
      <c r="F54" s="352">
        <f t="shared" si="8"/>
        <v>671.91917000000001</v>
      </c>
      <c r="G54" s="349">
        <v>671.91917000000001</v>
      </c>
      <c r="H54" s="349">
        <v>0</v>
      </c>
      <c r="I54" s="348">
        <v>0</v>
      </c>
      <c r="J54" s="351">
        <f t="shared" si="9"/>
        <v>800</v>
      </c>
      <c r="K54" s="349">
        <v>800</v>
      </c>
      <c r="L54" s="349">
        <v>0</v>
      </c>
      <c r="M54" s="348">
        <v>0</v>
      </c>
      <c r="N54" s="350">
        <v>0</v>
      </c>
      <c r="O54" s="349">
        <v>0</v>
      </c>
      <c r="P54" s="348">
        <v>0</v>
      </c>
      <c r="Q54" s="347" t="s">
        <v>597</v>
      </c>
      <c r="T54" s="386"/>
    </row>
    <row r="55" spans="1:20" s="385" customFormat="1" ht="34.5" customHeight="1" x14ac:dyDescent="0.2">
      <c r="A55" s="388"/>
      <c r="B55" s="354" t="s">
        <v>598</v>
      </c>
      <c r="C55" s="353">
        <f>D55+E55+F55+J55+N55+O55+P55</f>
        <v>2000.0049999999999</v>
      </c>
      <c r="D55" s="351">
        <v>0</v>
      </c>
      <c r="E55" s="348">
        <v>0</v>
      </c>
      <c r="F55" s="352">
        <f t="shared" si="8"/>
        <v>4.2350000000000003</v>
      </c>
      <c r="G55" s="349">
        <v>4.2350000000000003</v>
      </c>
      <c r="H55" s="349">
        <v>0</v>
      </c>
      <c r="I55" s="348">
        <v>0</v>
      </c>
      <c r="J55" s="351">
        <f t="shared" si="9"/>
        <v>1995.77</v>
      </c>
      <c r="K55" s="349">
        <v>1995.77</v>
      </c>
      <c r="L55" s="349">
        <v>0</v>
      </c>
      <c r="M55" s="348">
        <v>0</v>
      </c>
      <c r="N55" s="350">
        <v>0</v>
      </c>
      <c r="O55" s="349">
        <v>0</v>
      </c>
      <c r="P55" s="348">
        <v>0</v>
      </c>
      <c r="Q55" s="347" t="s">
        <v>597</v>
      </c>
      <c r="T55" s="386"/>
    </row>
    <row r="56" spans="1:20" s="385" customFormat="1" ht="34.5" customHeight="1" x14ac:dyDescent="0.2">
      <c r="A56" s="388"/>
      <c r="B56" s="354" t="s">
        <v>596</v>
      </c>
      <c r="C56" s="353">
        <f>D56+E56+F56+J56+N56+O56+P56+700</f>
        <v>1299.1500000000001</v>
      </c>
      <c r="D56" s="351">
        <v>0</v>
      </c>
      <c r="E56" s="348">
        <v>0</v>
      </c>
      <c r="F56" s="352">
        <f t="shared" si="8"/>
        <v>599.15</v>
      </c>
      <c r="G56" s="349">
        <v>599.15</v>
      </c>
      <c r="H56" s="349">
        <v>0</v>
      </c>
      <c r="I56" s="348">
        <v>0</v>
      </c>
      <c r="J56" s="351">
        <f t="shared" si="9"/>
        <v>0</v>
      </c>
      <c r="K56" s="349">
        <v>0</v>
      </c>
      <c r="L56" s="349">
        <v>0</v>
      </c>
      <c r="M56" s="348">
        <v>0</v>
      </c>
      <c r="N56" s="350">
        <v>0</v>
      </c>
      <c r="O56" s="349">
        <v>0</v>
      </c>
      <c r="P56" s="348">
        <v>0</v>
      </c>
      <c r="Q56" s="347" t="s">
        <v>502</v>
      </c>
      <c r="T56" s="386"/>
    </row>
    <row r="57" spans="1:20" s="385" customFormat="1" ht="34.5" customHeight="1" x14ac:dyDescent="0.2">
      <c r="A57" s="388"/>
      <c r="B57" s="354" t="s">
        <v>595</v>
      </c>
      <c r="C57" s="353">
        <f>D57+E57+F57+J57+N57+O57+P57+300</f>
        <v>724.63799999999992</v>
      </c>
      <c r="D57" s="351">
        <v>0</v>
      </c>
      <c r="E57" s="348">
        <v>0</v>
      </c>
      <c r="F57" s="352">
        <f t="shared" si="8"/>
        <v>424.63799999999998</v>
      </c>
      <c r="G57" s="349">
        <v>424.63799999999998</v>
      </c>
      <c r="H57" s="349">
        <v>0</v>
      </c>
      <c r="I57" s="348">
        <v>0</v>
      </c>
      <c r="J57" s="351">
        <f t="shared" si="9"/>
        <v>0</v>
      </c>
      <c r="K57" s="349">
        <v>0</v>
      </c>
      <c r="L57" s="349">
        <v>0</v>
      </c>
      <c r="M57" s="348">
        <v>0</v>
      </c>
      <c r="N57" s="350">
        <v>0</v>
      </c>
      <c r="O57" s="349">
        <v>0</v>
      </c>
      <c r="P57" s="348">
        <v>0</v>
      </c>
      <c r="Q57" s="347" t="s">
        <v>502</v>
      </c>
      <c r="T57" s="386"/>
    </row>
    <row r="58" spans="1:20" s="385" customFormat="1" ht="34.5" customHeight="1" x14ac:dyDescent="0.2">
      <c r="A58" s="388"/>
      <c r="B58" s="354" t="s">
        <v>594</v>
      </c>
      <c r="C58" s="353">
        <f>D58+E58+F58+J58+N58+O58+P58+1507</f>
        <v>3107</v>
      </c>
      <c r="D58" s="351">
        <v>0</v>
      </c>
      <c r="E58" s="348">
        <v>0</v>
      </c>
      <c r="F58" s="352">
        <f t="shared" si="8"/>
        <v>1500</v>
      </c>
      <c r="G58" s="349">
        <v>1500</v>
      </c>
      <c r="H58" s="349">
        <v>0</v>
      </c>
      <c r="I58" s="348">
        <v>0</v>
      </c>
      <c r="J58" s="351">
        <f t="shared" si="9"/>
        <v>100</v>
      </c>
      <c r="K58" s="349">
        <v>100</v>
      </c>
      <c r="L58" s="349">
        <v>0</v>
      </c>
      <c r="M58" s="348">
        <v>0</v>
      </c>
      <c r="N58" s="350">
        <v>0</v>
      </c>
      <c r="O58" s="349">
        <v>0</v>
      </c>
      <c r="P58" s="348">
        <v>0</v>
      </c>
      <c r="Q58" s="347" t="s">
        <v>502</v>
      </c>
      <c r="T58" s="386"/>
    </row>
    <row r="59" spans="1:20" s="385" customFormat="1" ht="34.5" customHeight="1" x14ac:dyDescent="0.2">
      <c r="A59" s="388"/>
      <c r="B59" s="354" t="s">
        <v>593</v>
      </c>
      <c r="C59" s="353">
        <f>D59+E59+F59+J59+N59+O59+P59+701.47</f>
        <v>1301.47</v>
      </c>
      <c r="D59" s="351">
        <v>0</v>
      </c>
      <c r="E59" s="348">
        <v>0</v>
      </c>
      <c r="F59" s="352">
        <f t="shared" si="8"/>
        <v>600</v>
      </c>
      <c r="G59" s="349">
        <v>600</v>
      </c>
      <c r="H59" s="349">
        <v>0</v>
      </c>
      <c r="I59" s="348">
        <v>0</v>
      </c>
      <c r="J59" s="351">
        <f t="shared" si="9"/>
        <v>0</v>
      </c>
      <c r="K59" s="349">
        <v>0</v>
      </c>
      <c r="L59" s="349">
        <v>0</v>
      </c>
      <c r="M59" s="348">
        <v>0</v>
      </c>
      <c r="N59" s="350">
        <v>0</v>
      </c>
      <c r="O59" s="349">
        <v>0</v>
      </c>
      <c r="P59" s="348">
        <v>0</v>
      </c>
      <c r="Q59" s="347" t="s">
        <v>502</v>
      </c>
      <c r="T59" s="386"/>
    </row>
    <row r="60" spans="1:20" s="385" customFormat="1" ht="34.5" customHeight="1" x14ac:dyDescent="0.2">
      <c r="A60" s="388"/>
      <c r="B60" s="354" t="s">
        <v>592</v>
      </c>
      <c r="C60" s="353">
        <f>D60+E60+F60+J60+N60+O60+P60+282.29</f>
        <v>2832.29</v>
      </c>
      <c r="D60" s="351">
        <v>0</v>
      </c>
      <c r="E60" s="348">
        <v>800</v>
      </c>
      <c r="F60" s="352">
        <f t="shared" si="8"/>
        <v>1750</v>
      </c>
      <c r="G60" s="349">
        <v>1750</v>
      </c>
      <c r="H60" s="349">
        <v>0</v>
      </c>
      <c r="I60" s="348">
        <v>0</v>
      </c>
      <c r="J60" s="351">
        <f t="shared" si="9"/>
        <v>0</v>
      </c>
      <c r="K60" s="349">
        <v>0</v>
      </c>
      <c r="L60" s="349">
        <v>0</v>
      </c>
      <c r="M60" s="348">
        <v>0</v>
      </c>
      <c r="N60" s="350">
        <v>0</v>
      </c>
      <c r="O60" s="349">
        <v>0</v>
      </c>
      <c r="P60" s="348">
        <v>0</v>
      </c>
      <c r="Q60" s="347" t="s">
        <v>502</v>
      </c>
      <c r="T60" s="386"/>
    </row>
    <row r="61" spans="1:20" s="385" customFormat="1" ht="34.5" customHeight="1" x14ac:dyDescent="0.2">
      <c r="A61" s="388"/>
      <c r="B61" s="354" t="s">
        <v>591</v>
      </c>
      <c r="C61" s="353">
        <f>D61+E61+F61+J61+N61+O61+P61+1603+80.69</f>
        <v>2383.69</v>
      </c>
      <c r="D61" s="351">
        <v>0</v>
      </c>
      <c r="E61" s="348">
        <v>0</v>
      </c>
      <c r="F61" s="352">
        <f t="shared" si="8"/>
        <v>700</v>
      </c>
      <c r="G61" s="349">
        <v>700</v>
      </c>
      <c r="H61" s="349">
        <v>0</v>
      </c>
      <c r="I61" s="348">
        <v>0</v>
      </c>
      <c r="J61" s="351">
        <f t="shared" si="9"/>
        <v>0</v>
      </c>
      <c r="K61" s="349">
        <v>0</v>
      </c>
      <c r="L61" s="349">
        <v>0</v>
      </c>
      <c r="M61" s="348">
        <v>0</v>
      </c>
      <c r="N61" s="350">
        <v>0</v>
      </c>
      <c r="O61" s="349">
        <v>0</v>
      </c>
      <c r="P61" s="348">
        <v>0</v>
      </c>
      <c r="Q61" s="347" t="s">
        <v>502</v>
      </c>
      <c r="T61" s="386"/>
    </row>
    <row r="62" spans="1:20" s="385" customFormat="1" ht="34.5" customHeight="1" x14ac:dyDescent="0.2">
      <c r="A62" s="388"/>
      <c r="B62" s="354" t="s">
        <v>590</v>
      </c>
      <c r="C62" s="353">
        <f>D62+E62+F62+J62+N62+O62+P62+470</f>
        <v>1570</v>
      </c>
      <c r="D62" s="351">
        <v>0</v>
      </c>
      <c r="E62" s="348">
        <v>0</v>
      </c>
      <c r="F62" s="352">
        <f t="shared" si="8"/>
        <v>1100</v>
      </c>
      <c r="G62" s="349">
        <v>1100</v>
      </c>
      <c r="H62" s="349">
        <v>0</v>
      </c>
      <c r="I62" s="348">
        <v>0</v>
      </c>
      <c r="J62" s="351">
        <f t="shared" si="9"/>
        <v>0</v>
      </c>
      <c r="K62" s="349">
        <v>0</v>
      </c>
      <c r="L62" s="349">
        <v>0</v>
      </c>
      <c r="M62" s="348">
        <v>0</v>
      </c>
      <c r="N62" s="350">
        <v>0</v>
      </c>
      <c r="O62" s="349">
        <v>0</v>
      </c>
      <c r="P62" s="348">
        <v>0</v>
      </c>
      <c r="Q62" s="347" t="s">
        <v>502</v>
      </c>
      <c r="T62" s="386"/>
    </row>
    <row r="63" spans="1:20" s="385" customFormat="1" ht="34.5" customHeight="1" x14ac:dyDescent="0.2">
      <c r="A63" s="388"/>
      <c r="B63" s="354" t="s">
        <v>589</v>
      </c>
      <c r="C63" s="353">
        <f>D63+E63+F63+J63+N63+O63+P63+15.12</f>
        <v>165.12</v>
      </c>
      <c r="D63" s="351">
        <v>0</v>
      </c>
      <c r="E63" s="348">
        <v>0</v>
      </c>
      <c r="F63" s="352">
        <f t="shared" si="8"/>
        <v>150</v>
      </c>
      <c r="G63" s="349">
        <v>150</v>
      </c>
      <c r="H63" s="349">
        <v>0</v>
      </c>
      <c r="I63" s="348">
        <v>0</v>
      </c>
      <c r="J63" s="351">
        <f t="shared" si="9"/>
        <v>0</v>
      </c>
      <c r="K63" s="349">
        <v>0</v>
      </c>
      <c r="L63" s="349">
        <v>0</v>
      </c>
      <c r="M63" s="348">
        <v>0</v>
      </c>
      <c r="N63" s="350">
        <v>0</v>
      </c>
      <c r="O63" s="349">
        <v>0</v>
      </c>
      <c r="P63" s="348">
        <v>0</v>
      </c>
      <c r="Q63" s="347" t="s">
        <v>502</v>
      </c>
      <c r="T63" s="386"/>
    </row>
    <row r="64" spans="1:20" s="385" customFormat="1" ht="34.5" customHeight="1" x14ac:dyDescent="0.2">
      <c r="A64" s="388"/>
      <c r="B64" s="354" t="s">
        <v>588</v>
      </c>
      <c r="C64" s="353">
        <f>D64+E64+F64+J64+N64+O64+P64+39.24</f>
        <v>189.24</v>
      </c>
      <c r="D64" s="351">
        <v>0</v>
      </c>
      <c r="E64" s="348">
        <v>0</v>
      </c>
      <c r="F64" s="352">
        <f t="shared" si="8"/>
        <v>150</v>
      </c>
      <c r="G64" s="349">
        <v>150</v>
      </c>
      <c r="H64" s="349">
        <v>0</v>
      </c>
      <c r="I64" s="348">
        <v>0</v>
      </c>
      <c r="J64" s="351">
        <f t="shared" si="9"/>
        <v>0</v>
      </c>
      <c r="K64" s="349">
        <v>0</v>
      </c>
      <c r="L64" s="349">
        <v>0</v>
      </c>
      <c r="M64" s="348">
        <v>0</v>
      </c>
      <c r="N64" s="350">
        <v>0</v>
      </c>
      <c r="O64" s="349">
        <v>0</v>
      </c>
      <c r="P64" s="348">
        <v>0</v>
      </c>
      <c r="Q64" s="347" t="s">
        <v>502</v>
      </c>
      <c r="T64" s="386"/>
    </row>
    <row r="65" spans="1:20" s="385" customFormat="1" ht="34.5" customHeight="1" x14ac:dyDescent="0.2">
      <c r="A65" s="388"/>
      <c r="B65" s="354" t="s">
        <v>587</v>
      </c>
      <c r="C65" s="353">
        <f>D65+E65+F65+J65+N65+O65+P65+5.34</f>
        <v>455.34</v>
      </c>
      <c r="D65" s="351">
        <v>0</v>
      </c>
      <c r="E65" s="348">
        <v>0</v>
      </c>
      <c r="F65" s="352">
        <f t="shared" si="8"/>
        <v>450</v>
      </c>
      <c r="G65" s="349">
        <v>450</v>
      </c>
      <c r="H65" s="349">
        <v>0</v>
      </c>
      <c r="I65" s="348">
        <v>0</v>
      </c>
      <c r="J65" s="351">
        <f t="shared" si="9"/>
        <v>0</v>
      </c>
      <c r="K65" s="349">
        <v>0</v>
      </c>
      <c r="L65" s="349">
        <v>0</v>
      </c>
      <c r="M65" s="348">
        <v>0</v>
      </c>
      <c r="N65" s="350">
        <v>0</v>
      </c>
      <c r="O65" s="349">
        <v>0</v>
      </c>
      <c r="P65" s="348">
        <v>0</v>
      </c>
      <c r="Q65" s="347" t="s">
        <v>502</v>
      </c>
      <c r="T65" s="386"/>
    </row>
    <row r="66" spans="1:20" s="385" customFormat="1" ht="34.5" customHeight="1" x14ac:dyDescent="0.2">
      <c r="A66" s="388"/>
      <c r="B66" s="354" t="s">
        <v>586</v>
      </c>
      <c r="C66" s="353">
        <f>D66+E66+F66+J66+N66+O66+P66+12+10.9</f>
        <v>172.9</v>
      </c>
      <c r="D66" s="351">
        <v>0</v>
      </c>
      <c r="E66" s="348">
        <v>0</v>
      </c>
      <c r="F66" s="352">
        <f t="shared" si="8"/>
        <v>150</v>
      </c>
      <c r="G66" s="349">
        <v>150</v>
      </c>
      <c r="H66" s="349">
        <v>0</v>
      </c>
      <c r="I66" s="348">
        <v>0</v>
      </c>
      <c r="J66" s="351">
        <f t="shared" si="9"/>
        <v>0</v>
      </c>
      <c r="K66" s="349">
        <v>0</v>
      </c>
      <c r="L66" s="349">
        <v>0</v>
      </c>
      <c r="M66" s="348">
        <v>0</v>
      </c>
      <c r="N66" s="350">
        <v>0</v>
      </c>
      <c r="O66" s="349">
        <v>0</v>
      </c>
      <c r="P66" s="348">
        <v>0</v>
      </c>
      <c r="Q66" s="347" t="s">
        <v>502</v>
      </c>
      <c r="T66" s="386"/>
    </row>
    <row r="67" spans="1:20" s="385" customFormat="1" ht="35.25" customHeight="1" thickBot="1" x14ac:dyDescent="0.25">
      <c r="A67" s="388"/>
      <c r="B67" s="354" t="s">
        <v>585</v>
      </c>
      <c r="C67" s="353">
        <f>D67+E67+F67+J67+N67+O67+P67+485.31</f>
        <v>685.31</v>
      </c>
      <c r="D67" s="351">
        <v>0</v>
      </c>
      <c r="E67" s="348">
        <v>0</v>
      </c>
      <c r="F67" s="352">
        <f t="shared" si="8"/>
        <v>200</v>
      </c>
      <c r="G67" s="349">
        <v>200</v>
      </c>
      <c r="H67" s="349">
        <v>0</v>
      </c>
      <c r="I67" s="348">
        <v>0</v>
      </c>
      <c r="J67" s="351">
        <f t="shared" si="9"/>
        <v>0</v>
      </c>
      <c r="K67" s="349">
        <v>0</v>
      </c>
      <c r="L67" s="349">
        <v>0</v>
      </c>
      <c r="M67" s="348">
        <v>0</v>
      </c>
      <c r="N67" s="350">
        <v>0</v>
      </c>
      <c r="O67" s="349">
        <v>0</v>
      </c>
      <c r="P67" s="348">
        <v>0</v>
      </c>
      <c r="Q67" s="347" t="s">
        <v>502</v>
      </c>
      <c r="R67" s="387"/>
      <c r="T67" s="386"/>
    </row>
    <row r="68" spans="1:20" s="311" customFormat="1" ht="15.75" customHeight="1" thickBot="1" x14ac:dyDescent="0.25">
      <c r="A68" s="1329" t="s">
        <v>584</v>
      </c>
      <c r="B68" s="1330"/>
      <c r="C68" s="365">
        <f t="shared" ref="C68:P68" si="10">SUM(C48:C67)</f>
        <v>170975.92171</v>
      </c>
      <c r="D68" s="333">
        <f t="shared" si="10"/>
        <v>1133.5999999999999</v>
      </c>
      <c r="E68" s="313">
        <f t="shared" si="10"/>
        <v>3561.78244</v>
      </c>
      <c r="F68" s="333">
        <f t="shared" si="10"/>
        <v>21342.609270000001</v>
      </c>
      <c r="G68" s="382">
        <f t="shared" si="10"/>
        <v>21342.609270000001</v>
      </c>
      <c r="H68" s="382">
        <f t="shared" si="10"/>
        <v>0</v>
      </c>
      <c r="I68" s="313">
        <f t="shared" si="10"/>
        <v>0</v>
      </c>
      <c r="J68" s="333">
        <f t="shared" si="10"/>
        <v>81871.570000000007</v>
      </c>
      <c r="K68" s="382">
        <f t="shared" si="10"/>
        <v>81871.570000000007</v>
      </c>
      <c r="L68" s="382">
        <f t="shared" si="10"/>
        <v>0</v>
      </c>
      <c r="M68" s="313">
        <f t="shared" si="10"/>
        <v>0</v>
      </c>
      <c r="N68" s="332">
        <f t="shared" si="10"/>
        <v>18500</v>
      </c>
      <c r="O68" s="364">
        <f t="shared" si="10"/>
        <v>37200</v>
      </c>
      <c r="P68" s="330">
        <f t="shared" si="10"/>
        <v>0</v>
      </c>
      <c r="Q68" s="313"/>
      <c r="T68" s="312"/>
    </row>
    <row r="69" spans="1:20" s="328" customFormat="1" ht="18.75" customHeight="1" thickBot="1" x14ac:dyDescent="0.2">
      <c r="A69" s="1365" t="s">
        <v>583</v>
      </c>
      <c r="B69" s="1366"/>
      <c r="C69" s="1366"/>
      <c r="D69" s="1366"/>
      <c r="E69" s="1366"/>
      <c r="F69" s="1366"/>
      <c r="G69" s="1366"/>
      <c r="H69" s="1366"/>
      <c r="I69" s="1366"/>
      <c r="J69" s="1366"/>
      <c r="K69" s="1366"/>
      <c r="L69" s="1366"/>
      <c r="M69" s="1366"/>
      <c r="N69" s="1366"/>
      <c r="O69" s="1366"/>
      <c r="P69" s="1366"/>
      <c r="Q69" s="1367"/>
      <c r="T69" s="329"/>
    </row>
    <row r="70" spans="1:20" s="311" customFormat="1" ht="35.25" customHeight="1" x14ac:dyDescent="0.2">
      <c r="A70" s="384"/>
      <c r="B70" s="354" t="s">
        <v>582</v>
      </c>
      <c r="C70" s="353">
        <f>D70+E70+F70+J70+N70+O70+P70</f>
        <v>10802.828019999999</v>
      </c>
      <c r="D70" s="351">
        <v>2939.85</v>
      </c>
      <c r="E70" s="348">
        <v>2420.3879999999999</v>
      </c>
      <c r="F70" s="352">
        <f t="shared" ref="F70:F113" si="11">G70+H70+I70</f>
        <v>2242.5900200000001</v>
      </c>
      <c r="G70" s="349">
        <v>2242.5900200000001</v>
      </c>
      <c r="H70" s="349">
        <v>0</v>
      </c>
      <c r="I70" s="348">
        <v>0</v>
      </c>
      <c r="J70" s="351">
        <f t="shared" ref="J70:J113" si="12">K70+L70+M70</f>
        <v>3200</v>
      </c>
      <c r="K70" s="349">
        <v>3200</v>
      </c>
      <c r="L70" s="349">
        <v>0</v>
      </c>
      <c r="M70" s="348">
        <v>0</v>
      </c>
      <c r="N70" s="350">
        <v>0</v>
      </c>
      <c r="O70" s="349">
        <v>0</v>
      </c>
      <c r="P70" s="348">
        <v>0</v>
      </c>
      <c r="Q70" s="347" t="s">
        <v>488</v>
      </c>
      <c r="T70" s="312"/>
    </row>
    <row r="71" spans="1:20" s="311" customFormat="1" ht="34.5" customHeight="1" x14ac:dyDescent="0.2">
      <c r="A71" s="367"/>
      <c r="B71" s="354" t="s">
        <v>581</v>
      </c>
      <c r="C71" s="353">
        <f>D71+E71+F71+J71+N71+O71+P71+552.16+136.7</f>
        <v>1738.86</v>
      </c>
      <c r="D71" s="351">
        <v>0</v>
      </c>
      <c r="E71" s="348">
        <v>0</v>
      </c>
      <c r="F71" s="352">
        <f t="shared" si="11"/>
        <v>1050</v>
      </c>
      <c r="G71" s="349">
        <v>1050</v>
      </c>
      <c r="H71" s="349">
        <v>0</v>
      </c>
      <c r="I71" s="348">
        <v>0</v>
      </c>
      <c r="J71" s="351">
        <f t="shared" si="12"/>
        <v>0</v>
      </c>
      <c r="K71" s="349">
        <v>0</v>
      </c>
      <c r="L71" s="349">
        <v>0</v>
      </c>
      <c r="M71" s="348">
        <v>0</v>
      </c>
      <c r="N71" s="350">
        <v>0</v>
      </c>
      <c r="O71" s="349">
        <v>0</v>
      </c>
      <c r="P71" s="348">
        <v>0</v>
      </c>
      <c r="Q71" s="380" t="s">
        <v>502</v>
      </c>
      <c r="T71" s="312"/>
    </row>
    <row r="72" spans="1:20" s="311" customFormat="1" ht="78" customHeight="1" x14ac:dyDescent="0.2">
      <c r="A72" s="383"/>
      <c r="B72" s="354" t="s">
        <v>580</v>
      </c>
      <c r="C72" s="353">
        <f>D72+E72+F72+J72+N72+O72+P72+16.96</f>
        <v>516.96</v>
      </c>
      <c r="D72" s="351">
        <v>0</v>
      </c>
      <c r="E72" s="348">
        <v>0</v>
      </c>
      <c r="F72" s="352">
        <f t="shared" si="11"/>
        <v>500</v>
      </c>
      <c r="G72" s="349">
        <v>500</v>
      </c>
      <c r="H72" s="349">
        <v>0</v>
      </c>
      <c r="I72" s="348">
        <v>0</v>
      </c>
      <c r="J72" s="351">
        <f t="shared" si="12"/>
        <v>0</v>
      </c>
      <c r="K72" s="349">
        <v>0</v>
      </c>
      <c r="L72" s="349">
        <v>0</v>
      </c>
      <c r="M72" s="348">
        <v>0</v>
      </c>
      <c r="N72" s="350">
        <v>0</v>
      </c>
      <c r="O72" s="349">
        <v>0</v>
      </c>
      <c r="P72" s="348">
        <v>0</v>
      </c>
      <c r="Q72" s="347" t="s">
        <v>579</v>
      </c>
      <c r="T72" s="312"/>
    </row>
    <row r="73" spans="1:20" s="311" customFormat="1" ht="90" customHeight="1" x14ac:dyDescent="0.2">
      <c r="A73" s="383"/>
      <c r="B73" s="354" t="s">
        <v>578</v>
      </c>
      <c r="C73" s="353">
        <f>D73+E73+F73+J73+N73+O73+P73+231.49</f>
        <v>2034.49</v>
      </c>
      <c r="D73" s="351">
        <v>290</v>
      </c>
      <c r="E73" s="348">
        <v>0</v>
      </c>
      <c r="F73" s="352">
        <f t="shared" si="11"/>
        <v>1513</v>
      </c>
      <c r="G73" s="349">
        <f>5463-3950</f>
        <v>1513</v>
      </c>
      <c r="H73" s="349">
        <v>0</v>
      </c>
      <c r="I73" s="348">
        <v>0</v>
      </c>
      <c r="J73" s="351">
        <f t="shared" si="12"/>
        <v>0</v>
      </c>
      <c r="K73" s="349">
        <v>0</v>
      </c>
      <c r="L73" s="349">
        <v>0</v>
      </c>
      <c r="M73" s="348">
        <v>0</v>
      </c>
      <c r="N73" s="350">
        <v>0</v>
      </c>
      <c r="O73" s="349">
        <v>0</v>
      </c>
      <c r="P73" s="348">
        <v>0</v>
      </c>
      <c r="Q73" s="347" t="s">
        <v>577</v>
      </c>
      <c r="T73" s="312"/>
    </row>
    <row r="74" spans="1:20" s="311" customFormat="1" ht="45" customHeight="1" x14ac:dyDescent="0.2">
      <c r="A74" s="383"/>
      <c r="B74" s="354" t="s">
        <v>576</v>
      </c>
      <c r="C74" s="353">
        <f>D74+E74+F74+J74+N74+O74+P74+1645.14+90.05</f>
        <v>5685.1900000000005</v>
      </c>
      <c r="D74" s="351">
        <v>0</v>
      </c>
      <c r="E74" s="348">
        <v>0</v>
      </c>
      <c r="F74" s="352">
        <f t="shared" si="11"/>
        <v>3950</v>
      </c>
      <c r="G74" s="349">
        <v>3950</v>
      </c>
      <c r="H74" s="349">
        <v>0</v>
      </c>
      <c r="I74" s="348">
        <v>0</v>
      </c>
      <c r="J74" s="351">
        <f t="shared" si="12"/>
        <v>0</v>
      </c>
      <c r="K74" s="349">
        <v>0</v>
      </c>
      <c r="L74" s="349">
        <v>0</v>
      </c>
      <c r="M74" s="348">
        <v>0</v>
      </c>
      <c r="N74" s="350">
        <v>0</v>
      </c>
      <c r="O74" s="349">
        <v>0</v>
      </c>
      <c r="P74" s="348">
        <v>0</v>
      </c>
      <c r="Q74" s="347" t="s">
        <v>502</v>
      </c>
      <c r="T74" s="312"/>
    </row>
    <row r="75" spans="1:20" s="311" customFormat="1" ht="31.5" x14ac:dyDescent="0.2">
      <c r="A75" s="383"/>
      <c r="B75" s="354" t="s">
        <v>575</v>
      </c>
      <c r="C75" s="353">
        <f>D75+E75+F75+J75+N75+O75+P75+1427.04+369.49</f>
        <v>8096.53</v>
      </c>
      <c r="D75" s="351">
        <v>0</v>
      </c>
      <c r="E75" s="348">
        <v>2700</v>
      </c>
      <c r="F75" s="352">
        <f t="shared" si="11"/>
        <v>3600</v>
      </c>
      <c r="G75" s="349">
        <v>3600</v>
      </c>
      <c r="H75" s="349">
        <v>0</v>
      </c>
      <c r="I75" s="348">
        <v>0</v>
      </c>
      <c r="J75" s="351">
        <f t="shared" si="12"/>
        <v>0</v>
      </c>
      <c r="K75" s="349">
        <v>0</v>
      </c>
      <c r="L75" s="349">
        <v>0</v>
      </c>
      <c r="M75" s="348">
        <v>0</v>
      </c>
      <c r="N75" s="350">
        <v>0</v>
      </c>
      <c r="O75" s="349">
        <v>0</v>
      </c>
      <c r="P75" s="348">
        <v>0</v>
      </c>
      <c r="Q75" s="347" t="s">
        <v>502</v>
      </c>
      <c r="T75" s="312"/>
    </row>
    <row r="76" spans="1:20" s="311" customFormat="1" ht="24" customHeight="1" x14ac:dyDescent="0.2">
      <c r="A76" s="383"/>
      <c r="B76" s="354" t="s">
        <v>574</v>
      </c>
      <c r="C76" s="353">
        <f>D76+E76+F76+J76+N76+O76+P76</f>
        <v>3691.46</v>
      </c>
      <c r="D76" s="351">
        <v>0</v>
      </c>
      <c r="E76" s="348">
        <v>0</v>
      </c>
      <c r="F76" s="352">
        <f t="shared" si="11"/>
        <v>3691.46</v>
      </c>
      <c r="G76" s="349">
        <v>3691.46</v>
      </c>
      <c r="H76" s="349">
        <v>0</v>
      </c>
      <c r="I76" s="348">
        <v>0</v>
      </c>
      <c r="J76" s="351">
        <f t="shared" si="12"/>
        <v>0</v>
      </c>
      <c r="K76" s="349">
        <v>0</v>
      </c>
      <c r="L76" s="349">
        <v>0</v>
      </c>
      <c r="M76" s="348">
        <v>0</v>
      </c>
      <c r="N76" s="350">
        <v>0</v>
      </c>
      <c r="O76" s="349">
        <v>0</v>
      </c>
      <c r="P76" s="348">
        <v>0</v>
      </c>
      <c r="Q76" s="347" t="s">
        <v>488</v>
      </c>
      <c r="T76" s="312"/>
    </row>
    <row r="77" spans="1:20" s="311" customFormat="1" ht="34.5" customHeight="1" x14ac:dyDescent="0.2">
      <c r="A77" s="383"/>
      <c r="B77" s="354" t="s">
        <v>573</v>
      </c>
      <c r="C77" s="353">
        <f>D77+E77+F77+J77+N77+O77+P77+73.9</f>
        <v>1211.9000000000001</v>
      </c>
      <c r="D77" s="351">
        <v>0</v>
      </c>
      <c r="E77" s="348">
        <v>300</v>
      </c>
      <c r="F77" s="352">
        <f t="shared" si="11"/>
        <v>838</v>
      </c>
      <c r="G77" s="349">
        <v>838</v>
      </c>
      <c r="H77" s="349">
        <v>0</v>
      </c>
      <c r="I77" s="348">
        <v>0</v>
      </c>
      <c r="J77" s="351">
        <f t="shared" si="12"/>
        <v>0</v>
      </c>
      <c r="K77" s="349">
        <v>0</v>
      </c>
      <c r="L77" s="349">
        <v>0</v>
      </c>
      <c r="M77" s="348">
        <v>0</v>
      </c>
      <c r="N77" s="350">
        <v>0</v>
      </c>
      <c r="O77" s="349">
        <v>0</v>
      </c>
      <c r="P77" s="348">
        <v>0</v>
      </c>
      <c r="Q77" s="347" t="s">
        <v>502</v>
      </c>
      <c r="T77" s="312"/>
    </row>
    <row r="78" spans="1:20" s="311" customFormat="1" ht="34.5" customHeight="1" x14ac:dyDescent="0.2">
      <c r="A78" s="383"/>
      <c r="B78" s="354" t="s">
        <v>572</v>
      </c>
      <c r="C78" s="353">
        <f>D78+E78+F78+J78+N78+O78+P78+1103.48+60.5</f>
        <v>2063.98</v>
      </c>
      <c r="D78" s="351">
        <v>0</v>
      </c>
      <c r="E78" s="348">
        <v>0</v>
      </c>
      <c r="F78" s="352">
        <f t="shared" si="11"/>
        <v>900</v>
      </c>
      <c r="G78" s="349">
        <v>900</v>
      </c>
      <c r="H78" s="349">
        <v>0</v>
      </c>
      <c r="I78" s="348">
        <v>0</v>
      </c>
      <c r="J78" s="351">
        <f t="shared" si="12"/>
        <v>0</v>
      </c>
      <c r="K78" s="349">
        <v>0</v>
      </c>
      <c r="L78" s="349">
        <v>0</v>
      </c>
      <c r="M78" s="348">
        <v>0</v>
      </c>
      <c r="N78" s="350">
        <v>0</v>
      </c>
      <c r="O78" s="349">
        <v>0</v>
      </c>
      <c r="P78" s="348">
        <v>0</v>
      </c>
      <c r="Q78" s="347" t="s">
        <v>502</v>
      </c>
      <c r="T78" s="312"/>
    </row>
    <row r="79" spans="1:20" s="311" customFormat="1" ht="34.5" customHeight="1" x14ac:dyDescent="0.2">
      <c r="A79" s="383"/>
      <c r="B79" s="354" t="s">
        <v>571</v>
      </c>
      <c r="C79" s="353">
        <f>D79+E79+F79+J79+N79+O79+P79+224.15</f>
        <v>3224.15</v>
      </c>
      <c r="D79" s="351">
        <v>0</v>
      </c>
      <c r="E79" s="348">
        <v>0</v>
      </c>
      <c r="F79" s="352">
        <f t="shared" si="11"/>
        <v>3000</v>
      </c>
      <c r="G79" s="349">
        <v>3000</v>
      </c>
      <c r="H79" s="349">
        <v>0</v>
      </c>
      <c r="I79" s="348">
        <v>0</v>
      </c>
      <c r="J79" s="351">
        <f t="shared" si="12"/>
        <v>0</v>
      </c>
      <c r="K79" s="349">
        <v>0</v>
      </c>
      <c r="L79" s="349">
        <v>0</v>
      </c>
      <c r="M79" s="348">
        <v>0</v>
      </c>
      <c r="N79" s="350">
        <v>0</v>
      </c>
      <c r="O79" s="349">
        <v>0</v>
      </c>
      <c r="P79" s="348">
        <v>0</v>
      </c>
      <c r="Q79" s="347" t="s">
        <v>502</v>
      </c>
      <c r="T79" s="312"/>
    </row>
    <row r="80" spans="1:20" s="311" customFormat="1" ht="34.5" customHeight="1" x14ac:dyDescent="0.2">
      <c r="A80" s="383"/>
      <c r="B80" s="354" t="s">
        <v>570</v>
      </c>
      <c r="C80" s="353">
        <f>D80+E80+F80+J80+N80+O80+P80+933.76</f>
        <v>2433.7600000000002</v>
      </c>
      <c r="D80" s="351">
        <v>0</v>
      </c>
      <c r="E80" s="348">
        <v>0</v>
      </c>
      <c r="F80" s="352">
        <f t="shared" si="11"/>
        <v>1500</v>
      </c>
      <c r="G80" s="349">
        <v>1500</v>
      </c>
      <c r="H80" s="349">
        <v>0</v>
      </c>
      <c r="I80" s="348">
        <v>0</v>
      </c>
      <c r="J80" s="351">
        <f t="shared" si="12"/>
        <v>0</v>
      </c>
      <c r="K80" s="349">
        <v>0</v>
      </c>
      <c r="L80" s="349">
        <v>0</v>
      </c>
      <c r="M80" s="348">
        <v>0</v>
      </c>
      <c r="N80" s="350">
        <v>0</v>
      </c>
      <c r="O80" s="349">
        <v>0</v>
      </c>
      <c r="P80" s="348">
        <v>0</v>
      </c>
      <c r="Q80" s="347" t="s">
        <v>502</v>
      </c>
      <c r="T80" s="312"/>
    </row>
    <row r="81" spans="1:20" s="311" customFormat="1" ht="34.5" customHeight="1" x14ac:dyDescent="0.2">
      <c r="A81" s="383"/>
      <c r="B81" s="354" t="s">
        <v>569</v>
      </c>
      <c r="C81" s="353">
        <f>D81+E81+F81+J81+N81+O81+P81+545</f>
        <v>1427.21344</v>
      </c>
      <c r="D81" s="351">
        <v>0</v>
      </c>
      <c r="E81" s="348">
        <v>0</v>
      </c>
      <c r="F81" s="352">
        <f t="shared" si="11"/>
        <v>882.21343999999999</v>
      </c>
      <c r="G81" s="349">
        <v>882.21343999999999</v>
      </c>
      <c r="H81" s="349">
        <v>0</v>
      </c>
      <c r="I81" s="348">
        <v>0</v>
      </c>
      <c r="J81" s="351">
        <f t="shared" si="12"/>
        <v>0</v>
      </c>
      <c r="K81" s="349">
        <v>0</v>
      </c>
      <c r="L81" s="349">
        <v>0</v>
      </c>
      <c r="M81" s="348">
        <v>0</v>
      </c>
      <c r="N81" s="350">
        <v>0</v>
      </c>
      <c r="O81" s="349">
        <v>0</v>
      </c>
      <c r="P81" s="348">
        <v>0</v>
      </c>
      <c r="Q81" s="347" t="s">
        <v>502</v>
      </c>
      <c r="T81" s="312"/>
    </row>
    <row r="82" spans="1:20" s="311" customFormat="1" ht="34.5" customHeight="1" x14ac:dyDescent="0.2">
      <c r="A82" s="383"/>
      <c r="B82" s="354" t="s">
        <v>568</v>
      </c>
      <c r="C82" s="353">
        <f>D82+E82+F82+J82+N82+O82+P82+62</f>
        <v>3900</v>
      </c>
      <c r="D82" s="351">
        <v>0</v>
      </c>
      <c r="E82" s="348">
        <v>0</v>
      </c>
      <c r="F82" s="352">
        <f t="shared" si="11"/>
        <v>3838</v>
      </c>
      <c r="G82" s="349">
        <v>3838</v>
      </c>
      <c r="H82" s="349">
        <v>0</v>
      </c>
      <c r="I82" s="348">
        <v>0</v>
      </c>
      <c r="J82" s="351">
        <f t="shared" si="12"/>
        <v>0</v>
      </c>
      <c r="K82" s="349">
        <v>0</v>
      </c>
      <c r="L82" s="349">
        <v>0</v>
      </c>
      <c r="M82" s="348">
        <v>0</v>
      </c>
      <c r="N82" s="350">
        <v>0</v>
      </c>
      <c r="O82" s="349">
        <v>0</v>
      </c>
      <c r="P82" s="348">
        <v>0</v>
      </c>
      <c r="Q82" s="347" t="s">
        <v>502</v>
      </c>
      <c r="T82" s="312"/>
    </row>
    <row r="83" spans="1:20" s="311" customFormat="1" ht="34.5" customHeight="1" x14ac:dyDescent="0.2">
      <c r="A83" s="383"/>
      <c r="B83" s="354" t="s">
        <v>567</v>
      </c>
      <c r="C83" s="353">
        <f>D83+E83+F83+J83+N83+O83+P83+557.6</f>
        <v>2357.6</v>
      </c>
      <c r="D83" s="351">
        <v>0</v>
      </c>
      <c r="E83" s="348">
        <v>0</v>
      </c>
      <c r="F83" s="352">
        <f t="shared" si="11"/>
        <v>1800</v>
      </c>
      <c r="G83" s="349">
        <v>1800</v>
      </c>
      <c r="H83" s="349">
        <v>0</v>
      </c>
      <c r="I83" s="348">
        <v>0</v>
      </c>
      <c r="J83" s="351">
        <f t="shared" si="12"/>
        <v>0</v>
      </c>
      <c r="K83" s="349">
        <v>0</v>
      </c>
      <c r="L83" s="349">
        <v>0</v>
      </c>
      <c r="M83" s="348">
        <v>0</v>
      </c>
      <c r="N83" s="350">
        <v>0</v>
      </c>
      <c r="O83" s="349">
        <v>0</v>
      </c>
      <c r="P83" s="348">
        <v>0</v>
      </c>
      <c r="Q83" s="347" t="s">
        <v>502</v>
      </c>
      <c r="T83" s="312"/>
    </row>
    <row r="84" spans="1:20" s="311" customFormat="1" ht="34.5" customHeight="1" x14ac:dyDescent="0.2">
      <c r="A84" s="383"/>
      <c r="B84" s="354" t="s">
        <v>566</v>
      </c>
      <c r="C84" s="353">
        <f>D84+E84+F84+J84+N84+O84+P84+600</f>
        <v>1306.65939</v>
      </c>
      <c r="D84" s="351">
        <v>0</v>
      </c>
      <c r="E84" s="348">
        <v>0</v>
      </c>
      <c r="F84" s="352">
        <f t="shared" si="11"/>
        <v>706.65939000000003</v>
      </c>
      <c r="G84" s="349">
        <v>706.65939000000003</v>
      </c>
      <c r="H84" s="349">
        <v>0</v>
      </c>
      <c r="I84" s="348">
        <v>0</v>
      </c>
      <c r="J84" s="351">
        <f t="shared" si="12"/>
        <v>0</v>
      </c>
      <c r="K84" s="349">
        <v>0</v>
      </c>
      <c r="L84" s="349">
        <v>0</v>
      </c>
      <c r="M84" s="348">
        <v>0</v>
      </c>
      <c r="N84" s="350">
        <v>0</v>
      </c>
      <c r="O84" s="349">
        <v>0</v>
      </c>
      <c r="P84" s="348">
        <v>0</v>
      </c>
      <c r="Q84" s="347" t="s">
        <v>502</v>
      </c>
      <c r="T84" s="312"/>
    </row>
    <row r="85" spans="1:20" s="311" customFormat="1" ht="45" customHeight="1" x14ac:dyDescent="0.2">
      <c r="A85" s="383"/>
      <c r="B85" s="354" t="s">
        <v>565</v>
      </c>
      <c r="C85" s="353">
        <f>D85+E85+F85+J85+N85+O85+P85</f>
        <v>797.82399999999996</v>
      </c>
      <c r="D85" s="351">
        <v>0</v>
      </c>
      <c r="E85" s="348">
        <v>0</v>
      </c>
      <c r="F85" s="352">
        <f t="shared" si="11"/>
        <v>797.82399999999996</v>
      </c>
      <c r="G85" s="349">
        <v>797.82399999999996</v>
      </c>
      <c r="H85" s="349">
        <v>0</v>
      </c>
      <c r="I85" s="348">
        <v>0</v>
      </c>
      <c r="J85" s="351">
        <f t="shared" si="12"/>
        <v>0</v>
      </c>
      <c r="K85" s="349">
        <v>0</v>
      </c>
      <c r="L85" s="349">
        <v>0</v>
      </c>
      <c r="M85" s="348">
        <v>0</v>
      </c>
      <c r="N85" s="350">
        <v>0</v>
      </c>
      <c r="O85" s="349">
        <v>0</v>
      </c>
      <c r="P85" s="348">
        <v>0</v>
      </c>
      <c r="Q85" s="347" t="s">
        <v>488</v>
      </c>
      <c r="T85" s="312"/>
    </row>
    <row r="86" spans="1:20" s="311" customFormat="1" ht="34.5" customHeight="1" x14ac:dyDescent="0.2">
      <c r="A86" s="383"/>
      <c r="B86" s="354" t="s">
        <v>564</v>
      </c>
      <c r="C86" s="353">
        <f>D86+E86+F86+J86+N86+O86+P86+212.31</f>
        <v>712.31</v>
      </c>
      <c r="D86" s="351">
        <v>0</v>
      </c>
      <c r="E86" s="348">
        <v>0</v>
      </c>
      <c r="F86" s="352">
        <f t="shared" si="11"/>
        <v>500</v>
      </c>
      <c r="G86" s="349">
        <v>500</v>
      </c>
      <c r="H86" s="349">
        <v>0</v>
      </c>
      <c r="I86" s="348">
        <v>0</v>
      </c>
      <c r="J86" s="351">
        <f t="shared" si="12"/>
        <v>0</v>
      </c>
      <c r="K86" s="349">
        <v>0</v>
      </c>
      <c r="L86" s="349">
        <v>0</v>
      </c>
      <c r="M86" s="348">
        <v>0</v>
      </c>
      <c r="N86" s="350">
        <v>0</v>
      </c>
      <c r="O86" s="349">
        <v>0</v>
      </c>
      <c r="P86" s="348">
        <v>0</v>
      </c>
      <c r="Q86" s="347" t="s">
        <v>502</v>
      </c>
      <c r="T86" s="312"/>
    </row>
    <row r="87" spans="1:20" s="311" customFormat="1" ht="34.5" customHeight="1" x14ac:dyDescent="0.2">
      <c r="A87" s="383"/>
      <c r="B87" s="354" t="s">
        <v>563</v>
      </c>
      <c r="C87" s="353">
        <f>D87+E87+F87+J87+N87+O87+P87</f>
        <v>1300</v>
      </c>
      <c r="D87" s="351">
        <v>0</v>
      </c>
      <c r="E87" s="348">
        <v>0</v>
      </c>
      <c r="F87" s="352">
        <f t="shared" si="11"/>
        <v>61.71</v>
      </c>
      <c r="G87" s="349">
        <v>61.71</v>
      </c>
      <c r="H87" s="349">
        <v>0</v>
      </c>
      <c r="I87" s="348">
        <v>0</v>
      </c>
      <c r="J87" s="351">
        <f t="shared" si="12"/>
        <v>1238.29</v>
      </c>
      <c r="K87" s="349">
        <v>1238.29</v>
      </c>
      <c r="L87" s="349">
        <v>0</v>
      </c>
      <c r="M87" s="348">
        <v>0</v>
      </c>
      <c r="N87" s="350">
        <v>0</v>
      </c>
      <c r="O87" s="349">
        <v>0</v>
      </c>
      <c r="P87" s="348">
        <v>0</v>
      </c>
      <c r="Q87" s="347" t="s">
        <v>488</v>
      </c>
      <c r="T87" s="312"/>
    </row>
    <row r="88" spans="1:20" s="311" customFormat="1" ht="34.5" customHeight="1" x14ac:dyDescent="0.2">
      <c r="A88" s="367"/>
      <c r="B88" s="354" t="s">
        <v>562</v>
      </c>
      <c r="C88" s="353">
        <f>D88+E88+F88+J88+N88+O88+P88+1659.75</f>
        <v>3859.75</v>
      </c>
      <c r="D88" s="351">
        <v>0</v>
      </c>
      <c r="E88" s="348">
        <v>0</v>
      </c>
      <c r="F88" s="352">
        <f t="shared" si="11"/>
        <v>2200</v>
      </c>
      <c r="G88" s="349">
        <v>2200</v>
      </c>
      <c r="H88" s="349">
        <v>0</v>
      </c>
      <c r="I88" s="348">
        <v>0</v>
      </c>
      <c r="J88" s="351">
        <f t="shared" si="12"/>
        <v>0</v>
      </c>
      <c r="K88" s="349">
        <v>0</v>
      </c>
      <c r="L88" s="349">
        <v>0</v>
      </c>
      <c r="M88" s="348">
        <v>0</v>
      </c>
      <c r="N88" s="350">
        <v>0</v>
      </c>
      <c r="O88" s="349">
        <v>0</v>
      </c>
      <c r="P88" s="348">
        <v>0</v>
      </c>
      <c r="Q88" s="380" t="s">
        <v>502</v>
      </c>
      <c r="T88" s="312"/>
    </row>
    <row r="89" spans="1:20" s="311" customFormat="1" ht="34.5" customHeight="1" x14ac:dyDescent="0.2">
      <c r="A89" s="383"/>
      <c r="B89" s="354" t="s">
        <v>561</v>
      </c>
      <c r="C89" s="353">
        <f>D89+E89+F89+J89+N89+O89+P89+228.3</f>
        <v>1628.3</v>
      </c>
      <c r="D89" s="351">
        <v>0</v>
      </c>
      <c r="E89" s="348">
        <v>0</v>
      </c>
      <c r="F89" s="352">
        <f t="shared" si="11"/>
        <v>1400</v>
      </c>
      <c r="G89" s="349">
        <v>1400</v>
      </c>
      <c r="H89" s="349">
        <v>0</v>
      </c>
      <c r="I89" s="348">
        <v>0</v>
      </c>
      <c r="J89" s="351">
        <f t="shared" si="12"/>
        <v>0</v>
      </c>
      <c r="K89" s="349">
        <v>0</v>
      </c>
      <c r="L89" s="349">
        <v>0</v>
      </c>
      <c r="M89" s="348">
        <v>0</v>
      </c>
      <c r="N89" s="350">
        <v>0</v>
      </c>
      <c r="O89" s="349">
        <v>0</v>
      </c>
      <c r="P89" s="348">
        <v>0</v>
      </c>
      <c r="Q89" s="347" t="s">
        <v>502</v>
      </c>
      <c r="T89" s="312"/>
    </row>
    <row r="90" spans="1:20" s="311" customFormat="1" ht="34.5" customHeight="1" x14ac:dyDescent="0.2">
      <c r="A90" s="383"/>
      <c r="B90" s="354" t="s">
        <v>560</v>
      </c>
      <c r="C90" s="353">
        <f>D90+E90+F90+J90+N90+O90+P90+424.57</f>
        <v>2124.5700000000002</v>
      </c>
      <c r="D90" s="351">
        <v>0</v>
      </c>
      <c r="E90" s="348">
        <v>0</v>
      </c>
      <c r="F90" s="352">
        <f t="shared" si="11"/>
        <v>1700</v>
      </c>
      <c r="G90" s="349">
        <v>1700</v>
      </c>
      <c r="H90" s="349">
        <v>0</v>
      </c>
      <c r="I90" s="348">
        <v>0</v>
      </c>
      <c r="J90" s="351">
        <f t="shared" si="12"/>
        <v>0</v>
      </c>
      <c r="K90" s="349">
        <v>0</v>
      </c>
      <c r="L90" s="349">
        <v>0</v>
      </c>
      <c r="M90" s="348">
        <v>0</v>
      </c>
      <c r="N90" s="350">
        <v>0</v>
      </c>
      <c r="O90" s="349">
        <v>0</v>
      </c>
      <c r="P90" s="348">
        <v>0</v>
      </c>
      <c r="Q90" s="347" t="s">
        <v>502</v>
      </c>
      <c r="T90" s="312"/>
    </row>
    <row r="91" spans="1:20" s="311" customFormat="1" ht="34.5" customHeight="1" x14ac:dyDescent="0.2">
      <c r="A91" s="383"/>
      <c r="B91" s="354" t="s">
        <v>559</v>
      </c>
      <c r="C91" s="353">
        <f>D91+E91+F91+J91+N91+O91+P91</f>
        <v>2344.0268000000001</v>
      </c>
      <c r="D91" s="351">
        <v>0</v>
      </c>
      <c r="E91" s="348">
        <v>0</v>
      </c>
      <c r="F91" s="352">
        <f t="shared" si="11"/>
        <v>2344.0268000000001</v>
      </c>
      <c r="G91" s="349">
        <v>2344.0268000000001</v>
      </c>
      <c r="H91" s="349">
        <v>0</v>
      </c>
      <c r="I91" s="348">
        <v>0</v>
      </c>
      <c r="J91" s="351">
        <f t="shared" si="12"/>
        <v>0</v>
      </c>
      <c r="K91" s="349">
        <v>0</v>
      </c>
      <c r="L91" s="349">
        <v>0</v>
      </c>
      <c r="M91" s="348">
        <v>0</v>
      </c>
      <c r="N91" s="350">
        <v>0</v>
      </c>
      <c r="O91" s="349">
        <v>0</v>
      </c>
      <c r="P91" s="348">
        <v>0</v>
      </c>
      <c r="Q91" s="347" t="s">
        <v>488</v>
      </c>
      <c r="T91" s="312"/>
    </row>
    <row r="92" spans="1:20" s="311" customFormat="1" ht="34.5" customHeight="1" x14ac:dyDescent="0.2">
      <c r="A92" s="383"/>
      <c r="B92" s="354" t="s">
        <v>558</v>
      </c>
      <c r="C92" s="353">
        <f>D92+E92+F92+J92+N92+O92+P92+455.4</f>
        <v>4698.3999999999996</v>
      </c>
      <c r="D92" s="351">
        <v>0</v>
      </c>
      <c r="E92" s="348">
        <v>0</v>
      </c>
      <c r="F92" s="352">
        <f t="shared" si="11"/>
        <v>4243</v>
      </c>
      <c r="G92" s="349">
        <v>4243</v>
      </c>
      <c r="H92" s="349">
        <v>0</v>
      </c>
      <c r="I92" s="348">
        <v>0</v>
      </c>
      <c r="J92" s="351">
        <f t="shared" si="12"/>
        <v>0</v>
      </c>
      <c r="K92" s="349">
        <v>0</v>
      </c>
      <c r="L92" s="349">
        <v>0</v>
      </c>
      <c r="M92" s="348">
        <v>0</v>
      </c>
      <c r="N92" s="350">
        <v>0</v>
      </c>
      <c r="O92" s="349">
        <v>0</v>
      </c>
      <c r="P92" s="348">
        <v>0</v>
      </c>
      <c r="Q92" s="347" t="s">
        <v>502</v>
      </c>
      <c r="T92" s="312"/>
    </row>
    <row r="93" spans="1:20" s="311" customFormat="1" ht="34.5" customHeight="1" x14ac:dyDescent="0.2">
      <c r="A93" s="367"/>
      <c r="B93" s="354" t="s">
        <v>557</v>
      </c>
      <c r="C93" s="353">
        <f>D93+E93+F93+J93+N93+O93+P93+35.43</f>
        <v>4535.43</v>
      </c>
      <c r="D93" s="351">
        <v>0</v>
      </c>
      <c r="E93" s="348">
        <v>0</v>
      </c>
      <c r="F93" s="352">
        <f t="shared" si="11"/>
        <v>4500</v>
      </c>
      <c r="G93" s="349">
        <v>4500</v>
      </c>
      <c r="H93" s="349">
        <v>0</v>
      </c>
      <c r="I93" s="348">
        <v>0</v>
      </c>
      <c r="J93" s="351">
        <f t="shared" si="12"/>
        <v>0</v>
      </c>
      <c r="K93" s="349">
        <v>0</v>
      </c>
      <c r="L93" s="349">
        <v>0</v>
      </c>
      <c r="M93" s="348">
        <v>0</v>
      </c>
      <c r="N93" s="350">
        <v>0</v>
      </c>
      <c r="O93" s="349">
        <v>0</v>
      </c>
      <c r="P93" s="348">
        <v>0</v>
      </c>
      <c r="Q93" s="347" t="s">
        <v>502</v>
      </c>
      <c r="T93" s="312"/>
    </row>
    <row r="94" spans="1:20" s="311" customFormat="1" ht="34.5" customHeight="1" x14ac:dyDescent="0.2">
      <c r="A94" s="383"/>
      <c r="B94" s="354" t="s">
        <v>556</v>
      </c>
      <c r="C94" s="353">
        <f>D94+E94+F94+J94+N94+O94+P94+200</f>
        <v>1247.3535199999999</v>
      </c>
      <c r="D94" s="351">
        <v>0</v>
      </c>
      <c r="E94" s="348">
        <v>0</v>
      </c>
      <c r="F94" s="352">
        <f t="shared" si="11"/>
        <v>1047.3535199999999</v>
      </c>
      <c r="G94" s="349">
        <v>1047.3535199999999</v>
      </c>
      <c r="H94" s="349">
        <v>0</v>
      </c>
      <c r="I94" s="348">
        <v>0</v>
      </c>
      <c r="J94" s="351">
        <f t="shared" si="12"/>
        <v>0</v>
      </c>
      <c r="K94" s="349">
        <v>0</v>
      </c>
      <c r="L94" s="349">
        <v>0</v>
      </c>
      <c r="M94" s="348">
        <v>0</v>
      </c>
      <c r="N94" s="350">
        <v>0</v>
      </c>
      <c r="O94" s="349">
        <v>0</v>
      </c>
      <c r="P94" s="348">
        <v>0</v>
      </c>
      <c r="Q94" s="347" t="s">
        <v>502</v>
      </c>
      <c r="T94" s="312"/>
    </row>
    <row r="95" spans="1:20" s="311" customFormat="1" ht="34.5" customHeight="1" x14ac:dyDescent="0.2">
      <c r="A95" s="383"/>
      <c r="B95" s="354" t="s">
        <v>555</v>
      </c>
      <c r="C95" s="353">
        <f>D95+E95+F95+J95+N95+O95+P95</f>
        <v>1751.76918</v>
      </c>
      <c r="D95" s="351">
        <v>0</v>
      </c>
      <c r="E95" s="348">
        <v>0</v>
      </c>
      <c r="F95" s="352">
        <f t="shared" si="11"/>
        <v>1751.76918</v>
      </c>
      <c r="G95" s="349">
        <v>1751.76918</v>
      </c>
      <c r="H95" s="349">
        <v>0</v>
      </c>
      <c r="I95" s="348">
        <v>0</v>
      </c>
      <c r="J95" s="351">
        <f t="shared" si="12"/>
        <v>0</v>
      </c>
      <c r="K95" s="349">
        <v>0</v>
      </c>
      <c r="L95" s="349">
        <v>0</v>
      </c>
      <c r="M95" s="348">
        <v>0</v>
      </c>
      <c r="N95" s="350">
        <v>0</v>
      </c>
      <c r="O95" s="349">
        <v>0</v>
      </c>
      <c r="P95" s="348">
        <v>0</v>
      </c>
      <c r="Q95" s="347" t="s">
        <v>488</v>
      </c>
      <c r="T95" s="312"/>
    </row>
    <row r="96" spans="1:20" s="311" customFormat="1" ht="34.5" customHeight="1" x14ac:dyDescent="0.2">
      <c r="A96" s="383"/>
      <c r="B96" s="354" t="s">
        <v>554</v>
      </c>
      <c r="C96" s="353">
        <f>D96+E96+F96+J96+N96+O96+P96</f>
        <v>1198.404</v>
      </c>
      <c r="D96" s="351">
        <v>0</v>
      </c>
      <c r="E96" s="348">
        <v>0</v>
      </c>
      <c r="F96" s="352">
        <f t="shared" si="11"/>
        <v>1198.404</v>
      </c>
      <c r="G96" s="349">
        <v>1198.404</v>
      </c>
      <c r="H96" s="349">
        <v>0</v>
      </c>
      <c r="I96" s="348">
        <v>0</v>
      </c>
      <c r="J96" s="351">
        <f t="shared" si="12"/>
        <v>0</v>
      </c>
      <c r="K96" s="349">
        <v>0</v>
      </c>
      <c r="L96" s="349">
        <v>0</v>
      </c>
      <c r="M96" s="348">
        <v>0</v>
      </c>
      <c r="N96" s="350">
        <v>0</v>
      </c>
      <c r="O96" s="349">
        <v>0</v>
      </c>
      <c r="P96" s="348">
        <v>0</v>
      </c>
      <c r="Q96" s="347" t="s">
        <v>488</v>
      </c>
      <c r="T96" s="312"/>
    </row>
    <row r="97" spans="1:20" s="311" customFormat="1" ht="34.5" customHeight="1" x14ac:dyDescent="0.2">
      <c r="A97" s="383"/>
      <c r="B97" s="354" t="s">
        <v>553</v>
      </c>
      <c r="C97" s="353">
        <f>D97+E97+F97+J97+N97+O97+P97+287.6</f>
        <v>1396.2040400000001</v>
      </c>
      <c r="D97" s="351">
        <v>0</v>
      </c>
      <c r="E97" s="348">
        <v>0</v>
      </c>
      <c r="F97" s="352">
        <f t="shared" si="11"/>
        <v>1108.6040399999999</v>
      </c>
      <c r="G97" s="349">
        <v>1108.6040399999999</v>
      </c>
      <c r="H97" s="349">
        <v>0</v>
      </c>
      <c r="I97" s="348">
        <v>0</v>
      </c>
      <c r="J97" s="351">
        <f t="shared" si="12"/>
        <v>0</v>
      </c>
      <c r="K97" s="349">
        <v>0</v>
      </c>
      <c r="L97" s="349">
        <v>0</v>
      </c>
      <c r="M97" s="348">
        <v>0</v>
      </c>
      <c r="N97" s="350">
        <v>0</v>
      </c>
      <c r="O97" s="349">
        <v>0</v>
      </c>
      <c r="P97" s="348">
        <v>0</v>
      </c>
      <c r="Q97" s="347" t="s">
        <v>502</v>
      </c>
      <c r="T97" s="312"/>
    </row>
    <row r="98" spans="1:20" s="311" customFormat="1" ht="34.5" customHeight="1" x14ac:dyDescent="0.2">
      <c r="A98" s="383"/>
      <c r="B98" s="354" t="s">
        <v>552</v>
      </c>
      <c r="C98" s="353">
        <f>D98+E98+F98+J98+N98+O98+P98+188.92</f>
        <v>1138.92</v>
      </c>
      <c r="D98" s="351">
        <v>0</v>
      </c>
      <c r="E98" s="348">
        <v>0</v>
      </c>
      <c r="F98" s="352">
        <f t="shared" si="11"/>
        <v>950</v>
      </c>
      <c r="G98" s="349">
        <v>950</v>
      </c>
      <c r="H98" s="349">
        <v>0</v>
      </c>
      <c r="I98" s="348">
        <v>0</v>
      </c>
      <c r="J98" s="351">
        <f t="shared" si="12"/>
        <v>0</v>
      </c>
      <c r="K98" s="349">
        <v>0</v>
      </c>
      <c r="L98" s="349">
        <v>0</v>
      </c>
      <c r="M98" s="348">
        <v>0</v>
      </c>
      <c r="N98" s="350">
        <v>0</v>
      </c>
      <c r="O98" s="349">
        <v>0</v>
      </c>
      <c r="P98" s="348">
        <v>0</v>
      </c>
      <c r="Q98" s="347" t="s">
        <v>502</v>
      </c>
      <c r="T98" s="312"/>
    </row>
    <row r="99" spans="1:20" s="311" customFormat="1" ht="42" x14ac:dyDescent="0.2">
      <c r="A99" s="383"/>
      <c r="B99" s="354" t="s">
        <v>551</v>
      </c>
      <c r="C99" s="353">
        <f>D99+E99+F99+J99+N99+O99+P99+13.19</f>
        <v>1096.10049</v>
      </c>
      <c r="D99" s="351">
        <v>0</v>
      </c>
      <c r="E99" s="348">
        <v>0</v>
      </c>
      <c r="F99" s="352">
        <f t="shared" si="11"/>
        <v>1082.91049</v>
      </c>
      <c r="G99" s="349">
        <v>1082.91049</v>
      </c>
      <c r="H99" s="349">
        <v>0</v>
      </c>
      <c r="I99" s="348">
        <v>0</v>
      </c>
      <c r="J99" s="351">
        <f t="shared" si="12"/>
        <v>0</v>
      </c>
      <c r="K99" s="349">
        <v>0</v>
      </c>
      <c r="L99" s="349">
        <v>0</v>
      </c>
      <c r="M99" s="348">
        <v>0</v>
      </c>
      <c r="N99" s="350">
        <v>0</v>
      </c>
      <c r="O99" s="349">
        <v>0</v>
      </c>
      <c r="P99" s="348">
        <v>0</v>
      </c>
      <c r="Q99" s="347" t="s">
        <v>502</v>
      </c>
      <c r="T99" s="312"/>
    </row>
    <row r="100" spans="1:20" s="311" customFormat="1" ht="34.5" customHeight="1" x14ac:dyDescent="0.2">
      <c r="A100" s="383"/>
      <c r="B100" s="354" t="s">
        <v>550</v>
      </c>
      <c r="C100" s="353">
        <f>D100+E100+F100+J100+N100+O100+P100</f>
        <v>2700</v>
      </c>
      <c r="D100" s="351">
        <v>0</v>
      </c>
      <c r="E100" s="348">
        <v>0</v>
      </c>
      <c r="F100" s="352">
        <f t="shared" si="11"/>
        <v>88.33</v>
      </c>
      <c r="G100" s="349">
        <v>88.33</v>
      </c>
      <c r="H100" s="349">
        <v>0</v>
      </c>
      <c r="I100" s="348">
        <v>0</v>
      </c>
      <c r="J100" s="351">
        <f t="shared" si="12"/>
        <v>2611.67</v>
      </c>
      <c r="K100" s="349">
        <v>2611.67</v>
      </c>
      <c r="L100" s="349">
        <v>0</v>
      </c>
      <c r="M100" s="348">
        <v>0</v>
      </c>
      <c r="N100" s="350">
        <v>0</v>
      </c>
      <c r="O100" s="349">
        <v>0</v>
      </c>
      <c r="P100" s="348">
        <v>0</v>
      </c>
      <c r="Q100" s="347" t="s">
        <v>488</v>
      </c>
      <c r="T100" s="312"/>
    </row>
    <row r="101" spans="1:20" s="311" customFormat="1" ht="34.5" customHeight="1" x14ac:dyDescent="0.2">
      <c r="A101" s="383"/>
      <c r="B101" s="354" t="s">
        <v>549</v>
      </c>
      <c r="C101" s="353">
        <f>D101+E101+F101+J101+N101+O101+P101+313.13</f>
        <v>1613.13</v>
      </c>
      <c r="D101" s="351">
        <v>0</v>
      </c>
      <c r="E101" s="348">
        <v>0</v>
      </c>
      <c r="F101" s="352">
        <f t="shared" si="11"/>
        <v>1300</v>
      </c>
      <c r="G101" s="349">
        <v>1300</v>
      </c>
      <c r="H101" s="349">
        <v>0</v>
      </c>
      <c r="I101" s="348">
        <v>0</v>
      </c>
      <c r="J101" s="351">
        <f t="shared" si="12"/>
        <v>0</v>
      </c>
      <c r="K101" s="349">
        <v>0</v>
      </c>
      <c r="L101" s="349">
        <v>0</v>
      </c>
      <c r="M101" s="348">
        <v>0</v>
      </c>
      <c r="N101" s="350">
        <v>0</v>
      </c>
      <c r="O101" s="349">
        <v>0</v>
      </c>
      <c r="P101" s="348">
        <v>0</v>
      </c>
      <c r="Q101" s="347" t="s">
        <v>502</v>
      </c>
      <c r="T101" s="312"/>
    </row>
    <row r="102" spans="1:20" s="311" customFormat="1" ht="34.5" customHeight="1" x14ac:dyDescent="0.2">
      <c r="A102" s="383"/>
      <c r="B102" s="354" t="s">
        <v>548</v>
      </c>
      <c r="C102" s="353">
        <f>D102+E102+F102+J102+N102+O102+P102+347.76</f>
        <v>1147.76</v>
      </c>
      <c r="D102" s="351">
        <v>0</v>
      </c>
      <c r="E102" s="348">
        <v>0</v>
      </c>
      <c r="F102" s="352">
        <f t="shared" si="11"/>
        <v>800</v>
      </c>
      <c r="G102" s="349">
        <v>800</v>
      </c>
      <c r="H102" s="349">
        <v>0</v>
      </c>
      <c r="I102" s="348">
        <v>0</v>
      </c>
      <c r="J102" s="351">
        <f t="shared" si="12"/>
        <v>0</v>
      </c>
      <c r="K102" s="349">
        <v>0</v>
      </c>
      <c r="L102" s="349">
        <v>0</v>
      </c>
      <c r="M102" s="348">
        <v>0</v>
      </c>
      <c r="N102" s="350">
        <v>0</v>
      </c>
      <c r="O102" s="349">
        <v>0</v>
      </c>
      <c r="P102" s="348">
        <v>0</v>
      </c>
      <c r="Q102" s="347" t="s">
        <v>502</v>
      </c>
      <c r="T102" s="312"/>
    </row>
    <row r="103" spans="1:20" s="311" customFormat="1" ht="34.5" customHeight="1" x14ac:dyDescent="0.2">
      <c r="A103" s="383"/>
      <c r="B103" s="354" t="s">
        <v>547</v>
      </c>
      <c r="C103" s="353">
        <f>D103+E103+F103+J103+N103+O103+P103+300</f>
        <v>1060.23225</v>
      </c>
      <c r="D103" s="351">
        <v>0</v>
      </c>
      <c r="E103" s="348">
        <v>0</v>
      </c>
      <c r="F103" s="352">
        <f t="shared" si="11"/>
        <v>760.23225000000002</v>
      </c>
      <c r="G103" s="349">
        <v>760.23225000000002</v>
      </c>
      <c r="H103" s="349">
        <v>0</v>
      </c>
      <c r="I103" s="348">
        <v>0</v>
      </c>
      <c r="J103" s="351">
        <f t="shared" si="12"/>
        <v>0</v>
      </c>
      <c r="K103" s="349">
        <v>0</v>
      </c>
      <c r="L103" s="349">
        <v>0</v>
      </c>
      <c r="M103" s="348">
        <v>0</v>
      </c>
      <c r="N103" s="350">
        <v>0</v>
      </c>
      <c r="O103" s="349">
        <v>0</v>
      </c>
      <c r="P103" s="348">
        <v>0</v>
      </c>
      <c r="Q103" s="347" t="s">
        <v>502</v>
      </c>
      <c r="T103" s="312"/>
    </row>
    <row r="104" spans="1:20" s="311" customFormat="1" ht="34.5" customHeight="1" x14ac:dyDescent="0.2">
      <c r="A104" s="383"/>
      <c r="B104" s="354" t="s">
        <v>546</v>
      </c>
      <c r="C104" s="353">
        <f>D104+E104+F104+J104+N104+O104+P104+80</f>
        <v>1187.2739999999999</v>
      </c>
      <c r="D104" s="351">
        <v>0</v>
      </c>
      <c r="E104" s="348">
        <v>0</v>
      </c>
      <c r="F104" s="352">
        <f t="shared" si="11"/>
        <v>1107.2739999999999</v>
      </c>
      <c r="G104" s="349">
        <v>1107.2739999999999</v>
      </c>
      <c r="H104" s="349">
        <v>0</v>
      </c>
      <c r="I104" s="348">
        <v>0</v>
      </c>
      <c r="J104" s="351">
        <f t="shared" si="12"/>
        <v>0</v>
      </c>
      <c r="K104" s="349">
        <v>0</v>
      </c>
      <c r="L104" s="349">
        <v>0</v>
      </c>
      <c r="M104" s="348">
        <v>0</v>
      </c>
      <c r="N104" s="350">
        <v>0</v>
      </c>
      <c r="O104" s="349">
        <v>0</v>
      </c>
      <c r="P104" s="348">
        <v>0</v>
      </c>
      <c r="Q104" s="347" t="s">
        <v>502</v>
      </c>
      <c r="T104" s="312"/>
    </row>
    <row r="105" spans="1:20" s="311" customFormat="1" ht="34.5" customHeight="1" x14ac:dyDescent="0.2">
      <c r="A105" s="383"/>
      <c r="B105" s="354" t="s">
        <v>545</v>
      </c>
      <c r="C105" s="353">
        <f>D105+E105+F105+J105+N105+O105+P105+109.22</f>
        <v>609.22</v>
      </c>
      <c r="D105" s="351">
        <v>0</v>
      </c>
      <c r="E105" s="348">
        <v>0</v>
      </c>
      <c r="F105" s="352">
        <f t="shared" si="11"/>
        <v>500</v>
      </c>
      <c r="G105" s="349">
        <v>500</v>
      </c>
      <c r="H105" s="349">
        <v>0</v>
      </c>
      <c r="I105" s="348">
        <v>0</v>
      </c>
      <c r="J105" s="351">
        <f t="shared" si="12"/>
        <v>0</v>
      </c>
      <c r="K105" s="349">
        <v>0</v>
      </c>
      <c r="L105" s="349">
        <v>0</v>
      </c>
      <c r="M105" s="348">
        <v>0</v>
      </c>
      <c r="N105" s="350">
        <v>0</v>
      </c>
      <c r="O105" s="349">
        <v>0</v>
      </c>
      <c r="P105" s="348">
        <v>0</v>
      </c>
      <c r="Q105" s="347" t="s">
        <v>502</v>
      </c>
      <c r="T105" s="312"/>
    </row>
    <row r="106" spans="1:20" s="311" customFormat="1" ht="34.5" customHeight="1" x14ac:dyDescent="0.2">
      <c r="A106" s="383"/>
      <c r="B106" s="354" t="s">
        <v>544</v>
      </c>
      <c r="C106" s="353">
        <f>D106+E106+F106+J106+N106+O106+P106+116.16</f>
        <v>1128.1645800000001</v>
      </c>
      <c r="D106" s="351">
        <v>0</v>
      </c>
      <c r="E106" s="348">
        <v>0</v>
      </c>
      <c r="F106" s="352">
        <f t="shared" si="11"/>
        <v>899.98458000000005</v>
      </c>
      <c r="G106" s="349">
        <v>899.98458000000005</v>
      </c>
      <c r="H106" s="349">
        <v>0</v>
      </c>
      <c r="I106" s="348">
        <v>0</v>
      </c>
      <c r="J106" s="351">
        <f t="shared" si="12"/>
        <v>112.02</v>
      </c>
      <c r="K106" s="349">
        <v>112.02</v>
      </c>
      <c r="L106" s="349">
        <v>0</v>
      </c>
      <c r="M106" s="348">
        <v>0</v>
      </c>
      <c r="N106" s="350">
        <v>0</v>
      </c>
      <c r="O106" s="349">
        <v>0</v>
      </c>
      <c r="P106" s="348">
        <v>0</v>
      </c>
      <c r="Q106" s="347" t="s">
        <v>502</v>
      </c>
      <c r="T106" s="312"/>
    </row>
    <row r="107" spans="1:20" s="311" customFormat="1" ht="42" x14ac:dyDescent="0.2">
      <c r="A107" s="367"/>
      <c r="B107" s="354" t="s">
        <v>543</v>
      </c>
      <c r="C107" s="353">
        <f>D107+E107+F107+J107+N107+O107+P107</f>
        <v>185.13</v>
      </c>
      <c r="D107" s="351">
        <v>0</v>
      </c>
      <c r="E107" s="348">
        <v>0</v>
      </c>
      <c r="F107" s="352">
        <f t="shared" si="11"/>
        <v>185.13</v>
      </c>
      <c r="G107" s="349">
        <v>185.13</v>
      </c>
      <c r="H107" s="349">
        <v>0</v>
      </c>
      <c r="I107" s="348">
        <v>0</v>
      </c>
      <c r="J107" s="351">
        <f t="shared" si="12"/>
        <v>0</v>
      </c>
      <c r="K107" s="349">
        <v>0</v>
      </c>
      <c r="L107" s="349">
        <v>0</v>
      </c>
      <c r="M107" s="348">
        <v>0</v>
      </c>
      <c r="N107" s="350">
        <v>0</v>
      </c>
      <c r="O107" s="349">
        <v>0</v>
      </c>
      <c r="P107" s="348">
        <v>0</v>
      </c>
      <c r="Q107" s="380" t="s">
        <v>488</v>
      </c>
      <c r="T107" s="312"/>
    </row>
    <row r="108" spans="1:20" s="311" customFormat="1" ht="52.5" x14ac:dyDescent="0.2">
      <c r="A108" s="383"/>
      <c r="B108" s="354" t="s">
        <v>542</v>
      </c>
      <c r="C108" s="353">
        <f>D108+E108+F108+J108+N108+O108+P108+109</f>
        <v>584</v>
      </c>
      <c r="D108" s="351">
        <v>0</v>
      </c>
      <c r="E108" s="348">
        <v>0</v>
      </c>
      <c r="F108" s="352">
        <f t="shared" si="11"/>
        <v>475</v>
      </c>
      <c r="G108" s="349">
        <v>350</v>
      </c>
      <c r="H108" s="349">
        <v>125</v>
      </c>
      <c r="I108" s="348">
        <v>0</v>
      </c>
      <c r="J108" s="351">
        <f t="shared" si="12"/>
        <v>0</v>
      </c>
      <c r="K108" s="349">
        <v>0</v>
      </c>
      <c r="L108" s="349">
        <v>0</v>
      </c>
      <c r="M108" s="348">
        <v>0</v>
      </c>
      <c r="N108" s="350">
        <v>0</v>
      </c>
      <c r="O108" s="349">
        <v>0</v>
      </c>
      <c r="P108" s="348">
        <v>0</v>
      </c>
      <c r="Q108" s="347" t="s">
        <v>502</v>
      </c>
      <c r="T108" s="312"/>
    </row>
    <row r="109" spans="1:20" s="311" customFormat="1" ht="42" x14ac:dyDescent="0.2">
      <c r="A109" s="383"/>
      <c r="B109" s="354" t="s">
        <v>541</v>
      </c>
      <c r="C109" s="353">
        <f>D109+E109+F109+J109+N109+O109+P109</f>
        <v>125</v>
      </c>
      <c r="D109" s="351">
        <v>0</v>
      </c>
      <c r="E109" s="348">
        <v>0</v>
      </c>
      <c r="F109" s="352">
        <f t="shared" si="11"/>
        <v>125</v>
      </c>
      <c r="G109" s="349">
        <v>125</v>
      </c>
      <c r="H109" s="349">
        <v>0</v>
      </c>
      <c r="I109" s="348">
        <v>0</v>
      </c>
      <c r="J109" s="351">
        <f t="shared" si="12"/>
        <v>0</v>
      </c>
      <c r="K109" s="349">
        <v>0</v>
      </c>
      <c r="L109" s="349">
        <v>0</v>
      </c>
      <c r="M109" s="348">
        <v>0</v>
      </c>
      <c r="N109" s="350">
        <v>0</v>
      </c>
      <c r="O109" s="349">
        <v>0</v>
      </c>
      <c r="P109" s="348">
        <v>0</v>
      </c>
      <c r="Q109" s="347" t="s">
        <v>488</v>
      </c>
      <c r="T109" s="312"/>
    </row>
    <row r="110" spans="1:20" s="311" customFormat="1" ht="34.5" customHeight="1" x14ac:dyDescent="0.2">
      <c r="A110" s="383"/>
      <c r="B110" s="354" t="s">
        <v>540</v>
      </c>
      <c r="C110" s="353">
        <f>D110+E110+F110+J110+N110+O110+P110+25.31</f>
        <v>1901.31</v>
      </c>
      <c r="D110" s="351">
        <v>0</v>
      </c>
      <c r="E110" s="348">
        <v>0</v>
      </c>
      <c r="F110" s="352">
        <f t="shared" si="11"/>
        <v>1876</v>
      </c>
      <c r="G110" s="349">
        <v>1876</v>
      </c>
      <c r="H110" s="349">
        <v>0</v>
      </c>
      <c r="I110" s="348">
        <v>0</v>
      </c>
      <c r="J110" s="351">
        <f t="shared" si="12"/>
        <v>0</v>
      </c>
      <c r="K110" s="349">
        <v>0</v>
      </c>
      <c r="L110" s="349">
        <v>0</v>
      </c>
      <c r="M110" s="348">
        <v>0</v>
      </c>
      <c r="N110" s="350">
        <v>0</v>
      </c>
      <c r="O110" s="349">
        <v>0</v>
      </c>
      <c r="P110" s="348">
        <v>0</v>
      </c>
      <c r="Q110" s="347" t="s">
        <v>539</v>
      </c>
      <c r="T110" s="312"/>
    </row>
    <row r="111" spans="1:20" s="311" customFormat="1" ht="34.5" customHeight="1" x14ac:dyDescent="0.2">
      <c r="A111" s="383"/>
      <c r="B111" s="354" t="s">
        <v>538</v>
      </c>
      <c r="C111" s="353">
        <f>D111+E111+F111+J111+N111+O111+P111</f>
        <v>214.69358</v>
      </c>
      <c r="D111" s="351">
        <v>0</v>
      </c>
      <c r="E111" s="348">
        <v>0</v>
      </c>
      <c r="F111" s="352">
        <f t="shared" si="11"/>
        <v>214.69358</v>
      </c>
      <c r="G111" s="349">
        <v>214.69358</v>
      </c>
      <c r="H111" s="349">
        <v>0</v>
      </c>
      <c r="I111" s="348">
        <v>0</v>
      </c>
      <c r="J111" s="351">
        <f t="shared" si="12"/>
        <v>0</v>
      </c>
      <c r="K111" s="349">
        <v>0</v>
      </c>
      <c r="L111" s="349">
        <v>0</v>
      </c>
      <c r="M111" s="348">
        <v>0</v>
      </c>
      <c r="N111" s="350">
        <v>0</v>
      </c>
      <c r="O111" s="349">
        <v>0</v>
      </c>
      <c r="P111" s="348">
        <v>0</v>
      </c>
      <c r="Q111" s="347" t="s">
        <v>488</v>
      </c>
      <c r="T111" s="312"/>
    </row>
    <row r="112" spans="1:20" s="311" customFormat="1" ht="34.5" customHeight="1" x14ac:dyDescent="0.2">
      <c r="A112" s="383"/>
      <c r="B112" s="354" t="s">
        <v>537</v>
      </c>
      <c r="C112" s="353">
        <f>D112+E112+F112+J112+N112+O112+P112</f>
        <v>281.61900000000003</v>
      </c>
      <c r="D112" s="351">
        <v>0</v>
      </c>
      <c r="E112" s="348">
        <v>0</v>
      </c>
      <c r="F112" s="352">
        <f t="shared" si="11"/>
        <v>281.61900000000003</v>
      </c>
      <c r="G112" s="349">
        <v>281.61900000000003</v>
      </c>
      <c r="H112" s="349">
        <v>0</v>
      </c>
      <c r="I112" s="348">
        <v>0</v>
      </c>
      <c r="J112" s="351">
        <f t="shared" si="12"/>
        <v>0</v>
      </c>
      <c r="K112" s="349">
        <v>0</v>
      </c>
      <c r="L112" s="349">
        <v>0</v>
      </c>
      <c r="M112" s="348">
        <v>0</v>
      </c>
      <c r="N112" s="350">
        <v>0</v>
      </c>
      <c r="O112" s="349">
        <v>0</v>
      </c>
      <c r="P112" s="348">
        <v>0</v>
      </c>
      <c r="Q112" s="347" t="s">
        <v>488</v>
      </c>
      <c r="T112" s="312"/>
    </row>
    <row r="113" spans="1:20" s="311" customFormat="1" ht="35.25" customHeight="1" thickBot="1" x14ac:dyDescent="0.25">
      <c r="A113" s="367"/>
      <c r="B113" s="354" t="s">
        <v>536</v>
      </c>
      <c r="C113" s="353">
        <f>D113+E113+F113+J113+N113+O113+P113</f>
        <v>250</v>
      </c>
      <c r="D113" s="351">
        <v>0</v>
      </c>
      <c r="E113" s="348">
        <v>0</v>
      </c>
      <c r="F113" s="352">
        <f t="shared" si="11"/>
        <v>250</v>
      </c>
      <c r="G113" s="349">
        <v>250</v>
      </c>
      <c r="H113" s="349">
        <v>0</v>
      </c>
      <c r="I113" s="348">
        <v>0</v>
      </c>
      <c r="J113" s="351">
        <f t="shared" si="12"/>
        <v>0</v>
      </c>
      <c r="K113" s="349">
        <v>0</v>
      </c>
      <c r="L113" s="349">
        <v>0</v>
      </c>
      <c r="M113" s="348">
        <v>0</v>
      </c>
      <c r="N113" s="350">
        <v>0</v>
      </c>
      <c r="O113" s="349">
        <v>0</v>
      </c>
      <c r="P113" s="348"/>
      <c r="Q113" s="347" t="s">
        <v>488</v>
      </c>
      <c r="T113" s="312"/>
    </row>
    <row r="114" spans="1:20" s="311" customFormat="1" ht="15.75" customHeight="1" thickBot="1" x14ac:dyDescent="0.25">
      <c r="A114" s="1329" t="s">
        <v>535</v>
      </c>
      <c r="B114" s="1330"/>
      <c r="C114" s="365">
        <f t="shared" ref="C114:P114" si="13">SUM(C70:C113)</f>
        <v>93308.476290000006</v>
      </c>
      <c r="D114" s="332">
        <f t="shared" si="13"/>
        <v>3229.85</v>
      </c>
      <c r="E114" s="330">
        <f t="shared" si="13"/>
        <v>5420.3879999999999</v>
      </c>
      <c r="F114" s="332">
        <f t="shared" si="13"/>
        <v>63760.788289999997</v>
      </c>
      <c r="G114" s="364">
        <f t="shared" si="13"/>
        <v>63635.788289999997</v>
      </c>
      <c r="H114" s="364">
        <f t="shared" si="13"/>
        <v>125</v>
      </c>
      <c r="I114" s="330">
        <f t="shared" si="13"/>
        <v>0</v>
      </c>
      <c r="J114" s="333">
        <f t="shared" si="13"/>
        <v>7161.9800000000005</v>
      </c>
      <c r="K114" s="382">
        <f t="shared" si="13"/>
        <v>7161.9800000000005</v>
      </c>
      <c r="L114" s="382">
        <f t="shared" si="13"/>
        <v>0</v>
      </c>
      <c r="M114" s="313">
        <f t="shared" si="13"/>
        <v>0</v>
      </c>
      <c r="N114" s="332">
        <f t="shared" si="13"/>
        <v>0</v>
      </c>
      <c r="O114" s="364">
        <f t="shared" si="13"/>
        <v>0</v>
      </c>
      <c r="P114" s="330">
        <f t="shared" si="13"/>
        <v>0</v>
      </c>
      <c r="Q114" s="313"/>
      <c r="T114" s="312"/>
    </row>
    <row r="115" spans="1:20" s="328" customFormat="1" ht="18.75" customHeight="1" thickBot="1" x14ac:dyDescent="0.2">
      <c r="A115" s="1365" t="s">
        <v>534</v>
      </c>
      <c r="B115" s="1366"/>
      <c r="C115" s="1366"/>
      <c r="D115" s="1366"/>
      <c r="E115" s="1366"/>
      <c r="F115" s="1366"/>
      <c r="G115" s="1366"/>
      <c r="H115" s="1366"/>
      <c r="I115" s="1366"/>
      <c r="J115" s="1366"/>
      <c r="K115" s="1366"/>
      <c r="L115" s="1366"/>
      <c r="M115" s="1366"/>
      <c r="N115" s="1366"/>
      <c r="O115" s="1366"/>
      <c r="P115" s="1366"/>
      <c r="Q115" s="1367"/>
      <c r="T115" s="329"/>
    </row>
    <row r="116" spans="1:20" s="311" customFormat="1" ht="35.25" customHeight="1" x14ac:dyDescent="0.2">
      <c r="A116" s="381"/>
      <c r="B116" s="354" t="s">
        <v>533</v>
      </c>
      <c r="C116" s="353">
        <f>D116+E116+F116+J116+N116+O116+P116+238.84</f>
        <v>1675.6999999999998</v>
      </c>
      <c r="D116" s="351">
        <v>985</v>
      </c>
      <c r="E116" s="348">
        <v>0</v>
      </c>
      <c r="F116" s="352">
        <f t="shared" ref="F116:F149" si="14">G116+H116+I116</f>
        <v>400</v>
      </c>
      <c r="G116" s="349">
        <v>400</v>
      </c>
      <c r="H116" s="349">
        <v>0</v>
      </c>
      <c r="I116" s="348">
        <v>0</v>
      </c>
      <c r="J116" s="351">
        <f t="shared" ref="J116:J149" si="15">K116+L116+M116</f>
        <v>51.86</v>
      </c>
      <c r="K116" s="349">
        <v>51.86</v>
      </c>
      <c r="L116" s="349">
        <v>0</v>
      </c>
      <c r="M116" s="348">
        <v>0</v>
      </c>
      <c r="N116" s="350">
        <v>0</v>
      </c>
      <c r="O116" s="349">
        <v>0</v>
      </c>
      <c r="P116" s="348">
        <v>0</v>
      </c>
      <c r="Q116" s="347" t="s">
        <v>502</v>
      </c>
      <c r="T116" s="312"/>
    </row>
    <row r="117" spans="1:20" s="311" customFormat="1" ht="34.5" customHeight="1" x14ac:dyDescent="0.2">
      <c r="A117" s="379"/>
      <c r="B117" s="354" t="s">
        <v>532</v>
      </c>
      <c r="C117" s="353">
        <f>D117+E117+F117+J117+N117+O117+P117+3.59+92.02</f>
        <v>7867.1930000000002</v>
      </c>
      <c r="D117" s="351">
        <v>62.726399999999998</v>
      </c>
      <c r="E117" s="348">
        <v>19.965</v>
      </c>
      <c r="F117" s="352">
        <f t="shared" si="14"/>
        <v>7688.8915999999999</v>
      </c>
      <c r="G117" s="349">
        <v>7688.8915999999999</v>
      </c>
      <c r="H117" s="349">
        <v>0</v>
      </c>
      <c r="I117" s="348">
        <v>0</v>
      </c>
      <c r="J117" s="351">
        <f t="shared" si="15"/>
        <v>0</v>
      </c>
      <c r="K117" s="349">
        <v>0</v>
      </c>
      <c r="L117" s="349">
        <v>0</v>
      </c>
      <c r="M117" s="348">
        <v>0</v>
      </c>
      <c r="N117" s="350">
        <v>0</v>
      </c>
      <c r="O117" s="349">
        <v>0</v>
      </c>
      <c r="P117" s="348">
        <v>0</v>
      </c>
      <c r="Q117" s="347" t="s">
        <v>502</v>
      </c>
      <c r="T117" s="312"/>
    </row>
    <row r="118" spans="1:20" s="311" customFormat="1" ht="24" customHeight="1" x14ac:dyDescent="0.2">
      <c r="A118" s="379"/>
      <c r="B118" s="354" t="s">
        <v>531</v>
      </c>
      <c r="C118" s="353">
        <f>D118+E118+F118+J118+N118+O118+P118</f>
        <v>310983.60563999997</v>
      </c>
      <c r="D118" s="351">
        <v>1212.4056399999999</v>
      </c>
      <c r="E118" s="348">
        <v>33600.984420000001</v>
      </c>
      <c r="F118" s="352">
        <f t="shared" si="14"/>
        <v>5110.79558</v>
      </c>
      <c r="G118" s="349">
        <v>5110.79558</v>
      </c>
      <c r="H118" s="349">
        <v>0</v>
      </c>
      <c r="I118" s="348">
        <v>0</v>
      </c>
      <c r="J118" s="351">
        <f t="shared" si="15"/>
        <v>10065.42</v>
      </c>
      <c r="K118" s="349">
        <v>10065.42</v>
      </c>
      <c r="L118" s="349">
        <v>0</v>
      </c>
      <c r="M118" s="348">
        <v>0</v>
      </c>
      <c r="N118" s="350">
        <v>5599</v>
      </c>
      <c r="O118" s="349">
        <v>16555</v>
      </c>
      <c r="P118" s="348">
        <f>16621+222219</f>
        <v>238840</v>
      </c>
      <c r="Q118" s="347" t="s">
        <v>488</v>
      </c>
      <c r="T118" s="312"/>
    </row>
    <row r="119" spans="1:20" s="311" customFormat="1" ht="34.5" customHeight="1" x14ac:dyDescent="0.2">
      <c r="A119" s="379"/>
      <c r="B119" s="354" t="s">
        <v>530</v>
      </c>
      <c r="C119" s="353">
        <f>D119+E119+F119+J119+N119+O119+P119</f>
        <v>4524.08734</v>
      </c>
      <c r="D119" s="351">
        <v>3236.6577400000001</v>
      </c>
      <c r="E119" s="348">
        <v>1286.6400000000001</v>
      </c>
      <c r="F119" s="352">
        <f t="shared" si="14"/>
        <v>0.78959999999999997</v>
      </c>
      <c r="G119" s="349">
        <v>0.78959999999999997</v>
      </c>
      <c r="H119" s="349">
        <v>0</v>
      </c>
      <c r="I119" s="348">
        <v>0</v>
      </c>
      <c r="J119" s="351">
        <f t="shared" si="15"/>
        <v>0</v>
      </c>
      <c r="K119" s="349">
        <v>0</v>
      </c>
      <c r="L119" s="349">
        <v>0</v>
      </c>
      <c r="M119" s="348">
        <v>0</v>
      </c>
      <c r="N119" s="350">
        <v>0</v>
      </c>
      <c r="O119" s="349">
        <v>0</v>
      </c>
      <c r="P119" s="348">
        <v>0</v>
      </c>
      <c r="Q119" s="347" t="s">
        <v>488</v>
      </c>
      <c r="T119" s="312"/>
    </row>
    <row r="120" spans="1:20" s="311" customFormat="1" ht="24" customHeight="1" x14ac:dyDescent="0.2">
      <c r="A120" s="378"/>
      <c r="B120" s="354" t="s">
        <v>529</v>
      </c>
      <c r="C120" s="353">
        <f>D120+E120+F120+J120+N120+O120+P120</f>
        <v>4056.3906900000002</v>
      </c>
      <c r="D120" s="351">
        <v>92.564999999999998</v>
      </c>
      <c r="E120" s="348">
        <v>3392.07044</v>
      </c>
      <c r="F120" s="352">
        <f t="shared" si="14"/>
        <v>571.75525000000005</v>
      </c>
      <c r="G120" s="349">
        <v>571.75525000000005</v>
      </c>
      <c r="H120" s="349">
        <v>0</v>
      </c>
      <c r="I120" s="348">
        <v>0</v>
      </c>
      <c r="J120" s="351">
        <f t="shared" si="15"/>
        <v>0</v>
      </c>
      <c r="K120" s="349">
        <v>0</v>
      </c>
      <c r="L120" s="349">
        <v>0</v>
      </c>
      <c r="M120" s="348">
        <v>0</v>
      </c>
      <c r="N120" s="350">
        <v>0</v>
      </c>
      <c r="O120" s="349">
        <v>0</v>
      </c>
      <c r="P120" s="348">
        <v>0</v>
      </c>
      <c r="Q120" s="347" t="s">
        <v>488</v>
      </c>
      <c r="T120" s="312"/>
    </row>
    <row r="121" spans="1:20" s="311" customFormat="1" ht="24" customHeight="1" x14ac:dyDescent="0.2">
      <c r="A121" s="378"/>
      <c r="B121" s="354" t="s">
        <v>528</v>
      </c>
      <c r="C121" s="353">
        <f>D121+E121+F121+J121+N121+O121+P121</f>
        <v>539.65395000000001</v>
      </c>
      <c r="D121" s="351">
        <v>0</v>
      </c>
      <c r="E121" s="348">
        <v>445.995</v>
      </c>
      <c r="F121" s="352">
        <f t="shared" si="14"/>
        <v>93.658950000000004</v>
      </c>
      <c r="G121" s="349">
        <v>93.658950000000004</v>
      </c>
      <c r="H121" s="349">
        <v>0</v>
      </c>
      <c r="I121" s="348">
        <v>0</v>
      </c>
      <c r="J121" s="351">
        <f t="shared" si="15"/>
        <v>0</v>
      </c>
      <c r="K121" s="349">
        <v>0</v>
      </c>
      <c r="L121" s="349">
        <v>0</v>
      </c>
      <c r="M121" s="348">
        <v>0</v>
      </c>
      <c r="N121" s="350">
        <v>0</v>
      </c>
      <c r="O121" s="349">
        <v>0</v>
      </c>
      <c r="P121" s="348">
        <v>0</v>
      </c>
      <c r="Q121" s="347" t="s">
        <v>488</v>
      </c>
      <c r="T121" s="312"/>
    </row>
    <row r="122" spans="1:20" s="311" customFormat="1" ht="34.5" customHeight="1" x14ac:dyDescent="0.2">
      <c r="A122" s="378"/>
      <c r="B122" s="354" t="s">
        <v>527</v>
      </c>
      <c r="C122" s="353">
        <f>D122+E122+F122+J122+N122+O122+P122</f>
        <v>7042.2347200000004</v>
      </c>
      <c r="D122" s="351">
        <v>0</v>
      </c>
      <c r="E122" s="348">
        <v>6082.2574000000004</v>
      </c>
      <c r="F122" s="352">
        <f t="shared" si="14"/>
        <v>959.97731999999996</v>
      </c>
      <c r="G122" s="349">
        <v>959.97731999999996</v>
      </c>
      <c r="H122" s="349">
        <v>0</v>
      </c>
      <c r="I122" s="348">
        <v>0</v>
      </c>
      <c r="J122" s="351">
        <f t="shared" si="15"/>
        <v>0</v>
      </c>
      <c r="K122" s="349">
        <v>0</v>
      </c>
      <c r="L122" s="349">
        <v>0</v>
      </c>
      <c r="M122" s="348">
        <v>0</v>
      </c>
      <c r="N122" s="350">
        <v>0</v>
      </c>
      <c r="O122" s="349">
        <v>0</v>
      </c>
      <c r="P122" s="348">
        <v>0</v>
      </c>
      <c r="Q122" s="347" t="s">
        <v>488</v>
      </c>
      <c r="T122" s="312"/>
    </row>
    <row r="123" spans="1:20" s="311" customFormat="1" ht="34.5" customHeight="1" x14ac:dyDescent="0.2">
      <c r="A123" s="378"/>
      <c r="B123" s="354" t="s">
        <v>526</v>
      </c>
      <c r="C123" s="353">
        <f>D123+E123+F123+J123+N123+O123+P123+2364.62</f>
        <v>3864.62</v>
      </c>
      <c r="D123" s="351">
        <v>0</v>
      </c>
      <c r="E123" s="348">
        <v>974.02408000000003</v>
      </c>
      <c r="F123" s="352">
        <f t="shared" si="14"/>
        <v>525.97591999999997</v>
      </c>
      <c r="G123" s="349">
        <v>525.97591999999997</v>
      </c>
      <c r="H123" s="349">
        <v>0</v>
      </c>
      <c r="I123" s="348">
        <v>0</v>
      </c>
      <c r="J123" s="351">
        <f t="shared" si="15"/>
        <v>0</v>
      </c>
      <c r="K123" s="349">
        <v>0</v>
      </c>
      <c r="L123" s="349">
        <v>0</v>
      </c>
      <c r="M123" s="348">
        <v>0</v>
      </c>
      <c r="N123" s="350">
        <v>0</v>
      </c>
      <c r="O123" s="349">
        <v>0</v>
      </c>
      <c r="P123" s="348">
        <v>0</v>
      </c>
      <c r="Q123" s="347" t="s">
        <v>502</v>
      </c>
      <c r="T123" s="312"/>
    </row>
    <row r="124" spans="1:20" s="311" customFormat="1" ht="12.75" customHeight="1" x14ac:dyDescent="0.2">
      <c r="A124" s="378"/>
      <c r="B124" s="354" t="s">
        <v>525</v>
      </c>
      <c r="C124" s="353">
        <f>D124+E124+F124+J124+N124+O124+P124</f>
        <v>14002.603359999999</v>
      </c>
      <c r="D124" s="351">
        <v>0</v>
      </c>
      <c r="E124" s="348">
        <v>1176.8869999999999</v>
      </c>
      <c r="F124" s="352">
        <f t="shared" si="14"/>
        <v>6846.6063599999998</v>
      </c>
      <c r="G124" s="349">
        <v>6846.6063599999998</v>
      </c>
      <c r="H124" s="349">
        <v>0</v>
      </c>
      <c r="I124" s="348">
        <v>0</v>
      </c>
      <c r="J124" s="351">
        <f t="shared" si="15"/>
        <v>5979.11</v>
      </c>
      <c r="K124" s="349">
        <v>5979.11</v>
      </c>
      <c r="L124" s="349">
        <v>0</v>
      </c>
      <c r="M124" s="348">
        <v>0</v>
      </c>
      <c r="N124" s="350">
        <v>0</v>
      </c>
      <c r="O124" s="349">
        <v>0</v>
      </c>
      <c r="P124" s="348">
        <v>0</v>
      </c>
      <c r="Q124" s="347" t="s">
        <v>488</v>
      </c>
      <c r="T124" s="312"/>
    </row>
    <row r="125" spans="1:20" s="311" customFormat="1" ht="34.5" customHeight="1" x14ac:dyDescent="0.2">
      <c r="A125" s="378"/>
      <c r="B125" s="354" t="s">
        <v>524</v>
      </c>
      <c r="C125" s="353">
        <f>D125+E125+F125+J125+N125+O125+P125+250</f>
        <v>9034.0079999999998</v>
      </c>
      <c r="D125" s="351">
        <v>0</v>
      </c>
      <c r="E125" s="348">
        <v>0</v>
      </c>
      <c r="F125" s="352">
        <f t="shared" si="14"/>
        <v>46.207999999999998</v>
      </c>
      <c r="G125" s="349">
        <v>46.207999999999998</v>
      </c>
      <c r="H125" s="349">
        <v>0</v>
      </c>
      <c r="I125" s="348">
        <v>0</v>
      </c>
      <c r="J125" s="351">
        <f t="shared" si="15"/>
        <v>8737.7999999999993</v>
      </c>
      <c r="K125" s="349">
        <v>8737.7999999999993</v>
      </c>
      <c r="L125" s="349">
        <v>0</v>
      </c>
      <c r="M125" s="348">
        <v>0</v>
      </c>
      <c r="N125" s="350">
        <v>0</v>
      </c>
      <c r="O125" s="349">
        <v>0</v>
      </c>
      <c r="P125" s="348">
        <v>0</v>
      </c>
      <c r="Q125" s="347" t="s">
        <v>502</v>
      </c>
      <c r="T125" s="312"/>
    </row>
    <row r="126" spans="1:20" s="311" customFormat="1" ht="34.5" customHeight="1" x14ac:dyDescent="0.2">
      <c r="A126" s="378"/>
      <c r="B126" s="354" t="s">
        <v>523</v>
      </c>
      <c r="C126" s="353">
        <f>D126+E126+F126+J126+N126+O126+P126</f>
        <v>9778.3330000000005</v>
      </c>
      <c r="D126" s="351">
        <v>0</v>
      </c>
      <c r="E126" s="348">
        <v>4998.33</v>
      </c>
      <c r="F126" s="352">
        <f t="shared" si="14"/>
        <v>1055.4829999999999</v>
      </c>
      <c r="G126" s="349">
        <v>1055.4829999999999</v>
      </c>
      <c r="H126" s="349">
        <v>0</v>
      </c>
      <c r="I126" s="348">
        <v>0</v>
      </c>
      <c r="J126" s="351">
        <f t="shared" si="15"/>
        <v>3724.52</v>
      </c>
      <c r="K126" s="349">
        <v>3724.52</v>
      </c>
      <c r="L126" s="349">
        <v>0</v>
      </c>
      <c r="M126" s="348">
        <v>0</v>
      </c>
      <c r="N126" s="350">
        <v>0</v>
      </c>
      <c r="O126" s="349">
        <v>0</v>
      </c>
      <c r="P126" s="348">
        <v>0</v>
      </c>
      <c r="Q126" s="347" t="s">
        <v>488</v>
      </c>
      <c r="T126" s="312"/>
    </row>
    <row r="127" spans="1:20" s="311" customFormat="1" ht="42" x14ac:dyDescent="0.2">
      <c r="A127" s="378"/>
      <c r="B127" s="354" t="s">
        <v>522</v>
      </c>
      <c r="C127" s="353">
        <f>D127+E127+F127+J127+N127+O127+P127+10.12</f>
        <v>1910.12</v>
      </c>
      <c r="D127" s="351">
        <v>0</v>
      </c>
      <c r="E127" s="348">
        <v>90</v>
      </c>
      <c r="F127" s="352">
        <f t="shared" si="14"/>
        <v>1810</v>
      </c>
      <c r="G127" s="349">
        <v>1810</v>
      </c>
      <c r="H127" s="349">
        <v>0</v>
      </c>
      <c r="I127" s="348">
        <v>0</v>
      </c>
      <c r="J127" s="351">
        <f t="shared" si="15"/>
        <v>0</v>
      </c>
      <c r="K127" s="349">
        <v>0</v>
      </c>
      <c r="L127" s="349">
        <v>0</v>
      </c>
      <c r="M127" s="348">
        <v>0</v>
      </c>
      <c r="N127" s="350">
        <v>0</v>
      </c>
      <c r="O127" s="349">
        <v>0</v>
      </c>
      <c r="P127" s="348">
        <v>0</v>
      </c>
      <c r="Q127" s="347" t="s">
        <v>502</v>
      </c>
      <c r="T127" s="312"/>
    </row>
    <row r="128" spans="1:20" s="311" customFormat="1" ht="34.5" customHeight="1" x14ac:dyDescent="0.2">
      <c r="A128" s="379"/>
      <c r="B128" s="354" t="s">
        <v>521</v>
      </c>
      <c r="C128" s="353">
        <f>D128+E128+F128+J128+N128+O128+P128</f>
        <v>1054.0833700000001</v>
      </c>
      <c r="D128" s="351">
        <v>0</v>
      </c>
      <c r="E128" s="348">
        <v>315.04165</v>
      </c>
      <c r="F128" s="352">
        <f t="shared" si="14"/>
        <v>739.04172000000005</v>
      </c>
      <c r="G128" s="349">
        <v>739.04172000000005</v>
      </c>
      <c r="H128" s="349">
        <v>0</v>
      </c>
      <c r="I128" s="348">
        <v>0</v>
      </c>
      <c r="J128" s="351">
        <f t="shared" si="15"/>
        <v>0</v>
      </c>
      <c r="K128" s="349">
        <v>0</v>
      </c>
      <c r="L128" s="349">
        <v>0</v>
      </c>
      <c r="M128" s="348">
        <v>0</v>
      </c>
      <c r="N128" s="350">
        <v>0</v>
      </c>
      <c r="O128" s="349">
        <v>0</v>
      </c>
      <c r="P128" s="348">
        <v>0</v>
      </c>
      <c r="Q128" s="380" t="s">
        <v>488</v>
      </c>
      <c r="T128" s="312"/>
    </row>
    <row r="129" spans="1:20" s="311" customFormat="1" ht="34.5" customHeight="1" x14ac:dyDescent="0.2">
      <c r="A129" s="379"/>
      <c r="B129" s="354" t="s">
        <v>520</v>
      </c>
      <c r="C129" s="353">
        <f>D129+E129+F129+J129+N129+O129+P129+428.3</f>
        <v>7228.3011899999992</v>
      </c>
      <c r="D129" s="351">
        <v>0</v>
      </c>
      <c r="E129" s="348">
        <v>175.45</v>
      </c>
      <c r="F129" s="352">
        <f t="shared" si="14"/>
        <v>2983.1811899999998</v>
      </c>
      <c r="G129" s="349">
        <v>2983.1811899999998</v>
      </c>
      <c r="H129" s="349">
        <v>0</v>
      </c>
      <c r="I129" s="348">
        <v>0</v>
      </c>
      <c r="J129" s="351">
        <f t="shared" si="15"/>
        <v>3641.37</v>
      </c>
      <c r="K129" s="349">
        <v>3641.37</v>
      </c>
      <c r="L129" s="349">
        <v>0</v>
      </c>
      <c r="M129" s="348">
        <v>0</v>
      </c>
      <c r="N129" s="350">
        <v>0</v>
      </c>
      <c r="O129" s="349">
        <v>0</v>
      </c>
      <c r="P129" s="348">
        <v>0</v>
      </c>
      <c r="Q129" s="380" t="s">
        <v>502</v>
      </c>
      <c r="T129" s="312"/>
    </row>
    <row r="130" spans="1:20" s="311" customFormat="1" ht="24" customHeight="1" x14ac:dyDescent="0.2">
      <c r="A130" s="378"/>
      <c r="B130" s="354" t="s">
        <v>519</v>
      </c>
      <c r="C130" s="353">
        <f>D130+E130+F130+J130+N130+O130+P130</f>
        <v>1822.623</v>
      </c>
      <c r="D130" s="351">
        <v>0</v>
      </c>
      <c r="E130" s="348">
        <v>54.45</v>
      </c>
      <c r="F130" s="352">
        <f t="shared" si="14"/>
        <v>1768.173</v>
      </c>
      <c r="G130" s="349">
        <v>1768.173</v>
      </c>
      <c r="H130" s="349">
        <v>0</v>
      </c>
      <c r="I130" s="348">
        <v>0</v>
      </c>
      <c r="J130" s="351">
        <f t="shared" si="15"/>
        <v>0</v>
      </c>
      <c r="K130" s="349">
        <v>0</v>
      </c>
      <c r="L130" s="349">
        <v>0</v>
      </c>
      <c r="M130" s="348">
        <v>0</v>
      </c>
      <c r="N130" s="350">
        <v>0</v>
      </c>
      <c r="O130" s="349">
        <v>0</v>
      </c>
      <c r="P130" s="348">
        <v>0</v>
      </c>
      <c r="Q130" s="347" t="s">
        <v>488</v>
      </c>
      <c r="T130" s="312"/>
    </row>
    <row r="131" spans="1:20" s="311" customFormat="1" ht="34.5" customHeight="1" x14ac:dyDescent="0.2">
      <c r="A131" s="378"/>
      <c r="B131" s="354" t="s">
        <v>518</v>
      </c>
      <c r="C131" s="353">
        <f>D131+E131+F131+J131+N131+O131+P131+1.17</f>
        <v>4881.7130100000004</v>
      </c>
      <c r="D131" s="351">
        <v>0</v>
      </c>
      <c r="E131" s="348">
        <v>0</v>
      </c>
      <c r="F131" s="352">
        <f t="shared" si="14"/>
        <v>4880.5430100000003</v>
      </c>
      <c r="G131" s="349">
        <v>4880.5430100000003</v>
      </c>
      <c r="H131" s="349">
        <v>0</v>
      </c>
      <c r="I131" s="348">
        <v>0</v>
      </c>
      <c r="J131" s="351">
        <f t="shared" si="15"/>
        <v>0</v>
      </c>
      <c r="K131" s="349">
        <v>0</v>
      </c>
      <c r="L131" s="349">
        <v>0</v>
      </c>
      <c r="M131" s="348">
        <v>0</v>
      </c>
      <c r="N131" s="350">
        <v>0</v>
      </c>
      <c r="O131" s="349">
        <v>0</v>
      </c>
      <c r="P131" s="348">
        <v>0</v>
      </c>
      <c r="Q131" s="347" t="s">
        <v>502</v>
      </c>
      <c r="T131" s="312"/>
    </row>
    <row r="132" spans="1:20" s="311" customFormat="1" ht="34.5" customHeight="1" x14ac:dyDescent="0.2">
      <c r="A132" s="378"/>
      <c r="B132" s="354" t="s">
        <v>517</v>
      </c>
      <c r="C132" s="353">
        <f>D132+E132+F132+J132+N132+O132+P132+0.5</f>
        <v>4000.5</v>
      </c>
      <c r="D132" s="351">
        <v>0</v>
      </c>
      <c r="E132" s="348">
        <v>0</v>
      </c>
      <c r="F132" s="352">
        <f t="shared" si="14"/>
        <v>63</v>
      </c>
      <c r="G132" s="349">
        <v>63</v>
      </c>
      <c r="H132" s="349">
        <v>0</v>
      </c>
      <c r="I132" s="348">
        <v>0</v>
      </c>
      <c r="J132" s="351">
        <f t="shared" si="15"/>
        <v>3937</v>
      </c>
      <c r="K132" s="349">
        <v>3937</v>
      </c>
      <c r="L132" s="349">
        <v>0</v>
      </c>
      <c r="M132" s="348">
        <v>0</v>
      </c>
      <c r="N132" s="350">
        <v>0</v>
      </c>
      <c r="O132" s="349">
        <v>0</v>
      </c>
      <c r="P132" s="348">
        <v>0</v>
      </c>
      <c r="Q132" s="347" t="s">
        <v>502</v>
      </c>
      <c r="T132" s="312"/>
    </row>
    <row r="133" spans="1:20" s="311" customFormat="1" ht="34.5" customHeight="1" x14ac:dyDescent="0.2">
      <c r="A133" s="378"/>
      <c r="B133" s="354" t="s">
        <v>516</v>
      </c>
      <c r="C133" s="353">
        <f>D133+E133+F133+J133+N133+O133+P133+3710.89</f>
        <v>5710.8899999999994</v>
      </c>
      <c r="D133" s="351">
        <v>0</v>
      </c>
      <c r="E133" s="348">
        <v>0</v>
      </c>
      <c r="F133" s="352">
        <f t="shared" si="14"/>
        <v>2000</v>
      </c>
      <c r="G133" s="349">
        <v>2000</v>
      </c>
      <c r="H133" s="349">
        <v>0</v>
      </c>
      <c r="I133" s="348">
        <v>0</v>
      </c>
      <c r="J133" s="351">
        <f t="shared" si="15"/>
        <v>0</v>
      </c>
      <c r="K133" s="349">
        <v>0</v>
      </c>
      <c r="L133" s="349">
        <v>0</v>
      </c>
      <c r="M133" s="348">
        <v>0</v>
      </c>
      <c r="N133" s="350">
        <v>0</v>
      </c>
      <c r="O133" s="349">
        <v>0</v>
      </c>
      <c r="P133" s="348">
        <v>0</v>
      </c>
      <c r="Q133" s="347" t="s">
        <v>502</v>
      </c>
      <c r="T133" s="312"/>
    </row>
    <row r="134" spans="1:20" s="311" customFormat="1" ht="34.5" customHeight="1" x14ac:dyDescent="0.2">
      <c r="A134" s="378"/>
      <c r="B134" s="354" t="s">
        <v>515</v>
      </c>
      <c r="C134" s="353">
        <f>D134+E134+F134+J134+N134+O134+P134+54.45</f>
        <v>7054.4549999999999</v>
      </c>
      <c r="D134" s="351">
        <v>0</v>
      </c>
      <c r="E134" s="348">
        <v>0</v>
      </c>
      <c r="F134" s="352">
        <f t="shared" si="14"/>
        <v>190.57499999999999</v>
      </c>
      <c r="G134" s="349">
        <v>190.57499999999999</v>
      </c>
      <c r="H134" s="349">
        <v>0</v>
      </c>
      <c r="I134" s="348">
        <v>0</v>
      </c>
      <c r="J134" s="351">
        <f t="shared" si="15"/>
        <v>6809.43</v>
      </c>
      <c r="K134" s="349">
        <v>6809.43</v>
      </c>
      <c r="L134" s="349">
        <v>0</v>
      </c>
      <c r="M134" s="348">
        <v>0</v>
      </c>
      <c r="N134" s="350">
        <v>0</v>
      </c>
      <c r="O134" s="349">
        <v>0</v>
      </c>
      <c r="P134" s="348">
        <v>0</v>
      </c>
      <c r="Q134" s="347" t="s">
        <v>502</v>
      </c>
      <c r="T134" s="312"/>
    </row>
    <row r="135" spans="1:20" s="311" customFormat="1" ht="34.5" customHeight="1" x14ac:dyDescent="0.2">
      <c r="A135" s="378"/>
      <c r="B135" s="354" t="s">
        <v>514</v>
      </c>
      <c r="C135" s="353">
        <f>D135+E135+F135+J135+N135+O135+P135+687.44</f>
        <v>8437.44</v>
      </c>
      <c r="D135" s="351">
        <v>0</v>
      </c>
      <c r="E135" s="348">
        <v>0</v>
      </c>
      <c r="F135" s="352">
        <f t="shared" si="14"/>
        <v>7750</v>
      </c>
      <c r="G135" s="349">
        <v>7750</v>
      </c>
      <c r="H135" s="349">
        <v>0</v>
      </c>
      <c r="I135" s="348">
        <v>0</v>
      </c>
      <c r="J135" s="351">
        <f t="shared" si="15"/>
        <v>0</v>
      </c>
      <c r="K135" s="349">
        <v>0</v>
      </c>
      <c r="L135" s="349">
        <v>0</v>
      </c>
      <c r="M135" s="348">
        <v>0</v>
      </c>
      <c r="N135" s="350">
        <v>0</v>
      </c>
      <c r="O135" s="349">
        <v>0</v>
      </c>
      <c r="P135" s="348">
        <v>0</v>
      </c>
      <c r="Q135" s="347" t="s">
        <v>502</v>
      </c>
      <c r="T135" s="312"/>
    </row>
    <row r="136" spans="1:20" s="311" customFormat="1" ht="34.5" customHeight="1" x14ac:dyDescent="0.2">
      <c r="A136" s="379"/>
      <c r="B136" s="354" t="s">
        <v>513</v>
      </c>
      <c r="C136" s="353">
        <f>D136+E136+F136+J136+N136+O136+P136+7</f>
        <v>2458.4309600000001</v>
      </c>
      <c r="D136" s="351">
        <v>0</v>
      </c>
      <c r="E136" s="348">
        <v>2097.2620000000002</v>
      </c>
      <c r="F136" s="352">
        <f t="shared" si="14"/>
        <v>354.16896000000003</v>
      </c>
      <c r="G136" s="349">
        <v>354.16896000000003</v>
      </c>
      <c r="H136" s="349">
        <v>0</v>
      </c>
      <c r="I136" s="348">
        <v>0</v>
      </c>
      <c r="J136" s="351">
        <f t="shared" si="15"/>
        <v>0</v>
      </c>
      <c r="K136" s="349">
        <v>0</v>
      </c>
      <c r="L136" s="349">
        <v>0</v>
      </c>
      <c r="M136" s="348">
        <v>0</v>
      </c>
      <c r="N136" s="350">
        <v>0</v>
      </c>
      <c r="O136" s="349">
        <v>0</v>
      </c>
      <c r="P136" s="348">
        <v>0</v>
      </c>
      <c r="Q136" s="347" t="s">
        <v>502</v>
      </c>
      <c r="T136" s="312"/>
    </row>
    <row r="137" spans="1:20" s="311" customFormat="1" ht="34.5" customHeight="1" x14ac:dyDescent="0.2">
      <c r="A137" s="378"/>
      <c r="B137" s="354" t="s">
        <v>512</v>
      </c>
      <c r="C137" s="353">
        <f>D137+E137+F137+J137+N137+O137+P137</f>
        <v>546.23</v>
      </c>
      <c r="D137" s="351">
        <v>0</v>
      </c>
      <c r="E137" s="348">
        <v>0</v>
      </c>
      <c r="F137" s="352">
        <f t="shared" si="14"/>
        <v>546.23</v>
      </c>
      <c r="G137" s="349">
        <v>546.23</v>
      </c>
      <c r="H137" s="349">
        <v>0</v>
      </c>
      <c r="I137" s="348">
        <v>0</v>
      </c>
      <c r="J137" s="351">
        <f t="shared" si="15"/>
        <v>0</v>
      </c>
      <c r="K137" s="349">
        <v>0</v>
      </c>
      <c r="L137" s="349">
        <v>0</v>
      </c>
      <c r="M137" s="348">
        <v>0</v>
      </c>
      <c r="N137" s="350">
        <v>0</v>
      </c>
      <c r="O137" s="349">
        <v>0</v>
      </c>
      <c r="P137" s="348">
        <v>0</v>
      </c>
      <c r="Q137" s="347" t="s">
        <v>488</v>
      </c>
      <c r="T137" s="312"/>
    </row>
    <row r="138" spans="1:20" s="311" customFormat="1" ht="34.5" customHeight="1" x14ac:dyDescent="0.2">
      <c r="A138" s="378"/>
      <c r="B138" s="354" t="s">
        <v>511</v>
      </c>
      <c r="C138" s="353">
        <f>D138+E138+F138+J138+N138+O138+P138+5</f>
        <v>2768.0770000000002</v>
      </c>
      <c r="D138" s="351">
        <v>0</v>
      </c>
      <c r="E138" s="348">
        <v>0</v>
      </c>
      <c r="F138" s="352">
        <f t="shared" si="14"/>
        <v>2763.0770000000002</v>
      </c>
      <c r="G138" s="349">
        <v>2763.0770000000002</v>
      </c>
      <c r="H138" s="349">
        <v>0</v>
      </c>
      <c r="I138" s="348">
        <v>0</v>
      </c>
      <c r="J138" s="351">
        <f t="shared" si="15"/>
        <v>0</v>
      </c>
      <c r="K138" s="349">
        <v>0</v>
      </c>
      <c r="L138" s="349">
        <v>0</v>
      </c>
      <c r="M138" s="348">
        <v>0</v>
      </c>
      <c r="N138" s="350">
        <v>0</v>
      </c>
      <c r="O138" s="349">
        <v>0</v>
      </c>
      <c r="P138" s="348">
        <v>0</v>
      </c>
      <c r="Q138" s="347" t="s">
        <v>502</v>
      </c>
      <c r="T138" s="312"/>
    </row>
    <row r="139" spans="1:20" s="311" customFormat="1" ht="24" customHeight="1" x14ac:dyDescent="0.2">
      <c r="A139" s="378"/>
      <c r="B139" s="354" t="s">
        <v>510</v>
      </c>
      <c r="C139" s="353">
        <f>D139+E139+F139+J139+N139+O139+P139</f>
        <v>2681</v>
      </c>
      <c r="D139" s="351">
        <v>0</v>
      </c>
      <c r="E139" s="348">
        <v>0</v>
      </c>
      <c r="F139" s="352">
        <f t="shared" si="14"/>
        <v>2681</v>
      </c>
      <c r="G139" s="349">
        <v>2681</v>
      </c>
      <c r="H139" s="349">
        <v>0</v>
      </c>
      <c r="I139" s="348">
        <v>0</v>
      </c>
      <c r="J139" s="351">
        <f t="shared" si="15"/>
        <v>0</v>
      </c>
      <c r="K139" s="349">
        <v>0</v>
      </c>
      <c r="L139" s="349">
        <v>0</v>
      </c>
      <c r="M139" s="348">
        <v>0</v>
      </c>
      <c r="N139" s="350">
        <v>0</v>
      </c>
      <c r="O139" s="349">
        <v>0</v>
      </c>
      <c r="P139" s="348">
        <v>0</v>
      </c>
      <c r="Q139" s="347" t="s">
        <v>488</v>
      </c>
      <c r="T139" s="312"/>
    </row>
    <row r="140" spans="1:20" s="311" customFormat="1" ht="34.5" customHeight="1" x14ac:dyDescent="0.2">
      <c r="A140" s="378"/>
      <c r="B140" s="354" t="s">
        <v>509</v>
      </c>
      <c r="C140" s="353">
        <f>D140+E140+F140+J140+N140+O140+P140+94.68</f>
        <v>244.68</v>
      </c>
      <c r="D140" s="351">
        <v>0</v>
      </c>
      <c r="E140" s="348">
        <v>0</v>
      </c>
      <c r="F140" s="352">
        <f t="shared" si="14"/>
        <v>150</v>
      </c>
      <c r="G140" s="349">
        <v>150</v>
      </c>
      <c r="H140" s="349">
        <v>0</v>
      </c>
      <c r="I140" s="348">
        <v>0</v>
      </c>
      <c r="J140" s="351">
        <f t="shared" si="15"/>
        <v>0</v>
      </c>
      <c r="K140" s="349">
        <v>0</v>
      </c>
      <c r="L140" s="349">
        <v>0</v>
      </c>
      <c r="M140" s="348">
        <v>0</v>
      </c>
      <c r="N140" s="350">
        <v>0</v>
      </c>
      <c r="O140" s="349">
        <v>0</v>
      </c>
      <c r="P140" s="348">
        <v>0</v>
      </c>
      <c r="Q140" s="347" t="s">
        <v>502</v>
      </c>
      <c r="T140" s="312"/>
    </row>
    <row r="141" spans="1:20" s="311" customFormat="1" ht="34.5" customHeight="1" x14ac:dyDescent="0.2">
      <c r="A141" s="378"/>
      <c r="B141" s="354" t="s">
        <v>508</v>
      </c>
      <c r="C141" s="353">
        <f>D141+E141+F141+J141+N141+O141+P141+4847.79</f>
        <v>7777.79</v>
      </c>
      <c r="D141" s="351">
        <v>0</v>
      </c>
      <c r="E141" s="348">
        <v>0</v>
      </c>
      <c r="F141" s="352">
        <f t="shared" si="14"/>
        <v>2930</v>
      </c>
      <c r="G141" s="349">
        <v>2930</v>
      </c>
      <c r="H141" s="349">
        <v>0</v>
      </c>
      <c r="I141" s="348">
        <v>0</v>
      </c>
      <c r="J141" s="351">
        <f t="shared" si="15"/>
        <v>0</v>
      </c>
      <c r="K141" s="349">
        <v>0</v>
      </c>
      <c r="L141" s="349">
        <v>0</v>
      </c>
      <c r="M141" s="348">
        <v>0</v>
      </c>
      <c r="N141" s="350">
        <v>0</v>
      </c>
      <c r="O141" s="349">
        <v>0</v>
      </c>
      <c r="P141" s="348">
        <v>0</v>
      </c>
      <c r="Q141" s="347" t="s">
        <v>502</v>
      </c>
      <c r="T141" s="312"/>
    </row>
    <row r="142" spans="1:20" s="311" customFormat="1" ht="34.5" customHeight="1" x14ac:dyDescent="0.2">
      <c r="A142" s="378"/>
      <c r="B142" s="354" t="s">
        <v>507</v>
      </c>
      <c r="C142" s="353">
        <f>D142+E142+F142+J142+N142+O142+P142+18.15</f>
        <v>2415.6150000000002</v>
      </c>
      <c r="D142" s="351">
        <v>0</v>
      </c>
      <c r="E142" s="348">
        <v>0</v>
      </c>
      <c r="F142" s="352">
        <f t="shared" si="14"/>
        <v>2397.4650000000001</v>
      </c>
      <c r="G142" s="349">
        <v>2397.4650000000001</v>
      </c>
      <c r="H142" s="349">
        <v>0</v>
      </c>
      <c r="I142" s="348">
        <v>0</v>
      </c>
      <c r="J142" s="351">
        <f t="shared" si="15"/>
        <v>0</v>
      </c>
      <c r="K142" s="349">
        <v>0</v>
      </c>
      <c r="L142" s="349">
        <v>0</v>
      </c>
      <c r="M142" s="348">
        <v>0</v>
      </c>
      <c r="N142" s="350">
        <v>0</v>
      </c>
      <c r="O142" s="349">
        <v>0</v>
      </c>
      <c r="P142" s="348">
        <v>0</v>
      </c>
      <c r="Q142" s="347" t="s">
        <v>502</v>
      </c>
      <c r="T142" s="312"/>
    </row>
    <row r="143" spans="1:20" s="311" customFormat="1" ht="34.5" customHeight="1" x14ac:dyDescent="0.2">
      <c r="A143" s="378"/>
      <c r="B143" s="354" t="s">
        <v>506</v>
      </c>
      <c r="C143" s="353">
        <f>D143+E143+F143+J143+N143+O143+P143</f>
        <v>525.98699999999997</v>
      </c>
      <c r="D143" s="351">
        <v>0</v>
      </c>
      <c r="E143" s="348">
        <v>0</v>
      </c>
      <c r="F143" s="352">
        <f t="shared" si="14"/>
        <v>525.98699999999997</v>
      </c>
      <c r="G143" s="349">
        <v>525.98699999999997</v>
      </c>
      <c r="H143" s="349">
        <v>0</v>
      </c>
      <c r="I143" s="348">
        <v>0</v>
      </c>
      <c r="J143" s="351">
        <f t="shared" si="15"/>
        <v>0</v>
      </c>
      <c r="K143" s="349">
        <v>0</v>
      </c>
      <c r="L143" s="349">
        <v>0</v>
      </c>
      <c r="M143" s="348">
        <v>0</v>
      </c>
      <c r="N143" s="350">
        <v>0</v>
      </c>
      <c r="O143" s="349">
        <v>0</v>
      </c>
      <c r="P143" s="348">
        <v>0</v>
      </c>
      <c r="Q143" s="347" t="s">
        <v>488</v>
      </c>
      <c r="T143" s="312"/>
    </row>
    <row r="144" spans="1:20" s="311" customFormat="1" ht="34.5" customHeight="1" x14ac:dyDescent="0.2">
      <c r="A144" s="378"/>
      <c r="B144" s="354" t="s">
        <v>505</v>
      </c>
      <c r="C144" s="353">
        <f>D144+E144+F144+J144+N144+O144+P144+275.73</f>
        <v>2717.73</v>
      </c>
      <c r="D144" s="351">
        <v>0</v>
      </c>
      <c r="E144" s="348">
        <v>0</v>
      </c>
      <c r="F144" s="352">
        <f t="shared" si="14"/>
        <v>2442</v>
      </c>
      <c r="G144" s="349">
        <v>2442</v>
      </c>
      <c r="H144" s="349">
        <v>0</v>
      </c>
      <c r="I144" s="348">
        <v>0</v>
      </c>
      <c r="J144" s="351">
        <f t="shared" si="15"/>
        <v>0</v>
      </c>
      <c r="K144" s="349">
        <v>0</v>
      </c>
      <c r="L144" s="349">
        <v>0</v>
      </c>
      <c r="M144" s="348">
        <v>0</v>
      </c>
      <c r="N144" s="350">
        <v>0</v>
      </c>
      <c r="O144" s="349">
        <v>0</v>
      </c>
      <c r="P144" s="348">
        <v>0</v>
      </c>
      <c r="Q144" s="347" t="s">
        <v>502</v>
      </c>
      <c r="T144" s="312"/>
    </row>
    <row r="145" spans="1:20" s="311" customFormat="1" ht="34.5" customHeight="1" x14ac:dyDescent="0.2">
      <c r="A145" s="378"/>
      <c r="B145" s="354" t="s">
        <v>504</v>
      </c>
      <c r="C145" s="353">
        <f>D145+E145+F145+J145+N145+O145+P145+7</f>
        <v>1804.0350000000001</v>
      </c>
      <c r="D145" s="351">
        <v>0</v>
      </c>
      <c r="E145" s="348">
        <v>0</v>
      </c>
      <c r="F145" s="352">
        <f t="shared" si="14"/>
        <v>1797.0350000000001</v>
      </c>
      <c r="G145" s="349">
        <v>1797.0350000000001</v>
      </c>
      <c r="H145" s="349">
        <v>0</v>
      </c>
      <c r="I145" s="348">
        <v>0</v>
      </c>
      <c r="J145" s="351">
        <f t="shared" si="15"/>
        <v>0</v>
      </c>
      <c r="K145" s="349">
        <v>0</v>
      </c>
      <c r="L145" s="349">
        <v>0</v>
      </c>
      <c r="M145" s="348">
        <v>0</v>
      </c>
      <c r="N145" s="350">
        <v>0</v>
      </c>
      <c r="O145" s="349">
        <v>0</v>
      </c>
      <c r="P145" s="348">
        <v>0</v>
      </c>
      <c r="Q145" s="347" t="s">
        <v>502</v>
      </c>
      <c r="T145" s="312"/>
    </row>
    <row r="146" spans="1:20" s="311" customFormat="1" ht="34.5" customHeight="1" x14ac:dyDescent="0.2">
      <c r="A146" s="378"/>
      <c r="B146" s="354" t="s">
        <v>503</v>
      </c>
      <c r="C146" s="353">
        <f>D146+E146+F146+J146+N146+O146+P146+333</f>
        <v>1244.5455400000001</v>
      </c>
      <c r="D146" s="351">
        <v>0</v>
      </c>
      <c r="E146" s="348">
        <v>0</v>
      </c>
      <c r="F146" s="352">
        <f t="shared" si="14"/>
        <v>346.81554</v>
      </c>
      <c r="G146" s="349">
        <v>346.81554</v>
      </c>
      <c r="H146" s="349">
        <v>0</v>
      </c>
      <c r="I146" s="348">
        <v>0</v>
      </c>
      <c r="J146" s="351">
        <f t="shared" si="15"/>
        <v>564.73</v>
      </c>
      <c r="K146" s="349">
        <v>564.73</v>
      </c>
      <c r="L146" s="349">
        <v>0</v>
      </c>
      <c r="M146" s="348">
        <v>0</v>
      </c>
      <c r="N146" s="350">
        <v>0</v>
      </c>
      <c r="O146" s="349">
        <v>0</v>
      </c>
      <c r="P146" s="348">
        <v>0</v>
      </c>
      <c r="Q146" s="347" t="s">
        <v>502</v>
      </c>
      <c r="T146" s="312"/>
    </row>
    <row r="147" spans="1:20" s="311" customFormat="1" ht="34.5" customHeight="1" x14ac:dyDescent="0.2">
      <c r="A147" s="378"/>
      <c r="B147" s="354" t="s">
        <v>501</v>
      </c>
      <c r="C147" s="353">
        <f>D147+E147+F147+J147+N147+O147+P147</f>
        <v>665.5</v>
      </c>
      <c r="D147" s="351">
        <v>0</v>
      </c>
      <c r="E147" s="348">
        <v>0</v>
      </c>
      <c r="F147" s="352">
        <f t="shared" si="14"/>
        <v>665.5</v>
      </c>
      <c r="G147" s="349">
        <v>665.5</v>
      </c>
      <c r="H147" s="349">
        <v>0</v>
      </c>
      <c r="I147" s="348">
        <v>0</v>
      </c>
      <c r="J147" s="351">
        <f t="shared" si="15"/>
        <v>0</v>
      </c>
      <c r="K147" s="349">
        <v>0</v>
      </c>
      <c r="L147" s="349">
        <v>0</v>
      </c>
      <c r="M147" s="348">
        <v>0</v>
      </c>
      <c r="N147" s="350">
        <v>0</v>
      </c>
      <c r="O147" s="349">
        <v>0</v>
      </c>
      <c r="P147" s="348">
        <v>0</v>
      </c>
      <c r="Q147" s="347" t="s">
        <v>488</v>
      </c>
      <c r="T147" s="312"/>
    </row>
    <row r="148" spans="1:20" s="311" customFormat="1" ht="34.5" customHeight="1" x14ac:dyDescent="0.2">
      <c r="A148" s="379"/>
      <c r="B148" s="354" t="s">
        <v>500</v>
      </c>
      <c r="C148" s="353">
        <f>D148+E148+F148+J148+N148+O148+P148</f>
        <v>1700.0011999999999</v>
      </c>
      <c r="D148" s="351">
        <v>0</v>
      </c>
      <c r="E148" s="348">
        <v>0</v>
      </c>
      <c r="F148" s="352">
        <f t="shared" si="14"/>
        <v>52.1312</v>
      </c>
      <c r="G148" s="349">
        <v>52.1312</v>
      </c>
      <c r="H148" s="349">
        <v>0</v>
      </c>
      <c r="I148" s="348">
        <v>0</v>
      </c>
      <c r="J148" s="351">
        <f t="shared" si="15"/>
        <v>1647.87</v>
      </c>
      <c r="K148" s="349">
        <v>1647.87</v>
      </c>
      <c r="L148" s="349">
        <v>0</v>
      </c>
      <c r="M148" s="348">
        <v>0</v>
      </c>
      <c r="N148" s="350">
        <v>0</v>
      </c>
      <c r="O148" s="349">
        <v>0</v>
      </c>
      <c r="P148" s="348">
        <v>0</v>
      </c>
      <c r="Q148" s="380" t="s">
        <v>488</v>
      </c>
      <c r="T148" s="312"/>
    </row>
    <row r="149" spans="1:20" s="311" customFormat="1" ht="24.75" customHeight="1" thickBot="1" x14ac:dyDescent="0.25">
      <c r="A149" s="378"/>
      <c r="B149" s="354" t="s">
        <v>499</v>
      </c>
      <c r="C149" s="353">
        <f>D149+E149+F149+J149+N149+O149+P149</f>
        <v>485.73500000000001</v>
      </c>
      <c r="D149" s="351">
        <v>0</v>
      </c>
      <c r="E149" s="348">
        <v>0</v>
      </c>
      <c r="F149" s="352">
        <f t="shared" si="14"/>
        <v>485.73500000000001</v>
      </c>
      <c r="G149" s="349">
        <v>485.73500000000001</v>
      </c>
      <c r="H149" s="349">
        <v>0</v>
      </c>
      <c r="I149" s="348">
        <v>0</v>
      </c>
      <c r="J149" s="351">
        <f t="shared" si="15"/>
        <v>0</v>
      </c>
      <c r="K149" s="349">
        <v>0</v>
      </c>
      <c r="L149" s="349">
        <v>0</v>
      </c>
      <c r="M149" s="348">
        <v>0</v>
      </c>
      <c r="N149" s="350">
        <v>0</v>
      </c>
      <c r="O149" s="349">
        <v>0</v>
      </c>
      <c r="P149" s="348">
        <v>0</v>
      </c>
      <c r="Q149" s="347" t="s">
        <v>488</v>
      </c>
      <c r="T149" s="312"/>
    </row>
    <row r="150" spans="1:20" s="311" customFormat="1" ht="15.75" customHeight="1" x14ac:dyDescent="0.2">
      <c r="A150" s="1380" t="s">
        <v>498</v>
      </c>
      <c r="B150" s="1381"/>
      <c r="C150" s="377">
        <f t="shared" ref="C150:P150" si="16">SUM(C116:C149)</f>
        <v>443503.91197000002</v>
      </c>
      <c r="D150" s="373">
        <f t="shared" si="16"/>
        <v>5589.3547799999997</v>
      </c>
      <c r="E150" s="371">
        <f t="shared" si="16"/>
        <v>54709.356990000007</v>
      </c>
      <c r="F150" s="376">
        <f t="shared" si="16"/>
        <v>63621.800200000012</v>
      </c>
      <c r="G150" s="375">
        <f t="shared" si="16"/>
        <v>63621.800200000012</v>
      </c>
      <c r="H150" s="374">
        <f t="shared" si="16"/>
        <v>0</v>
      </c>
      <c r="I150" s="371">
        <f t="shared" si="16"/>
        <v>0</v>
      </c>
      <c r="J150" s="373">
        <f t="shared" si="16"/>
        <v>45159.110000000008</v>
      </c>
      <c r="K150" s="374">
        <f t="shared" si="16"/>
        <v>45159.110000000008</v>
      </c>
      <c r="L150" s="374">
        <f t="shared" si="16"/>
        <v>0</v>
      </c>
      <c r="M150" s="371">
        <f t="shared" si="16"/>
        <v>0</v>
      </c>
      <c r="N150" s="373">
        <f t="shared" si="16"/>
        <v>5599</v>
      </c>
      <c r="O150" s="372">
        <f t="shared" si="16"/>
        <v>16555</v>
      </c>
      <c r="P150" s="371">
        <f t="shared" si="16"/>
        <v>238840</v>
      </c>
      <c r="Q150" s="370"/>
      <c r="T150" s="312"/>
    </row>
    <row r="151" spans="1:20" s="368" customFormat="1" ht="18.75" customHeight="1" thickBot="1" x14ac:dyDescent="0.2">
      <c r="A151" s="1362" t="s">
        <v>497</v>
      </c>
      <c r="B151" s="1363"/>
      <c r="C151" s="1363"/>
      <c r="D151" s="1363"/>
      <c r="E151" s="1363"/>
      <c r="F151" s="1363"/>
      <c r="G151" s="1363"/>
      <c r="H151" s="1363"/>
      <c r="I151" s="1363"/>
      <c r="J151" s="1363"/>
      <c r="K151" s="1363"/>
      <c r="L151" s="1363"/>
      <c r="M151" s="1363"/>
      <c r="N151" s="1363"/>
      <c r="O151" s="1363"/>
      <c r="P151" s="1363"/>
      <c r="Q151" s="1364"/>
      <c r="T151" s="369"/>
    </row>
    <row r="152" spans="1:20" s="311" customFormat="1" ht="45.75" customHeight="1" x14ac:dyDescent="0.2">
      <c r="A152" s="367"/>
      <c r="B152" s="354" t="s">
        <v>496</v>
      </c>
      <c r="C152" s="353">
        <f>D152+E152+F152+J152+N152+O152+P152</f>
        <v>250</v>
      </c>
      <c r="D152" s="351">
        <v>0</v>
      </c>
      <c r="E152" s="348">
        <v>0</v>
      </c>
      <c r="F152" s="352">
        <f>G152+H152+I152</f>
        <v>250</v>
      </c>
      <c r="G152" s="349">
        <f>250</f>
        <v>250</v>
      </c>
      <c r="H152" s="349">
        <v>0</v>
      </c>
      <c r="I152" s="348">
        <v>0</v>
      </c>
      <c r="J152" s="351">
        <f>K152+L152+M152</f>
        <v>0</v>
      </c>
      <c r="K152" s="349">
        <v>0</v>
      </c>
      <c r="L152" s="349">
        <v>0</v>
      </c>
      <c r="M152" s="348">
        <v>0</v>
      </c>
      <c r="N152" s="350">
        <v>0</v>
      </c>
      <c r="O152" s="349">
        <v>0</v>
      </c>
      <c r="P152" s="348">
        <v>0</v>
      </c>
      <c r="Q152" s="347" t="s">
        <v>495</v>
      </c>
      <c r="T152" s="312"/>
    </row>
    <row r="153" spans="1:20" s="311" customFormat="1" ht="45.75" customHeight="1" thickBot="1" x14ac:dyDescent="0.25">
      <c r="A153" s="366"/>
      <c r="B153" s="354" t="s">
        <v>494</v>
      </c>
      <c r="C153" s="353">
        <f>D153+E153+F153+J153+N153+O153+P153</f>
        <v>75</v>
      </c>
      <c r="D153" s="351">
        <v>0</v>
      </c>
      <c r="E153" s="348">
        <v>0</v>
      </c>
      <c r="F153" s="352">
        <f>G153+H153+I153</f>
        <v>75</v>
      </c>
      <c r="G153" s="349">
        <f>75</f>
        <v>75</v>
      </c>
      <c r="H153" s="349">
        <v>0</v>
      </c>
      <c r="I153" s="348">
        <v>0</v>
      </c>
      <c r="J153" s="351">
        <f>K153+L153+M153</f>
        <v>0</v>
      </c>
      <c r="K153" s="349">
        <v>0</v>
      </c>
      <c r="L153" s="349">
        <v>0</v>
      </c>
      <c r="M153" s="348">
        <v>0</v>
      </c>
      <c r="N153" s="350">
        <v>0</v>
      </c>
      <c r="O153" s="349">
        <v>0</v>
      </c>
      <c r="P153" s="348">
        <v>0</v>
      </c>
      <c r="Q153" s="347" t="s">
        <v>493</v>
      </c>
      <c r="T153" s="312"/>
    </row>
    <row r="154" spans="1:20" s="311" customFormat="1" ht="15.75" customHeight="1" thickBot="1" x14ac:dyDescent="0.25">
      <c r="A154" s="1329" t="s">
        <v>492</v>
      </c>
      <c r="B154" s="1330"/>
      <c r="C154" s="365">
        <f t="shared" ref="C154:P154" si="17">SUM(C152:C153)</f>
        <v>325</v>
      </c>
      <c r="D154" s="332">
        <f t="shared" si="17"/>
        <v>0</v>
      </c>
      <c r="E154" s="330">
        <f t="shared" si="17"/>
        <v>0</v>
      </c>
      <c r="F154" s="332">
        <f t="shared" si="17"/>
        <v>325</v>
      </c>
      <c r="G154" s="331">
        <f t="shared" si="17"/>
        <v>325</v>
      </c>
      <c r="H154" s="364">
        <f t="shared" si="17"/>
        <v>0</v>
      </c>
      <c r="I154" s="330">
        <f t="shared" si="17"/>
        <v>0</v>
      </c>
      <c r="J154" s="332">
        <f t="shared" si="17"/>
        <v>0</v>
      </c>
      <c r="K154" s="331">
        <f t="shared" si="17"/>
        <v>0</v>
      </c>
      <c r="L154" s="331">
        <f t="shared" si="17"/>
        <v>0</v>
      </c>
      <c r="M154" s="330">
        <f t="shared" si="17"/>
        <v>0</v>
      </c>
      <c r="N154" s="332">
        <f t="shared" si="17"/>
        <v>0</v>
      </c>
      <c r="O154" s="331">
        <f t="shared" si="17"/>
        <v>0</v>
      </c>
      <c r="P154" s="330">
        <f t="shared" si="17"/>
        <v>0</v>
      </c>
      <c r="Q154" s="313"/>
      <c r="T154" s="312"/>
    </row>
    <row r="155" spans="1:20" s="328" customFormat="1" ht="18.75" customHeight="1" thickBot="1" x14ac:dyDescent="0.2">
      <c r="A155" s="1375" t="s">
        <v>491</v>
      </c>
      <c r="B155" s="1376"/>
      <c r="C155" s="1376"/>
      <c r="D155" s="1376"/>
      <c r="E155" s="1376"/>
      <c r="F155" s="1376"/>
      <c r="G155" s="1376"/>
      <c r="H155" s="1376"/>
      <c r="I155" s="1376"/>
      <c r="J155" s="1376"/>
      <c r="K155" s="1376"/>
      <c r="L155" s="1376"/>
      <c r="M155" s="1376"/>
      <c r="N155" s="1376"/>
      <c r="O155" s="1376"/>
      <c r="P155" s="1376"/>
      <c r="Q155" s="1377"/>
      <c r="T155" s="329"/>
    </row>
    <row r="156" spans="1:20" s="311" customFormat="1" ht="13.5" customHeight="1" x14ac:dyDescent="0.2">
      <c r="A156" s="1368" t="s">
        <v>490</v>
      </c>
      <c r="B156" s="363" t="s">
        <v>489</v>
      </c>
      <c r="C156" s="362">
        <f>D156+E156+F156+J156+N156+O156+P156</f>
        <v>199043.68747999999</v>
      </c>
      <c r="D156" s="360">
        <v>173087.22042999999</v>
      </c>
      <c r="E156" s="357">
        <v>112.53</v>
      </c>
      <c r="F156" s="361">
        <f>G156+H156+I156</f>
        <v>5343.9370500000005</v>
      </c>
      <c r="G156" s="358">
        <v>5343.9370500000005</v>
      </c>
      <c r="H156" s="358">
        <v>0</v>
      </c>
      <c r="I156" s="357">
        <v>0</v>
      </c>
      <c r="J156" s="360">
        <f>K156+L156+M156</f>
        <v>20500</v>
      </c>
      <c r="K156" s="358">
        <v>20500</v>
      </c>
      <c r="L156" s="358">
        <v>0</v>
      </c>
      <c r="M156" s="357">
        <v>0</v>
      </c>
      <c r="N156" s="359">
        <v>0</v>
      </c>
      <c r="O156" s="358">
        <v>0</v>
      </c>
      <c r="P156" s="357">
        <v>0</v>
      </c>
      <c r="Q156" s="356" t="s">
        <v>488</v>
      </c>
      <c r="T156" s="312"/>
    </row>
    <row r="157" spans="1:20" s="311" customFormat="1" ht="90" customHeight="1" x14ac:dyDescent="0.2">
      <c r="A157" s="1369"/>
      <c r="B157" s="354" t="s">
        <v>487</v>
      </c>
      <c r="C157" s="353">
        <f>D157+E157+F157+J157+N157+O157+P157</f>
        <v>10165.244340000001</v>
      </c>
      <c r="D157" s="351">
        <v>0</v>
      </c>
      <c r="E157" s="348">
        <v>0</v>
      </c>
      <c r="F157" s="352">
        <f>G157+H157+I157</f>
        <v>4525.69434</v>
      </c>
      <c r="G157" s="349">
        <v>4525.69434</v>
      </c>
      <c r="H157" s="349">
        <v>0</v>
      </c>
      <c r="I157" s="348">
        <v>0</v>
      </c>
      <c r="J157" s="351">
        <f>K157+L157+M157</f>
        <v>5639.55</v>
      </c>
      <c r="K157" s="349">
        <v>5639.55</v>
      </c>
      <c r="L157" s="349">
        <v>0</v>
      </c>
      <c r="M157" s="348">
        <v>0</v>
      </c>
      <c r="N157" s="350">
        <v>0</v>
      </c>
      <c r="O157" s="349">
        <v>0</v>
      </c>
      <c r="P157" s="348">
        <v>0</v>
      </c>
      <c r="Q157" s="347" t="s">
        <v>486</v>
      </c>
      <c r="T157" s="312"/>
    </row>
    <row r="158" spans="1:20" s="311" customFormat="1" ht="42" x14ac:dyDescent="0.2">
      <c r="A158" s="1369"/>
      <c r="B158" s="354" t="s">
        <v>485</v>
      </c>
      <c r="C158" s="353">
        <f>D158+E158+F158+J158+N158+O158+P158</f>
        <v>12712.68893</v>
      </c>
      <c r="D158" s="351">
        <v>0</v>
      </c>
      <c r="E158" s="348">
        <v>0</v>
      </c>
      <c r="F158" s="352">
        <f>G158+H158+I158</f>
        <v>5526.0889299999999</v>
      </c>
      <c r="G158" s="349">
        <v>5526.0889299999999</v>
      </c>
      <c r="H158" s="349">
        <v>0</v>
      </c>
      <c r="I158" s="348">
        <v>0</v>
      </c>
      <c r="J158" s="351">
        <f>K158+L158+M158</f>
        <v>7186.6</v>
      </c>
      <c r="K158" s="349">
        <v>7186.6</v>
      </c>
      <c r="L158" s="349">
        <v>0</v>
      </c>
      <c r="M158" s="348">
        <v>0</v>
      </c>
      <c r="N158" s="350">
        <v>0</v>
      </c>
      <c r="O158" s="349">
        <v>0</v>
      </c>
      <c r="P158" s="348">
        <v>0</v>
      </c>
      <c r="Q158" s="347" t="s">
        <v>484</v>
      </c>
      <c r="T158" s="312"/>
    </row>
    <row r="159" spans="1:20" s="311" customFormat="1" ht="24" customHeight="1" x14ac:dyDescent="0.2">
      <c r="A159" s="1370"/>
      <c r="B159" s="354" t="s">
        <v>483</v>
      </c>
      <c r="C159" s="353">
        <f>D159+E159+F159+J159+N159+O159+P159</f>
        <v>5500.0050000000001</v>
      </c>
      <c r="D159" s="351">
        <v>0</v>
      </c>
      <c r="E159" s="348">
        <v>0</v>
      </c>
      <c r="F159" s="352">
        <f>G159+H159+I159</f>
        <v>46.585000000000001</v>
      </c>
      <c r="G159" s="349">
        <v>46.585000000000001</v>
      </c>
      <c r="H159" s="349">
        <v>0</v>
      </c>
      <c r="I159" s="348">
        <v>0</v>
      </c>
      <c r="J159" s="351">
        <f>K159+L159+M159</f>
        <v>5453.42</v>
      </c>
      <c r="K159" s="349">
        <v>5453.42</v>
      </c>
      <c r="L159" s="349">
        <v>0</v>
      </c>
      <c r="M159" s="348">
        <v>0</v>
      </c>
      <c r="N159" s="350">
        <v>0</v>
      </c>
      <c r="O159" s="349">
        <v>0</v>
      </c>
      <c r="P159" s="348">
        <v>0</v>
      </c>
      <c r="Q159" s="347" t="s">
        <v>482</v>
      </c>
      <c r="T159" s="312"/>
    </row>
    <row r="160" spans="1:20" s="311" customFormat="1" ht="48.75" customHeight="1" thickBot="1" x14ac:dyDescent="0.25">
      <c r="A160" s="355" t="s">
        <v>481</v>
      </c>
      <c r="B160" s="354" t="s">
        <v>480</v>
      </c>
      <c r="C160" s="353">
        <f>D160+E160+F160+J160+N160+O160+P160</f>
        <v>2169.58</v>
      </c>
      <c r="D160" s="351">
        <v>0</v>
      </c>
      <c r="E160" s="348">
        <v>0</v>
      </c>
      <c r="F160" s="352">
        <f>G160+H160+I160</f>
        <v>964.8</v>
      </c>
      <c r="G160" s="349">
        <v>964.8</v>
      </c>
      <c r="H160" s="349">
        <v>0</v>
      </c>
      <c r="I160" s="348">
        <v>0</v>
      </c>
      <c r="J160" s="351">
        <f>K160+L160+M160</f>
        <v>1204.78</v>
      </c>
      <c r="K160" s="349">
        <v>1204.78</v>
      </c>
      <c r="L160" s="349">
        <v>0</v>
      </c>
      <c r="M160" s="348">
        <v>0</v>
      </c>
      <c r="N160" s="350">
        <v>0</v>
      </c>
      <c r="O160" s="349">
        <v>0</v>
      </c>
      <c r="P160" s="348">
        <v>0</v>
      </c>
      <c r="Q160" s="347" t="s">
        <v>479</v>
      </c>
      <c r="T160" s="312"/>
    </row>
    <row r="161" spans="1:20" s="311" customFormat="1" ht="24" customHeight="1" thickBot="1" x14ac:dyDescent="0.25">
      <c r="A161" s="1373" t="s">
        <v>478</v>
      </c>
      <c r="B161" s="1374"/>
      <c r="C161" s="346">
        <f t="shared" ref="C161:P161" si="18">SUM(C156:C160)</f>
        <v>229591.20574999999</v>
      </c>
      <c r="D161" s="345">
        <f t="shared" si="18"/>
        <v>173087.22042999999</v>
      </c>
      <c r="E161" s="343">
        <f t="shared" si="18"/>
        <v>112.53</v>
      </c>
      <c r="F161" s="345">
        <f t="shared" si="18"/>
        <v>16407.105319999999</v>
      </c>
      <c r="G161" s="344">
        <f t="shared" si="18"/>
        <v>16407.105319999999</v>
      </c>
      <c r="H161" s="344">
        <f t="shared" si="18"/>
        <v>0</v>
      </c>
      <c r="I161" s="343">
        <f t="shared" si="18"/>
        <v>0</v>
      </c>
      <c r="J161" s="345">
        <f t="shared" si="18"/>
        <v>39984.35</v>
      </c>
      <c r="K161" s="344">
        <f t="shared" si="18"/>
        <v>39984.35</v>
      </c>
      <c r="L161" s="344">
        <f t="shared" si="18"/>
        <v>0</v>
      </c>
      <c r="M161" s="343">
        <f t="shared" si="18"/>
        <v>0</v>
      </c>
      <c r="N161" s="342">
        <f t="shared" si="18"/>
        <v>0</v>
      </c>
      <c r="O161" s="341">
        <f t="shared" si="18"/>
        <v>0</v>
      </c>
      <c r="P161" s="340">
        <f t="shared" si="18"/>
        <v>0</v>
      </c>
      <c r="Q161" s="313"/>
      <c r="T161" s="312"/>
    </row>
    <row r="162" spans="1:20" s="334" customFormat="1" thickBot="1" x14ac:dyDescent="0.25">
      <c r="A162" s="339"/>
      <c r="B162" s="337"/>
      <c r="C162" s="337"/>
      <c r="D162" s="337"/>
      <c r="E162" s="337"/>
      <c r="F162" s="338"/>
      <c r="G162" s="338"/>
      <c r="H162" s="337"/>
      <c r="I162" s="337"/>
      <c r="J162" s="337"/>
      <c r="K162" s="337"/>
      <c r="L162" s="337"/>
      <c r="M162" s="337"/>
      <c r="N162" s="337"/>
      <c r="O162" s="337"/>
      <c r="P162" s="337"/>
      <c r="Q162" s="336"/>
      <c r="T162" s="335"/>
    </row>
    <row r="163" spans="1:20" s="311" customFormat="1" ht="15.75" customHeight="1" thickBot="1" x14ac:dyDescent="0.25">
      <c r="A163" s="1329" t="s">
        <v>477</v>
      </c>
      <c r="B163" s="1330"/>
      <c r="C163" s="333">
        <f t="shared" ref="C163:P163" si="19">SUM(C13+C18+C21+C39+C42+C46+C68+C114+C150+C154+C161)</f>
        <v>1457134.12959</v>
      </c>
      <c r="D163" s="332">
        <f t="shared" si="19"/>
        <v>237719.92698999998</v>
      </c>
      <c r="E163" s="330">
        <f t="shared" si="19"/>
        <v>139152.01453000001</v>
      </c>
      <c r="F163" s="332">
        <f t="shared" si="19"/>
        <v>279221.48278999998</v>
      </c>
      <c r="G163" s="331">
        <f t="shared" si="19"/>
        <v>277611.48278999998</v>
      </c>
      <c r="H163" s="331">
        <f t="shared" si="19"/>
        <v>1610</v>
      </c>
      <c r="I163" s="330">
        <f t="shared" si="19"/>
        <v>0</v>
      </c>
      <c r="J163" s="332">
        <f t="shared" si="19"/>
        <v>314060.09999999998</v>
      </c>
      <c r="K163" s="331">
        <f t="shared" si="19"/>
        <v>314060.09999999998</v>
      </c>
      <c r="L163" s="331">
        <f t="shared" si="19"/>
        <v>0</v>
      </c>
      <c r="M163" s="330">
        <f t="shared" si="19"/>
        <v>0</v>
      </c>
      <c r="N163" s="332">
        <f t="shared" si="19"/>
        <v>46113</v>
      </c>
      <c r="O163" s="331">
        <f t="shared" si="19"/>
        <v>75769</v>
      </c>
      <c r="P163" s="330">
        <f t="shared" si="19"/>
        <v>327894</v>
      </c>
      <c r="Q163" s="313"/>
      <c r="T163" s="312"/>
    </row>
    <row r="164" spans="1:20" s="328" customFormat="1" ht="30" customHeight="1" thickBot="1" x14ac:dyDescent="0.2">
      <c r="A164" s="1375" t="s">
        <v>476</v>
      </c>
      <c r="B164" s="1376"/>
      <c r="C164" s="1376"/>
      <c r="D164" s="1376"/>
      <c r="E164" s="1376"/>
      <c r="F164" s="1376"/>
      <c r="G164" s="1376"/>
      <c r="H164" s="1376"/>
      <c r="I164" s="1376"/>
      <c r="J164" s="1376"/>
      <c r="K164" s="1376"/>
      <c r="L164" s="1376"/>
      <c r="M164" s="1376"/>
      <c r="N164" s="1376"/>
      <c r="O164" s="1376"/>
      <c r="P164" s="1376"/>
      <c r="Q164" s="1377"/>
      <c r="T164" s="329"/>
    </row>
    <row r="165" spans="1:20" s="318" customFormat="1" ht="153" customHeight="1" thickBot="1" x14ac:dyDescent="0.25">
      <c r="A165" s="327"/>
      <c r="B165" s="326" t="s">
        <v>475</v>
      </c>
      <c r="C165" s="325">
        <f>D165+E165+F165+J165+N165+O165+P165</f>
        <v>620999.99799999991</v>
      </c>
      <c r="D165" s="323">
        <v>0</v>
      </c>
      <c r="E165" s="320">
        <v>28344.948</v>
      </c>
      <c r="F165" s="324">
        <f>G165+H165+I165</f>
        <v>6263.69</v>
      </c>
      <c r="G165" s="321">
        <v>6263.69</v>
      </c>
      <c r="H165" s="321">
        <v>0</v>
      </c>
      <c r="I165" s="320">
        <v>0</v>
      </c>
      <c r="J165" s="323">
        <f>K165+L165+M165</f>
        <v>258391.36</v>
      </c>
      <c r="K165" s="321">
        <v>258391.36</v>
      </c>
      <c r="L165" s="321">
        <v>0</v>
      </c>
      <c r="M165" s="320">
        <v>0</v>
      </c>
      <c r="N165" s="322">
        <v>289000</v>
      </c>
      <c r="O165" s="321">
        <v>39000</v>
      </c>
      <c r="P165" s="320">
        <v>0</v>
      </c>
      <c r="Q165" s="319" t="s">
        <v>474</v>
      </c>
      <c r="T165" s="297"/>
    </row>
    <row r="166" spans="1:20" s="311" customFormat="1" ht="15.75" customHeight="1" thickBot="1" x14ac:dyDescent="0.25">
      <c r="A166" s="1329" t="s">
        <v>473</v>
      </c>
      <c r="B166" s="1330"/>
      <c r="C166" s="317">
        <f t="shared" ref="C166:P166" si="20">SUM(C165:C165)</f>
        <v>620999.99799999991</v>
      </c>
      <c r="D166" s="316">
        <f t="shared" si="20"/>
        <v>0</v>
      </c>
      <c r="E166" s="314">
        <f t="shared" si="20"/>
        <v>28344.948</v>
      </c>
      <c r="F166" s="316">
        <f t="shared" si="20"/>
        <v>6263.69</v>
      </c>
      <c r="G166" s="315">
        <f t="shared" si="20"/>
        <v>6263.69</v>
      </c>
      <c r="H166" s="315">
        <f t="shared" si="20"/>
        <v>0</v>
      </c>
      <c r="I166" s="314">
        <f t="shared" si="20"/>
        <v>0</v>
      </c>
      <c r="J166" s="316">
        <f t="shared" si="20"/>
        <v>258391.36</v>
      </c>
      <c r="K166" s="315">
        <f t="shared" si="20"/>
        <v>258391.36</v>
      </c>
      <c r="L166" s="315">
        <f t="shared" si="20"/>
        <v>0</v>
      </c>
      <c r="M166" s="314">
        <f t="shared" si="20"/>
        <v>0</v>
      </c>
      <c r="N166" s="316">
        <f t="shared" si="20"/>
        <v>289000</v>
      </c>
      <c r="O166" s="315">
        <f t="shared" si="20"/>
        <v>39000</v>
      </c>
      <c r="P166" s="314">
        <f t="shared" si="20"/>
        <v>0</v>
      </c>
      <c r="Q166" s="313"/>
      <c r="T166" s="312"/>
    </row>
    <row r="167" spans="1:20" x14ac:dyDescent="0.2">
      <c r="A167" s="308"/>
      <c r="B167" s="308"/>
      <c r="C167" s="309"/>
      <c r="D167" s="309"/>
      <c r="E167" s="309"/>
      <c r="F167" s="309"/>
      <c r="G167" s="309"/>
      <c r="H167" s="310"/>
      <c r="I167" s="310"/>
      <c r="J167" s="310"/>
      <c r="K167" s="310"/>
      <c r="L167" s="309"/>
      <c r="M167" s="309"/>
      <c r="N167" s="309"/>
      <c r="O167" s="309"/>
      <c r="P167" s="309"/>
      <c r="Q167" s="308"/>
    </row>
    <row r="168" spans="1:20" ht="12.75" x14ac:dyDescent="0.2">
      <c r="B168" s="307"/>
      <c r="C168" s="297"/>
      <c r="D168" s="297"/>
      <c r="E168" s="297"/>
      <c r="G168" s="297"/>
      <c r="H168" s="298"/>
      <c r="I168" s="298"/>
      <c r="J168" s="298"/>
      <c r="K168" s="298"/>
      <c r="L168" s="297"/>
      <c r="M168" s="297"/>
      <c r="N168" s="297"/>
      <c r="O168" s="297"/>
      <c r="P168" s="297"/>
    </row>
    <row r="169" spans="1:20" ht="15" x14ac:dyDescent="0.2">
      <c r="A169" s="1378"/>
      <c r="B169" s="1379"/>
      <c r="C169" s="1379"/>
      <c r="D169" s="1379"/>
      <c r="E169" s="297"/>
      <c r="G169" s="297"/>
      <c r="H169" s="298"/>
      <c r="I169" s="298"/>
      <c r="J169" s="298"/>
      <c r="K169" s="298"/>
      <c r="L169" s="297"/>
      <c r="M169" s="297"/>
      <c r="N169" s="297"/>
      <c r="O169" s="297"/>
      <c r="P169" s="297"/>
    </row>
    <row r="170" spans="1:20" ht="12.75" x14ac:dyDescent="0.2">
      <c r="B170" s="307"/>
      <c r="C170" s="297"/>
      <c r="D170" s="297"/>
      <c r="E170" s="297"/>
      <c r="G170" s="297"/>
      <c r="H170" s="298"/>
      <c r="I170" s="298"/>
      <c r="J170" s="298"/>
      <c r="K170" s="298"/>
      <c r="L170" s="297"/>
      <c r="M170" s="297"/>
      <c r="N170" s="297"/>
      <c r="O170" s="297"/>
      <c r="P170" s="297"/>
    </row>
    <row r="171" spans="1:20" ht="12.75" x14ac:dyDescent="0.2">
      <c r="B171" s="307"/>
      <c r="C171" s="297"/>
      <c r="D171" s="297"/>
      <c r="E171" s="297"/>
      <c r="G171" s="297"/>
      <c r="H171" s="298"/>
      <c r="I171" s="298"/>
      <c r="J171" s="298"/>
      <c r="K171" s="298"/>
      <c r="L171" s="297"/>
      <c r="M171" s="297"/>
      <c r="N171" s="297"/>
      <c r="O171" s="297"/>
      <c r="P171" s="297"/>
    </row>
    <row r="172" spans="1:20" x14ac:dyDescent="0.2">
      <c r="B172" s="1371"/>
      <c r="C172" s="306"/>
      <c r="D172" s="306"/>
      <c r="E172" s="297"/>
      <c r="G172" s="297"/>
      <c r="H172" s="298"/>
      <c r="I172" s="298"/>
      <c r="J172" s="298"/>
      <c r="K172" s="298"/>
      <c r="L172" s="297"/>
      <c r="M172" s="297"/>
      <c r="N172" s="297"/>
      <c r="O172" s="297"/>
      <c r="P172" s="297"/>
    </row>
    <row r="173" spans="1:20" s="295" customFormat="1" x14ac:dyDescent="0.2">
      <c r="B173" s="1372"/>
      <c r="C173" s="305"/>
      <c r="D173" s="305"/>
      <c r="E173" s="298"/>
      <c r="F173" s="304"/>
      <c r="G173" s="298"/>
      <c r="H173" s="298"/>
      <c r="I173" s="298"/>
      <c r="J173" s="298"/>
      <c r="K173" s="298"/>
      <c r="L173" s="298"/>
      <c r="M173" s="298"/>
      <c r="N173" s="298"/>
      <c r="O173" s="298"/>
      <c r="P173" s="298"/>
    </row>
    <row r="174" spans="1:20" x14ac:dyDescent="0.2">
      <c r="B174" s="300"/>
      <c r="C174" s="299"/>
      <c r="D174" s="299"/>
      <c r="E174" s="297"/>
      <c r="G174" s="297"/>
      <c r="H174" s="298"/>
      <c r="I174" s="298"/>
      <c r="J174" s="298"/>
      <c r="K174" s="298"/>
      <c r="L174" s="297"/>
      <c r="M174" s="297"/>
      <c r="N174" s="297"/>
      <c r="O174" s="297"/>
      <c r="P174" s="297"/>
    </row>
    <row r="175" spans="1:20" x14ac:dyDescent="0.2">
      <c r="B175" s="300"/>
      <c r="C175" s="299"/>
      <c r="D175" s="299"/>
      <c r="E175" s="297"/>
      <c r="G175" s="297"/>
      <c r="H175" s="298"/>
      <c r="I175" s="298"/>
      <c r="J175" s="298"/>
      <c r="K175" s="298"/>
      <c r="L175" s="297"/>
      <c r="M175" s="297"/>
      <c r="N175" s="297"/>
      <c r="O175" s="297"/>
      <c r="P175" s="297"/>
    </row>
    <row r="176" spans="1:20" x14ac:dyDescent="0.2">
      <c r="B176" s="300"/>
      <c r="C176" s="299"/>
      <c r="D176" s="299"/>
      <c r="E176" s="297"/>
      <c r="G176" s="297"/>
      <c r="H176" s="298"/>
      <c r="I176" s="298"/>
      <c r="J176" s="298"/>
      <c r="K176" s="298"/>
      <c r="L176" s="297"/>
      <c r="M176" s="297"/>
      <c r="N176" s="297"/>
      <c r="O176" s="297"/>
      <c r="P176" s="297"/>
    </row>
    <row r="177" spans="2:16" x14ac:dyDescent="0.2">
      <c r="B177" s="300"/>
      <c r="C177" s="299"/>
      <c r="D177" s="299"/>
      <c r="E177" s="297"/>
      <c r="G177" s="297"/>
      <c r="H177" s="298"/>
      <c r="I177" s="298"/>
      <c r="J177" s="298"/>
      <c r="K177" s="298"/>
      <c r="L177" s="297"/>
      <c r="M177" s="297"/>
      <c r="N177" s="297"/>
      <c r="O177" s="297"/>
      <c r="P177" s="297"/>
    </row>
    <row r="178" spans="2:16" x14ac:dyDescent="0.2">
      <c r="B178" s="300"/>
      <c r="C178" s="299"/>
      <c r="D178" s="299"/>
      <c r="E178" s="297"/>
      <c r="G178" s="297"/>
      <c r="H178" s="298"/>
      <c r="I178" s="298"/>
      <c r="J178" s="298"/>
      <c r="K178" s="298"/>
      <c r="L178" s="297"/>
      <c r="M178" s="297"/>
      <c r="N178" s="297"/>
      <c r="O178" s="297"/>
      <c r="P178" s="297"/>
    </row>
    <row r="179" spans="2:16" x14ac:dyDescent="0.2">
      <c r="B179" s="303"/>
      <c r="C179" s="299"/>
      <c r="D179" s="299"/>
      <c r="E179" s="297"/>
      <c r="G179" s="297"/>
      <c r="H179" s="298"/>
      <c r="I179" s="298"/>
      <c r="J179" s="298"/>
      <c r="K179" s="298"/>
      <c r="L179" s="297"/>
      <c r="M179" s="297"/>
      <c r="N179" s="297"/>
      <c r="O179" s="297"/>
      <c r="P179" s="297"/>
    </row>
    <row r="180" spans="2:16" x14ac:dyDescent="0.2">
      <c r="B180" s="300"/>
      <c r="C180" s="299"/>
      <c r="D180" s="299"/>
      <c r="E180" s="297"/>
      <c r="G180" s="297"/>
      <c r="H180" s="298"/>
      <c r="I180" s="298"/>
      <c r="J180" s="298"/>
      <c r="K180" s="298"/>
      <c r="L180" s="297"/>
      <c r="M180" s="297"/>
      <c r="N180" s="297"/>
      <c r="O180" s="297"/>
      <c r="P180" s="297"/>
    </row>
    <row r="181" spans="2:16" x14ac:dyDescent="0.2">
      <c r="B181" s="302"/>
      <c r="C181" s="301"/>
      <c r="D181" s="301"/>
      <c r="E181" s="297"/>
      <c r="G181" s="297"/>
      <c r="H181" s="298"/>
      <c r="I181" s="298"/>
      <c r="J181" s="298"/>
      <c r="K181" s="298"/>
      <c r="L181" s="297"/>
      <c r="M181" s="297"/>
      <c r="N181" s="297"/>
      <c r="O181" s="297"/>
      <c r="P181" s="297"/>
    </row>
    <row r="182" spans="2:16" x14ac:dyDescent="0.2">
      <c r="B182" s="300"/>
      <c r="C182" s="299"/>
      <c r="D182" s="299"/>
      <c r="E182" s="297"/>
      <c r="G182" s="297"/>
      <c r="H182" s="298"/>
      <c r="I182" s="298"/>
      <c r="J182" s="298"/>
      <c r="K182" s="298"/>
      <c r="L182" s="297"/>
      <c r="M182" s="297"/>
      <c r="N182" s="297"/>
      <c r="O182" s="297"/>
      <c r="P182" s="297"/>
    </row>
    <row r="183" spans="2:16" x14ac:dyDescent="0.2">
      <c r="B183" s="300"/>
      <c r="C183" s="299"/>
      <c r="D183" s="299"/>
      <c r="E183" s="297"/>
      <c r="G183" s="297"/>
      <c r="H183" s="298"/>
      <c r="I183" s="298"/>
      <c r="J183" s="298"/>
      <c r="K183" s="298"/>
      <c r="L183" s="297"/>
      <c r="M183" s="297"/>
      <c r="N183" s="297"/>
      <c r="O183" s="297"/>
      <c r="P183" s="297"/>
    </row>
    <row r="184" spans="2:16" x14ac:dyDescent="0.2">
      <c r="B184" s="300"/>
      <c r="C184" s="299"/>
      <c r="D184" s="299"/>
      <c r="E184" s="297"/>
      <c r="G184" s="297"/>
      <c r="H184" s="298"/>
      <c r="I184" s="298"/>
      <c r="J184" s="298"/>
      <c r="K184" s="298"/>
      <c r="L184" s="297"/>
      <c r="M184" s="297"/>
      <c r="N184" s="297"/>
      <c r="O184" s="297"/>
      <c r="P184" s="297"/>
    </row>
    <row r="185" spans="2:16" x14ac:dyDescent="0.2">
      <c r="B185" s="300"/>
      <c r="C185" s="299"/>
      <c r="D185" s="299"/>
      <c r="E185" s="297"/>
      <c r="G185" s="297"/>
      <c r="H185" s="298"/>
      <c r="I185" s="298"/>
      <c r="J185" s="298"/>
      <c r="K185" s="298"/>
      <c r="L185" s="297"/>
      <c r="M185" s="297"/>
      <c r="N185" s="297"/>
      <c r="O185" s="297"/>
      <c r="P185" s="297"/>
    </row>
    <row r="186" spans="2:16" x14ac:dyDescent="0.2">
      <c r="C186" s="297"/>
      <c r="D186" s="297"/>
      <c r="E186" s="297"/>
      <c r="G186" s="297"/>
      <c r="H186" s="298"/>
      <c r="I186" s="298"/>
      <c r="J186" s="298"/>
      <c r="K186" s="298"/>
      <c r="L186" s="297"/>
      <c r="M186" s="297"/>
      <c r="N186" s="297"/>
      <c r="O186" s="297"/>
      <c r="P186" s="297"/>
    </row>
    <row r="187" spans="2:16" x14ac:dyDescent="0.2">
      <c r="C187" s="297"/>
      <c r="D187" s="297"/>
      <c r="E187" s="297"/>
      <c r="G187" s="297"/>
      <c r="H187" s="298"/>
      <c r="I187" s="298"/>
      <c r="J187" s="298"/>
      <c r="K187" s="298"/>
      <c r="L187" s="297"/>
      <c r="M187" s="297"/>
      <c r="N187" s="297"/>
      <c r="O187" s="297"/>
      <c r="P187" s="297"/>
    </row>
    <row r="188" spans="2:16" x14ac:dyDescent="0.2">
      <c r="C188" s="297"/>
      <c r="D188" s="297"/>
      <c r="E188" s="297"/>
      <c r="G188" s="297"/>
      <c r="H188" s="298"/>
      <c r="I188" s="298"/>
      <c r="J188" s="298"/>
      <c r="K188" s="298"/>
      <c r="L188" s="297"/>
      <c r="M188" s="297"/>
      <c r="N188" s="297"/>
      <c r="O188" s="297"/>
      <c r="P188" s="297"/>
    </row>
    <row r="189" spans="2:16" x14ac:dyDescent="0.2">
      <c r="C189" s="297"/>
      <c r="D189" s="297"/>
      <c r="E189" s="297"/>
      <c r="G189" s="297"/>
      <c r="H189" s="298"/>
      <c r="I189" s="298"/>
      <c r="J189" s="298"/>
      <c r="K189" s="298"/>
      <c r="L189" s="297"/>
      <c r="M189" s="297"/>
      <c r="N189" s="297"/>
      <c r="O189" s="297"/>
      <c r="P189" s="297"/>
    </row>
    <row r="190" spans="2:16" x14ac:dyDescent="0.2">
      <c r="C190" s="297"/>
      <c r="D190" s="297"/>
      <c r="E190" s="297"/>
      <c r="G190" s="297"/>
      <c r="H190" s="298"/>
      <c r="I190" s="298"/>
      <c r="J190" s="298"/>
      <c r="K190" s="298"/>
      <c r="L190" s="297"/>
      <c r="M190" s="297"/>
      <c r="N190" s="297"/>
      <c r="O190" s="297"/>
      <c r="P190" s="297"/>
    </row>
    <row r="191" spans="2:16" x14ac:dyDescent="0.2">
      <c r="C191" s="297"/>
      <c r="D191" s="297"/>
      <c r="E191" s="297"/>
      <c r="G191" s="297"/>
      <c r="H191" s="298"/>
      <c r="I191" s="298"/>
      <c r="J191" s="298"/>
      <c r="K191" s="298"/>
      <c r="L191" s="297"/>
      <c r="M191" s="297"/>
      <c r="N191" s="297"/>
      <c r="O191" s="297"/>
      <c r="P191" s="297"/>
    </row>
    <row r="192" spans="2:16" x14ac:dyDescent="0.2">
      <c r="C192" s="297"/>
      <c r="D192" s="297"/>
      <c r="E192" s="297"/>
      <c r="G192" s="297"/>
      <c r="H192" s="298"/>
      <c r="I192" s="298"/>
      <c r="J192" s="298"/>
      <c r="K192" s="298"/>
      <c r="L192" s="297"/>
      <c r="M192" s="297"/>
      <c r="N192" s="297"/>
      <c r="O192" s="297"/>
      <c r="P192" s="297"/>
    </row>
  </sheetData>
  <mergeCells count="37">
    <mergeCell ref="A156:A159"/>
    <mergeCell ref="B172:B173"/>
    <mergeCell ref="A151:Q151"/>
    <mergeCell ref="A154:B154"/>
    <mergeCell ref="A40:Q40"/>
    <mergeCell ref="A42:B42"/>
    <mergeCell ref="A161:B161"/>
    <mergeCell ref="A163:B163"/>
    <mergeCell ref="A164:Q164"/>
    <mergeCell ref="A166:B166"/>
    <mergeCell ref="A169:D169"/>
    <mergeCell ref="A69:Q69"/>
    <mergeCell ref="A114:B114"/>
    <mergeCell ref="A115:Q115"/>
    <mergeCell ref="A150:B150"/>
    <mergeCell ref="A155:Q155"/>
    <mergeCell ref="A68:B68"/>
    <mergeCell ref="A7:Q7"/>
    <mergeCell ref="A13:B13"/>
    <mergeCell ref="A14:Q14"/>
    <mergeCell ref="A18:B18"/>
    <mergeCell ref="A19:Q19"/>
    <mergeCell ref="A21:B21"/>
    <mergeCell ref="A22:Q22"/>
    <mergeCell ref="A39:B39"/>
    <mergeCell ref="A43:Q43"/>
    <mergeCell ref="Q4:Q6"/>
    <mergeCell ref="A46:B46"/>
    <mergeCell ref="A47:Q47"/>
    <mergeCell ref="A2:Q2"/>
    <mergeCell ref="A4:A6"/>
    <mergeCell ref="B4:B6"/>
    <mergeCell ref="C4:C6"/>
    <mergeCell ref="D4:E5"/>
    <mergeCell ref="F4:I5"/>
    <mergeCell ref="J4:M5"/>
    <mergeCell ref="N4:P4"/>
  </mergeCells>
  <printOptions horizontalCentered="1"/>
  <pageMargins left="0.39370078740157483" right="0.39370078740157483" top="0.59055118110236227" bottom="0.39370078740157483" header="0.31496062992125984" footer="0.11811023622047245"/>
  <pageSetup paperSize="9" scale="70" firstPageNumber="212" fitToHeight="0" orientation="landscape" useFirstPageNumber="1" r:id="rId1"/>
  <headerFooter alignWithMargins="0">
    <oddHeader>&amp;L&amp;"Tahoma,Kurzíva"Závěrečný účet za rok 2015&amp;R&amp;"Tahoma,Kurzíva"Tabulka č. 3</oddHeader>
    <oddFooter>&amp;C&amp;"Tahoma,Obyčejné"&amp;P</oddFooter>
  </headerFooter>
  <rowBreaks count="2" manualBreakCount="2">
    <brk id="27" max="16" man="1"/>
    <brk id="148"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6"/>
  <sheetViews>
    <sheetView zoomScaleNormal="100" zoomScaleSheetLayoutView="100" workbookViewId="0">
      <selection activeCell="A36" sqref="A36"/>
    </sheetView>
  </sheetViews>
  <sheetFormatPr defaultRowHeight="12.75" x14ac:dyDescent="0.2"/>
  <cols>
    <col min="1" max="1" width="45.7109375" style="426" customWidth="1"/>
    <col min="2" max="2" width="12.5703125" style="427" hidden="1" customWidth="1"/>
    <col min="3" max="6" width="11.42578125" style="426" customWidth="1"/>
    <col min="7" max="16384" width="9.140625" style="426"/>
  </cols>
  <sheetData>
    <row r="2" spans="1:6" ht="33" customHeight="1" x14ac:dyDescent="0.2">
      <c r="A2" s="1382" t="s">
        <v>713</v>
      </c>
      <c r="B2" s="1382"/>
      <c r="C2" s="1382"/>
      <c r="D2" s="1382"/>
      <c r="E2" s="1382"/>
      <c r="F2" s="1382"/>
    </row>
    <row r="3" spans="1:6" ht="13.5" thickBot="1" x14ac:dyDescent="0.25">
      <c r="A3" s="451"/>
      <c r="B3" s="452"/>
      <c r="C3" s="451"/>
      <c r="D3" s="451"/>
      <c r="E3" s="451"/>
      <c r="F3" s="450" t="s">
        <v>2</v>
      </c>
    </row>
    <row r="4" spans="1:6" ht="30" customHeight="1" thickBot="1" x14ac:dyDescent="0.25">
      <c r="A4" s="449" t="s">
        <v>9</v>
      </c>
      <c r="B4" s="448" t="s">
        <v>712</v>
      </c>
      <c r="C4" s="447" t="s">
        <v>111</v>
      </c>
      <c r="D4" s="447" t="s">
        <v>110</v>
      </c>
      <c r="E4" s="447" t="s">
        <v>1</v>
      </c>
      <c r="F4" s="446" t="s">
        <v>711</v>
      </c>
    </row>
    <row r="5" spans="1:6" ht="28.5" customHeight="1" x14ac:dyDescent="0.2">
      <c r="A5" s="439" t="s">
        <v>710</v>
      </c>
      <c r="B5" s="438">
        <v>1711</v>
      </c>
      <c r="C5" s="437">
        <v>5000</v>
      </c>
      <c r="D5" s="437">
        <v>5000</v>
      </c>
      <c r="E5" s="437">
        <v>4979.5619999999999</v>
      </c>
      <c r="F5" s="436">
        <f t="shared" ref="F5:F46" si="0">(E5/D5)*100</f>
        <v>99.591239999999999</v>
      </c>
    </row>
    <row r="6" spans="1:6" ht="15" customHeight="1" x14ac:dyDescent="0.2">
      <c r="A6" s="439" t="s">
        <v>709</v>
      </c>
      <c r="B6" s="438">
        <v>1712</v>
      </c>
      <c r="C6" s="437">
        <v>3500</v>
      </c>
      <c r="D6" s="437">
        <v>3500</v>
      </c>
      <c r="E6" s="437">
        <v>3451.0329999999999</v>
      </c>
      <c r="F6" s="436">
        <f t="shared" si="0"/>
        <v>98.600942857142854</v>
      </c>
    </row>
    <row r="7" spans="1:6" ht="27.75" customHeight="1" x14ac:dyDescent="0.2">
      <c r="A7" s="439" t="s">
        <v>708</v>
      </c>
      <c r="B7" s="438">
        <v>1710</v>
      </c>
      <c r="C7" s="437">
        <v>1000</v>
      </c>
      <c r="D7" s="437">
        <v>1000</v>
      </c>
      <c r="E7" s="437">
        <v>992.45399999999995</v>
      </c>
      <c r="F7" s="436">
        <f t="shared" si="0"/>
        <v>99.245399999999989</v>
      </c>
    </row>
    <row r="8" spans="1:6" ht="18" customHeight="1" x14ac:dyDescent="0.2">
      <c r="A8" s="435" t="s">
        <v>707</v>
      </c>
      <c r="B8" s="434"/>
      <c r="C8" s="433">
        <f>SUM(C5:C7)</f>
        <v>9500</v>
      </c>
      <c r="D8" s="433">
        <f>SUM(D5:D7)</f>
        <v>9500</v>
      </c>
      <c r="E8" s="433">
        <f>SUM(E5:E7)</f>
        <v>9423.0489999999991</v>
      </c>
      <c r="F8" s="432">
        <f t="shared" si="0"/>
        <v>99.189989473684207</v>
      </c>
    </row>
    <row r="9" spans="1:6" ht="27.75" customHeight="1" x14ac:dyDescent="0.2">
      <c r="A9" s="439" t="s">
        <v>706</v>
      </c>
      <c r="B9" s="438">
        <v>1737</v>
      </c>
      <c r="C9" s="437">
        <v>20000</v>
      </c>
      <c r="D9" s="437">
        <v>684</v>
      </c>
      <c r="E9" s="437">
        <v>0</v>
      </c>
      <c r="F9" s="436">
        <f t="shared" si="0"/>
        <v>0</v>
      </c>
    </row>
    <row r="10" spans="1:6" ht="15" customHeight="1" x14ac:dyDescent="0.2">
      <c r="A10" s="439" t="s">
        <v>705</v>
      </c>
      <c r="B10" s="438">
        <v>1731</v>
      </c>
      <c r="C10" s="437">
        <v>11000</v>
      </c>
      <c r="D10" s="437">
        <v>26588.76</v>
      </c>
      <c r="E10" s="437">
        <v>777.48900000000003</v>
      </c>
      <c r="F10" s="436">
        <f t="shared" si="0"/>
        <v>2.924126585820475</v>
      </c>
    </row>
    <row r="11" spans="1:6" ht="15" customHeight="1" x14ac:dyDescent="0.2">
      <c r="A11" s="439" t="s">
        <v>704</v>
      </c>
      <c r="B11" s="438">
        <v>1733</v>
      </c>
      <c r="C11" s="437">
        <v>10000</v>
      </c>
      <c r="D11" s="437">
        <v>35947.43</v>
      </c>
      <c r="E11" s="437">
        <v>11373.167810000001</v>
      </c>
      <c r="F11" s="436">
        <f t="shared" si="0"/>
        <v>31.63833356098058</v>
      </c>
    </row>
    <row r="12" spans="1:6" ht="15" customHeight="1" x14ac:dyDescent="0.2">
      <c r="A12" s="439" t="s">
        <v>703</v>
      </c>
      <c r="B12" s="438">
        <v>1735</v>
      </c>
      <c r="C12" s="437">
        <v>10000</v>
      </c>
      <c r="D12" s="437">
        <v>19168.68</v>
      </c>
      <c r="E12" s="437">
        <v>8764.4724999999999</v>
      </c>
      <c r="F12" s="436">
        <f t="shared" si="0"/>
        <v>45.722879718373925</v>
      </c>
    </row>
    <row r="13" spans="1:6" ht="27.75" customHeight="1" x14ac:dyDescent="0.2">
      <c r="A13" s="439" t="s">
        <v>702</v>
      </c>
      <c r="B13" s="438">
        <v>1730</v>
      </c>
      <c r="C13" s="437">
        <v>8000</v>
      </c>
      <c r="D13" s="437">
        <v>14982.7</v>
      </c>
      <c r="E13" s="437">
        <v>12319.218409999999</v>
      </c>
      <c r="F13" s="436">
        <f t="shared" si="0"/>
        <v>82.222953206030951</v>
      </c>
    </row>
    <row r="14" spans="1:6" ht="27.75" customHeight="1" x14ac:dyDescent="0.2">
      <c r="A14" s="439" t="s">
        <v>701</v>
      </c>
      <c r="B14" s="438">
        <v>1734</v>
      </c>
      <c r="C14" s="437">
        <v>0</v>
      </c>
      <c r="D14" s="437">
        <v>3600</v>
      </c>
      <c r="E14" s="437">
        <v>0</v>
      </c>
      <c r="F14" s="436">
        <f t="shared" si="0"/>
        <v>0</v>
      </c>
    </row>
    <row r="15" spans="1:6" ht="25.5" x14ac:dyDescent="0.2">
      <c r="A15" s="439" t="s">
        <v>700</v>
      </c>
      <c r="B15" s="438">
        <v>1736</v>
      </c>
      <c r="C15" s="437">
        <v>0</v>
      </c>
      <c r="D15" s="437">
        <v>1832.35</v>
      </c>
      <c r="E15" s="437">
        <v>1709.63626</v>
      </c>
      <c r="F15" s="442">
        <f t="shared" si="0"/>
        <v>93.302931208557311</v>
      </c>
    </row>
    <row r="16" spans="1:6" ht="27.75" customHeight="1" x14ac:dyDescent="0.2">
      <c r="A16" s="439" t="s">
        <v>699</v>
      </c>
      <c r="B16" s="438">
        <v>1732</v>
      </c>
      <c r="C16" s="437">
        <v>0</v>
      </c>
      <c r="D16" s="437">
        <v>335.8</v>
      </c>
      <c r="E16" s="437">
        <v>125.65</v>
      </c>
      <c r="F16" s="436">
        <f t="shared" si="0"/>
        <v>37.418106015485407</v>
      </c>
    </row>
    <row r="17" spans="1:7" ht="18" customHeight="1" x14ac:dyDescent="0.2">
      <c r="A17" s="435" t="s">
        <v>698</v>
      </c>
      <c r="B17" s="434"/>
      <c r="C17" s="433">
        <f>SUM(C9:C16)</f>
        <v>59000</v>
      </c>
      <c r="D17" s="433">
        <f>SUM(D9:D16)</f>
        <v>103139.72</v>
      </c>
      <c r="E17" s="433">
        <f>SUM(E9:E16)</f>
        <v>35069.633979999999</v>
      </c>
      <c r="F17" s="432">
        <f t="shared" si="0"/>
        <v>34.002064364727772</v>
      </c>
    </row>
    <row r="18" spans="1:7" ht="27.75" customHeight="1" x14ac:dyDescent="0.2">
      <c r="A18" s="445" t="s">
        <v>697</v>
      </c>
      <c r="B18" s="444">
        <v>1744</v>
      </c>
      <c r="C18" s="443">
        <v>5000</v>
      </c>
      <c r="D18" s="443">
        <v>7000</v>
      </c>
      <c r="E18" s="443">
        <v>2296.35</v>
      </c>
      <c r="F18" s="436">
        <f t="shared" si="0"/>
        <v>32.805</v>
      </c>
    </row>
    <row r="19" spans="1:7" ht="15" customHeight="1" x14ac:dyDescent="0.2">
      <c r="A19" s="445" t="s">
        <v>696</v>
      </c>
      <c r="B19" s="444">
        <v>1742</v>
      </c>
      <c r="C19" s="443">
        <v>3000</v>
      </c>
      <c r="D19" s="443">
        <v>6281.72</v>
      </c>
      <c r="E19" s="443">
        <v>3717.527</v>
      </c>
      <c r="F19" s="436">
        <f t="shared" si="0"/>
        <v>59.180081251631719</v>
      </c>
    </row>
    <row r="20" spans="1:7" ht="27.75" customHeight="1" x14ac:dyDescent="0.2">
      <c r="A20" s="445" t="s">
        <v>695</v>
      </c>
      <c r="B20" s="444">
        <v>1740</v>
      </c>
      <c r="C20" s="443">
        <v>3000</v>
      </c>
      <c r="D20" s="443">
        <v>1826.66</v>
      </c>
      <c r="E20" s="443">
        <v>1826.6579999999999</v>
      </c>
      <c r="F20" s="436">
        <f t="shared" si="0"/>
        <v>99.999890510549292</v>
      </c>
    </row>
    <row r="21" spans="1:7" ht="15" customHeight="1" x14ac:dyDescent="0.2">
      <c r="A21" s="439" t="s">
        <v>694</v>
      </c>
      <c r="B21" s="438" t="s">
        <v>693</v>
      </c>
      <c r="C21" s="437">
        <v>1000</v>
      </c>
      <c r="D21" s="437">
        <f>1724.92+339.4</f>
        <v>2064.3200000000002</v>
      </c>
      <c r="E21" s="437">
        <f>1692.866+334.588</f>
        <v>2027.454</v>
      </c>
      <c r="F21" s="436">
        <f t="shared" si="0"/>
        <v>98.214133467679417</v>
      </c>
      <c r="G21" s="440"/>
    </row>
    <row r="22" spans="1:7" ht="27.75" customHeight="1" x14ac:dyDescent="0.2">
      <c r="A22" s="439" t="s">
        <v>692</v>
      </c>
      <c r="B22" s="438">
        <v>1741</v>
      </c>
      <c r="C22" s="437">
        <v>1000</v>
      </c>
      <c r="D22" s="437">
        <v>1353.65</v>
      </c>
      <c r="E22" s="437">
        <v>750.74300000000005</v>
      </c>
      <c r="F22" s="436">
        <f t="shared" si="0"/>
        <v>55.460643445499201</v>
      </c>
    </row>
    <row r="23" spans="1:7" ht="18" customHeight="1" x14ac:dyDescent="0.2">
      <c r="A23" s="435" t="s">
        <v>691</v>
      </c>
      <c r="B23" s="434"/>
      <c r="C23" s="433">
        <f>SUM(C18:C22)</f>
        <v>13000</v>
      </c>
      <c r="D23" s="433">
        <f>SUM(D18:D22)</f>
        <v>18526.350000000002</v>
      </c>
      <c r="E23" s="433">
        <f>SUM(E18:E22)</f>
        <v>10618.732</v>
      </c>
      <c r="F23" s="432">
        <f t="shared" si="0"/>
        <v>57.316913477290441</v>
      </c>
    </row>
    <row r="24" spans="1:7" ht="27.75" customHeight="1" x14ac:dyDescent="0.2">
      <c r="A24" s="439" t="s">
        <v>690</v>
      </c>
      <c r="B24" s="438" t="s">
        <v>689</v>
      </c>
      <c r="C24" s="437">
        <v>82000</v>
      </c>
      <c r="D24" s="437">
        <f>59497.38+1674.1</f>
        <v>61171.479999999996</v>
      </c>
      <c r="E24" s="437">
        <f>58517.992+1674.1</f>
        <v>60192.091999999997</v>
      </c>
      <c r="F24" s="436">
        <f t="shared" si="0"/>
        <v>98.39894669869031</v>
      </c>
    </row>
    <row r="25" spans="1:7" ht="27.75" customHeight="1" x14ac:dyDescent="0.2">
      <c r="A25" s="439" t="s">
        <v>688</v>
      </c>
      <c r="B25" s="438">
        <v>1775</v>
      </c>
      <c r="C25" s="437">
        <v>6000</v>
      </c>
      <c r="D25" s="437">
        <v>2480</v>
      </c>
      <c r="E25" s="437">
        <v>2480</v>
      </c>
      <c r="F25" s="436">
        <f t="shared" si="0"/>
        <v>100</v>
      </c>
    </row>
    <row r="26" spans="1:7" ht="41.25" customHeight="1" x14ac:dyDescent="0.2">
      <c r="A26" s="439" t="s">
        <v>687</v>
      </c>
      <c r="B26" s="438">
        <v>1774</v>
      </c>
      <c r="C26" s="437">
        <v>3600</v>
      </c>
      <c r="D26" s="437">
        <v>2755.8</v>
      </c>
      <c r="E26" s="437">
        <v>2755.8</v>
      </c>
      <c r="F26" s="436">
        <f t="shared" si="0"/>
        <v>100</v>
      </c>
    </row>
    <row r="27" spans="1:7" ht="15" customHeight="1" x14ac:dyDescent="0.2">
      <c r="A27" s="439" t="s">
        <v>686</v>
      </c>
      <c r="B27" s="438">
        <v>1770</v>
      </c>
      <c r="C27" s="437">
        <v>2300</v>
      </c>
      <c r="D27" s="437">
        <v>3231.4</v>
      </c>
      <c r="E27" s="437">
        <v>3231.4</v>
      </c>
      <c r="F27" s="436">
        <f t="shared" si="0"/>
        <v>100</v>
      </c>
    </row>
    <row r="28" spans="1:7" ht="41.25" customHeight="1" x14ac:dyDescent="0.2">
      <c r="A28" s="439" t="s">
        <v>685</v>
      </c>
      <c r="B28" s="438">
        <v>1772</v>
      </c>
      <c r="C28" s="437">
        <v>2300</v>
      </c>
      <c r="D28" s="437">
        <v>2307.3000000000002</v>
      </c>
      <c r="E28" s="437">
        <v>2307.3000000000002</v>
      </c>
      <c r="F28" s="436">
        <f t="shared" si="0"/>
        <v>100</v>
      </c>
    </row>
    <row r="29" spans="1:7" ht="27.75" customHeight="1" x14ac:dyDescent="0.2">
      <c r="A29" s="439" t="s">
        <v>684</v>
      </c>
      <c r="B29" s="438">
        <v>1773</v>
      </c>
      <c r="C29" s="437">
        <v>2000</v>
      </c>
      <c r="D29" s="437">
        <v>2854.9</v>
      </c>
      <c r="E29" s="437">
        <v>2853.09148</v>
      </c>
      <c r="F29" s="436">
        <f t="shared" si="0"/>
        <v>99.936652071876424</v>
      </c>
    </row>
    <row r="30" spans="1:7" ht="27.75" customHeight="1" x14ac:dyDescent="0.2">
      <c r="A30" s="439" t="s">
        <v>683</v>
      </c>
      <c r="B30" s="438">
        <v>1771</v>
      </c>
      <c r="C30" s="437">
        <v>700</v>
      </c>
      <c r="D30" s="437">
        <v>833.7</v>
      </c>
      <c r="E30" s="437">
        <v>833.02</v>
      </c>
      <c r="F30" s="436">
        <f t="shared" si="0"/>
        <v>99.918435888209174</v>
      </c>
    </row>
    <row r="31" spans="1:7" ht="41.25" customHeight="1" x14ac:dyDescent="0.2">
      <c r="A31" s="439" t="s">
        <v>682</v>
      </c>
      <c r="B31" s="438">
        <v>1776</v>
      </c>
      <c r="C31" s="437">
        <v>700</v>
      </c>
      <c r="D31" s="437">
        <v>548.29999999999995</v>
      </c>
      <c r="E31" s="437">
        <v>548.29999999999995</v>
      </c>
      <c r="F31" s="436">
        <f t="shared" si="0"/>
        <v>100</v>
      </c>
    </row>
    <row r="32" spans="1:7" ht="15" customHeight="1" x14ac:dyDescent="0.2">
      <c r="A32" s="439" t="s">
        <v>681</v>
      </c>
      <c r="B32" s="438" t="s">
        <v>680</v>
      </c>
      <c r="C32" s="437">
        <v>0</v>
      </c>
      <c r="D32" s="437">
        <f>704953.12+297410.88</f>
        <v>1002364</v>
      </c>
      <c r="E32" s="437">
        <f>704953.124+297410.876</f>
        <v>1002364</v>
      </c>
      <c r="F32" s="436">
        <f t="shared" si="0"/>
        <v>100</v>
      </c>
    </row>
    <row r="33" spans="1:7" ht="18" customHeight="1" x14ac:dyDescent="0.2">
      <c r="A33" s="435" t="s">
        <v>679</v>
      </c>
      <c r="B33" s="434"/>
      <c r="C33" s="433">
        <f>SUM(C24:C32)</f>
        <v>99600</v>
      </c>
      <c r="D33" s="433">
        <f>SUM(D24:D32)</f>
        <v>1078546.8799999999</v>
      </c>
      <c r="E33" s="433">
        <f>SUM(E24:E32)</f>
        <v>1077565.00348</v>
      </c>
      <c r="F33" s="432">
        <f t="shared" si="0"/>
        <v>99.908963018835124</v>
      </c>
    </row>
    <row r="34" spans="1:7" ht="15" customHeight="1" x14ac:dyDescent="0.2">
      <c r="A34" s="441" t="s">
        <v>678</v>
      </c>
      <c r="B34" s="438">
        <v>1760</v>
      </c>
      <c r="C34" s="437">
        <v>10000</v>
      </c>
      <c r="D34" s="437">
        <v>15017.29</v>
      </c>
      <c r="E34" s="437">
        <v>14998.253000000001</v>
      </c>
      <c r="F34" s="442">
        <f t="shared" si="0"/>
        <v>99.87323278700751</v>
      </c>
    </row>
    <row r="35" spans="1:7" ht="41.25" customHeight="1" x14ac:dyDescent="0.2">
      <c r="A35" s="439" t="s">
        <v>677</v>
      </c>
      <c r="B35" s="438">
        <v>1761</v>
      </c>
      <c r="C35" s="437">
        <v>2000</v>
      </c>
      <c r="D35" s="437">
        <v>2000</v>
      </c>
      <c r="E35" s="437">
        <v>2000</v>
      </c>
      <c r="F35" s="442">
        <f t="shared" si="0"/>
        <v>100</v>
      </c>
    </row>
    <row r="36" spans="1:7" ht="27.75" customHeight="1" x14ac:dyDescent="0.2">
      <c r="A36" s="441" t="s">
        <v>676</v>
      </c>
      <c r="B36" s="438">
        <v>1763</v>
      </c>
      <c r="C36" s="437">
        <v>1000</v>
      </c>
      <c r="D36" s="437">
        <v>1000</v>
      </c>
      <c r="E36" s="437">
        <v>1000</v>
      </c>
      <c r="F36" s="436">
        <f t="shared" si="0"/>
        <v>100</v>
      </c>
      <c r="G36" s="440"/>
    </row>
    <row r="37" spans="1:7" ht="18" customHeight="1" x14ac:dyDescent="0.2">
      <c r="A37" s="435" t="s">
        <v>675</v>
      </c>
      <c r="B37" s="434"/>
      <c r="C37" s="433">
        <f>SUM(C34:C36)</f>
        <v>13000</v>
      </c>
      <c r="D37" s="433">
        <f>SUM(D34:D36)</f>
        <v>18017.29</v>
      </c>
      <c r="E37" s="433">
        <f>SUM(E34:E36)</f>
        <v>17998.253000000001</v>
      </c>
      <c r="F37" s="432">
        <f t="shared" si="0"/>
        <v>99.894340380823081</v>
      </c>
    </row>
    <row r="38" spans="1:7" ht="15" customHeight="1" x14ac:dyDescent="0.2">
      <c r="A38" s="439" t="s">
        <v>674</v>
      </c>
      <c r="B38" s="438">
        <v>1700</v>
      </c>
      <c r="C38" s="437">
        <v>1000</v>
      </c>
      <c r="D38" s="437">
        <v>820</v>
      </c>
      <c r="E38" s="437">
        <v>812.8</v>
      </c>
      <c r="F38" s="436">
        <f t="shared" si="0"/>
        <v>99.121951219512198</v>
      </c>
    </row>
    <row r="39" spans="1:7" ht="18" customHeight="1" x14ac:dyDescent="0.2">
      <c r="A39" s="435" t="s">
        <v>673</v>
      </c>
      <c r="B39" s="434"/>
      <c r="C39" s="433">
        <f>SUM(C38)</f>
        <v>1000</v>
      </c>
      <c r="D39" s="433">
        <f>SUM(D38)</f>
        <v>820</v>
      </c>
      <c r="E39" s="433">
        <f>SUM(E38)</f>
        <v>812.8</v>
      </c>
      <c r="F39" s="432">
        <f t="shared" si="0"/>
        <v>99.121951219512198</v>
      </c>
    </row>
    <row r="40" spans="1:7" ht="25.5" x14ac:dyDescent="0.2">
      <c r="A40" s="439" t="s">
        <v>672</v>
      </c>
      <c r="B40" s="438">
        <v>1752</v>
      </c>
      <c r="C40" s="437">
        <v>19000</v>
      </c>
      <c r="D40" s="437">
        <v>19503.240000000002</v>
      </c>
      <c r="E40" s="437">
        <v>13701.404</v>
      </c>
      <c r="F40" s="436">
        <f t="shared" si="0"/>
        <v>70.25193762677381</v>
      </c>
    </row>
    <row r="41" spans="1:7" ht="15" customHeight="1" x14ac:dyDescent="0.2">
      <c r="A41" s="439" t="s">
        <v>671</v>
      </c>
      <c r="B41" s="438">
        <v>1750</v>
      </c>
      <c r="C41" s="437">
        <v>15000</v>
      </c>
      <c r="D41" s="437">
        <v>30992.27</v>
      </c>
      <c r="E41" s="437">
        <v>15587.68981</v>
      </c>
      <c r="F41" s="436">
        <f t="shared" si="0"/>
        <v>50.295411759125741</v>
      </c>
    </row>
    <row r="42" spans="1:7" ht="27.75" customHeight="1" x14ac:dyDescent="0.2">
      <c r="A42" s="439" t="s">
        <v>670</v>
      </c>
      <c r="B42" s="438">
        <v>1758</v>
      </c>
      <c r="C42" s="437">
        <v>1500</v>
      </c>
      <c r="D42" s="437">
        <v>1500</v>
      </c>
      <c r="E42" s="437">
        <v>1475.27826</v>
      </c>
      <c r="F42" s="436">
        <f t="shared" si="0"/>
        <v>98.351883999999998</v>
      </c>
    </row>
    <row r="43" spans="1:7" ht="15" customHeight="1" x14ac:dyDescent="0.2">
      <c r="A43" s="439" t="s">
        <v>669</v>
      </c>
      <c r="B43" s="438">
        <v>1756</v>
      </c>
      <c r="C43" s="437">
        <v>0</v>
      </c>
      <c r="D43" s="437">
        <v>39935</v>
      </c>
      <c r="E43" s="437">
        <v>39935</v>
      </c>
      <c r="F43" s="436">
        <f t="shared" si="0"/>
        <v>100</v>
      </c>
    </row>
    <row r="44" spans="1:7" ht="15" customHeight="1" x14ac:dyDescent="0.2">
      <c r="A44" s="439" t="s">
        <v>668</v>
      </c>
      <c r="B44" s="438">
        <v>1757</v>
      </c>
      <c r="C44" s="437">
        <v>0</v>
      </c>
      <c r="D44" s="437">
        <v>1540.01</v>
      </c>
      <c r="E44" s="437">
        <v>1539.9994999999999</v>
      </c>
      <c r="F44" s="436">
        <f t="shared" si="0"/>
        <v>99.999318186245532</v>
      </c>
    </row>
    <row r="45" spans="1:7" ht="18" customHeight="1" x14ac:dyDescent="0.2">
      <c r="A45" s="435" t="s">
        <v>667</v>
      </c>
      <c r="B45" s="434"/>
      <c r="C45" s="433">
        <f>SUM(C40:C44)</f>
        <v>35500</v>
      </c>
      <c r="D45" s="433">
        <f>SUM(D40:D44)</f>
        <v>93470.52</v>
      </c>
      <c r="E45" s="433">
        <f>SUM(E40:E44)</f>
        <v>72239.371570000003</v>
      </c>
      <c r="F45" s="432">
        <f t="shared" si="0"/>
        <v>77.285727703237342</v>
      </c>
    </row>
    <row r="46" spans="1:7" ht="18.75" customHeight="1" thickBot="1" x14ac:dyDescent="0.25">
      <c r="A46" s="431" t="s">
        <v>477</v>
      </c>
      <c r="B46" s="430"/>
      <c r="C46" s="429">
        <f>SUM(C8,C17,C23,C33,C37,C39,C45)</f>
        <v>230600</v>
      </c>
      <c r="D46" s="429">
        <f>SUM(D8,D17,D23,D33,D37,D39,D45)</f>
        <v>1322020.76</v>
      </c>
      <c r="E46" s="429">
        <f>SUM(E8,E17,E23,E33,E37,E39,E45)</f>
        <v>1223726.8430299999</v>
      </c>
      <c r="F46" s="428">
        <f t="shared" si="0"/>
        <v>92.56487341620867</v>
      </c>
    </row>
  </sheetData>
  <mergeCells count="1">
    <mergeCell ref="A2:F2"/>
  </mergeCells>
  <printOptions horizontalCentered="1"/>
  <pageMargins left="0.39370078740157483" right="0.39370078740157483" top="0.59055118110236227" bottom="0.39370078740157483" header="0.31496062992125984" footer="0.11811023622047245"/>
  <pageSetup paperSize="9" firstPageNumber="220" fitToHeight="2" orientation="portrait" useFirstPageNumber="1" r:id="rId1"/>
  <headerFooter alignWithMargins="0">
    <oddHeader>&amp;L&amp;"Tahoma,Kurzíva"&amp;9Závěrečný účet za rok 2015&amp;R&amp;"Tahoma,Kurzíva"&amp;9Tabulka č. 4</oddHeader>
    <oddFooter>&amp;C&amp;"Tahoma,Obyčejné"&amp;P</oddFooter>
  </headerFooter>
  <rowBreaks count="1" manualBreakCount="1">
    <brk id="33"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73"/>
  <sheetViews>
    <sheetView zoomScaleNormal="100" zoomScaleSheetLayoutView="100" workbookViewId="0">
      <selection activeCell="B566" sqref="B566"/>
    </sheetView>
  </sheetViews>
  <sheetFormatPr defaultRowHeight="12.75" x14ac:dyDescent="0.2"/>
  <cols>
    <col min="1" max="2" width="40.7109375" style="478" customWidth="1"/>
    <col min="3" max="4" width="12.7109375" style="478" customWidth="1"/>
    <col min="5" max="5" width="10.7109375" style="478" customWidth="1"/>
    <col min="6" max="16384" width="9.140625" style="468"/>
  </cols>
  <sheetData>
    <row r="1" spans="1:5" s="456" customFormat="1" x14ac:dyDescent="0.2">
      <c r="A1" s="453"/>
      <c r="B1" s="453"/>
      <c r="C1" s="454"/>
      <c r="D1" s="454"/>
      <c r="E1" s="455"/>
    </row>
    <row r="2" spans="1:5" s="456" customFormat="1" ht="21" customHeight="1" x14ac:dyDescent="0.2">
      <c r="A2" s="1382" t="s">
        <v>714</v>
      </c>
      <c r="B2" s="1382"/>
      <c r="C2" s="1382"/>
      <c r="D2" s="1382"/>
      <c r="E2" s="1382"/>
    </row>
    <row r="3" spans="1:5" s="456" customFormat="1" ht="15" x14ac:dyDescent="0.2">
      <c r="A3" s="457"/>
      <c r="B3" s="457"/>
      <c r="C3" s="458"/>
      <c r="D3" s="458"/>
      <c r="E3" s="457"/>
    </row>
    <row r="4" spans="1:5" s="456" customFormat="1" x14ac:dyDescent="0.2">
      <c r="A4" s="1402" t="s">
        <v>715</v>
      </c>
      <c r="B4" s="1402"/>
      <c r="C4" s="1402"/>
      <c r="D4" s="1402"/>
      <c r="E4" s="1402"/>
    </row>
    <row r="5" spans="1:5" s="456" customFormat="1" ht="7.5" customHeight="1" x14ac:dyDescent="0.2">
      <c r="A5" s="459"/>
      <c r="B5" s="459"/>
      <c r="C5" s="460"/>
      <c r="D5" s="460"/>
      <c r="E5" s="459"/>
    </row>
    <row r="6" spans="1:5" s="456" customFormat="1" ht="13.5" thickBot="1" x14ac:dyDescent="0.25">
      <c r="A6" s="461"/>
      <c r="B6" s="461"/>
      <c r="C6" s="462"/>
      <c r="D6" s="462"/>
      <c r="E6" s="450" t="s">
        <v>2</v>
      </c>
    </row>
    <row r="7" spans="1:5" s="456" customFormat="1" ht="30" customHeight="1" thickBot="1" x14ac:dyDescent="0.25">
      <c r="A7" s="449" t="s">
        <v>716</v>
      </c>
      <c r="B7" s="463" t="s">
        <v>717</v>
      </c>
      <c r="C7" s="447" t="s">
        <v>110</v>
      </c>
      <c r="D7" s="447" t="s">
        <v>1</v>
      </c>
      <c r="E7" s="446" t="s">
        <v>711</v>
      </c>
    </row>
    <row r="8" spans="1:5" s="456" customFormat="1" ht="18" customHeight="1" x14ac:dyDescent="0.2">
      <c r="A8" s="1403" t="s">
        <v>653</v>
      </c>
      <c r="B8" s="1404"/>
      <c r="C8" s="1404"/>
      <c r="D8" s="1404"/>
      <c r="E8" s="1405"/>
    </row>
    <row r="9" spans="1:5" ht="15" customHeight="1" x14ac:dyDescent="0.2">
      <c r="A9" s="464" t="s">
        <v>461</v>
      </c>
      <c r="B9" s="465" t="s">
        <v>718</v>
      </c>
      <c r="C9" s="466">
        <v>1000</v>
      </c>
      <c r="D9" s="466">
        <v>1000</v>
      </c>
      <c r="E9" s="467">
        <f>D9/C9*100</f>
        <v>100</v>
      </c>
    </row>
    <row r="10" spans="1:5" ht="25.5" x14ac:dyDescent="0.2">
      <c r="A10" s="1406" t="s">
        <v>719</v>
      </c>
      <c r="B10" s="465" t="s">
        <v>720</v>
      </c>
      <c r="C10" s="466">
        <v>200</v>
      </c>
      <c r="D10" s="466">
        <v>189.71600000000001</v>
      </c>
      <c r="E10" s="467">
        <f t="shared" ref="E10:E74" si="0">D10/C10*100</f>
        <v>94.858000000000004</v>
      </c>
    </row>
    <row r="11" spans="1:5" x14ac:dyDescent="0.2">
      <c r="A11" s="1406"/>
      <c r="B11" s="465" t="s">
        <v>721</v>
      </c>
      <c r="C11" s="466">
        <v>173</v>
      </c>
      <c r="D11" s="466">
        <v>173</v>
      </c>
      <c r="E11" s="467">
        <f t="shared" si="0"/>
        <v>100</v>
      </c>
    </row>
    <row r="12" spans="1:5" x14ac:dyDescent="0.2">
      <c r="A12" s="1406" t="s">
        <v>722</v>
      </c>
      <c r="B12" s="465" t="s">
        <v>723</v>
      </c>
      <c r="C12" s="466">
        <v>500</v>
      </c>
      <c r="D12" s="466">
        <v>0</v>
      </c>
      <c r="E12" s="467">
        <f t="shared" si="0"/>
        <v>0</v>
      </c>
    </row>
    <row r="13" spans="1:5" x14ac:dyDescent="0.2">
      <c r="A13" s="1406"/>
      <c r="B13" s="465" t="s">
        <v>724</v>
      </c>
      <c r="C13" s="466">
        <v>4000</v>
      </c>
      <c r="D13" s="466">
        <v>0</v>
      </c>
      <c r="E13" s="467">
        <f t="shared" si="0"/>
        <v>0</v>
      </c>
    </row>
    <row r="14" spans="1:5" x14ac:dyDescent="0.2">
      <c r="A14" s="1406"/>
      <c r="B14" s="465" t="s">
        <v>725</v>
      </c>
      <c r="C14" s="466">
        <v>2168.6799999999998</v>
      </c>
      <c r="D14" s="466">
        <v>2168.6750000000002</v>
      </c>
      <c r="E14" s="467">
        <f t="shared" si="0"/>
        <v>99.999769445008042</v>
      </c>
    </row>
    <row r="15" spans="1:5" x14ac:dyDescent="0.2">
      <c r="A15" s="1406"/>
      <c r="B15" s="465" t="s">
        <v>726</v>
      </c>
      <c r="C15" s="466">
        <v>12000</v>
      </c>
      <c r="D15" s="466">
        <v>11990.860060000001</v>
      </c>
      <c r="E15" s="467">
        <f t="shared" si="0"/>
        <v>99.923833833333347</v>
      </c>
    </row>
    <row r="16" spans="1:5" x14ac:dyDescent="0.2">
      <c r="A16" s="1406"/>
      <c r="B16" s="465" t="s">
        <v>727</v>
      </c>
      <c r="C16" s="466">
        <v>1000</v>
      </c>
      <c r="D16" s="466">
        <v>938.59881999999993</v>
      </c>
      <c r="E16" s="467">
        <f t="shared" si="0"/>
        <v>93.859881999999999</v>
      </c>
    </row>
    <row r="17" spans="1:5" ht="25.5" x14ac:dyDescent="0.2">
      <c r="A17" s="464" t="s">
        <v>728</v>
      </c>
      <c r="B17" s="465" t="s">
        <v>729</v>
      </c>
      <c r="C17" s="466">
        <v>146.97999999999999</v>
      </c>
      <c r="D17" s="466">
        <v>146.97521</v>
      </c>
      <c r="E17" s="467">
        <f t="shared" si="0"/>
        <v>99.996741053204531</v>
      </c>
    </row>
    <row r="18" spans="1:5" s="471" customFormat="1" ht="15.75" customHeight="1" x14ac:dyDescent="0.2">
      <c r="A18" s="1383" t="s">
        <v>730</v>
      </c>
      <c r="B18" s="1384"/>
      <c r="C18" s="469">
        <f>SUM(C9:C17)</f>
        <v>21188.66</v>
      </c>
      <c r="D18" s="469">
        <f>SUM(D9:D17)</f>
        <v>16607.825090000002</v>
      </c>
      <c r="E18" s="470">
        <f t="shared" si="0"/>
        <v>78.380723887211374</v>
      </c>
    </row>
    <row r="19" spans="1:5" s="471" customFormat="1" ht="18" customHeight="1" x14ac:dyDescent="0.2">
      <c r="A19" s="1390" t="s">
        <v>637</v>
      </c>
      <c r="B19" s="1391"/>
      <c r="C19" s="1391"/>
      <c r="D19" s="1391"/>
      <c r="E19" s="1392"/>
    </row>
    <row r="20" spans="1:5" ht="27.75" customHeight="1" x14ac:dyDescent="0.2">
      <c r="A20" s="472" t="s">
        <v>731</v>
      </c>
      <c r="B20" s="465" t="s">
        <v>732</v>
      </c>
      <c r="C20" s="466">
        <v>1500</v>
      </c>
      <c r="D20" s="466">
        <v>1500</v>
      </c>
      <c r="E20" s="467">
        <f t="shared" si="0"/>
        <v>100</v>
      </c>
    </row>
    <row r="21" spans="1:5" ht="27.75" customHeight="1" x14ac:dyDescent="0.2">
      <c r="A21" s="472" t="s">
        <v>733</v>
      </c>
      <c r="B21" s="465" t="s">
        <v>734</v>
      </c>
      <c r="C21" s="466">
        <v>1350</v>
      </c>
      <c r="D21" s="466">
        <v>1316.3593500000002</v>
      </c>
      <c r="E21" s="467">
        <f t="shared" si="0"/>
        <v>97.508100000000013</v>
      </c>
    </row>
    <row r="22" spans="1:5" x14ac:dyDescent="0.2">
      <c r="A22" s="1387" t="s">
        <v>735</v>
      </c>
      <c r="B22" s="465" t="s">
        <v>736</v>
      </c>
      <c r="C22" s="466">
        <v>300</v>
      </c>
      <c r="D22" s="466">
        <v>300</v>
      </c>
      <c r="E22" s="467">
        <f t="shared" si="0"/>
        <v>100</v>
      </c>
    </row>
    <row r="23" spans="1:5" x14ac:dyDescent="0.2">
      <c r="A23" s="1388"/>
      <c r="B23" s="465" t="s">
        <v>737</v>
      </c>
      <c r="C23" s="466">
        <v>1000</v>
      </c>
      <c r="D23" s="466">
        <v>1000</v>
      </c>
      <c r="E23" s="467">
        <f t="shared" si="0"/>
        <v>100</v>
      </c>
    </row>
    <row r="24" spans="1:5" ht="25.5" x14ac:dyDescent="0.2">
      <c r="A24" s="1388"/>
      <c r="B24" s="465" t="s">
        <v>738</v>
      </c>
      <c r="C24" s="466">
        <v>25</v>
      </c>
      <c r="D24" s="466">
        <v>25</v>
      </c>
      <c r="E24" s="467">
        <f t="shared" si="0"/>
        <v>100</v>
      </c>
    </row>
    <row r="25" spans="1:5" ht="25.5" x14ac:dyDescent="0.2">
      <c r="A25" s="1388"/>
      <c r="B25" s="465" t="s">
        <v>739</v>
      </c>
      <c r="C25" s="466">
        <v>20</v>
      </c>
      <c r="D25" s="466">
        <v>20</v>
      </c>
      <c r="E25" s="467">
        <f t="shared" si="0"/>
        <v>100</v>
      </c>
    </row>
    <row r="26" spans="1:5" ht="25.5" x14ac:dyDescent="0.2">
      <c r="A26" s="1388"/>
      <c r="B26" s="465" t="s">
        <v>740</v>
      </c>
      <c r="C26" s="466">
        <v>50</v>
      </c>
      <c r="D26" s="466">
        <v>50</v>
      </c>
      <c r="E26" s="467">
        <f t="shared" si="0"/>
        <v>100</v>
      </c>
    </row>
    <row r="27" spans="1:5" x14ac:dyDescent="0.2">
      <c r="A27" s="1388"/>
      <c r="B27" s="465" t="s">
        <v>741</v>
      </c>
      <c r="C27" s="466">
        <v>50</v>
      </c>
      <c r="D27" s="466">
        <v>50</v>
      </c>
      <c r="E27" s="467">
        <f t="shared" si="0"/>
        <v>100</v>
      </c>
    </row>
    <row r="28" spans="1:5" x14ac:dyDescent="0.2">
      <c r="A28" s="1388"/>
      <c r="B28" s="465" t="s">
        <v>742</v>
      </c>
      <c r="C28" s="466">
        <v>300</v>
      </c>
      <c r="D28" s="466">
        <v>300</v>
      </c>
      <c r="E28" s="467">
        <f t="shared" si="0"/>
        <v>100</v>
      </c>
    </row>
    <row r="29" spans="1:5" x14ac:dyDescent="0.2">
      <c r="A29" s="1388"/>
      <c r="B29" s="465" t="s">
        <v>743</v>
      </c>
      <c r="C29" s="466">
        <v>300</v>
      </c>
      <c r="D29" s="466">
        <v>300</v>
      </c>
      <c r="E29" s="467">
        <f t="shared" si="0"/>
        <v>100</v>
      </c>
    </row>
    <row r="30" spans="1:5" x14ac:dyDescent="0.2">
      <c r="A30" s="1388"/>
      <c r="B30" s="465" t="s">
        <v>744</v>
      </c>
      <c r="C30" s="466">
        <v>100</v>
      </c>
      <c r="D30" s="466">
        <v>100</v>
      </c>
      <c r="E30" s="467">
        <f t="shared" si="0"/>
        <v>100</v>
      </c>
    </row>
    <row r="31" spans="1:5" x14ac:dyDescent="0.2">
      <c r="A31" s="1388"/>
      <c r="B31" s="465" t="s">
        <v>745</v>
      </c>
      <c r="C31" s="466">
        <v>270</v>
      </c>
      <c r="D31" s="466">
        <v>0</v>
      </c>
      <c r="E31" s="467">
        <f t="shared" si="0"/>
        <v>0</v>
      </c>
    </row>
    <row r="32" spans="1:5" x14ac:dyDescent="0.2">
      <c r="A32" s="1388"/>
      <c r="B32" s="465" t="s">
        <v>746</v>
      </c>
      <c r="C32" s="466">
        <v>300</v>
      </c>
      <c r="D32" s="466">
        <v>0</v>
      </c>
      <c r="E32" s="467">
        <f t="shared" si="0"/>
        <v>0</v>
      </c>
    </row>
    <row r="33" spans="1:5" x14ac:dyDescent="0.2">
      <c r="A33" s="1388"/>
      <c r="B33" s="465" t="s">
        <v>747</v>
      </c>
      <c r="C33" s="466">
        <v>300</v>
      </c>
      <c r="D33" s="466">
        <v>300</v>
      </c>
      <c r="E33" s="467">
        <f t="shared" si="0"/>
        <v>100</v>
      </c>
    </row>
    <row r="34" spans="1:5" ht="25.5" x14ac:dyDescent="0.2">
      <c r="A34" s="1389"/>
      <c r="B34" s="465" t="s">
        <v>748</v>
      </c>
      <c r="C34" s="466">
        <v>70</v>
      </c>
      <c r="D34" s="466">
        <v>70</v>
      </c>
      <c r="E34" s="467">
        <f t="shared" si="0"/>
        <v>100</v>
      </c>
    </row>
    <row r="35" spans="1:5" ht="41.25" customHeight="1" x14ac:dyDescent="0.2">
      <c r="A35" s="472" t="s">
        <v>749</v>
      </c>
      <c r="B35" s="465" t="s">
        <v>750</v>
      </c>
      <c r="C35" s="466">
        <v>15994</v>
      </c>
      <c r="D35" s="466">
        <v>606.56409999999994</v>
      </c>
      <c r="E35" s="467">
        <f t="shared" si="0"/>
        <v>3.7924477929223452</v>
      </c>
    </row>
    <row r="36" spans="1:5" x14ac:dyDescent="0.2">
      <c r="A36" s="1387" t="s">
        <v>751</v>
      </c>
      <c r="B36" s="465" t="s">
        <v>752</v>
      </c>
      <c r="C36" s="466">
        <v>8.1999999999999993</v>
      </c>
      <c r="D36" s="466">
        <v>8.1999999999999993</v>
      </c>
      <c r="E36" s="467">
        <f t="shared" si="0"/>
        <v>100</v>
      </c>
    </row>
    <row r="37" spans="1:5" x14ac:dyDescent="0.2">
      <c r="A37" s="1388"/>
      <c r="B37" s="465" t="s">
        <v>723</v>
      </c>
      <c r="C37" s="466">
        <v>198.9</v>
      </c>
      <c r="D37" s="466">
        <v>198.9</v>
      </c>
      <c r="E37" s="467">
        <f t="shared" si="0"/>
        <v>100</v>
      </c>
    </row>
    <row r="38" spans="1:5" x14ac:dyDescent="0.2">
      <c r="A38" s="1388"/>
      <c r="B38" s="465" t="s">
        <v>753</v>
      </c>
      <c r="C38" s="466">
        <v>12.8</v>
      </c>
      <c r="D38" s="466">
        <v>12.8</v>
      </c>
      <c r="E38" s="467">
        <f t="shared" si="0"/>
        <v>100</v>
      </c>
    </row>
    <row r="39" spans="1:5" x14ac:dyDescent="0.2">
      <c r="A39" s="1388"/>
      <c r="B39" s="465" t="s">
        <v>754</v>
      </c>
      <c r="C39" s="466">
        <v>312.10000000000002</v>
      </c>
      <c r="D39" s="466">
        <v>312.10000000000002</v>
      </c>
      <c r="E39" s="467">
        <f t="shared" si="0"/>
        <v>100</v>
      </c>
    </row>
    <row r="40" spans="1:5" x14ac:dyDescent="0.2">
      <c r="A40" s="1388"/>
      <c r="B40" s="465" t="s">
        <v>755</v>
      </c>
      <c r="C40" s="466">
        <v>20.5</v>
      </c>
      <c r="D40" s="466">
        <v>20.5</v>
      </c>
      <c r="E40" s="467">
        <f t="shared" si="0"/>
        <v>100</v>
      </c>
    </row>
    <row r="41" spans="1:5" x14ac:dyDescent="0.2">
      <c r="A41" s="1388"/>
      <c r="B41" s="465" t="s">
        <v>756</v>
      </c>
      <c r="C41" s="466">
        <v>210.3</v>
      </c>
      <c r="D41" s="466">
        <v>210.3</v>
      </c>
      <c r="E41" s="467">
        <f t="shared" si="0"/>
        <v>100</v>
      </c>
    </row>
    <row r="42" spans="1:5" x14ac:dyDescent="0.2">
      <c r="A42" s="1388"/>
      <c r="B42" s="465" t="s">
        <v>757</v>
      </c>
      <c r="C42" s="466">
        <v>238.9</v>
      </c>
      <c r="D42" s="466">
        <v>238.9</v>
      </c>
      <c r="E42" s="467">
        <f t="shared" si="0"/>
        <v>100</v>
      </c>
    </row>
    <row r="43" spans="1:5" x14ac:dyDescent="0.2">
      <c r="A43" s="1388"/>
      <c r="B43" s="465" t="s">
        <v>758</v>
      </c>
      <c r="C43" s="466">
        <v>7.6</v>
      </c>
      <c r="D43" s="466">
        <v>7.6</v>
      </c>
      <c r="E43" s="467">
        <f t="shared" si="0"/>
        <v>100</v>
      </c>
    </row>
    <row r="44" spans="1:5" x14ac:dyDescent="0.2">
      <c r="A44" s="1388"/>
      <c r="B44" s="465" t="s">
        <v>759</v>
      </c>
      <c r="C44" s="466">
        <v>11.1</v>
      </c>
      <c r="D44" s="466">
        <v>11.1</v>
      </c>
      <c r="E44" s="467">
        <f t="shared" si="0"/>
        <v>100</v>
      </c>
    </row>
    <row r="45" spans="1:5" x14ac:dyDescent="0.2">
      <c r="A45" s="1388"/>
      <c r="B45" s="465" t="s">
        <v>760</v>
      </c>
      <c r="C45" s="466">
        <v>4134.7</v>
      </c>
      <c r="D45" s="466">
        <v>4134.7</v>
      </c>
      <c r="E45" s="467">
        <f t="shared" si="0"/>
        <v>100</v>
      </c>
    </row>
    <row r="46" spans="1:5" x14ac:dyDescent="0.2">
      <c r="A46" s="1388"/>
      <c r="B46" s="465" t="s">
        <v>761</v>
      </c>
      <c r="C46" s="466">
        <v>234.9</v>
      </c>
      <c r="D46" s="466">
        <v>234.9</v>
      </c>
      <c r="E46" s="467">
        <f t="shared" si="0"/>
        <v>100</v>
      </c>
    </row>
    <row r="47" spans="1:5" x14ac:dyDescent="0.2">
      <c r="A47" s="1388"/>
      <c r="B47" s="465" t="s">
        <v>762</v>
      </c>
      <c r="C47" s="466">
        <v>256.5</v>
      </c>
      <c r="D47" s="466">
        <v>256.5</v>
      </c>
      <c r="E47" s="467">
        <f t="shared" si="0"/>
        <v>100</v>
      </c>
    </row>
    <row r="48" spans="1:5" x14ac:dyDescent="0.2">
      <c r="A48" s="1388"/>
      <c r="B48" s="465" t="s">
        <v>763</v>
      </c>
      <c r="C48" s="466">
        <v>215.7</v>
      </c>
      <c r="D48" s="466">
        <v>215.7</v>
      </c>
      <c r="E48" s="467">
        <f t="shared" si="0"/>
        <v>100</v>
      </c>
    </row>
    <row r="49" spans="1:5" x14ac:dyDescent="0.2">
      <c r="A49" s="1388"/>
      <c r="B49" s="465" t="s">
        <v>764</v>
      </c>
      <c r="C49" s="466">
        <v>218.6</v>
      </c>
      <c r="D49" s="466">
        <v>218.6</v>
      </c>
      <c r="E49" s="467">
        <f t="shared" si="0"/>
        <v>100</v>
      </c>
    </row>
    <row r="50" spans="1:5" x14ac:dyDescent="0.2">
      <c r="A50" s="1388"/>
      <c r="B50" s="465" t="s">
        <v>765</v>
      </c>
      <c r="C50" s="466">
        <v>19.399999999999999</v>
      </c>
      <c r="D50" s="466">
        <v>19.399999999999999</v>
      </c>
      <c r="E50" s="467">
        <f t="shared" si="0"/>
        <v>100</v>
      </c>
    </row>
    <row r="51" spans="1:5" x14ac:dyDescent="0.2">
      <c r="A51" s="1388"/>
      <c r="B51" s="465" t="s">
        <v>766</v>
      </c>
      <c r="C51" s="466">
        <v>269.2</v>
      </c>
      <c r="D51" s="466">
        <v>269.2</v>
      </c>
      <c r="E51" s="467">
        <f t="shared" si="0"/>
        <v>100</v>
      </c>
    </row>
    <row r="52" spans="1:5" x14ac:dyDescent="0.2">
      <c r="A52" s="1388"/>
      <c r="B52" s="465" t="s">
        <v>767</v>
      </c>
      <c r="C52" s="466">
        <v>6.8</v>
      </c>
      <c r="D52" s="466">
        <v>6.8</v>
      </c>
      <c r="E52" s="467">
        <f t="shared" si="0"/>
        <v>100</v>
      </c>
    </row>
    <row r="53" spans="1:5" x14ac:dyDescent="0.2">
      <c r="A53" s="1388"/>
      <c r="B53" s="465" t="s">
        <v>768</v>
      </c>
      <c r="C53" s="466">
        <v>354.8</v>
      </c>
      <c r="D53" s="466">
        <v>354.8</v>
      </c>
      <c r="E53" s="467">
        <f t="shared" si="0"/>
        <v>100</v>
      </c>
    </row>
    <row r="54" spans="1:5" x14ac:dyDescent="0.2">
      <c r="A54" s="1388"/>
      <c r="B54" s="465" t="s">
        <v>769</v>
      </c>
      <c r="C54" s="466">
        <v>181.5</v>
      </c>
      <c r="D54" s="466">
        <v>181.5</v>
      </c>
      <c r="E54" s="467">
        <f t="shared" si="0"/>
        <v>100</v>
      </c>
    </row>
    <row r="55" spans="1:5" x14ac:dyDescent="0.2">
      <c r="A55" s="1388"/>
      <c r="B55" s="465" t="s">
        <v>770</v>
      </c>
      <c r="C55" s="466">
        <v>263.5</v>
      </c>
      <c r="D55" s="466">
        <v>263.5</v>
      </c>
      <c r="E55" s="467">
        <f t="shared" si="0"/>
        <v>100</v>
      </c>
    </row>
    <row r="56" spans="1:5" x14ac:dyDescent="0.2">
      <c r="A56" s="1388"/>
      <c r="B56" s="465" t="s">
        <v>771</v>
      </c>
      <c r="C56" s="466">
        <v>224.4</v>
      </c>
      <c r="D56" s="466">
        <v>224.4</v>
      </c>
      <c r="E56" s="467">
        <f t="shared" si="0"/>
        <v>100</v>
      </c>
    </row>
    <row r="57" spans="1:5" x14ac:dyDescent="0.2">
      <c r="A57" s="1388"/>
      <c r="B57" s="465" t="s">
        <v>772</v>
      </c>
      <c r="C57" s="466">
        <v>4.4000000000000004</v>
      </c>
      <c r="D57" s="466">
        <v>4.4000000000000004</v>
      </c>
      <c r="E57" s="467">
        <f t="shared" si="0"/>
        <v>100</v>
      </c>
    </row>
    <row r="58" spans="1:5" x14ac:dyDescent="0.2">
      <c r="A58" s="1388"/>
      <c r="B58" s="465" t="s">
        <v>773</v>
      </c>
      <c r="C58" s="466">
        <v>210.3</v>
      </c>
      <c r="D58" s="466">
        <v>210.3</v>
      </c>
      <c r="E58" s="467">
        <f t="shared" si="0"/>
        <v>100</v>
      </c>
    </row>
    <row r="59" spans="1:5" x14ac:dyDescent="0.2">
      <c r="A59" s="1388"/>
      <c r="B59" s="465" t="s">
        <v>774</v>
      </c>
      <c r="C59" s="466">
        <v>13.8</v>
      </c>
      <c r="D59" s="466">
        <v>13.8</v>
      </c>
      <c r="E59" s="467">
        <f t="shared" si="0"/>
        <v>100</v>
      </c>
    </row>
    <row r="60" spans="1:5" x14ac:dyDescent="0.2">
      <c r="A60" s="1388"/>
      <c r="B60" s="465" t="s">
        <v>775</v>
      </c>
      <c r="C60" s="466">
        <v>12.1</v>
      </c>
      <c r="D60" s="466">
        <v>12.1</v>
      </c>
      <c r="E60" s="467">
        <f t="shared" si="0"/>
        <v>100</v>
      </c>
    </row>
    <row r="61" spans="1:5" x14ac:dyDescent="0.2">
      <c r="A61" s="1388"/>
      <c r="B61" s="465" t="s">
        <v>737</v>
      </c>
      <c r="C61" s="466">
        <v>2.8</v>
      </c>
      <c r="D61" s="466">
        <v>2.8</v>
      </c>
      <c r="E61" s="467">
        <f t="shared" si="0"/>
        <v>100</v>
      </c>
    </row>
    <row r="62" spans="1:5" x14ac:dyDescent="0.2">
      <c r="A62" s="1388"/>
      <c r="B62" s="465" t="s">
        <v>776</v>
      </c>
      <c r="C62" s="466">
        <v>200.5</v>
      </c>
      <c r="D62" s="466">
        <v>200.5</v>
      </c>
      <c r="E62" s="467">
        <f t="shared" si="0"/>
        <v>100</v>
      </c>
    </row>
    <row r="63" spans="1:5" x14ac:dyDescent="0.2">
      <c r="A63" s="1388"/>
      <c r="B63" s="465" t="s">
        <v>777</v>
      </c>
      <c r="C63" s="466">
        <v>23.1</v>
      </c>
      <c r="D63" s="466">
        <v>23.1</v>
      </c>
      <c r="E63" s="467">
        <f t="shared" si="0"/>
        <v>100</v>
      </c>
    </row>
    <row r="64" spans="1:5" x14ac:dyDescent="0.2">
      <c r="A64" s="1388"/>
      <c r="B64" s="465" t="s">
        <v>778</v>
      </c>
      <c r="C64" s="466">
        <v>188</v>
      </c>
      <c r="D64" s="466">
        <v>188</v>
      </c>
      <c r="E64" s="467">
        <f t="shared" si="0"/>
        <v>100</v>
      </c>
    </row>
    <row r="65" spans="1:5" x14ac:dyDescent="0.2">
      <c r="A65" s="1388"/>
      <c r="B65" s="465" t="s">
        <v>779</v>
      </c>
      <c r="C65" s="466">
        <v>382.1</v>
      </c>
      <c r="D65" s="466">
        <v>382.1</v>
      </c>
      <c r="E65" s="467">
        <f t="shared" si="0"/>
        <v>100</v>
      </c>
    </row>
    <row r="66" spans="1:5" x14ac:dyDescent="0.2">
      <c r="A66" s="1388"/>
      <c r="B66" s="465" t="s">
        <v>780</v>
      </c>
      <c r="C66" s="466">
        <v>1005.6</v>
      </c>
      <c r="D66" s="466">
        <v>1005.6</v>
      </c>
      <c r="E66" s="467">
        <f t="shared" si="0"/>
        <v>100</v>
      </c>
    </row>
    <row r="67" spans="1:5" x14ac:dyDescent="0.2">
      <c r="A67" s="1388"/>
      <c r="B67" s="465" t="s">
        <v>781</v>
      </c>
      <c r="C67" s="466">
        <v>179.8</v>
      </c>
      <c r="D67" s="466">
        <v>179.8</v>
      </c>
      <c r="E67" s="467">
        <f t="shared" si="0"/>
        <v>100</v>
      </c>
    </row>
    <row r="68" spans="1:5" x14ac:dyDescent="0.2">
      <c r="A68" s="1388"/>
      <c r="B68" s="465" t="s">
        <v>782</v>
      </c>
      <c r="C68" s="466">
        <v>194.7</v>
      </c>
      <c r="D68" s="466">
        <v>194.7</v>
      </c>
      <c r="E68" s="467">
        <f t="shared" si="0"/>
        <v>100</v>
      </c>
    </row>
    <row r="69" spans="1:5" x14ac:dyDescent="0.2">
      <c r="A69" s="1388"/>
      <c r="B69" s="465" t="s">
        <v>783</v>
      </c>
      <c r="C69" s="466">
        <v>208.8</v>
      </c>
      <c r="D69" s="466">
        <v>208.8</v>
      </c>
      <c r="E69" s="467">
        <f t="shared" si="0"/>
        <v>100</v>
      </c>
    </row>
    <row r="70" spans="1:5" x14ac:dyDescent="0.2">
      <c r="A70" s="1388"/>
      <c r="B70" s="465" t="s">
        <v>784</v>
      </c>
      <c r="C70" s="466">
        <v>208.2</v>
      </c>
      <c r="D70" s="466">
        <v>208.2</v>
      </c>
      <c r="E70" s="467">
        <f t="shared" si="0"/>
        <v>100</v>
      </c>
    </row>
    <row r="71" spans="1:5" x14ac:dyDescent="0.2">
      <c r="A71" s="1388"/>
      <c r="B71" s="465" t="s">
        <v>785</v>
      </c>
      <c r="C71" s="466">
        <v>431.1</v>
      </c>
      <c r="D71" s="466">
        <v>431.1</v>
      </c>
      <c r="E71" s="467">
        <f t="shared" si="0"/>
        <v>100</v>
      </c>
    </row>
    <row r="72" spans="1:5" x14ac:dyDescent="0.2">
      <c r="A72" s="1388"/>
      <c r="B72" s="465" t="s">
        <v>786</v>
      </c>
      <c r="C72" s="466">
        <v>184.6</v>
      </c>
      <c r="D72" s="466">
        <v>184.6</v>
      </c>
      <c r="E72" s="467">
        <f t="shared" si="0"/>
        <v>100</v>
      </c>
    </row>
    <row r="73" spans="1:5" x14ac:dyDescent="0.2">
      <c r="A73" s="1388"/>
      <c r="B73" s="465" t="s">
        <v>787</v>
      </c>
      <c r="C73" s="466">
        <v>3.2</v>
      </c>
      <c r="D73" s="466">
        <v>3.2</v>
      </c>
      <c r="E73" s="467">
        <f t="shared" si="0"/>
        <v>100</v>
      </c>
    </row>
    <row r="74" spans="1:5" x14ac:dyDescent="0.2">
      <c r="A74" s="1388"/>
      <c r="B74" s="465" t="s">
        <v>788</v>
      </c>
      <c r="C74" s="466">
        <v>4.8</v>
      </c>
      <c r="D74" s="466">
        <v>4.8</v>
      </c>
      <c r="E74" s="467">
        <f t="shared" si="0"/>
        <v>100</v>
      </c>
    </row>
    <row r="75" spans="1:5" x14ac:dyDescent="0.2">
      <c r="A75" s="1388"/>
      <c r="B75" s="465" t="s">
        <v>789</v>
      </c>
      <c r="C75" s="466">
        <v>2</v>
      </c>
      <c r="D75" s="466">
        <v>2</v>
      </c>
      <c r="E75" s="467">
        <f t="shared" ref="E75:E138" si="1">D75/C75*100</f>
        <v>100</v>
      </c>
    </row>
    <row r="76" spans="1:5" x14ac:dyDescent="0.2">
      <c r="A76" s="1388"/>
      <c r="B76" s="465" t="s">
        <v>790</v>
      </c>
      <c r="C76" s="466">
        <v>11.7</v>
      </c>
      <c r="D76" s="466">
        <v>11.7</v>
      </c>
      <c r="E76" s="467">
        <f t="shared" si="1"/>
        <v>100</v>
      </c>
    </row>
    <row r="77" spans="1:5" x14ac:dyDescent="0.2">
      <c r="A77" s="1388"/>
      <c r="B77" s="465" t="s">
        <v>791</v>
      </c>
      <c r="C77" s="466">
        <v>8.4</v>
      </c>
      <c r="D77" s="466">
        <v>8.4</v>
      </c>
      <c r="E77" s="467">
        <f t="shared" si="1"/>
        <v>100</v>
      </c>
    </row>
    <row r="78" spans="1:5" x14ac:dyDescent="0.2">
      <c r="A78" s="1388"/>
      <c r="B78" s="465" t="s">
        <v>792</v>
      </c>
      <c r="C78" s="466">
        <v>1.6</v>
      </c>
      <c r="D78" s="466">
        <v>1.6</v>
      </c>
      <c r="E78" s="467">
        <f t="shared" si="1"/>
        <v>100</v>
      </c>
    </row>
    <row r="79" spans="1:5" x14ac:dyDescent="0.2">
      <c r="A79" s="1388"/>
      <c r="B79" s="465" t="s">
        <v>793</v>
      </c>
      <c r="C79" s="466">
        <v>3.6</v>
      </c>
      <c r="D79" s="466">
        <v>3.6</v>
      </c>
      <c r="E79" s="467">
        <f t="shared" si="1"/>
        <v>100</v>
      </c>
    </row>
    <row r="80" spans="1:5" x14ac:dyDescent="0.2">
      <c r="A80" s="1388"/>
      <c r="B80" s="465" t="s">
        <v>794</v>
      </c>
      <c r="C80" s="466">
        <v>12.2</v>
      </c>
      <c r="D80" s="466">
        <v>12.2</v>
      </c>
      <c r="E80" s="467">
        <f t="shared" si="1"/>
        <v>100</v>
      </c>
    </row>
    <row r="81" spans="1:5" x14ac:dyDescent="0.2">
      <c r="A81" s="1388"/>
      <c r="B81" s="465" t="s">
        <v>795</v>
      </c>
      <c r="C81" s="466">
        <v>175</v>
      </c>
      <c r="D81" s="466">
        <v>175</v>
      </c>
      <c r="E81" s="467">
        <f t="shared" si="1"/>
        <v>100</v>
      </c>
    </row>
    <row r="82" spans="1:5" x14ac:dyDescent="0.2">
      <c r="A82" s="1388"/>
      <c r="B82" s="465" t="s">
        <v>796</v>
      </c>
      <c r="C82" s="466">
        <v>1.2</v>
      </c>
      <c r="D82" s="466">
        <v>1.2</v>
      </c>
      <c r="E82" s="467">
        <f t="shared" si="1"/>
        <v>100</v>
      </c>
    </row>
    <row r="83" spans="1:5" x14ac:dyDescent="0.2">
      <c r="A83" s="1388"/>
      <c r="B83" s="465" t="s">
        <v>797</v>
      </c>
      <c r="C83" s="466">
        <v>1.6</v>
      </c>
      <c r="D83" s="466">
        <v>1.6</v>
      </c>
      <c r="E83" s="467">
        <f t="shared" si="1"/>
        <v>100</v>
      </c>
    </row>
    <row r="84" spans="1:5" x14ac:dyDescent="0.2">
      <c r="A84" s="1388"/>
      <c r="B84" s="465" t="s">
        <v>798</v>
      </c>
      <c r="C84" s="466">
        <v>21.9</v>
      </c>
      <c r="D84" s="466">
        <v>21.9</v>
      </c>
      <c r="E84" s="467">
        <f t="shared" si="1"/>
        <v>100</v>
      </c>
    </row>
    <row r="85" spans="1:5" x14ac:dyDescent="0.2">
      <c r="A85" s="1388"/>
      <c r="B85" s="465" t="s">
        <v>799</v>
      </c>
      <c r="C85" s="466">
        <v>17.899999999999999</v>
      </c>
      <c r="D85" s="466">
        <v>17.899999999999999</v>
      </c>
      <c r="E85" s="467">
        <f t="shared" si="1"/>
        <v>100</v>
      </c>
    </row>
    <row r="86" spans="1:5" x14ac:dyDescent="0.2">
      <c r="A86" s="1388"/>
      <c r="B86" s="465" t="s">
        <v>800</v>
      </c>
      <c r="C86" s="466">
        <v>1.6</v>
      </c>
      <c r="D86" s="466">
        <v>1.6</v>
      </c>
      <c r="E86" s="467">
        <f t="shared" si="1"/>
        <v>100</v>
      </c>
    </row>
    <row r="87" spans="1:5" x14ac:dyDescent="0.2">
      <c r="A87" s="1388"/>
      <c r="B87" s="465" t="s">
        <v>801</v>
      </c>
      <c r="C87" s="466">
        <v>5.2</v>
      </c>
      <c r="D87" s="466">
        <v>5.2</v>
      </c>
      <c r="E87" s="467">
        <f t="shared" si="1"/>
        <v>100</v>
      </c>
    </row>
    <row r="88" spans="1:5" x14ac:dyDescent="0.2">
      <c r="A88" s="1388"/>
      <c r="B88" s="465" t="s">
        <v>802</v>
      </c>
      <c r="C88" s="466">
        <v>12.2</v>
      </c>
      <c r="D88" s="466">
        <v>12.2</v>
      </c>
      <c r="E88" s="467">
        <f t="shared" si="1"/>
        <v>100</v>
      </c>
    </row>
    <row r="89" spans="1:5" x14ac:dyDescent="0.2">
      <c r="A89" s="1388"/>
      <c r="B89" s="465" t="s">
        <v>803</v>
      </c>
      <c r="C89" s="466">
        <v>4.4000000000000004</v>
      </c>
      <c r="D89" s="466">
        <v>4.4000000000000004</v>
      </c>
      <c r="E89" s="467">
        <f t="shared" si="1"/>
        <v>100</v>
      </c>
    </row>
    <row r="90" spans="1:5" x14ac:dyDescent="0.2">
      <c r="A90" s="1388"/>
      <c r="B90" s="465" t="s">
        <v>804</v>
      </c>
      <c r="C90" s="466">
        <v>26.2</v>
      </c>
      <c r="D90" s="466">
        <v>26.2</v>
      </c>
      <c r="E90" s="467">
        <f t="shared" si="1"/>
        <v>100</v>
      </c>
    </row>
    <row r="91" spans="1:5" x14ac:dyDescent="0.2">
      <c r="A91" s="1388"/>
      <c r="B91" s="465" t="s">
        <v>805</v>
      </c>
      <c r="C91" s="466">
        <v>1.2</v>
      </c>
      <c r="D91" s="466">
        <v>1.2</v>
      </c>
      <c r="E91" s="467">
        <f t="shared" si="1"/>
        <v>100</v>
      </c>
    </row>
    <row r="92" spans="1:5" x14ac:dyDescent="0.2">
      <c r="A92" s="1388"/>
      <c r="B92" s="465" t="s">
        <v>742</v>
      </c>
      <c r="C92" s="466">
        <v>15.8</v>
      </c>
      <c r="D92" s="466">
        <v>15.8</v>
      </c>
      <c r="E92" s="467">
        <f t="shared" si="1"/>
        <v>100</v>
      </c>
    </row>
    <row r="93" spans="1:5" x14ac:dyDescent="0.2">
      <c r="A93" s="1388"/>
      <c r="B93" s="465" t="s">
        <v>806</v>
      </c>
      <c r="C93" s="466">
        <v>7.3</v>
      </c>
      <c r="D93" s="466">
        <v>7.3</v>
      </c>
      <c r="E93" s="467">
        <f t="shared" si="1"/>
        <v>100</v>
      </c>
    </row>
    <row r="94" spans="1:5" x14ac:dyDescent="0.2">
      <c r="A94" s="1388"/>
      <c r="B94" s="465" t="s">
        <v>807</v>
      </c>
      <c r="C94" s="466">
        <v>1</v>
      </c>
      <c r="D94" s="466">
        <v>1</v>
      </c>
      <c r="E94" s="467">
        <f t="shared" si="1"/>
        <v>100</v>
      </c>
    </row>
    <row r="95" spans="1:5" x14ac:dyDescent="0.2">
      <c r="A95" s="1388"/>
      <c r="B95" s="465" t="s">
        <v>808</v>
      </c>
      <c r="C95" s="466">
        <v>1.2</v>
      </c>
      <c r="D95" s="466">
        <v>1.2</v>
      </c>
      <c r="E95" s="467">
        <f t="shared" si="1"/>
        <v>100</v>
      </c>
    </row>
    <row r="96" spans="1:5" x14ac:dyDescent="0.2">
      <c r="A96" s="1388"/>
      <c r="B96" s="465" t="s">
        <v>809</v>
      </c>
      <c r="C96" s="466">
        <v>5.6</v>
      </c>
      <c r="D96" s="466">
        <v>5.6</v>
      </c>
      <c r="E96" s="467">
        <f t="shared" si="1"/>
        <v>100</v>
      </c>
    </row>
    <row r="97" spans="1:5" x14ac:dyDescent="0.2">
      <c r="A97" s="1388"/>
      <c r="B97" s="465" t="s">
        <v>810</v>
      </c>
      <c r="C97" s="466">
        <v>196.6</v>
      </c>
      <c r="D97" s="466">
        <v>196.6</v>
      </c>
      <c r="E97" s="467">
        <f t="shared" si="1"/>
        <v>100</v>
      </c>
    </row>
    <row r="98" spans="1:5" x14ac:dyDescent="0.2">
      <c r="A98" s="1388"/>
      <c r="B98" s="465" t="s">
        <v>811</v>
      </c>
      <c r="C98" s="466">
        <v>2.8</v>
      </c>
      <c r="D98" s="466">
        <v>2.8</v>
      </c>
      <c r="E98" s="467">
        <f t="shared" si="1"/>
        <v>100</v>
      </c>
    </row>
    <row r="99" spans="1:5" x14ac:dyDescent="0.2">
      <c r="A99" s="1388"/>
      <c r="B99" s="465" t="s">
        <v>812</v>
      </c>
      <c r="C99" s="466">
        <v>8.1999999999999993</v>
      </c>
      <c r="D99" s="466">
        <v>8.1999999999999993</v>
      </c>
      <c r="E99" s="467">
        <f t="shared" si="1"/>
        <v>100</v>
      </c>
    </row>
    <row r="100" spans="1:5" x14ac:dyDescent="0.2">
      <c r="A100" s="1388"/>
      <c r="B100" s="465" t="s">
        <v>813</v>
      </c>
      <c r="C100" s="466">
        <v>186.5</v>
      </c>
      <c r="D100" s="466">
        <v>186.5</v>
      </c>
      <c r="E100" s="467">
        <f t="shared" si="1"/>
        <v>100</v>
      </c>
    </row>
    <row r="101" spans="1:5" x14ac:dyDescent="0.2">
      <c r="A101" s="1388"/>
      <c r="B101" s="465" t="s">
        <v>814</v>
      </c>
      <c r="C101" s="466">
        <v>4.8</v>
      </c>
      <c r="D101" s="466">
        <v>4.8</v>
      </c>
      <c r="E101" s="467">
        <f t="shared" si="1"/>
        <v>100</v>
      </c>
    </row>
    <row r="102" spans="1:5" x14ac:dyDescent="0.2">
      <c r="A102" s="1388"/>
      <c r="B102" s="465" t="s">
        <v>815</v>
      </c>
      <c r="C102" s="466">
        <v>1</v>
      </c>
      <c r="D102" s="466">
        <v>1</v>
      </c>
      <c r="E102" s="467">
        <f t="shared" si="1"/>
        <v>100</v>
      </c>
    </row>
    <row r="103" spans="1:5" x14ac:dyDescent="0.2">
      <c r="A103" s="1388"/>
      <c r="B103" s="465" t="s">
        <v>816</v>
      </c>
      <c r="C103" s="466">
        <v>1.2</v>
      </c>
      <c r="D103" s="466">
        <v>1.2</v>
      </c>
      <c r="E103" s="467">
        <f t="shared" si="1"/>
        <v>100</v>
      </c>
    </row>
    <row r="104" spans="1:5" x14ac:dyDescent="0.2">
      <c r="A104" s="1388"/>
      <c r="B104" s="465" t="s">
        <v>817</v>
      </c>
      <c r="C104" s="466">
        <v>1.2</v>
      </c>
      <c r="D104" s="466">
        <v>1.2</v>
      </c>
      <c r="E104" s="467">
        <f t="shared" si="1"/>
        <v>100</v>
      </c>
    </row>
    <row r="105" spans="1:5" x14ac:dyDescent="0.2">
      <c r="A105" s="1388"/>
      <c r="B105" s="465" t="s">
        <v>818</v>
      </c>
      <c r="C105" s="466">
        <v>2.8</v>
      </c>
      <c r="D105" s="466">
        <v>2.8</v>
      </c>
      <c r="E105" s="467">
        <f t="shared" si="1"/>
        <v>100</v>
      </c>
    </row>
    <row r="106" spans="1:5" x14ac:dyDescent="0.2">
      <c r="A106" s="1388"/>
      <c r="B106" s="465" t="s">
        <v>819</v>
      </c>
      <c r="C106" s="466">
        <v>1.6</v>
      </c>
      <c r="D106" s="466">
        <v>1.6</v>
      </c>
      <c r="E106" s="467">
        <f t="shared" si="1"/>
        <v>100</v>
      </c>
    </row>
    <row r="107" spans="1:5" x14ac:dyDescent="0.2">
      <c r="A107" s="1388"/>
      <c r="B107" s="465" t="s">
        <v>820</v>
      </c>
      <c r="C107" s="466">
        <v>5.7</v>
      </c>
      <c r="D107" s="466">
        <v>5.7</v>
      </c>
      <c r="E107" s="467">
        <f t="shared" si="1"/>
        <v>100</v>
      </c>
    </row>
    <row r="108" spans="1:5" x14ac:dyDescent="0.2">
      <c r="A108" s="1388"/>
      <c r="B108" s="465" t="s">
        <v>821</v>
      </c>
      <c r="C108" s="466">
        <v>8</v>
      </c>
      <c r="D108" s="466">
        <v>8</v>
      </c>
      <c r="E108" s="467">
        <f t="shared" si="1"/>
        <v>100</v>
      </c>
    </row>
    <row r="109" spans="1:5" x14ac:dyDescent="0.2">
      <c r="A109" s="1388"/>
      <c r="B109" s="465" t="s">
        <v>743</v>
      </c>
      <c r="C109" s="466">
        <v>1</v>
      </c>
      <c r="D109" s="466">
        <v>1</v>
      </c>
      <c r="E109" s="467">
        <f t="shared" si="1"/>
        <v>100</v>
      </c>
    </row>
    <row r="110" spans="1:5" x14ac:dyDescent="0.2">
      <c r="A110" s="1388"/>
      <c r="B110" s="465" t="s">
        <v>822</v>
      </c>
      <c r="C110" s="466">
        <v>4.4000000000000004</v>
      </c>
      <c r="D110" s="466">
        <v>4.4000000000000004</v>
      </c>
      <c r="E110" s="467">
        <f t="shared" si="1"/>
        <v>100</v>
      </c>
    </row>
    <row r="111" spans="1:5" x14ac:dyDescent="0.2">
      <c r="A111" s="1388"/>
      <c r="B111" s="465" t="s">
        <v>823</v>
      </c>
      <c r="C111" s="466">
        <v>8</v>
      </c>
      <c r="D111" s="466">
        <v>8</v>
      </c>
      <c r="E111" s="467">
        <f t="shared" si="1"/>
        <v>100</v>
      </c>
    </row>
    <row r="112" spans="1:5" x14ac:dyDescent="0.2">
      <c r="A112" s="1388"/>
      <c r="B112" s="465" t="s">
        <v>824</v>
      </c>
      <c r="C112" s="466">
        <v>173.4</v>
      </c>
      <c r="D112" s="466">
        <v>173.4</v>
      </c>
      <c r="E112" s="467">
        <f t="shared" si="1"/>
        <v>100</v>
      </c>
    </row>
    <row r="113" spans="1:5" x14ac:dyDescent="0.2">
      <c r="A113" s="1388"/>
      <c r="B113" s="465" t="s">
        <v>825</v>
      </c>
      <c r="C113" s="466">
        <v>2.1</v>
      </c>
      <c r="D113" s="466">
        <v>2.1</v>
      </c>
      <c r="E113" s="467">
        <f t="shared" si="1"/>
        <v>100</v>
      </c>
    </row>
    <row r="114" spans="1:5" x14ac:dyDescent="0.2">
      <c r="A114" s="1388"/>
      <c r="B114" s="465" t="s">
        <v>724</v>
      </c>
      <c r="C114" s="466">
        <v>2.6</v>
      </c>
      <c r="D114" s="466">
        <v>2.6</v>
      </c>
      <c r="E114" s="467">
        <f t="shared" si="1"/>
        <v>100</v>
      </c>
    </row>
    <row r="115" spans="1:5" x14ac:dyDescent="0.2">
      <c r="A115" s="1388"/>
      <c r="B115" s="465" t="s">
        <v>826</v>
      </c>
      <c r="C115" s="466">
        <v>3.2</v>
      </c>
      <c r="D115" s="466">
        <v>3.2</v>
      </c>
      <c r="E115" s="467">
        <f t="shared" si="1"/>
        <v>100</v>
      </c>
    </row>
    <row r="116" spans="1:5" x14ac:dyDescent="0.2">
      <c r="A116" s="1388"/>
      <c r="B116" s="465" t="s">
        <v>827</v>
      </c>
      <c r="C116" s="466">
        <v>1.2</v>
      </c>
      <c r="D116" s="466">
        <v>1.2</v>
      </c>
      <c r="E116" s="467">
        <f t="shared" si="1"/>
        <v>100</v>
      </c>
    </row>
    <row r="117" spans="1:5" x14ac:dyDescent="0.2">
      <c r="A117" s="1388"/>
      <c r="B117" s="465" t="s">
        <v>828</v>
      </c>
      <c r="C117" s="466">
        <v>1.2</v>
      </c>
      <c r="D117" s="466">
        <v>1.2</v>
      </c>
      <c r="E117" s="467">
        <f t="shared" si="1"/>
        <v>100</v>
      </c>
    </row>
    <row r="118" spans="1:5" x14ac:dyDescent="0.2">
      <c r="A118" s="1388"/>
      <c r="B118" s="465" t="s">
        <v>829</v>
      </c>
      <c r="C118" s="466">
        <v>8.1</v>
      </c>
      <c r="D118" s="466">
        <v>8.1</v>
      </c>
      <c r="E118" s="467">
        <f t="shared" si="1"/>
        <v>100</v>
      </c>
    </row>
    <row r="119" spans="1:5" x14ac:dyDescent="0.2">
      <c r="A119" s="1388"/>
      <c r="B119" s="465" t="s">
        <v>725</v>
      </c>
      <c r="C119" s="466">
        <v>3.2</v>
      </c>
      <c r="D119" s="466">
        <v>3.2</v>
      </c>
      <c r="E119" s="467">
        <f t="shared" si="1"/>
        <v>100</v>
      </c>
    </row>
    <row r="120" spans="1:5" x14ac:dyDescent="0.2">
      <c r="A120" s="1388"/>
      <c r="B120" s="465" t="s">
        <v>830</v>
      </c>
      <c r="C120" s="466">
        <v>177.5</v>
      </c>
      <c r="D120" s="466">
        <v>177.5</v>
      </c>
      <c r="E120" s="467">
        <f t="shared" si="1"/>
        <v>100</v>
      </c>
    </row>
    <row r="121" spans="1:5" x14ac:dyDescent="0.2">
      <c r="A121" s="1388"/>
      <c r="B121" s="465" t="s">
        <v>831</v>
      </c>
      <c r="C121" s="466">
        <v>26.4</v>
      </c>
      <c r="D121" s="466">
        <v>26.4</v>
      </c>
      <c r="E121" s="467">
        <f t="shared" si="1"/>
        <v>100</v>
      </c>
    </row>
    <row r="122" spans="1:5" x14ac:dyDescent="0.2">
      <c r="A122" s="1388"/>
      <c r="B122" s="465" t="s">
        <v>832</v>
      </c>
      <c r="C122" s="466">
        <v>1.6</v>
      </c>
      <c r="D122" s="466">
        <v>1.6</v>
      </c>
      <c r="E122" s="467">
        <f t="shared" si="1"/>
        <v>100</v>
      </c>
    </row>
    <row r="123" spans="1:5" x14ac:dyDescent="0.2">
      <c r="A123" s="1388"/>
      <c r="B123" s="465" t="s">
        <v>833</v>
      </c>
      <c r="C123" s="466">
        <v>187.6</v>
      </c>
      <c r="D123" s="466">
        <v>187.6</v>
      </c>
      <c r="E123" s="467">
        <f t="shared" si="1"/>
        <v>100</v>
      </c>
    </row>
    <row r="124" spans="1:5" x14ac:dyDescent="0.2">
      <c r="A124" s="1388"/>
      <c r="B124" s="465" t="s">
        <v>834</v>
      </c>
      <c r="C124" s="466">
        <v>6.8</v>
      </c>
      <c r="D124" s="466">
        <v>6.8</v>
      </c>
      <c r="E124" s="467">
        <f t="shared" si="1"/>
        <v>100</v>
      </c>
    </row>
    <row r="125" spans="1:5" x14ac:dyDescent="0.2">
      <c r="A125" s="1388"/>
      <c r="B125" s="465" t="s">
        <v>835</v>
      </c>
      <c r="C125" s="466">
        <v>3.6</v>
      </c>
      <c r="D125" s="466">
        <v>3.6</v>
      </c>
      <c r="E125" s="467">
        <f t="shared" si="1"/>
        <v>100</v>
      </c>
    </row>
    <row r="126" spans="1:5" x14ac:dyDescent="0.2">
      <c r="A126" s="1388"/>
      <c r="B126" s="465" t="s">
        <v>836</v>
      </c>
      <c r="C126" s="466">
        <v>1.2</v>
      </c>
      <c r="D126" s="466">
        <v>1.2</v>
      </c>
      <c r="E126" s="467">
        <f t="shared" si="1"/>
        <v>100</v>
      </c>
    </row>
    <row r="127" spans="1:5" x14ac:dyDescent="0.2">
      <c r="A127" s="1388"/>
      <c r="B127" s="465" t="s">
        <v>837</v>
      </c>
      <c r="C127" s="466">
        <v>2.5</v>
      </c>
      <c r="D127" s="466">
        <v>2.5</v>
      </c>
      <c r="E127" s="467">
        <f t="shared" si="1"/>
        <v>100</v>
      </c>
    </row>
    <row r="128" spans="1:5" x14ac:dyDescent="0.2">
      <c r="A128" s="1388"/>
      <c r="B128" s="465" t="s">
        <v>838</v>
      </c>
      <c r="C128" s="466">
        <v>3.2</v>
      </c>
      <c r="D128" s="466">
        <v>3.2</v>
      </c>
      <c r="E128" s="467">
        <f t="shared" si="1"/>
        <v>100</v>
      </c>
    </row>
    <row r="129" spans="1:5" x14ac:dyDescent="0.2">
      <c r="A129" s="1388"/>
      <c r="B129" s="465" t="s">
        <v>839</v>
      </c>
      <c r="C129" s="466">
        <v>2.2999999999999998</v>
      </c>
      <c r="D129" s="466">
        <v>2.2999999999999998</v>
      </c>
      <c r="E129" s="467">
        <f t="shared" si="1"/>
        <v>100</v>
      </c>
    </row>
    <row r="130" spans="1:5" x14ac:dyDescent="0.2">
      <c r="A130" s="1388"/>
      <c r="B130" s="465" t="s">
        <v>840</v>
      </c>
      <c r="C130" s="466">
        <v>1.2</v>
      </c>
      <c r="D130" s="466">
        <v>1.2</v>
      </c>
      <c r="E130" s="467">
        <f t="shared" si="1"/>
        <v>100</v>
      </c>
    </row>
    <row r="131" spans="1:5" x14ac:dyDescent="0.2">
      <c r="A131" s="1388"/>
      <c r="B131" s="465" t="s">
        <v>841</v>
      </c>
      <c r="C131" s="466">
        <v>1</v>
      </c>
      <c r="D131" s="466">
        <v>1</v>
      </c>
      <c r="E131" s="467">
        <f t="shared" si="1"/>
        <v>100</v>
      </c>
    </row>
    <row r="132" spans="1:5" x14ac:dyDescent="0.2">
      <c r="A132" s="1388"/>
      <c r="B132" s="465" t="s">
        <v>842</v>
      </c>
      <c r="C132" s="466">
        <v>5.5</v>
      </c>
      <c r="D132" s="466">
        <v>5.5</v>
      </c>
      <c r="E132" s="467">
        <f t="shared" si="1"/>
        <v>100</v>
      </c>
    </row>
    <row r="133" spans="1:5" x14ac:dyDescent="0.2">
      <c r="A133" s="1388"/>
      <c r="B133" s="465" t="s">
        <v>843</v>
      </c>
      <c r="C133" s="466">
        <v>14.5</v>
      </c>
      <c r="D133" s="466">
        <v>14.5</v>
      </c>
      <c r="E133" s="467">
        <f t="shared" si="1"/>
        <v>100</v>
      </c>
    </row>
    <row r="134" spans="1:5" x14ac:dyDescent="0.2">
      <c r="A134" s="1388"/>
      <c r="B134" s="465" t="s">
        <v>844</v>
      </c>
      <c r="C134" s="466">
        <v>3.6</v>
      </c>
      <c r="D134" s="466">
        <v>3.6</v>
      </c>
      <c r="E134" s="467">
        <f t="shared" si="1"/>
        <v>100</v>
      </c>
    </row>
    <row r="135" spans="1:5" x14ac:dyDescent="0.2">
      <c r="A135" s="1388"/>
      <c r="B135" s="465" t="s">
        <v>845</v>
      </c>
      <c r="C135" s="466">
        <v>1.6</v>
      </c>
      <c r="D135" s="466">
        <v>1.6</v>
      </c>
      <c r="E135" s="467">
        <f t="shared" si="1"/>
        <v>100</v>
      </c>
    </row>
    <row r="136" spans="1:5" x14ac:dyDescent="0.2">
      <c r="A136" s="1388"/>
      <c r="B136" s="465" t="s">
        <v>846</v>
      </c>
      <c r="C136" s="466">
        <v>2.6</v>
      </c>
      <c r="D136" s="466">
        <v>2.6</v>
      </c>
      <c r="E136" s="467">
        <f t="shared" si="1"/>
        <v>100</v>
      </c>
    </row>
    <row r="137" spans="1:5" x14ac:dyDescent="0.2">
      <c r="A137" s="1388"/>
      <c r="B137" s="465" t="s">
        <v>847</v>
      </c>
      <c r="C137" s="466">
        <v>1.6</v>
      </c>
      <c r="D137" s="466">
        <v>0</v>
      </c>
      <c r="E137" s="467">
        <f t="shared" si="1"/>
        <v>0</v>
      </c>
    </row>
    <row r="138" spans="1:5" x14ac:dyDescent="0.2">
      <c r="A138" s="1388"/>
      <c r="B138" s="465" t="s">
        <v>848</v>
      </c>
      <c r="C138" s="466">
        <v>215.4</v>
      </c>
      <c r="D138" s="466">
        <v>215.4</v>
      </c>
      <c r="E138" s="467">
        <f t="shared" si="1"/>
        <v>100</v>
      </c>
    </row>
    <row r="139" spans="1:5" x14ac:dyDescent="0.2">
      <c r="A139" s="1388"/>
      <c r="B139" s="465" t="s">
        <v>745</v>
      </c>
      <c r="C139" s="466">
        <v>2</v>
      </c>
      <c r="D139" s="466">
        <v>2</v>
      </c>
      <c r="E139" s="467">
        <f t="shared" ref="E139:E202" si="2">D139/C139*100</f>
        <v>100</v>
      </c>
    </row>
    <row r="140" spans="1:5" x14ac:dyDescent="0.2">
      <c r="A140" s="1388"/>
      <c r="B140" s="465" t="s">
        <v>849</v>
      </c>
      <c r="C140" s="466">
        <v>4.8</v>
      </c>
      <c r="D140" s="466">
        <v>4.8</v>
      </c>
      <c r="E140" s="467">
        <f t="shared" si="2"/>
        <v>100</v>
      </c>
    </row>
    <row r="141" spans="1:5" x14ac:dyDescent="0.2">
      <c r="A141" s="1388"/>
      <c r="B141" s="465" t="s">
        <v>850</v>
      </c>
      <c r="C141" s="466">
        <v>27.2</v>
      </c>
      <c r="D141" s="466">
        <v>27.2</v>
      </c>
      <c r="E141" s="467">
        <f t="shared" si="2"/>
        <v>100</v>
      </c>
    </row>
    <row r="142" spans="1:5" x14ac:dyDescent="0.2">
      <c r="A142" s="1388"/>
      <c r="B142" s="465" t="s">
        <v>851</v>
      </c>
      <c r="C142" s="466">
        <v>173.6</v>
      </c>
      <c r="D142" s="466">
        <v>173.6</v>
      </c>
      <c r="E142" s="467">
        <f t="shared" si="2"/>
        <v>100</v>
      </c>
    </row>
    <row r="143" spans="1:5" x14ac:dyDescent="0.2">
      <c r="A143" s="1388"/>
      <c r="B143" s="465" t="s">
        <v>852</v>
      </c>
      <c r="C143" s="466">
        <v>10.3</v>
      </c>
      <c r="D143" s="466">
        <v>10.3</v>
      </c>
      <c r="E143" s="467">
        <f t="shared" si="2"/>
        <v>100</v>
      </c>
    </row>
    <row r="144" spans="1:5" x14ac:dyDescent="0.2">
      <c r="A144" s="1388"/>
      <c r="B144" s="465" t="s">
        <v>853</v>
      </c>
      <c r="C144" s="466">
        <v>229.5</v>
      </c>
      <c r="D144" s="466">
        <v>229.5</v>
      </c>
      <c r="E144" s="467">
        <f t="shared" si="2"/>
        <v>100</v>
      </c>
    </row>
    <row r="145" spans="1:5" x14ac:dyDescent="0.2">
      <c r="A145" s="1388"/>
      <c r="B145" s="465" t="s">
        <v>854</v>
      </c>
      <c r="C145" s="466">
        <v>4.9000000000000004</v>
      </c>
      <c r="D145" s="466">
        <v>4.9000000000000004</v>
      </c>
      <c r="E145" s="467">
        <f t="shared" si="2"/>
        <v>100</v>
      </c>
    </row>
    <row r="146" spans="1:5" x14ac:dyDescent="0.2">
      <c r="A146" s="1388"/>
      <c r="B146" s="465" t="s">
        <v>855</v>
      </c>
      <c r="C146" s="466">
        <v>1.6</v>
      </c>
      <c r="D146" s="466">
        <v>1.6</v>
      </c>
      <c r="E146" s="467">
        <f t="shared" si="2"/>
        <v>100</v>
      </c>
    </row>
    <row r="147" spans="1:5" x14ac:dyDescent="0.2">
      <c r="A147" s="1388"/>
      <c r="B147" s="465" t="s">
        <v>856</v>
      </c>
      <c r="C147" s="466">
        <v>6.8</v>
      </c>
      <c r="D147" s="466">
        <v>6.8</v>
      </c>
      <c r="E147" s="467">
        <f t="shared" si="2"/>
        <v>100</v>
      </c>
    </row>
    <row r="148" spans="1:5" x14ac:dyDescent="0.2">
      <c r="A148" s="1388"/>
      <c r="B148" s="465" t="s">
        <v>857</v>
      </c>
      <c r="C148" s="466">
        <v>2.4</v>
      </c>
      <c r="D148" s="466">
        <v>2.4</v>
      </c>
      <c r="E148" s="467">
        <f t="shared" si="2"/>
        <v>100</v>
      </c>
    </row>
    <row r="149" spans="1:5" x14ac:dyDescent="0.2">
      <c r="A149" s="1388"/>
      <c r="B149" s="465" t="s">
        <v>858</v>
      </c>
      <c r="C149" s="466">
        <v>1.9</v>
      </c>
      <c r="D149" s="466">
        <v>1.9</v>
      </c>
      <c r="E149" s="467">
        <f t="shared" si="2"/>
        <v>100</v>
      </c>
    </row>
    <row r="150" spans="1:5" x14ac:dyDescent="0.2">
      <c r="A150" s="1388"/>
      <c r="B150" s="465" t="s">
        <v>859</v>
      </c>
      <c r="C150" s="466">
        <v>3.2</v>
      </c>
      <c r="D150" s="466">
        <v>3.2</v>
      </c>
      <c r="E150" s="467">
        <f t="shared" si="2"/>
        <v>100</v>
      </c>
    </row>
    <row r="151" spans="1:5" x14ac:dyDescent="0.2">
      <c r="A151" s="1388"/>
      <c r="B151" s="465" t="s">
        <v>860</v>
      </c>
      <c r="C151" s="466">
        <v>1</v>
      </c>
      <c r="D151" s="466">
        <v>1</v>
      </c>
      <c r="E151" s="467">
        <f t="shared" si="2"/>
        <v>100</v>
      </c>
    </row>
    <row r="152" spans="1:5" x14ac:dyDescent="0.2">
      <c r="A152" s="1388"/>
      <c r="B152" s="465" t="s">
        <v>861</v>
      </c>
      <c r="C152" s="466">
        <v>5.5</v>
      </c>
      <c r="D152" s="466">
        <v>5.5</v>
      </c>
      <c r="E152" s="467">
        <f t="shared" si="2"/>
        <v>100</v>
      </c>
    </row>
    <row r="153" spans="1:5" x14ac:dyDescent="0.2">
      <c r="A153" s="1388"/>
      <c r="B153" s="465" t="s">
        <v>746</v>
      </c>
      <c r="C153" s="466">
        <v>370.7</v>
      </c>
      <c r="D153" s="466">
        <v>370.7</v>
      </c>
      <c r="E153" s="467">
        <f t="shared" si="2"/>
        <v>100</v>
      </c>
    </row>
    <row r="154" spans="1:5" x14ac:dyDescent="0.2">
      <c r="A154" s="1388"/>
      <c r="B154" s="465" t="s">
        <v>862</v>
      </c>
      <c r="C154" s="466">
        <v>1.6</v>
      </c>
      <c r="D154" s="466">
        <v>1.6</v>
      </c>
      <c r="E154" s="467">
        <f t="shared" si="2"/>
        <v>100</v>
      </c>
    </row>
    <row r="155" spans="1:5" x14ac:dyDescent="0.2">
      <c r="A155" s="1388"/>
      <c r="B155" s="465" t="s">
        <v>863</v>
      </c>
      <c r="C155" s="466">
        <v>4</v>
      </c>
      <c r="D155" s="466">
        <v>4</v>
      </c>
      <c r="E155" s="467">
        <f t="shared" si="2"/>
        <v>100</v>
      </c>
    </row>
    <row r="156" spans="1:5" x14ac:dyDescent="0.2">
      <c r="A156" s="1388"/>
      <c r="B156" s="465" t="s">
        <v>864</v>
      </c>
      <c r="C156" s="466">
        <v>1.2</v>
      </c>
      <c r="D156" s="466">
        <v>1.2</v>
      </c>
      <c r="E156" s="467">
        <f t="shared" si="2"/>
        <v>100</v>
      </c>
    </row>
    <row r="157" spans="1:5" x14ac:dyDescent="0.2">
      <c r="A157" s="1388"/>
      <c r="B157" s="465" t="s">
        <v>865</v>
      </c>
      <c r="C157" s="466">
        <v>1.6</v>
      </c>
      <c r="D157" s="466">
        <v>1.5</v>
      </c>
      <c r="E157" s="467">
        <f t="shared" si="2"/>
        <v>93.75</v>
      </c>
    </row>
    <row r="158" spans="1:5" x14ac:dyDescent="0.2">
      <c r="A158" s="1388"/>
      <c r="B158" s="465" t="s">
        <v>866</v>
      </c>
      <c r="C158" s="466">
        <v>1.6</v>
      </c>
      <c r="D158" s="466">
        <v>1.6</v>
      </c>
      <c r="E158" s="467">
        <f t="shared" si="2"/>
        <v>100</v>
      </c>
    </row>
    <row r="159" spans="1:5" x14ac:dyDescent="0.2">
      <c r="A159" s="1388"/>
      <c r="B159" s="465" t="s">
        <v>867</v>
      </c>
      <c r="C159" s="466">
        <v>1.2</v>
      </c>
      <c r="D159" s="466">
        <v>1.2</v>
      </c>
      <c r="E159" s="467">
        <f t="shared" si="2"/>
        <v>100</v>
      </c>
    </row>
    <row r="160" spans="1:5" x14ac:dyDescent="0.2">
      <c r="A160" s="1388"/>
      <c r="B160" s="465" t="s">
        <v>868</v>
      </c>
      <c r="C160" s="466">
        <v>1.6</v>
      </c>
      <c r="D160" s="466">
        <v>0</v>
      </c>
      <c r="E160" s="467">
        <f t="shared" si="2"/>
        <v>0</v>
      </c>
    </row>
    <row r="161" spans="1:5" x14ac:dyDescent="0.2">
      <c r="A161" s="1388"/>
      <c r="B161" s="465" t="s">
        <v>869</v>
      </c>
      <c r="C161" s="466">
        <v>17</v>
      </c>
      <c r="D161" s="466">
        <v>17</v>
      </c>
      <c r="E161" s="467">
        <f t="shared" si="2"/>
        <v>100</v>
      </c>
    </row>
    <row r="162" spans="1:5" x14ac:dyDescent="0.2">
      <c r="A162" s="1388"/>
      <c r="B162" s="465" t="s">
        <v>870</v>
      </c>
      <c r="C162" s="466">
        <v>10.1</v>
      </c>
      <c r="D162" s="466">
        <v>10.1</v>
      </c>
      <c r="E162" s="467">
        <f t="shared" si="2"/>
        <v>100</v>
      </c>
    </row>
    <row r="163" spans="1:5" x14ac:dyDescent="0.2">
      <c r="A163" s="1388"/>
      <c r="B163" s="465" t="s">
        <v>871</v>
      </c>
      <c r="C163" s="466">
        <v>7.4</v>
      </c>
      <c r="D163" s="466">
        <v>7.4</v>
      </c>
      <c r="E163" s="467">
        <f t="shared" si="2"/>
        <v>100</v>
      </c>
    </row>
    <row r="164" spans="1:5" x14ac:dyDescent="0.2">
      <c r="A164" s="1388"/>
      <c r="B164" s="465" t="s">
        <v>872</v>
      </c>
      <c r="C164" s="466">
        <v>1.6</v>
      </c>
      <c r="D164" s="466">
        <v>1.6</v>
      </c>
      <c r="E164" s="467">
        <f t="shared" si="2"/>
        <v>100</v>
      </c>
    </row>
    <row r="165" spans="1:5" x14ac:dyDescent="0.2">
      <c r="A165" s="1388"/>
      <c r="B165" s="465" t="s">
        <v>873</v>
      </c>
      <c r="C165" s="466">
        <v>16.8</v>
      </c>
      <c r="D165" s="466">
        <v>16.8</v>
      </c>
      <c r="E165" s="467">
        <f t="shared" si="2"/>
        <v>100</v>
      </c>
    </row>
    <row r="166" spans="1:5" x14ac:dyDescent="0.2">
      <c r="A166" s="1388"/>
      <c r="B166" s="465" t="s">
        <v>747</v>
      </c>
      <c r="C166" s="466">
        <v>8</v>
      </c>
      <c r="D166" s="466">
        <v>8</v>
      </c>
      <c r="E166" s="467">
        <f t="shared" si="2"/>
        <v>100</v>
      </c>
    </row>
    <row r="167" spans="1:5" x14ac:dyDescent="0.2">
      <c r="A167" s="1388"/>
      <c r="B167" s="465" t="s">
        <v>874</v>
      </c>
      <c r="C167" s="466">
        <v>4.8</v>
      </c>
      <c r="D167" s="466">
        <v>4.8</v>
      </c>
      <c r="E167" s="467">
        <f t="shared" si="2"/>
        <v>100</v>
      </c>
    </row>
    <row r="168" spans="1:5" x14ac:dyDescent="0.2">
      <c r="A168" s="1388"/>
      <c r="B168" s="465" t="s">
        <v>875</v>
      </c>
      <c r="C168" s="466">
        <v>2.4</v>
      </c>
      <c r="D168" s="466">
        <v>2.4</v>
      </c>
      <c r="E168" s="467">
        <f t="shared" si="2"/>
        <v>100</v>
      </c>
    </row>
    <row r="169" spans="1:5" x14ac:dyDescent="0.2">
      <c r="A169" s="1388"/>
      <c r="B169" s="465" t="s">
        <v>876</v>
      </c>
      <c r="C169" s="466">
        <v>12</v>
      </c>
      <c r="D169" s="466">
        <v>12</v>
      </c>
      <c r="E169" s="467">
        <f t="shared" si="2"/>
        <v>100</v>
      </c>
    </row>
    <row r="170" spans="1:5" x14ac:dyDescent="0.2">
      <c r="A170" s="1388"/>
      <c r="B170" s="465" t="s">
        <v>877</v>
      </c>
      <c r="C170" s="466">
        <v>7</v>
      </c>
      <c r="D170" s="466">
        <v>7</v>
      </c>
      <c r="E170" s="467">
        <f t="shared" si="2"/>
        <v>100</v>
      </c>
    </row>
    <row r="171" spans="1:5" x14ac:dyDescent="0.2">
      <c r="A171" s="1388"/>
      <c r="B171" s="465" t="s">
        <v>878</v>
      </c>
      <c r="C171" s="466">
        <v>2.4</v>
      </c>
      <c r="D171" s="466">
        <v>2.4</v>
      </c>
      <c r="E171" s="467">
        <f t="shared" si="2"/>
        <v>100</v>
      </c>
    </row>
    <row r="172" spans="1:5" x14ac:dyDescent="0.2">
      <c r="A172" s="1388"/>
      <c r="B172" s="465" t="s">
        <v>879</v>
      </c>
      <c r="C172" s="466">
        <v>17.8</v>
      </c>
      <c r="D172" s="466">
        <v>17.8</v>
      </c>
      <c r="E172" s="467">
        <f t="shared" si="2"/>
        <v>100</v>
      </c>
    </row>
    <row r="173" spans="1:5" x14ac:dyDescent="0.2">
      <c r="A173" s="1388"/>
      <c r="B173" s="465" t="s">
        <v>880</v>
      </c>
      <c r="C173" s="466">
        <v>4.4000000000000004</v>
      </c>
      <c r="D173" s="466">
        <v>4.4000000000000004</v>
      </c>
      <c r="E173" s="467">
        <f t="shared" si="2"/>
        <v>100</v>
      </c>
    </row>
    <row r="174" spans="1:5" x14ac:dyDescent="0.2">
      <c r="A174" s="1388"/>
      <c r="B174" s="465" t="s">
        <v>881</v>
      </c>
      <c r="C174" s="466">
        <v>23.9</v>
      </c>
      <c r="D174" s="466">
        <v>23.9</v>
      </c>
      <c r="E174" s="467">
        <f t="shared" si="2"/>
        <v>100</v>
      </c>
    </row>
    <row r="175" spans="1:5" x14ac:dyDescent="0.2">
      <c r="A175" s="1388"/>
      <c r="B175" s="465" t="s">
        <v>882</v>
      </c>
      <c r="C175" s="466">
        <v>1</v>
      </c>
      <c r="D175" s="466">
        <v>1</v>
      </c>
      <c r="E175" s="467">
        <f t="shared" si="2"/>
        <v>100</v>
      </c>
    </row>
    <row r="176" spans="1:5" x14ac:dyDescent="0.2">
      <c r="A176" s="1388"/>
      <c r="B176" s="465" t="s">
        <v>883</v>
      </c>
      <c r="C176" s="466">
        <v>1.2</v>
      </c>
      <c r="D176" s="466">
        <v>1.2</v>
      </c>
      <c r="E176" s="467">
        <f t="shared" si="2"/>
        <v>100</v>
      </c>
    </row>
    <row r="177" spans="1:5" x14ac:dyDescent="0.2">
      <c r="A177" s="1388"/>
      <c r="B177" s="465" t="s">
        <v>884</v>
      </c>
      <c r="C177" s="466">
        <v>1</v>
      </c>
      <c r="D177" s="466">
        <v>1</v>
      </c>
      <c r="E177" s="467">
        <f t="shared" si="2"/>
        <v>100</v>
      </c>
    </row>
    <row r="178" spans="1:5" x14ac:dyDescent="0.2">
      <c r="A178" s="1388"/>
      <c r="B178" s="465" t="s">
        <v>885</v>
      </c>
      <c r="C178" s="466">
        <v>4.8</v>
      </c>
      <c r="D178" s="466">
        <v>4.8</v>
      </c>
      <c r="E178" s="467">
        <f t="shared" si="2"/>
        <v>100</v>
      </c>
    </row>
    <row r="179" spans="1:5" x14ac:dyDescent="0.2">
      <c r="A179" s="1388"/>
      <c r="B179" s="465" t="s">
        <v>886</v>
      </c>
      <c r="C179" s="466">
        <v>3.2</v>
      </c>
      <c r="D179" s="466">
        <v>3.2</v>
      </c>
      <c r="E179" s="467">
        <f t="shared" si="2"/>
        <v>100</v>
      </c>
    </row>
    <row r="180" spans="1:5" x14ac:dyDescent="0.2">
      <c r="A180" s="1388"/>
      <c r="B180" s="465" t="s">
        <v>887</v>
      </c>
      <c r="C180" s="466">
        <v>3.5</v>
      </c>
      <c r="D180" s="466">
        <v>3.5</v>
      </c>
      <c r="E180" s="467">
        <f t="shared" si="2"/>
        <v>100</v>
      </c>
    </row>
    <row r="181" spans="1:5" x14ac:dyDescent="0.2">
      <c r="A181" s="1388"/>
      <c r="B181" s="465" t="s">
        <v>888</v>
      </c>
      <c r="C181" s="466">
        <v>1.2</v>
      </c>
      <c r="D181" s="466">
        <v>1.2</v>
      </c>
      <c r="E181" s="467">
        <f t="shared" si="2"/>
        <v>100</v>
      </c>
    </row>
    <row r="182" spans="1:5" x14ac:dyDescent="0.2">
      <c r="A182" s="1388"/>
      <c r="B182" s="465" t="s">
        <v>889</v>
      </c>
      <c r="C182" s="466">
        <v>1.2</v>
      </c>
      <c r="D182" s="466">
        <v>1.2</v>
      </c>
      <c r="E182" s="467">
        <f t="shared" si="2"/>
        <v>100</v>
      </c>
    </row>
    <row r="183" spans="1:5" x14ac:dyDescent="0.2">
      <c r="A183" s="1388"/>
      <c r="B183" s="465" t="s">
        <v>890</v>
      </c>
      <c r="C183" s="466">
        <v>12.5</v>
      </c>
      <c r="D183" s="466">
        <v>12.5</v>
      </c>
      <c r="E183" s="467">
        <f t="shared" si="2"/>
        <v>100</v>
      </c>
    </row>
    <row r="184" spans="1:5" x14ac:dyDescent="0.2">
      <c r="A184" s="1388"/>
      <c r="B184" s="465" t="s">
        <v>891</v>
      </c>
      <c r="C184" s="466">
        <v>2</v>
      </c>
      <c r="D184" s="466">
        <v>2</v>
      </c>
      <c r="E184" s="467">
        <f t="shared" si="2"/>
        <v>100</v>
      </c>
    </row>
    <row r="185" spans="1:5" x14ac:dyDescent="0.2">
      <c r="A185" s="1388"/>
      <c r="B185" s="465" t="s">
        <v>892</v>
      </c>
      <c r="C185" s="466">
        <v>5</v>
      </c>
      <c r="D185" s="466">
        <v>5</v>
      </c>
      <c r="E185" s="467">
        <f t="shared" si="2"/>
        <v>100</v>
      </c>
    </row>
    <row r="186" spans="1:5" x14ac:dyDescent="0.2">
      <c r="A186" s="1388"/>
      <c r="B186" s="465" t="s">
        <v>893</v>
      </c>
      <c r="C186" s="466">
        <v>7.7</v>
      </c>
      <c r="D186" s="466">
        <v>7.7</v>
      </c>
      <c r="E186" s="467">
        <f t="shared" si="2"/>
        <v>100</v>
      </c>
    </row>
    <row r="187" spans="1:5" x14ac:dyDescent="0.2">
      <c r="A187" s="1388"/>
      <c r="B187" s="465" t="s">
        <v>894</v>
      </c>
      <c r="C187" s="466">
        <v>22.2</v>
      </c>
      <c r="D187" s="466">
        <v>22.2</v>
      </c>
      <c r="E187" s="467">
        <f t="shared" si="2"/>
        <v>100</v>
      </c>
    </row>
    <row r="188" spans="1:5" x14ac:dyDescent="0.2">
      <c r="A188" s="1388"/>
      <c r="B188" s="465" t="s">
        <v>895</v>
      </c>
      <c r="C188" s="466">
        <v>5.2</v>
      </c>
      <c r="D188" s="466">
        <v>5.2</v>
      </c>
      <c r="E188" s="467">
        <f t="shared" si="2"/>
        <v>100</v>
      </c>
    </row>
    <row r="189" spans="1:5" x14ac:dyDescent="0.2">
      <c r="A189" s="1388"/>
      <c r="B189" s="465" t="s">
        <v>896</v>
      </c>
      <c r="C189" s="466">
        <v>195.4</v>
      </c>
      <c r="D189" s="466">
        <v>195.4</v>
      </c>
      <c r="E189" s="467">
        <f t="shared" si="2"/>
        <v>100</v>
      </c>
    </row>
    <row r="190" spans="1:5" x14ac:dyDescent="0.2">
      <c r="A190" s="1388"/>
      <c r="B190" s="465" t="s">
        <v>897</v>
      </c>
      <c r="C190" s="466">
        <v>3.6</v>
      </c>
      <c r="D190" s="466">
        <v>3.6</v>
      </c>
      <c r="E190" s="467">
        <f t="shared" si="2"/>
        <v>100</v>
      </c>
    </row>
    <row r="191" spans="1:5" x14ac:dyDescent="0.2">
      <c r="A191" s="1388"/>
      <c r="B191" s="465" t="s">
        <v>898</v>
      </c>
      <c r="C191" s="466">
        <v>3.2</v>
      </c>
      <c r="D191" s="466">
        <v>3.2</v>
      </c>
      <c r="E191" s="467">
        <f t="shared" si="2"/>
        <v>100</v>
      </c>
    </row>
    <row r="192" spans="1:5" x14ac:dyDescent="0.2">
      <c r="A192" s="1388"/>
      <c r="B192" s="465" t="s">
        <v>899</v>
      </c>
      <c r="C192" s="466">
        <v>3.2</v>
      </c>
      <c r="D192" s="466">
        <v>3.2</v>
      </c>
      <c r="E192" s="467">
        <f t="shared" si="2"/>
        <v>100</v>
      </c>
    </row>
    <row r="193" spans="1:5" x14ac:dyDescent="0.2">
      <c r="A193" s="1388"/>
      <c r="B193" s="465" t="s">
        <v>900</v>
      </c>
      <c r="C193" s="466">
        <v>186.9</v>
      </c>
      <c r="D193" s="466">
        <v>186.9</v>
      </c>
      <c r="E193" s="467">
        <f t="shared" si="2"/>
        <v>100</v>
      </c>
    </row>
    <row r="194" spans="1:5" x14ac:dyDescent="0.2">
      <c r="A194" s="1388"/>
      <c r="B194" s="465" t="s">
        <v>901</v>
      </c>
      <c r="C194" s="466">
        <v>7.2</v>
      </c>
      <c r="D194" s="466">
        <v>7.2</v>
      </c>
      <c r="E194" s="467">
        <f t="shared" si="2"/>
        <v>100</v>
      </c>
    </row>
    <row r="195" spans="1:5" x14ac:dyDescent="0.2">
      <c r="A195" s="1388"/>
      <c r="B195" s="465" t="s">
        <v>902</v>
      </c>
      <c r="C195" s="466">
        <v>2.4</v>
      </c>
      <c r="D195" s="466">
        <v>2.4</v>
      </c>
      <c r="E195" s="467">
        <f t="shared" si="2"/>
        <v>100</v>
      </c>
    </row>
    <row r="196" spans="1:5" x14ac:dyDescent="0.2">
      <c r="A196" s="1388"/>
      <c r="B196" s="465" t="s">
        <v>903</v>
      </c>
      <c r="C196" s="466">
        <v>5.5</v>
      </c>
      <c r="D196" s="466">
        <v>5.5</v>
      </c>
      <c r="E196" s="467">
        <f t="shared" si="2"/>
        <v>100</v>
      </c>
    </row>
    <row r="197" spans="1:5" x14ac:dyDescent="0.2">
      <c r="A197" s="1388"/>
      <c r="B197" s="465" t="s">
        <v>904</v>
      </c>
      <c r="C197" s="466">
        <v>1.6</v>
      </c>
      <c r="D197" s="466">
        <v>1.6</v>
      </c>
      <c r="E197" s="467">
        <f t="shared" si="2"/>
        <v>100</v>
      </c>
    </row>
    <row r="198" spans="1:5" x14ac:dyDescent="0.2">
      <c r="A198" s="1388"/>
      <c r="B198" s="465" t="s">
        <v>905</v>
      </c>
      <c r="C198" s="466">
        <v>2.8</v>
      </c>
      <c r="D198" s="466">
        <v>2.8</v>
      </c>
      <c r="E198" s="467">
        <f t="shared" si="2"/>
        <v>100</v>
      </c>
    </row>
    <row r="199" spans="1:5" x14ac:dyDescent="0.2">
      <c r="A199" s="1388"/>
      <c r="B199" s="465" t="s">
        <v>906</v>
      </c>
      <c r="C199" s="466">
        <v>10.9</v>
      </c>
      <c r="D199" s="466">
        <v>10.9</v>
      </c>
      <c r="E199" s="467">
        <f t="shared" si="2"/>
        <v>100</v>
      </c>
    </row>
    <row r="200" spans="1:5" x14ac:dyDescent="0.2">
      <c r="A200" s="1388"/>
      <c r="B200" s="465" t="s">
        <v>907</v>
      </c>
      <c r="C200" s="466">
        <v>6</v>
      </c>
      <c r="D200" s="466">
        <v>6</v>
      </c>
      <c r="E200" s="467">
        <f t="shared" si="2"/>
        <v>100</v>
      </c>
    </row>
    <row r="201" spans="1:5" x14ac:dyDescent="0.2">
      <c r="A201" s="1388"/>
      <c r="B201" s="465" t="s">
        <v>908</v>
      </c>
      <c r="C201" s="466">
        <v>2</v>
      </c>
      <c r="D201" s="466">
        <v>2</v>
      </c>
      <c r="E201" s="467">
        <f t="shared" si="2"/>
        <v>100</v>
      </c>
    </row>
    <row r="202" spans="1:5" x14ac:dyDescent="0.2">
      <c r="A202" s="1388"/>
      <c r="B202" s="465" t="s">
        <v>909</v>
      </c>
      <c r="C202" s="466">
        <v>3.2</v>
      </c>
      <c r="D202" s="466">
        <v>3.2</v>
      </c>
      <c r="E202" s="467">
        <f t="shared" si="2"/>
        <v>100</v>
      </c>
    </row>
    <row r="203" spans="1:5" x14ac:dyDescent="0.2">
      <c r="A203" s="1388"/>
      <c r="B203" s="465" t="s">
        <v>910</v>
      </c>
      <c r="C203" s="466">
        <v>1.2</v>
      </c>
      <c r="D203" s="466">
        <v>1.2</v>
      </c>
      <c r="E203" s="467">
        <f t="shared" ref="E203:E267" si="3">D203/C203*100</f>
        <v>100</v>
      </c>
    </row>
    <row r="204" spans="1:5" x14ac:dyDescent="0.2">
      <c r="A204" s="1388"/>
      <c r="B204" s="465" t="s">
        <v>911</v>
      </c>
      <c r="C204" s="466">
        <v>7.2</v>
      </c>
      <c r="D204" s="466">
        <v>7.2</v>
      </c>
      <c r="E204" s="467">
        <f t="shared" si="3"/>
        <v>100</v>
      </c>
    </row>
    <row r="205" spans="1:5" x14ac:dyDescent="0.2">
      <c r="A205" s="1388"/>
      <c r="B205" s="465" t="s">
        <v>726</v>
      </c>
      <c r="C205" s="466">
        <v>4</v>
      </c>
      <c r="D205" s="466">
        <v>4</v>
      </c>
      <c r="E205" s="467">
        <f t="shared" si="3"/>
        <v>100</v>
      </c>
    </row>
    <row r="206" spans="1:5" x14ac:dyDescent="0.2">
      <c r="A206" s="1388"/>
      <c r="B206" s="465" t="s">
        <v>912</v>
      </c>
      <c r="C206" s="466">
        <v>1</v>
      </c>
      <c r="D206" s="466">
        <v>0</v>
      </c>
      <c r="E206" s="467">
        <f t="shared" si="3"/>
        <v>0</v>
      </c>
    </row>
    <row r="207" spans="1:5" x14ac:dyDescent="0.2">
      <c r="A207" s="1388"/>
      <c r="B207" s="465" t="s">
        <v>913</v>
      </c>
      <c r="C207" s="466">
        <v>1.2</v>
      </c>
      <c r="D207" s="466">
        <v>1.2</v>
      </c>
      <c r="E207" s="467">
        <f t="shared" si="3"/>
        <v>100</v>
      </c>
    </row>
    <row r="208" spans="1:5" x14ac:dyDescent="0.2">
      <c r="A208" s="1388"/>
      <c r="B208" s="465" t="s">
        <v>914</v>
      </c>
      <c r="C208" s="466">
        <v>7.6</v>
      </c>
      <c r="D208" s="466">
        <v>7.6</v>
      </c>
      <c r="E208" s="467">
        <f t="shared" si="3"/>
        <v>100</v>
      </c>
    </row>
    <row r="209" spans="1:5" x14ac:dyDescent="0.2">
      <c r="A209" s="1388"/>
      <c r="B209" s="465" t="s">
        <v>915</v>
      </c>
      <c r="C209" s="466">
        <v>6.1</v>
      </c>
      <c r="D209" s="466">
        <v>6.1</v>
      </c>
      <c r="E209" s="467">
        <f t="shared" si="3"/>
        <v>100</v>
      </c>
    </row>
    <row r="210" spans="1:5" x14ac:dyDescent="0.2">
      <c r="A210" s="1388"/>
      <c r="B210" s="465" t="s">
        <v>916</v>
      </c>
      <c r="C210" s="466">
        <v>1.2</v>
      </c>
      <c r="D210" s="466">
        <v>1.2</v>
      </c>
      <c r="E210" s="467">
        <f t="shared" si="3"/>
        <v>100</v>
      </c>
    </row>
    <row r="211" spans="1:5" x14ac:dyDescent="0.2">
      <c r="A211" s="1388"/>
      <c r="B211" s="465" t="s">
        <v>917</v>
      </c>
      <c r="C211" s="466">
        <v>1</v>
      </c>
      <c r="D211" s="466">
        <v>1</v>
      </c>
      <c r="E211" s="467">
        <f t="shared" si="3"/>
        <v>100</v>
      </c>
    </row>
    <row r="212" spans="1:5" x14ac:dyDescent="0.2">
      <c r="A212" s="1388"/>
      <c r="B212" s="465" t="s">
        <v>918</v>
      </c>
      <c r="C212" s="466">
        <v>4</v>
      </c>
      <c r="D212" s="466">
        <v>4</v>
      </c>
      <c r="E212" s="467">
        <f t="shared" si="3"/>
        <v>100</v>
      </c>
    </row>
    <row r="213" spans="1:5" x14ac:dyDescent="0.2">
      <c r="A213" s="1388"/>
      <c r="B213" s="465" t="s">
        <v>919</v>
      </c>
      <c r="C213" s="466">
        <v>1</v>
      </c>
      <c r="D213" s="466">
        <v>1</v>
      </c>
      <c r="E213" s="467">
        <f t="shared" si="3"/>
        <v>100</v>
      </c>
    </row>
    <row r="214" spans="1:5" x14ac:dyDescent="0.2">
      <c r="A214" s="1388"/>
      <c r="B214" s="465" t="s">
        <v>920</v>
      </c>
      <c r="C214" s="466">
        <v>1.2</v>
      </c>
      <c r="D214" s="466">
        <v>1.2</v>
      </c>
      <c r="E214" s="467">
        <f t="shared" si="3"/>
        <v>100</v>
      </c>
    </row>
    <row r="215" spans="1:5" x14ac:dyDescent="0.2">
      <c r="A215" s="1388"/>
      <c r="B215" s="465" t="s">
        <v>921</v>
      </c>
      <c r="C215" s="466">
        <v>1.2</v>
      </c>
      <c r="D215" s="466">
        <v>1.2</v>
      </c>
      <c r="E215" s="467">
        <f t="shared" si="3"/>
        <v>100</v>
      </c>
    </row>
    <row r="216" spans="1:5" x14ac:dyDescent="0.2">
      <c r="A216" s="1388"/>
      <c r="B216" s="465" t="s">
        <v>922</v>
      </c>
      <c r="C216" s="466">
        <v>7.2</v>
      </c>
      <c r="D216" s="466">
        <v>7.2</v>
      </c>
      <c r="E216" s="467">
        <f t="shared" si="3"/>
        <v>100</v>
      </c>
    </row>
    <row r="217" spans="1:5" x14ac:dyDescent="0.2">
      <c r="A217" s="1388"/>
      <c r="B217" s="465" t="s">
        <v>923</v>
      </c>
      <c r="C217" s="466">
        <v>2</v>
      </c>
      <c r="D217" s="466">
        <v>2</v>
      </c>
      <c r="E217" s="467">
        <f t="shared" si="3"/>
        <v>100</v>
      </c>
    </row>
    <row r="218" spans="1:5" x14ac:dyDescent="0.2">
      <c r="A218" s="1388"/>
      <c r="B218" s="465" t="s">
        <v>924</v>
      </c>
      <c r="C218" s="466">
        <v>9</v>
      </c>
      <c r="D218" s="466">
        <v>9</v>
      </c>
      <c r="E218" s="467">
        <f t="shared" si="3"/>
        <v>100</v>
      </c>
    </row>
    <row r="219" spans="1:5" x14ac:dyDescent="0.2">
      <c r="A219" s="1388"/>
      <c r="B219" s="465" t="s">
        <v>925</v>
      </c>
      <c r="C219" s="466">
        <v>14.1</v>
      </c>
      <c r="D219" s="466">
        <v>14.1</v>
      </c>
      <c r="E219" s="467">
        <f t="shared" si="3"/>
        <v>100</v>
      </c>
    </row>
    <row r="220" spans="1:5" x14ac:dyDescent="0.2">
      <c r="A220" s="1388"/>
      <c r="B220" s="465" t="s">
        <v>926</v>
      </c>
      <c r="C220" s="466">
        <v>5.2</v>
      </c>
      <c r="D220" s="466">
        <v>5.2</v>
      </c>
      <c r="E220" s="467">
        <f t="shared" si="3"/>
        <v>100</v>
      </c>
    </row>
    <row r="221" spans="1:5" x14ac:dyDescent="0.2">
      <c r="A221" s="1388"/>
      <c r="B221" s="465" t="s">
        <v>927</v>
      </c>
      <c r="C221" s="466">
        <v>7.5</v>
      </c>
      <c r="D221" s="466">
        <v>7.5</v>
      </c>
      <c r="E221" s="467">
        <f t="shared" si="3"/>
        <v>100</v>
      </c>
    </row>
    <row r="222" spans="1:5" x14ac:dyDescent="0.2">
      <c r="A222" s="1388"/>
      <c r="B222" s="465" t="s">
        <v>928</v>
      </c>
      <c r="C222" s="466">
        <v>1.2</v>
      </c>
      <c r="D222" s="466">
        <v>1.2</v>
      </c>
      <c r="E222" s="467">
        <f t="shared" si="3"/>
        <v>100</v>
      </c>
    </row>
    <row r="223" spans="1:5" x14ac:dyDescent="0.2">
      <c r="A223" s="1388"/>
      <c r="B223" s="465" t="s">
        <v>929</v>
      </c>
      <c r="C223" s="466">
        <v>193.8</v>
      </c>
      <c r="D223" s="466">
        <v>193.8</v>
      </c>
      <c r="E223" s="467">
        <f t="shared" si="3"/>
        <v>100</v>
      </c>
    </row>
    <row r="224" spans="1:5" x14ac:dyDescent="0.2">
      <c r="A224" s="1388"/>
      <c r="B224" s="465" t="s">
        <v>930</v>
      </c>
      <c r="C224" s="466">
        <v>11.2</v>
      </c>
      <c r="D224" s="466">
        <v>11.2</v>
      </c>
      <c r="E224" s="467">
        <f t="shared" si="3"/>
        <v>100</v>
      </c>
    </row>
    <row r="225" spans="1:5" x14ac:dyDescent="0.2">
      <c r="A225" s="1388"/>
      <c r="B225" s="465" t="s">
        <v>931</v>
      </c>
      <c r="C225" s="466">
        <v>4.4000000000000004</v>
      </c>
      <c r="D225" s="466">
        <v>4.4000000000000004</v>
      </c>
      <c r="E225" s="467">
        <f t="shared" si="3"/>
        <v>100</v>
      </c>
    </row>
    <row r="226" spans="1:5" x14ac:dyDescent="0.2">
      <c r="A226" s="1388"/>
      <c r="B226" s="465" t="s">
        <v>932</v>
      </c>
      <c r="C226" s="466">
        <v>203.4</v>
      </c>
      <c r="D226" s="466">
        <v>203.4</v>
      </c>
      <c r="E226" s="467">
        <f t="shared" si="3"/>
        <v>100</v>
      </c>
    </row>
    <row r="227" spans="1:5" x14ac:dyDescent="0.2">
      <c r="A227" s="1389"/>
      <c r="B227" s="465" t="s">
        <v>933</v>
      </c>
      <c r="C227" s="466">
        <v>593.4</v>
      </c>
      <c r="D227" s="466">
        <v>593.4</v>
      </c>
      <c r="E227" s="467">
        <f t="shared" si="3"/>
        <v>100</v>
      </c>
    </row>
    <row r="228" spans="1:5" ht="25.5" x14ac:dyDescent="0.2">
      <c r="A228" s="1387" t="s">
        <v>934</v>
      </c>
      <c r="B228" s="465" t="s">
        <v>935</v>
      </c>
      <c r="C228" s="466">
        <v>40</v>
      </c>
      <c r="D228" s="466">
        <v>40</v>
      </c>
      <c r="E228" s="467">
        <f t="shared" si="3"/>
        <v>100</v>
      </c>
    </row>
    <row r="229" spans="1:5" x14ac:dyDescent="0.2">
      <c r="A229" s="1388"/>
      <c r="B229" s="465" t="s">
        <v>773</v>
      </c>
      <c r="C229" s="466">
        <v>40</v>
      </c>
      <c r="D229" s="466">
        <v>40</v>
      </c>
      <c r="E229" s="467">
        <f t="shared" si="3"/>
        <v>100</v>
      </c>
    </row>
    <row r="230" spans="1:5" x14ac:dyDescent="0.2">
      <c r="A230" s="1388"/>
      <c r="B230" s="465" t="s">
        <v>783</v>
      </c>
      <c r="C230" s="466">
        <v>40</v>
      </c>
      <c r="D230" s="466">
        <v>40</v>
      </c>
      <c r="E230" s="467">
        <f t="shared" si="3"/>
        <v>100</v>
      </c>
    </row>
    <row r="231" spans="1:5" x14ac:dyDescent="0.2">
      <c r="A231" s="1388"/>
      <c r="B231" s="465" t="s">
        <v>788</v>
      </c>
      <c r="C231" s="466">
        <v>40</v>
      </c>
      <c r="D231" s="466">
        <v>40</v>
      </c>
      <c r="E231" s="467">
        <f t="shared" si="3"/>
        <v>100</v>
      </c>
    </row>
    <row r="232" spans="1:5" x14ac:dyDescent="0.2">
      <c r="A232" s="1388"/>
      <c r="B232" s="465" t="s">
        <v>793</v>
      </c>
      <c r="C232" s="466">
        <v>30</v>
      </c>
      <c r="D232" s="466">
        <v>30</v>
      </c>
      <c r="E232" s="467">
        <f t="shared" si="3"/>
        <v>100</v>
      </c>
    </row>
    <row r="233" spans="1:5" x14ac:dyDescent="0.2">
      <c r="A233" s="1388"/>
      <c r="B233" s="465" t="s">
        <v>816</v>
      </c>
      <c r="C233" s="466">
        <v>40</v>
      </c>
      <c r="D233" s="466">
        <v>40</v>
      </c>
      <c r="E233" s="467">
        <f t="shared" si="3"/>
        <v>100</v>
      </c>
    </row>
    <row r="234" spans="1:5" x14ac:dyDescent="0.2">
      <c r="A234" s="1388"/>
      <c r="B234" s="465" t="s">
        <v>936</v>
      </c>
      <c r="C234" s="466">
        <v>40</v>
      </c>
      <c r="D234" s="466">
        <v>39.927999999999997</v>
      </c>
      <c r="E234" s="467">
        <f t="shared" si="3"/>
        <v>99.82</v>
      </c>
    </row>
    <row r="235" spans="1:5" x14ac:dyDescent="0.2">
      <c r="A235" s="1388"/>
      <c r="B235" s="465" t="s">
        <v>830</v>
      </c>
      <c r="C235" s="466">
        <v>40</v>
      </c>
      <c r="D235" s="466">
        <v>40</v>
      </c>
      <c r="E235" s="467">
        <f t="shared" si="3"/>
        <v>100</v>
      </c>
    </row>
    <row r="236" spans="1:5" x14ac:dyDescent="0.2">
      <c r="A236" s="1388"/>
      <c r="B236" s="465" t="s">
        <v>937</v>
      </c>
      <c r="C236" s="466">
        <v>28</v>
      </c>
      <c r="D236" s="466">
        <v>28</v>
      </c>
      <c r="E236" s="467">
        <f t="shared" si="3"/>
        <v>100</v>
      </c>
    </row>
    <row r="237" spans="1:5" x14ac:dyDescent="0.2">
      <c r="A237" s="1388"/>
      <c r="B237" s="465" t="s">
        <v>938</v>
      </c>
      <c r="C237" s="466">
        <v>40</v>
      </c>
      <c r="D237" s="466">
        <v>40</v>
      </c>
      <c r="E237" s="467">
        <f t="shared" si="3"/>
        <v>100</v>
      </c>
    </row>
    <row r="238" spans="1:5" x14ac:dyDescent="0.2">
      <c r="A238" s="1388"/>
      <c r="B238" s="465" t="s">
        <v>939</v>
      </c>
      <c r="C238" s="466">
        <v>40</v>
      </c>
      <c r="D238" s="466">
        <v>40</v>
      </c>
      <c r="E238" s="467">
        <f t="shared" si="3"/>
        <v>100</v>
      </c>
    </row>
    <row r="239" spans="1:5" x14ac:dyDescent="0.2">
      <c r="A239" s="1388"/>
      <c r="B239" s="465" t="s">
        <v>940</v>
      </c>
      <c r="C239" s="466">
        <v>40</v>
      </c>
      <c r="D239" s="466">
        <v>40</v>
      </c>
      <c r="E239" s="467">
        <f t="shared" si="3"/>
        <v>100</v>
      </c>
    </row>
    <row r="240" spans="1:5" x14ac:dyDescent="0.2">
      <c r="A240" s="1388"/>
      <c r="B240" s="465" t="s">
        <v>941</v>
      </c>
      <c r="C240" s="466">
        <v>40</v>
      </c>
      <c r="D240" s="466">
        <v>40</v>
      </c>
      <c r="E240" s="467">
        <f t="shared" si="3"/>
        <v>100</v>
      </c>
    </row>
    <row r="241" spans="1:5" x14ac:dyDescent="0.2">
      <c r="A241" s="1388"/>
      <c r="B241" s="465" t="s">
        <v>942</v>
      </c>
      <c r="C241" s="466">
        <v>12</v>
      </c>
      <c r="D241" s="466">
        <v>12</v>
      </c>
      <c r="E241" s="467">
        <f t="shared" si="3"/>
        <v>100</v>
      </c>
    </row>
    <row r="242" spans="1:5" x14ac:dyDescent="0.2">
      <c r="A242" s="1389"/>
      <c r="B242" s="465" t="s">
        <v>943</v>
      </c>
      <c r="C242" s="466">
        <v>40</v>
      </c>
      <c r="D242" s="466">
        <v>40</v>
      </c>
      <c r="E242" s="467">
        <f t="shared" si="3"/>
        <v>100</v>
      </c>
    </row>
    <row r="243" spans="1:5" x14ac:dyDescent="0.2">
      <c r="A243" s="1387" t="s">
        <v>944</v>
      </c>
      <c r="B243" s="465" t="s">
        <v>945</v>
      </c>
      <c r="C243" s="466">
        <v>10</v>
      </c>
      <c r="D243" s="466">
        <v>10</v>
      </c>
      <c r="E243" s="467">
        <f t="shared" si="3"/>
        <v>100</v>
      </c>
    </row>
    <row r="244" spans="1:5" ht="25.5" x14ac:dyDescent="0.2">
      <c r="A244" s="1388"/>
      <c r="B244" s="465" t="s">
        <v>946</v>
      </c>
      <c r="C244" s="466">
        <v>20</v>
      </c>
      <c r="D244" s="466">
        <v>20</v>
      </c>
      <c r="E244" s="467">
        <f t="shared" si="3"/>
        <v>100</v>
      </c>
    </row>
    <row r="245" spans="1:5" x14ac:dyDescent="0.2">
      <c r="A245" s="1388"/>
      <c r="B245" s="465" t="s">
        <v>947</v>
      </c>
      <c r="C245" s="466">
        <v>50</v>
      </c>
      <c r="D245" s="466">
        <v>50</v>
      </c>
      <c r="E245" s="467">
        <f t="shared" si="3"/>
        <v>100</v>
      </c>
    </row>
    <row r="246" spans="1:5" x14ac:dyDescent="0.2">
      <c r="A246" s="1388"/>
      <c r="B246" s="465" t="s">
        <v>948</v>
      </c>
      <c r="C246" s="466">
        <v>50</v>
      </c>
      <c r="D246" s="466">
        <v>50</v>
      </c>
      <c r="E246" s="467">
        <f t="shared" si="3"/>
        <v>100</v>
      </c>
    </row>
    <row r="247" spans="1:5" ht="25.5" x14ac:dyDescent="0.2">
      <c r="A247" s="1389"/>
      <c r="B247" s="465" t="s">
        <v>949</v>
      </c>
      <c r="C247" s="466">
        <v>160</v>
      </c>
      <c r="D247" s="466">
        <v>160</v>
      </c>
      <c r="E247" s="467">
        <f t="shared" si="3"/>
        <v>100</v>
      </c>
    </row>
    <row r="248" spans="1:5" s="471" customFormat="1" ht="15.75" customHeight="1" x14ac:dyDescent="0.2">
      <c r="A248" s="1383" t="s">
        <v>950</v>
      </c>
      <c r="B248" s="1384"/>
      <c r="C248" s="469">
        <f>SUM(C20:C247)</f>
        <v>37844.299999999901</v>
      </c>
      <c r="D248" s="469">
        <f>SUM(D20:D247)</f>
        <v>21848.851450000013</v>
      </c>
      <c r="E248" s="470">
        <f t="shared" si="3"/>
        <v>57.733533055176267</v>
      </c>
    </row>
    <row r="249" spans="1:5" s="471" customFormat="1" ht="18" customHeight="1" x14ac:dyDescent="0.2">
      <c r="A249" s="1399" t="s">
        <v>633</v>
      </c>
      <c r="B249" s="1400"/>
      <c r="C249" s="1400"/>
      <c r="D249" s="1400"/>
      <c r="E249" s="1401"/>
    </row>
    <row r="250" spans="1:5" x14ac:dyDescent="0.2">
      <c r="A250" s="1387" t="s">
        <v>951</v>
      </c>
      <c r="B250" s="465" t="s">
        <v>952</v>
      </c>
      <c r="C250" s="466">
        <v>1000</v>
      </c>
      <c r="D250" s="466">
        <v>1000</v>
      </c>
      <c r="E250" s="467">
        <f t="shared" si="3"/>
        <v>100</v>
      </c>
    </row>
    <row r="251" spans="1:5" ht="25.5" x14ac:dyDescent="0.2">
      <c r="A251" s="1388"/>
      <c r="B251" s="465" t="s">
        <v>953</v>
      </c>
      <c r="C251" s="466">
        <v>150</v>
      </c>
      <c r="D251" s="466">
        <v>150</v>
      </c>
      <c r="E251" s="467">
        <f t="shared" si="3"/>
        <v>100</v>
      </c>
    </row>
    <row r="252" spans="1:5" ht="25.5" x14ac:dyDescent="0.2">
      <c r="A252" s="1388"/>
      <c r="B252" s="465" t="s">
        <v>954</v>
      </c>
      <c r="C252" s="466">
        <v>150</v>
      </c>
      <c r="D252" s="466">
        <v>150</v>
      </c>
      <c r="E252" s="467">
        <f>D252/C252*100</f>
        <v>100</v>
      </c>
    </row>
    <row r="253" spans="1:5" ht="25.5" x14ac:dyDescent="0.2">
      <c r="A253" s="1388"/>
      <c r="B253" s="465" t="s">
        <v>955</v>
      </c>
      <c r="C253" s="466">
        <v>300</v>
      </c>
      <c r="D253" s="466">
        <v>300</v>
      </c>
      <c r="E253" s="467">
        <f t="shared" si="3"/>
        <v>100</v>
      </c>
    </row>
    <row r="254" spans="1:5" ht="25.5" x14ac:dyDescent="0.2">
      <c r="A254" s="1388"/>
      <c r="B254" s="465" t="s">
        <v>956</v>
      </c>
      <c r="C254" s="466">
        <v>1500</v>
      </c>
      <c r="D254" s="466">
        <v>1500</v>
      </c>
      <c r="E254" s="467">
        <f t="shared" si="3"/>
        <v>100</v>
      </c>
    </row>
    <row r="255" spans="1:5" x14ac:dyDescent="0.2">
      <c r="A255" s="1388"/>
      <c r="B255" s="465" t="s">
        <v>957</v>
      </c>
      <c r="C255" s="466">
        <v>140</v>
      </c>
      <c r="D255" s="466">
        <v>140</v>
      </c>
      <c r="E255" s="467">
        <f t="shared" si="3"/>
        <v>100</v>
      </c>
    </row>
    <row r="256" spans="1:5" ht="25.5" x14ac:dyDescent="0.2">
      <c r="A256" s="1388"/>
      <c r="B256" s="465" t="s">
        <v>958</v>
      </c>
      <c r="C256" s="466">
        <v>500</v>
      </c>
      <c r="D256" s="466">
        <v>500</v>
      </c>
      <c r="E256" s="467">
        <f t="shared" si="3"/>
        <v>100</v>
      </c>
    </row>
    <row r="257" spans="1:5" x14ac:dyDescent="0.2">
      <c r="A257" s="1388"/>
      <c r="B257" s="465" t="s">
        <v>959</v>
      </c>
      <c r="C257" s="466">
        <v>300</v>
      </c>
      <c r="D257" s="466">
        <v>300</v>
      </c>
      <c r="E257" s="467">
        <f t="shared" si="3"/>
        <v>100</v>
      </c>
    </row>
    <row r="258" spans="1:5" x14ac:dyDescent="0.2">
      <c r="A258" s="1388"/>
      <c r="B258" s="465" t="s">
        <v>760</v>
      </c>
      <c r="C258" s="466">
        <v>100</v>
      </c>
      <c r="D258" s="466">
        <v>100</v>
      </c>
      <c r="E258" s="467">
        <f t="shared" si="3"/>
        <v>100</v>
      </c>
    </row>
    <row r="259" spans="1:5" x14ac:dyDescent="0.2">
      <c r="A259" s="1388"/>
      <c r="B259" s="465" t="s">
        <v>763</v>
      </c>
      <c r="C259" s="466">
        <v>75</v>
      </c>
      <c r="D259" s="466">
        <v>75</v>
      </c>
      <c r="E259" s="467">
        <f t="shared" si="3"/>
        <v>100</v>
      </c>
    </row>
    <row r="260" spans="1:5" ht="25.5" x14ac:dyDescent="0.2">
      <c r="A260" s="1388"/>
      <c r="B260" s="465" t="s">
        <v>960</v>
      </c>
      <c r="C260" s="466">
        <v>250</v>
      </c>
      <c r="D260" s="466">
        <v>250</v>
      </c>
      <c r="E260" s="467">
        <f t="shared" si="3"/>
        <v>100</v>
      </c>
    </row>
    <row r="261" spans="1:5" ht="25.5" x14ac:dyDescent="0.2">
      <c r="A261" s="1388"/>
      <c r="B261" s="465" t="s">
        <v>961</v>
      </c>
      <c r="C261" s="466">
        <v>100</v>
      </c>
      <c r="D261" s="466">
        <v>100</v>
      </c>
      <c r="E261" s="467">
        <f t="shared" si="3"/>
        <v>100</v>
      </c>
    </row>
    <row r="262" spans="1:5" x14ac:dyDescent="0.2">
      <c r="A262" s="1388"/>
      <c r="B262" s="465" t="s">
        <v>962</v>
      </c>
      <c r="C262" s="466">
        <v>56</v>
      </c>
      <c r="D262" s="466">
        <v>56</v>
      </c>
      <c r="E262" s="467">
        <f t="shared" si="3"/>
        <v>100</v>
      </c>
    </row>
    <row r="263" spans="1:5" x14ac:dyDescent="0.2">
      <c r="A263" s="1388"/>
      <c r="B263" s="465" t="s">
        <v>963</v>
      </c>
      <c r="C263" s="466">
        <v>400</v>
      </c>
      <c r="D263" s="466">
        <v>400</v>
      </c>
      <c r="E263" s="467">
        <f t="shared" si="3"/>
        <v>100</v>
      </c>
    </row>
    <row r="264" spans="1:5" ht="25.5" x14ac:dyDescent="0.2">
      <c r="A264" s="1388"/>
      <c r="B264" s="465" t="s">
        <v>964</v>
      </c>
      <c r="C264" s="466">
        <v>199</v>
      </c>
      <c r="D264" s="466">
        <v>199</v>
      </c>
      <c r="E264" s="467">
        <f t="shared" si="3"/>
        <v>100</v>
      </c>
    </row>
    <row r="265" spans="1:5" ht="25.5" x14ac:dyDescent="0.2">
      <c r="A265" s="1388"/>
      <c r="B265" s="465" t="s">
        <v>965</v>
      </c>
      <c r="C265" s="466">
        <v>150</v>
      </c>
      <c r="D265" s="466">
        <v>150</v>
      </c>
      <c r="E265" s="467">
        <f t="shared" si="3"/>
        <v>100</v>
      </c>
    </row>
    <row r="266" spans="1:5" x14ac:dyDescent="0.2">
      <c r="A266" s="1388"/>
      <c r="B266" s="465" t="s">
        <v>930</v>
      </c>
      <c r="C266" s="466">
        <v>150</v>
      </c>
      <c r="D266" s="466">
        <v>150</v>
      </c>
      <c r="E266" s="467">
        <f t="shared" si="3"/>
        <v>100</v>
      </c>
    </row>
    <row r="267" spans="1:5" x14ac:dyDescent="0.2">
      <c r="A267" s="1388"/>
      <c r="B267" s="465" t="s">
        <v>932</v>
      </c>
      <c r="C267" s="466">
        <v>350</v>
      </c>
      <c r="D267" s="466">
        <v>350</v>
      </c>
      <c r="E267" s="467">
        <f t="shared" si="3"/>
        <v>100</v>
      </c>
    </row>
    <row r="268" spans="1:5" ht="25.5" x14ac:dyDescent="0.2">
      <c r="A268" s="1388"/>
      <c r="B268" s="465" t="s">
        <v>966</v>
      </c>
      <c r="C268" s="466">
        <v>600</v>
      </c>
      <c r="D268" s="466">
        <v>600</v>
      </c>
      <c r="E268" s="467">
        <f t="shared" ref="E268:E332" si="4">D268/C268*100</f>
        <v>100</v>
      </c>
    </row>
    <row r="269" spans="1:5" ht="25.5" x14ac:dyDescent="0.2">
      <c r="A269" s="1388"/>
      <c r="B269" s="465" t="s">
        <v>967</v>
      </c>
      <c r="C269" s="466">
        <v>350</v>
      </c>
      <c r="D269" s="466">
        <v>350</v>
      </c>
      <c r="E269" s="467">
        <f t="shared" si="4"/>
        <v>100</v>
      </c>
    </row>
    <row r="270" spans="1:5" x14ac:dyDescent="0.2">
      <c r="A270" s="1389"/>
      <c r="B270" s="465" t="s">
        <v>968</v>
      </c>
      <c r="C270" s="466">
        <v>140</v>
      </c>
      <c r="D270" s="466">
        <v>140</v>
      </c>
      <c r="E270" s="467">
        <f t="shared" si="4"/>
        <v>100</v>
      </c>
    </row>
    <row r="271" spans="1:5" ht="15" customHeight="1" x14ac:dyDescent="0.2">
      <c r="A271" s="472" t="s">
        <v>969</v>
      </c>
      <c r="B271" s="465" t="s">
        <v>770</v>
      </c>
      <c r="C271" s="466">
        <v>50</v>
      </c>
      <c r="D271" s="466">
        <v>50</v>
      </c>
      <c r="E271" s="467">
        <f t="shared" si="4"/>
        <v>100</v>
      </c>
    </row>
    <row r="272" spans="1:5" ht="38.25" x14ac:dyDescent="0.2">
      <c r="A272" s="472" t="s">
        <v>970</v>
      </c>
      <c r="B272" s="465" t="s">
        <v>971</v>
      </c>
      <c r="C272" s="466">
        <v>120</v>
      </c>
      <c r="D272" s="466">
        <v>120</v>
      </c>
      <c r="E272" s="467">
        <f t="shared" si="4"/>
        <v>100</v>
      </c>
    </row>
    <row r="273" spans="1:5" x14ac:dyDescent="0.2">
      <c r="A273" s="1387" t="s">
        <v>972</v>
      </c>
      <c r="B273" s="465" t="s">
        <v>973</v>
      </c>
      <c r="C273" s="466">
        <v>50</v>
      </c>
      <c r="D273" s="466">
        <v>50</v>
      </c>
      <c r="E273" s="467">
        <f t="shared" si="4"/>
        <v>100</v>
      </c>
    </row>
    <row r="274" spans="1:5" ht="25.5" x14ac:dyDescent="0.2">
      <c r="A274" s="1388"/>
      <c r="B274" s="465" t="s">
        <v>974</v>
      </c>
      <c r="C274" s="466">
        <v>30</v>
      </c>
      <c r="D274" s="466">
        <v>30</v>
      </c>
      <c r="E274" s="467">
        <f t="shared" si="4"/>
        <v>100</v>
      </c>
    </row>
    <row r="275" spans="1:5" ht="25.5" x14ac:dyDescent="0.2">
      <c r="A275" s="1389"/>
      <c r="B275" s="465" t="s">
        <v>975</v>
      </c>
      <c r="C275" s="466">
        <v>15</v>
      </c>
      <c r="D275" s="466">
        <v>15</v>
      </c>
      <c r="E275" s="467">
        <f t="shared" si="4"/>
        <v>100</v>
      </c>
    </row>
    <row r="276" spans="1:5" ht="25.5" x14ac:dyDescent="0.2">
      <c r="A276" s="1387" t="s">
        <v>976</v>
      </c>
      <c r="B276" s="465" t="s">
        <v>977</v>
      </c>
      <c r="C276" s="466">
        <v>717</v>
      </c>
      <c r="D276" s="466">
        <v>717</v>
      </c>
      <c r="E276" s="467">
        <f t="shared" si="4"/>
        <v>100</v>
      </c>
    </row>
    <row r="277" spans="1:5" x14ac:dyDescent="0.2">
      <c r="A277" s="1388"/>
      <c r="B277" s="465" t="s">
        <v>932</v>
      </c>
      <c r="C277" s="466">
        <v>838</v>
      </c>
      <c r="D277" s="466">
        <v>838</v>
      </c>
      <c r="E277" s="467">
        <f t="shared" si="4"/>
        <v>100</v>
      </c>
    </row>
    <row r="278" spans="1:5" x14ac:dyDescent="0.2">
      <c r="A278" s="1389"/>
      <c r="B278" s="465" t="s">
        <v>933</v>
      </c>
      <c r="C278" s="466">
        <v>3445</v>
      </c>
      <c r="D278" s="466">
        <v>3445</v>
      </c>
      <c r="E278" s="467">
        <f t="shared" si="4"/>
        <v>100</v>
      </c>
    </row>
    <row r="279" spans="1:5" ht="25.5" x14ac:dyDescent="0.2">
      <c r="A279" s="1387" t="s">
        <v>978</v>
      </c>
      <c r="B279" s="465" t="s">
        <v>979</v>
      </c>
      <c r="C279" s="466">
        <v>120</v>
      </c>
      <c r="D279" s="466">
        <v>120</v>
      </c>
      <c r="E279" s="467">
        <f t="shared" si="4"/>
        <v>100</v>
      </c>
    </row>
    <row r="280" spans="1:5" ht="25.5" x14ac:dyDescent="0.2">
      <c r="A280" s="1388"/>
      <c r="B280" s="465" t="s">
        <v>980</v>
      </c>
      <c r="C280" s="466">
        <v>150</v>
      </c>
      <c r="D280" s="466">
        <v>150</v>
      </c>
      <c r="E280" s="467">
        <f t="shared" si="4"/>
        <v>100</v>
      </c>
    </row>
    <row r="281" spans="1:5" x14ac:dyDescent="0.2">
      <c r="A281" s="1388"/>
      <c r="B281" s="465" t="s">
        <v>981</v>
      </c>
      <c r="C281" s="466">
        <v>200</v>
      </c>
      <c r="D281" s="466">
        <v>0</v>
      </c>
      <c r="E281" s="467">
        <f t="shared" si="4"/>
        <v>0</v>
      </c>
    </row>
    <row r="282" spans="1:5" x14ac:dyDescent="0.2">
      <c r="A282" s="1388"/>
      <c r="B282" s="465" t="s">
        <v>982</v>
      </c>
      <c r="C282" s="466">
        <v>250</v>
      </c>
      <c r="D282" s="466">
        <v>250</v>
      </c>
      <c r="E282" s="467">
        <f t="shared" si="4"/>
        <v>100</v>
      </c>
    </row>
    <row r="283" spans="1:5" ht="25.5" x14ac:dyDescent="0.2">
      <c r="A283" s="1388"/>
      <c r="B283" s="465" t="s">
        <v>983</v>
      </c>
      <c r="C283" s="466">
        <v>25</v>
      </c>
      <c r="D283" s="466">
        <v>25</v>
      </c>
      <c r="E283" s="467">
        <f t="shared" si="4"/>
        <v>100</v>
      </c>
    </row>
    <row r="284" spans="1:5" x14ac:dyDescent="0.2">
      <c r="A284" s="1388"/>
      <c r="B284" s="465" t="s">
        <v>984</v>
      </c>
      <c r="C284" s="466">
        <v>100</v>
      </c>
      <c r="D284" s="466">
        <v>100</v>
      </c>
      <c r="E284" s="467">
        <f t="shared" si="4"/>
        <v>100</v>
      </c>
    </row>
    <row r="285" spans="1:5" ht="25.5" x14ac:dyDescent="0.2">
      <c r="A285" s="1388"/>
      <c r="B285" s="465" t="s">
        <v>985</v>
      </c>
      <c r="C285" s="466">
        <v>50</v>
      </c>
      <c r="D285" s="466">
        <v>50</v>
      </c>
      <c r="E285" s="467">
        <f t="shared" si="4"/>
        <v>100</v>
      </c>
    </row>
    <row r="286" spans="1:5" ht="25.5" x14ac:dyDescent="0.2">
      <c r="A286" s="1388"/>
      <c r="B286" s="465" t="s">
        <v>986</v>
      </c>
      <c r="C286" s="466">
        <v>50</v>
      </c>
      <c r="D286" s="466">
        <v>50</v>
      </c>
      <c r="E286" s="467">
        <f t="shared" si="4"/>
        <v>100</v>
      </c>
    </row>
    <row r="287" spans="1:5" x14ac:dyDescent="0.2">
      <c r="A287" s="1388"/>
      <c r="B287" s="465" t="s">
        <v>987</v>
      </c>
      <c r="C287" s="466">
        <v>30</v>
      </c>
      <c r="D287" s="466">
        <v>30</v>
      </c>
      <c r="E287" s="467">
        <f t="shared" si="4"/>
        <v>100</v>
      </c>
    </row>
    <row r="288" spans="1:5" ht="25.5" x14ac:dyDescent="0.2">
      <c r="A288" s="1388"/>
      <c r="B288" s="465" t="s">
        <v>956</v>
      </c>
      <c r="C288" s="466">
        <v>200</v>
      </c>
      <c r="D288" s="466">
        <v>200</v>
      </c>
      <c r="E288" s="467">
        <f t="shared" si="4"/>
        <v>100</v>
      </c>
    </row>
    <row r="289" spans="1:5" x14ac:dyDescent="0.2">
      <c r="A289" s="1388"/>
      <c r="B289" s="465" t="s">
        <v>988</v>
      </c>
      <c r="C289" s="466">
        <v>30</v>
      </c>
      <c r="D289" s="466">
        <v>30</v>
      </c>
      <c r="E289" s="467">
        <f t="shared" si="4"/>
        <v>100</v>
      </c>
    </row>
    <row r="290" spans="1:5" x14ac:dyDescent="0.2">
      <c r="A290" s="1388"/>
      <c r="B290" s="465" t="s">
        <v>758</v>
      </c>
      <c r="C290" s="466">
        <v>90</v>
      </c>
      <c r="D290" s="466">
        <v>90</v>
      </c>
      <c r="E290" s="467">
        <f t="shared" si="4"/>
        <v>100</v>
      </c>
    </row>
    <row r="291" spans="1:5" ht="25.5" x14ac:dyDescent="0.2">
      <c r="A291" s="1388"/>
      <c r="B291" s="465" t="s">
        <v>974</v>
      </c>
      <c r="C291" s="466">
        <v>100</v>
      </c>
      <c r="D291" s="466">
        <v>100</v>
      </c>
      <c r="E291" s="467">
        <f t="shared" si="4"/>
        <v>100</v>
      </c>
    </row>
    <row r="292" spans="1:5" ht="25.5" x14ac:dyDescent="0.2">
      <c r="A292" s="1388"/>
      <c r="B292" s="465" t="s">
        <v>989</v>
      </c>
      <c r="C292" s="466">
        <v>50</v>
      </c>
      <c r="D292" s="466">
        <v>50</v>
      </c>
      <c r="E292" s="467">
        <f t="shared" si="4"/>
        <v>100</v>
      </c>
    </row>
    <row r="293" spans="1:5" ht="25.5" x14ac:dyDescent="0.2">
      <c r="A293" s="1388"/>
      <c r="B293" s="465" t="s">
        <v>990</v>
      </c>
      <c r="C293" s="466">
        <v>50</v>
      </c>
      <c r="D293" s="466">
        <v>50</v>
      </c>
      <c r="E293" s="467">
        <f t="shared" si="4"/>
        <v>100</v>
      </c>
    </row>
    <row r="294" spans="1:5" x14ac:dyDescent="0.2">
      <c r="A294" s="1388"/>
      <c r="B294" s="465" t="s">
        <v>991</v>
      </c>
      <c r="C294" s="466">
        <v>50</v>
      </c>
      <c r="D294" s="466">
        <v>50</v>
      </c>
      <c r="E294" s="467">
        <f t="shared" si="4"/>
        <v>100</v>
      </c>
    </row>
    <row r="295" spans="1:5" x14ac:dyDescent="0.2">
      <c r="A295" s="1388"/>
      <c r="B295" s="465" t="s">
        <v>992</v>
      </c>
      <c r="C295" s="466">
        <v>102.5</v>
      </c>
      <c r="D295" s="466">
        <v>102.5</v>
      </c>
      <c r="E295" s="467">
        <f t="shared" si="4"/>
        <v>100</v>
      </c>
    </row>
    <row r="296" spans="1:5" x14ac:dyDescent="0.2">
      <c r="A296" s="1388"/>
      <c r="B296" s="465" t="s">
        <v>993</v>
      </c>
      <c r="C296" s="466">
        <v>80</v>
      </c>
      <c r="D296" s="466">
        <v>80</v>
      </c>
      <c r="E296" s="467">
        <f t="shared" si="4"/>
        <v>100</v>
      </c>
    </row>
    <row r="297" spans="1:5" x14ac:dyDescent="0.2">
      <c r="A297" s="1388"/>
      <c r="B297" s="465" t="s">
        <v>994</v>
      </c>
      <c r="C297" s="466">
        <v>70.2</v>
      </c>
      <c r="D297" s="466">
        <v>70.2</v>
      </c>
      <c r="E297" s="467">
        <f t="shared" si="4"/>
        <v>100</v>
      </c>
    </row>
    <row r="298" spans="1:5" x14ac:dyDescent="0.2">
      <c r="A298" s="1388"/>
      <c r="B298" s="465" t="s">
        <v>995</v>
      </c>
      <c r="C298" s="466">
        <v>72.3</v>
      </c>
      <c r="D298" s="466">
        <v>72.3</v>
      </c>
      <c r="E298" s="467">
        <f t="shared" si="4"/>
        <v>100</v>
      </c>
    </row>
    <row r="299" spans="1:5" x14ac:dyDescent="0.2">
      <c r="A299" s="1388"/>
      <c r="B299" s="465" t="s">
        <v>996</v>
      </c>
      <c r="C299" s="466">
        <v>150</v>
      </c>
      <c r="D299" s="466">
        <v>150</v>
      </c>
      <c r="E299" s="467">
        <f t="shared" si="4"/>
        <v>100</v>
      </c>
    </row>
    <row r="300" spans="1:5" x14ac:dyDescent="0.2">
      <c r="A300" s="1388"/>
      <c r="B300" s="465" t="s">
        <v>898</v>
      </c>
      <c r="C300" s="466">
        <v>150</v>
      </c>
      <c r="D300" s="466">
        <v>150</v>
      </c>
      <c r="E300" s="467">
        <f t="shared" si="4"/>
        <v>100</v>
      </c>
    </row>
    <row r="301" spans="1:5" x14ac:dyDescent="0.2">
      <c r="A301" s="1388"/>
      <c r="B301" s="465" t="s">
        <v>997</v>
      </c>
      <c r="C301" s="466">
        <v>500</v>
      </c>
      <c r="D301" s="466">
        <v>500</v>
      </c>
      <c r="E301" s="467">
        <f t="shared" si="4"/>
        <v>100</v>
      </c>
    </row>
    <row r="302" spans="1:5" x14ac:dyDescent="0.2">
      <c r="A302" s="1388"/>
      <c r="B302" s="465" t="s">
        <v>998</v>
      </c>
      <c r="C302" s="466">
        <v>200</v>
      </c>
      <c r="D302" s="466">
        <v>0</v>
      </c>
      <c r="E302" s="467">
        <f t="shared" si="4"/>
        <v>0</v>
      </c>
    </row>
    <row r="303" spans="1:5" ht="25.5" x14ac:dyDescent="0.2">
      <c r="A303" s="1388"/>
      <c r="B303" s="465" t="s">
        <v>999</v>
      </c>
      <c r="C303" s="466">
        <v>150</v>
      </c>
      <c r="D303" s="466">
        <v>150</v>
      </c>
      <c r="E303" s="467">
        <f t="shared" si="4"/>
        <v>100</v>
      </c>
    </row>
    <row r="304" spans="1:5" x14ac:dyDescent="0.2">
      <c r="A304" s="1388"/>
      <c r="B304" s="465" t="s">
        <v>1000</v>
      </c>
      <c r="C304" s="466">
        <v>50</v>
      </c>
      <c r="D304" s="466">
        <v>50</v>
      </c>
      <c r="E304" s="467">
        <f>D304/C304*100</f>
        <v>100</v>
      </c>
    </row>
    <row r="305" spans="1:5" ht="25.5" x14ac:dyDescent="0.2">
      <c r="A305" s="1388"/>
      <c r="B305" s="465" t="s">
        <v>1001</v>
      </c>
      <c r="C305" s="466">
        <v>20</v>
      </c>
      <c r="D305" s="466">
        <v>20</v>
      </c>
      <c r="E305" s="467">
        <f t="shared" si="4"/>
        <v>100</v>
      </c>
    </row>
    <row r="306" spans="1:5" ht="25.5" x14ac:dyDescent="0.2">
      <c r="A306" s="1388"/>
      <c r="B306" s="465" t="s">
        <v>1002</v>
      </c>
      <c r="C306" s="466">
        <v>100</v>
      </c>
      <c r="D306" s="466">
        <v>100</v>
      </c>
      <c r="E306" s="467">
        <f t="shared" si="4"/>
        <v>100</v>
      </c>
    </row>
    <row r="307" spans="1:5" x14ac:dyDescent="0.2">
      <c r="A307" s="1388"/>
      <c r="B307" s="465" t="s">
        <v>930</v>
      </c>
      <c r="C307" s="466">
        <v>55</v>
      </c>
      <c r="D307" s="466">
        <v>55</v>
      </c>
      <c r="E307" s="467">
        <f t="shared" si="4"/>
        <v>100</v>
      </c>
    </row>
    <row r="308" spans="1:5" x14ac:dyDescent="0.2">
      <c r="A308" s="1388"/>
      <c r="B308" s="465" t="s">
        <v>931</v>
      </c>
      <c r="C308" s="466">
        <v>90</v>
      </c>
      <c r="D308" s="466">
        <v>90</v>
      </c>
      <c r="E308" s="467">
        <f t="shared" si="4"/>
        <v>100</v>
      </c>
    </row>
    <row r="309" spans="1:5" x14ac:dyDescent="0.2">
      <c r="A309" s="1388"/>
      <c r="B309" s="465" t="s">
        <v>933</v>
      </c>
      <c r="C309" s="466">
        <v>170</v>
      </c>
      <c r="D309" s="466">
        <v>170</v>
      </c>
      <c r="E309" s="467">
        <f t="shared" si="4"/>
        <v>100</v>
      </c>
    </row>
    <row r="310" spans="1:5" ht="25.5" x14ac:dyDescent="0.2">
      <c r="A310" s="1389"/>
      <c r="B310" s="465" t="s">
        <v>966</v>
      </c>
      <c r="C310" s="466">
        <v>150</v>
      </c>
      <c r="D310" s="466">
        <v>150</v>
      </c>
      <c r="E310" s="467">
        <f t="shared" si="4"/>
        <v>100</v>
      </c>
    </row>
    <row r="311" spans="1:5" ht="25.5" x14ac:dyDescent="0.2">
      <c r="A311" s="1387" t="s">
        <v>1003</v>
      </c>
      <c r="B311" s="465" t="s">
        <v>985</v>
      </c>
      <c r="C311" s="466">
        <v>20</v>
      </c>
      <c r="D311" s="466">
        <v>20</v>
      </c>
      <c r="E311" s="467">
        <f t="shared" si="4"/>
        <v>100</v>
      </c>
    </row>
    <row r="312" spans="1:5" ht="25.5" x14ac:dyDescent="0.2">
      <c r="A312" s="1388"/>
      <c r="B312" s="465" t="s">
        <v>958</v>
      </c>
      <c r="C312" s="466">
        <v>2000</v>
      </c>
      <c r="D312" s="466">
        <v>100</v>
      </c>
      <c r="E312" s="467">
        <f t="shared" si="4"/>
        <v>5</v>
      </c>
    </row>
    <row r="313" spans="1:5" x14ac:dyDescent="0.2">
      <c r="A313" s="1389"/>
      <c r="B313" s="465" t="s">
        <v>1004</v>
      </c>
      <c r="C313" s="466">
        <v>30</v>
      </c>
      <c r="D313" s="466">
        <v>30</v>
      </c>
      <c r="E313" s="467">
        <f t="shared" si="4"/>
        <v>100</v>
      </c>
    </row>
    <row r="314" spans="1:5" s="471" customFormat="1" ht="15.75" customHeight="1" x14ac:dyDescent="0.2">
      <c r="A314" s="1383" t="s">
        <v>707</v>
      </c>
      <c r="B314" s="1384"/>
      <c r="C314" s="469">
        <f>SUM(C250:C313)</f>
        <v>17930</v>
      </c>
      <c r="D314" s="469">
        <f>SUM(D250:D313)</f>
        <v>15630</v>
      </c>
      <c r="E314" s="470">
        <f t="shared" si="4"/>
        <v>87.172336865588392</v>
      </c>
    </row>
    <row r="315" spans="1:5" s="471" customFormat="1" ht="18" customHeight="1" x14ac:dyDescent="0.2">
      <c r="A315" s="1390" t="s">
        <v>1005</v>
      </c>
      <c r="B315" s="1391"/>
      <c r="C315" s="1391"/>
      <c r="D315" s="1391"/>
      <c r="E315" s="1392"/>
    </row>
    <row r="316" spans="1:5" x14ac:dyDescent="0.2">
      <c r="A316" s="1387" t="s">
        <v>1006</v>
      </c>
      <c r="B316" s="474" t="s">
        <v>4799</v>
      </c>
      <c r="C316" s="466">
        <v>50</v>
      </c>
      <c r="D316" s="466">
        <v>50</v>
      </c>
      <c r="E316" s="467">
        <f t="shared" si="4"/>
        <v>100</v>
      </c>
    </row>
    <row r="317" spans="1:5" x14ac:dyDescent="0.2">
      <c r="A317" s="1388"/>
      <c r="B317" s="474" t="s">
        <v>4799</v>
      </c>
      <c r="C317" s="466">
        <v>50</v>
      </c>
      <c r="D317" s="466">
        <v>50</v>
      </c>
      <c r="E317" s="467">
        <f t="shared" si="4"/>
        <v>100</v>
      </c>
    </row>
    <row r="318" spans="1:5" x14ac:dyDescent="0.2">
      <c r="A318" s="1388"/>
      <c r="B318" s="474" t="s">
        <v>4799</v>
      </c>
      <c r="C318" s="466">
        <v>50</v>
      </c>
      <c r="D318" s="466">
        <v>50</v>
      </c>
      <c r="E318" s="467">
        <f t="shared" si="4"/>
        <v>100</v>
      </c>
    </row>
    <row r="319" spans="1:5" x14ac:dyDescent="0.2">
      <c r="A319" s="1389"/>
      <c r="B319" s="474" t="s">
        <v>4799</v>
      </c>
      <c r="C319" s="466">
        <v>50</v>
      </c>
      <c r="D319" s="466">
        <v>50</v>
      </c>
      <c r="E319" s="467">
        <f t="shared" si="4"/>
        <v>100</v>
      </c>
    </row>
    <row r="320" spans="1:5" x14ac:dyDescent="0.2">
      <c r="A320" s="1387" t="s">
        <v>1007</v>
      </c>
      <c r="B320" s="474" t="s">
        <v>1008</v>
      </c>
      <c r="C320" s="466">
        <v>90</v>
      </c>
      <c r="D320" s="466">
        <v>90</v>
      </c>
      <c r="E320" s="467">
        <f t="shared" si="4"/>
        <v>100</v>
      </c>
    </row>
    <row r="321" spans="1:5" ht="25.5" x14ac:dyDescent="0.2">
      <c r="A321" s="1388"/>
      <c r="B321" s="474" t="s">
        <v>1009</v>
      </c>
      <c r="C321" s="466">
        <v>1300</v>
      </c>
      <c r="D321" s="466">
        <v>1300</v>
      </c>
      <c r="E321" s="467">
        <f t="shared" si="4"/>
        <v>100</v>
      </c>
    </row>
    <row r="322" spans="1:5" ht="25.5" x14ac:dyDescent="0.2">
      <c r="A322" s="1388"/>
      <c r="B322" s="465" t="s">
        <v>1010</v>
      </c>
      <c r="C322" s="466">
        <v>200</v>
      </c>
      <c r="D322" s="466">
        <v>200</v>
      </c>
      <c r="E322" s="467">
        <f t="shared" si="4"/>
        <v>100</v>
      </c>
    </row>
    <row r="323" spans="1:5" x14ac:dyDescent="0.2">
      <c r="A323" s="1388"/>
      <c r="B323" s="465" t="s">
        <v>776</v>
      </c>
      <c r="C323" s="466">
        <v>70</v>
      </c>
      <c r="D323" s="466">
        <v>0</v>
      </c>
      <c r="E323" s="467">
        <f t="shared" si="4"/>
        <v>0</v>
      </c>
    </row>
    <row r="324" spans="1:5" ht="25.5" x14ac:dyDescent="0.2">
      <c r="A324" s="1388"/>
      <c r="B324" s="465" t="s">
        <v>1011</v>
      </c>
      <c r="C324" s="466">
        <v>15</v>
      </c>
      <c r="D324" s="466">
        <v>15</v>
      </c>
      <c r="E324" s="467">
        <f t="shared" si="4"/>
        <v>100</v>
      </c>
    </row>
    <row r="325" spans="1:5" ht="25.5" x14ac:dyDescent="0.2">
      <c r="A325" s="1389"/>
      <c r="B325" s="465" t="s">
        <v>1012</v>
      </c>
      <c r="C325" s="466">
        <v>50</v>
      </c>
      <c r="D325" s="466">
        <v>50</v>
      </c>
      <c r="E325" s="467">
        <f t="shared" si="4"/>
        <v>100</v>
      </c>
    </row>
    <row r="326" spans="1:5" x14ac:dyDescent="0.2">
      <c r="A326" s="1387" t="s">
        <v>1013</v>
      </c>
      <c r="B326" s="465" t="s">
        <v>1014</v>
      </c>
      <c r="C326" s="466">
        <v>200</v>
      </c>
      <c r="D326" s="466">
        <v>200</v>
      </c>
      <c r="E326" s="467">
        <f t="shared" si="4"/>
        <v>100</v>
      </c>
    </row>
    <row r="327" spans="1:5" ht="25.5" x14ac:dyDescent="0.2">
      <c r="A327" s="1388"/>
      <c r="B327" s="465" t="s">
        <v>1015</v>
      </c>
      <c r="C327" s="466">
        <v>70</v>
      </c>
      <c r="D327" s="466">
        <v>70</v>
      </c>
      <c r="E327" s="467">
        <f t="shared" si="4"/>
        <v>100</v>
      </c>
    </row>
    <row r="328" spans="1:5" x14ac:dyDescent="0.2">
      <c r="A328" s="1388"/>
      <c r="B328" s="465" t="s">
        <v>1016</v>
      </c>
      <c r="C328" s="466">
        <v>40</v>
      </c>
      <c r="D328" s="466">
        <v>40</v>
      </c>
      <c r="E328" s="467">
        <f t="shared" si="4"/>
        <v>100</v>
      </c>
    </row>
    <row r="329" spans="1:5" x14ac:dyDescent="0.2">
      <c r="A329" s="1388"/>
      <c r="B329" s="465" t="s">
        <v>1017</v>
      </c>
      <c r="C329" s="466">
        <v>50</v>
      </c>
      <c r="D329" s="466">
        <v>50</v>
      </c>
      <c r="E329" s="467">
        <f t="shared" si="4"/>
        <v>100</v>
      </c>
    </row>
    <row r="330" spans="1:5" x14ac:dyDescent="0.2">
      <c r="A330" s="1388"/>
      <c r="B330" s="465" t="s">
        <v>1018</v>
      </c>
      <c r="C330" s="466">
        <v>30</v>
      </c>
      <c r="D330" s="466">
        <v>30</v>
      </c>
      <c r="E330" s="467">
        <f t="shared" si="4"/>
        <v>100</v>
      </c>
    </row>
    <row r="331" spans="1:5" ht="25.5" x14ac:dyDescent="0.2">
      <c r="A331" s="1388"/>
      <c r="B331" s="465" t="s">
        <v>1019</v>
      </c>
      <c r="C331" s="466">
        <v>180</v>
      </c>
      <c r="D331" s="466">
        <v>180</v>
      </c>
      <c r="E331" s="467">
        <f t="shared" si="4"/>
        <v>100</v>
      </c>
    </row>
    <row r="332" spans="1:5" ht="25.5" x14ac:dyDescent="0.2">
      <c r="A332" s="1388"/>
      <c r="B332" s="465" t="s">
        <v>1020</v>
      </c>
      <c r="C332" s="466">
        <v>55</v>
      </c>
      <c r="D332" s="466">
        <v>55</v>
      </c>
      <c r="E332" s="467">
        <f t="shared" si="4"/>
        <v>100</v>
      </c>
    </row>
    <row r="333" spans="1:5" x14ac:dyDescent="0.2">
      <c r="A333" s="1388"/>
      <c r="B333" s="465" t="s">
        <v>1021</v>
      </c>
      <c r="C333" s="466">
        <v>10</v>
      </c>
      <c r="D333" s="466">
        <v>10</v>
      </c>
      <c r="E333" s="467">
        <f t="shared" ref="E333:E398" si="5">D333/C333*100</f>
        <v>100</v>
      </c>
    </row>
    <row r="334" spans="1:5" ht="25.5" x14ac:dyDescent="0.2">
      <c r="A334" s="1388"/>
      <c r="B334" s="465" t="s">
        <v>1022</v>
      </c>
      <c r="C334" s="466">
        <v>50</v>
      </c>
      <c r="D334" s="466">
        <v>50</v>
      </c>
      <c r="E334" s="467">
        <f t="shared" si="5"/>
        <v>100</v>
      </c>
    </row>
    <row r="335" spans="1:5" ht="25.5" x14ac:dyDescent="0.2">
      <c r="A335" s="1388"/>
      <c r="B335" s="465" t="s">
        <v>1023</v>
      </c>
      <c r="C335" s="466">
        <v>10</v>
      </c>
      <c r="D335" s="466">
        <v>10</v>
      </c>
      <c r="E335" s="467">
        <f t="shared" si="5"/>
        <v>100</v>
      </c>
    </row>
    <row r="336" spans="1:5" x14ac:dyDescent="0.2">
      <c r="A336" s="1388"/>
      <c r="B336" s="465" t="s">
        <v>1024</v>
      </c>
      <c r="C336" s="466">
        <v>10</v>
      </c>
      <c r="D336" s="466">
        <v>10</v>
      </c>
      <c r="E336" s="467">
        <f t="shared" si="5"/>
        <v>100</v>
      </c>
    </row>
    <row r="337" spans="1:5" x14ac:dyDescent="0.2">
      <c r="A337" s="1389"/>
      <c r="B337" s="465" t="s">
        <v>1025</v>
      </c>
      <c r="C337" s="466">
        <v>50</v>
      </c>
      <c r="D337" s="466">
        <v>50</v>
      </c>
      <c r="E337" s="467">
        <f t="shared" si="5"/>
        <v>100</v>
      </c>
    </row>
    <row r="338" spans="1:5" s="471" customFormat="1" ht="15.75" customHeight="1" x14ac:dyDescent="0.2">
      <c r="A338" s="1383" t="s">
        <v>1026</v>
      </c>
      <c r="B338" s="1384"/>
      <c r="C338" s="469">
        <f>SUM(C316:C337)</f>
        <v>2680</v>
      </c>
      <c r="D338" s="469">
        <f>SUM(D316:D337)</f>
        <v>2610</v>
      </c>
      <c r="E338" s="470">
        <f t="shared" si="5"/>
        <v>97.388059701492537</v>
      </c>
    </row>
    <row r="339" spans="1:5" s="471" customFormat="1" ht="18" customHeight="1" x14ac:dyDescent="0.2">
      <c r="A339" s="1390" t="s">
        <v>614</v>
      </c>
      <c r="B339" s="1391"/>
      <c r="C339" s="1391"/>
      <c r="D339" s="1391"/>
      <c r="E339" s="1392"/>
    </row>
    <row r="340" spans="1:5" x14ac:dyDescent="0.2">
      <c r="A340" s="1387" t="s">
        <v>1027</v>
      </c>
      <c r="B340" s="465" t="s">
        <v>1028</v>
      </c>
      <c r="C340" s="466">
        <v>2100</v>
      </c>
      <c r="D340" s="466">
        <v>2100</v>
      </c>
      <c r="E340" s="467">
        <f t="shared" si="5"/>
        <v>100</v>
      </c>
    </row>
    <row r="341" spans="1:5" ht="25.5" x14ac:dyDescent="0.2">
      <c r="A341" s="1389"/>
      <c r="B341" s="465" t="s">
        <v>1029</v>
      </c>
      <c r="C341" s="466">
        <v>3900</v>
      </c>
      <c r="D341" s="466">
        <v>3900</v>
      </c>
      <c r="E341" s="467">
        <f t="shared" si="5"/>
        <v>100</v>
      </c>
    </row>
    <row r="342" spans="1:5" ht="25.5" x14ac:dyDescent="0.2">
      <c r="A342" s="1387" t="s">
        <v>1030</v>
      </c>
      <c r="B342" s="465" t="s">
        <v>1031</v>
      </c>
      <c r="C342" s="466">
        <v>50</v>
      </c>
      <c r="D342" s="466">
        <v>50</v>
      </c>
      <c r="E342" s="467">
        <f t="shared" si="5"/>
        <v>100</v>
      </c>
    </row>
    <row r="343" spans="1:5" x14ac:dyDescent="0.2">
      <c r="A343" s="1388"/>
      <c r="B343" s="465" t="s">
        <v>1032</v>
      </c>
      <c r="C343" s="466">
        <v>150</v>
      </c>
      <c r="D343" s="466">
        <v>150</v>
      </c>
      <c r="E343" s="467">
        <f t="shared" si="5"/>
        <v>100</v>
      </c>
    </row>
    <row r="344" spans="1:5" x14ac:dyDescent="0.2">
      <c r="A344" s="1388"/>
      <c r="B344" s="465" t="s">
        <v>1033</v>
      </c>
      <c r="C344" s="466">
        <v>50</v>
      </c>
      <c r="D344" s="466">
        <v>50</v>
      </c>
      <c r="E344" s="467">
        <f t="shared" si="5"/>
        <v>100</v>
      </c>
    </row>
    <row r="345" spans="1:5" x14ac:dyDescent="0.2">
      <c r="A345" s="1388"/>
      <c r="B345" s="465" t="s">
        <v>1034</v>
      </c>
      <c r="C345" s="466">
        <v>200</v>
      </c>
      <c r="D345" s="466">
        <v>200</v>
      </c>
      <c r="E345" s="467">
        <f t="shared" si="5"/>
        <v>100</v>
      </c>
    </row>
    <row r="346" spans="1:5" ht="38.25" x14ac:dyDescent="0.2">
      <c r="A346" s="1388"/>
      <c r="B346" s="465" t="s">
        <v>1035</v>
      </c>
      <c r="C346" s="466">
        <v>200</v>
      </c>
      <c r="D346" s="466">
        <v>200</v>
      </c>
      <c r="E346" s="467">
        <f t="shared" si="5"/>
        <v>100</v>
      </c>
    </row>
    <row r="347" spans="1:5" x14ac:dyDescent="0.2">
      <c r="A347" s="1388"/>
      <c r="B347" s="465" t="s">
        <v>754</v>
      </c>
      <c r="C347" s="466">
        <v>500</v>
      </c>
      <c r="D347" s="466">
        <v>0</v>
      </c>
      <c r="E347" s="467">
        <f t="shared" si="5"/>
        <v>0</v>
      </c>
    </row>
    <row r="348" spans="1:5" x14ac:dyDescent="0.2">
      <c r="A348" s="1388"/>
      <c r="B348" s="465" t="s">
        <v>768</v>
      </c>
      <c r="C348" s="466">
        <v>2000</v>
      </c>
      <c r="D348" s="466">
        <v>2000</v>
      </c>
      <c r="E348" s="467">
        <f t="shared" si="5"/>
        <v>100</v>
      </c>
    </row>
    <row r="349" spans="1:5" x14ac:dyDescent="0.2">
      <c r="A349" s="1388"/>
      <c r="B349" s="465" t="s">
        <v>770</v>
      </c>
      <c r="C349" s="466">
        <v>237.83</v>
      </c>
      <c r="D349" s="466">
        <v>218.70750000000001</v>
      </c>
      <c r="E349" s="467">
        <f t="shared" si="5"/>
        <v>91.959592986587054</v>
      </c>
    </row>
    <row r="350" spans="1:5" x14ac:dyDescent="0.2">
      <c r="A350" s="1388"/>
      <c r="B350" s="465" t="s">
        <v>772</v>
      </c>
      <c r="C350" s="466">
        <v>10000</v>
      </c>
      <c r="D350" s="466">
        <v>0</v>
      </c>
      <c r="E350" s="467">
        <f t="shared" si="5"/>
        <v>0</v>
      </c>
    </row>
    <row r="351" spans="1:5" x14ac:dyDescent="0.2">
      <c r="A351" s="1388"/>
      <c r="B351" s="465" t="s">
        <v>1036</v>
      </c>
      <c r="C351" s="466">
        <v>750</v>
      </c>
      <c r="D351" s="466">
        <v>750</v>
      </c>
      <c r="E351" s="467">
        <f t="shared" si="5"/>
        <v>100</v>
      </c>
    </row>
    <row r="352" spans="1:5" x14ac:dyDescent="0.2">
      <c r="A352" s="1388"/>
      <c r="B352" s="465" t="s">
        <v>828</v>
      </c>
      <c r="C352" s="466">
        <v>300</v>
      </c>
      <c r="D352" s="466">
        <v>300</v>
      </c>
      <c r="E352" s="467">
        <f t="shared" si="5"/>
        <v>100</v>
      </c>
    </row>
    <row r="353" spans="1:5" x14ac:dyDescent="0.2">
      <c r="A353" s="1388"/>
      <c r="B353" s="465" t="s">
        <v>843</v>
      </c>
      <c r="C353" s="466">
        <v>50</v>
      </c>
      <c r="D353" s="466">
        <v>50</v>
      </c>
      <c r="E353" s="467">
        <f t="shared" si="5"/>
        <v>100</v>
      </c>
    </row>
    <row r="354" spans="1:5" x14ac:dyDescent="0.2">
      <c r="A354" s="1388"/>
      <c r="B354" s="465" t="s">
        <v>1037</v>
      </c>
      <c r="C354" s="466">
        <v>206.86</v>
      </c>
      <c r="D354" s="466">
        <v>206.86</v>
      </c>
      <c r="E354" s="467">
        <f t="shared" si="5"/>
        <v>100</v>
      </c>
    </row>
    <row r="355" spans="1:5" ht="25.5" x14ac:dyDescent="0.2">
      <c r="A355" s="1388"/>
      <c r="B355" s="465" t="s">
        <v>1038</v>
      </c>
      <c r="C355" s="466">
        <v>50</v>
      </c>
      <c r="D355" s="466">
        <v>50</v>
      </c>
      <c r="E355" s="467">
        <f t="shared" si="5"/>
        <v>100</v>
      </c>
    </row>
    <row r="356" spans="1:5" ht="25.5" x14ac:dyDescent="0.2">
      <c r="A356" s="1388"/>
      <c r="B356" s="465" t="s">
        <v>1039</v>
      </c>
      <c r="C356" s="466">
        <v>200</v>
      </c>
      <c r="D356" s="466">
        <v>200</v>
      </c>
      <c r="E356" s="467">
        <f t="shared" si="5"/>
        <v>100</v>
      </c>
    </row>
    <row r="357" spans="1:5" ht="25.5" x14ac:dyDescent="0.2">
      <c r="A357" s="1388"/>
      <c r="B357" s="465" t="s">
        <v>964</v>
      </c>
      <c r="C357" s="466">
        <v>100</v>
      </c>
      <c r="D357" s="466">
        <v>100</v>
      </c>
      <c r="E357" s="467">
        <f t="shared" si="5"/>
        <v>100</v>
      </c>
    </row>
    <row r="358" spans="1:5" x14ac:dyDescent="0.2">
      <c r="A358" s="1388"/>
      <c r="B358" s="465" t="s">
        <v>1040</v>
      </c>
      <c r="C358" s="466">
        <v>70</v>
      </c>
      <c r="D358" s="466">
        <v>69.23</v>
      </c>
      <c r="E358" s="467">
        <f t="shared" si="5"/>
        <v>98.9</v>
      </c>
    </row>
    <row r="359" spans="1:5" ht="25.5" x14ac:dyDescent="0.2">
      <c r="A359" s="1388"/>
      <c r="B359" s="465" t="s">
        <v>1041</v>
      </c>
      <c r="C359" s="466">
        <v>30</v>
      </c>
      <c r="D359" s="466">
        <v>30</v>
      </c>
      <c r="E359" s="467">
        <f t="shared" si="5"/>
        <v>100</v>
      </c>
    </row>
    <row r="360" spans="1:5" x14ac:dyDescent="0.2">
      <c r="A360" s="1388"/>
      <c r="B360" s="465" t="s">
        <v>1042</v>
      </c>
      <c r="C360" s="466">
        <v>30</v>
      </c>
      <c r="D360" s="466">
        <v>30</v>
      </c>
      <c r="E360" s="467">
        <f t="shared" si="5"/>
        <v>100</v>
      </c>
    </row>
    <row r="361" spans="1:5" ht="38.25" x14ac:dyDescent="0.2">
      <c r="A361" s="1388"/>
      <c r="B361" s="465" t="s">
        <v>1043</v>
      </c>
      <c r="C361" s="466">
        <v>50</v>
      </c>
      <c r="D361" s="466">
        <v>50</v>
      </c>
      <c r="E361" s="467">
        <f t="shared" si="5"/>
        <v>100</v>
      </c>
    </row>
    <row r="362" spans="1:5" ht="25.5" x14ac:dyDescent="0.2">
      <c r="A362" s="1388"/>
      <c r="B362" s="465" t="s">
        <v>720</v>
      </c>
      <c r="C362" s="466">
        <v>50</v>
      </c>
      <c r="D362" s="466">
        <v>50</v>
      </c>
      <c r="E362" s="467">
        <f t="shared" si="5"/>
        <v>100</v>
      </c>
    </row>
    <row r="363" spans="1:5" x14ac:dyDescent="0.2">
      <c r="A363" s="1388"/>
      <c r="B363" s="465" t="s">
        <v>1044</v>
      </c>
      <c r="C363" s="466">
        <v>200</v>
      </c>
      <c r="D363" s="466">
        <v>200</v>
      </c>
      <c r="E363" s="467">
        <f t="shared" si="5"/>
        <v>100</v>
      </c>
    </row>
    <row r="364" spans="1:5" ht="25.5" x14ac:dyDescent="0.2">
      <c r="A364" s="1388"/>
      <c r="B364" s="465" t="s">
        <v>1045</v>
      </c>
      <c r="C364" s="466">
        <v>50</v>
      </c>
      <c r="D364" s="466">
        <v>50</v>
      </c>
      <c r="E364" s="467">
        <f t="shared" si="5"/>
        <v>100</v>
      </c>
    </row>
    <row r="365" spans="1:5" x14ac:dyDescent="0.2">
      <c r="A365" s="1388"/>
      <c r="B365" s="465" t="s">
        <v>1046</v>
      </c>
      <c r="C365" s="466">
        <v>310</v>
      </c>
      <c r="D365" s="466">
        <v>310</v>
      </c>
      <c r="E365" s="467">
        <f t="shared" si="5"/>
        <v>100</v>
      </c>
    </row>
    <row r="366" spans="1:5" x14ac:dyDescent="0.2">
      <c r="A366" s="1388"/>
      <c r="B366" s="465" t="s">
        <v>1047</v>
      </c>
      <c r="C366" s="466">
        <v>60</v>
      </c>
      <c r="D366" s="466">
        <v>60</v>
      </c>
      <c r="E366" s="467">
        <f t="shared" si="5"/>
        <v>100</v>
      </c>
    </row>
    <row r="367" spans="1:5" ht="25.5" x14ac:dyDescent="0.2">
      <c r="A367" s="1389"/>
      <c r="B367" s="465" t="s">
        <v>1029</v>
      </c>
      <c r="C367" s="466">
        <v>705</v>
      </c>
      <c r="D367" s="466">
        <v>175</v>
      </c>
      <c r="E367" s="467">
        <f t="shared" si="5"/>
        <v>24.822695035460992</v>
      </c>
    </row>
    <row r="368" spans="1:5" ht="15" customHeight="1" x14ac:dyDescent="0.2">
      <c r="A368" s="473" t="s">
        <v>475</v>
      </c>
      <c r="B368" s="474" t="s">
        <v>1048</v>
      </c>
      <c r="C368" s="475">
        <v>3650</v>
      </c>
      <c r="D368" s="475">
        <v>3650</v>
      </c>
      <c r="E368" s="467">
        <f t="shared" si="5"/>
        <v>100</v>
      </c>
    </row>
    <row r="369" spans="1:5" ht="38.25" x14ac:dyDescent="0.2">
      <c r="A369" s="1387" t="s">
        <v>1049</v>
      </c>
      <c r="B369" s="465" t="s">
        <v>1050</v>
      </c>
      <c r="C369" s="466">
        <v>3000</v>
      </c>
      <c r="D369" s="466">
        <v>3000</v>
      </c>
      <c r="E369" s="467">
        <f t="shared" si="5"/>
        <v>100</v>
      </c>
    </row>
    <row r="370" spans="1:5" ht="25.5" x14ac:dyDescent="0.2">
      <c r="A370" s="1388"/>
      <c r="B370" s="465" t="s">
        <v>1051</v>
      </c>
      <c r="C370" s="466">
        <v>70</v>
      </c>
      <c r="D370" s="466">
        <v>20</v>
      </c>
      <c r="E370" s="467">
        <f t="shared" si="5"/>
        <v>28.571428571428569</v>
      </c>
    </row>
    <row r="371" spans="1:5" ht="25.5" x14ac:dyDescent="0.2">
      <c r="A371" s="1388"/>
      <c r="B371" s="465" t="s">
        <v>1052</v>
      </c>
      <c r="C371" s="466">
        <v>70</v>
      </c>
      <c r="D371" s="466">
        <v>70</v>
      </c>
      <c r="E371" s="467">
        <f t="shared" si="5"/>
        <v>100</v>
      </c>
    </row>
    <row r="372" spans="1:5" ht="25.5" x14ac:dyDescent="0.2">
      <c r="A372" s="1389"/>
      <c r="B372" s="465" t="s">
        <v>1038</v>
      </c>
      <c r="C372" s="466">
        <v>30</v>
      </c>
      <c r="D372" s="466">
        <v>30</v>
      </c>
      <c r="E372" s="467">
        <f t="shared" si="5"/>
        <v>100</v>
      </c>
    </row>
    <row r="373" spans="1:5" s="471" customFormat="1" ht="15.75" customHeight="1" x14ac:dyDescent="0.2">
      <c r="A373" s="1383" t="s">
        <v>698</v>
      </c>
      <c r="B373" s="1384"/>
      <c r="C373" s="469">
        <f>SUM(C340:C372)</f>
        <v>29419.690000000002</v>
      </c>
      <c r="D373" s="469">
        <f>SUM(D340:D372)</f>
        <v>18319.797500000001</v>
      </c>
      <c r="E373" s="470">
        <f t="shared" si="5"/>
        <v>62.270532082425071</v>
      </c>
    </row>
    <row r="374" spans="1:5" s="471" customFormat="1" ht="18" customHeight="1" x14ac:dyDescent="0.2">
      <c r="A374" s="1393" t="s">
        <v>611</v>
      </c>
      <c r="B374" s="1394"/>
      <c r="C374" s="1394"/>
      <c r="D374" s="1394"/>
      <c r="E374" s="1395"/>
    </row>
    <row r="375" spans="1:5" ht="27.75" customHeight="1" x14ac:dyDescent="0.2">
      <c r="A375" s="472" t="s">
        <v>1053</v>
      </c>
      <c r="B375" s="465" t="s">
        <v>1054</v>
      </c>
      <c r="C375" s="466">
        <v>16500</v>
      </c>
      <c r="D375" s="466">
        <v>9920.1127699999997</v>
      </c>
      <c r="E375" s="467">
        <f t="shared" si="5"/>
        <v>60.121895575757577</v>
      </c>
    </row>
    <row r="376" spans="1:5" ht="27.75" customHeight="1" x14ac:dyDescent="0.2">
      <c r="A376" s="472" t="s">
        <v>1055</v>
      </c>
      <c r="B376" s="465" t="s">
        <v>1054</v>
      </c>
      <c r="C376" s="466">
        <v>300</v>
      </c>
      <c r="D376" s="466">
        <v>300</v>
      </c>
      <c r="E376" s="467">
        <f t="shared" si="5"/>
        <v>100</v>
      </c>
    </row>
    <row r="377" spans="1:5" x14ac:dyDescent="0.2">
      <c r="A377" s="1387" t="s">
        <v>1056</v>
      </c>
      <c r="B377" s="465" t="s">
        <v>1057</v>
      </c>
      <c r="C377" s="466">
        <v>400</v>
      </c>
      <c r="D377" s="466">
        <v>199.47499999999999</v>
      </c>
      <c r="E377" s="467">
        <f t="shared" si="5"/>
        <v>49.868749999999999</v>
      </c>
    </row>
    <row r="378" spans="1:5" ht="25.5" x14ac:dyDescent="0.2">
      <c r="A378" s="1388"/>
      <c r="B378" s="465" t="s">
        <v>1058</v>
      </c>
      <c r="C378" s="466">
        <v>200</v>
      </c>
      <c r="D378" s="466">
        <v>200</v>
      </c>
      <c r="E378" s="467">
        <f t="shared" si="5"/>
        <v>100</v>
      </c>
    </row>
    <row r="379" spans="1:5" ht="25.5" x14ac:dyDescent="0.2">
      <c r="A379" s="1388"/>
      <c r="B379" s="465" t="s">
        <v>1059</v>
      </c>
      <c r="C379" s="466">
        <v>300</v>
      </c>
      <c r="D379" s="466">
        <v>300</v>
      </c>
      <c r="E379" s="467">
        <f t="shared" si="5"/>
        <v>100</v>
      </c>
    </row>
    <row r="380" spans="1:5" x14ac:dyDescent="0.2">
      <c r="A380" s="1388"/>
      <c r="B380" s="465" t="s">
        <v>1060</v>
      </c>
      <c r="C380" s="466">
        <v>50</v>
      </c>
      <c r="D380" s="466">
        <v>50</v>
      </c>
      <c r="E380" s="467">
        <f t="shared" si="5"/>
        <v>100</v>
      </c>
    </row>
    <row r="381" spans="1:5" x14ac:dyDescent="0.2">
      <c r="A381" s="1388"/>
      <c r="B381" s="465" t="s">
        <v>1061</v>
      </c>
      <c r="C381" s="466">
        <v>200</v>
      </c>
      <c r="D381" s="466">
        <v>200</v>
      </c>
      <c r="E381" s="467">
        <f t="shared" si="5"/>
        <v>100</v>
      </c>
    </row>
    <row r="382" spans="1:5" x14ac:dyDescent="0.2">
      <c r="A382" s="1388"/>
      <c r="B382" s="465" t="s">
        <v>1062</v>
      </c>
      <c r="C382" s="466">
        <v>50</v>
      </c>
      <c r="D382" s="466">
        <v>0</v>
      </c>
      <c r="E382" s="467">
        <f t="shared" si="5"/>
        <v>0</v>
      </c>
    </row>
    <row r="383" spans="1:5" x14ac:dyDescent="0.2">
      <c r="A383" s="1388"/>
      <c r="B383" s="465" t="s">
        <v>1063</v>
      </c>
      <c r="C383" s="466">
        <v>50</v>
      </c>
      <c r="D383" s="466">
        <v>50</v>
      </c>
      <c r="E383" s="467">
        <f t="shared" si="5"/>
        <v>100</v>
      </c>
    </row>
    <row r="384" spans="1:5" x14ac:dyDescent="0.2">
      <c r="A384" s="1388"/>
      <c r="B384" s="465" t="s">
        <v>1064</v>
      </c>
      <c r="C384" s="466">
        <v>54.5</v>
      </c>
      <c r="D384" s="466">
        <v>0</v>
      </c>
      <c r="E384" s="467">
        <f t="shared" si="5"/>
        <v>0</v>
      </c>
    </row>
    <row r="385" spans="1:5" ht="25.5" x14ac:dyDescent="0.2">
      <c r="A385" s="1388"/>
      <c r="B385" s="465" t="s">
        <v>1065</v>
      </c>
      <c r="C385" s="466">
        <v>150</v>
      </c>
      <c r="D385" s="466">
        <v>50</v>
      </c>
      <c r="E385" s="467">
        <f t="shared" si="5"/>
        <v>33.333333333333329</v>
      </c>
    </row>
    <row r="386" spans="1:5" x14ac:dyDescent="0.2">
      <c r="A386" s="1388"/>
      <c r="B386" s="465" t="s">
        <v>772</v>
      </c>
      <c r="C386" s="466">
        <v>30</v>
      </c>
      <c r="D386" s="466">
        <v>30</v>
      </c>
      <c r="E386" s="467">
        <f t="shared" si="5"/>
        <v>100</v>
      </c>
    </row>
    <row r="387" spans="1:5" x14ac:dyDescent="0.2">
      <c r="A387" s="1388"/>
      <c r="B387" s="465" t="s">
        <v>1066</v>
      </c>
      <c r="C387" s="466">
        <v>200</v>
      </c>
      <c r="D387" s="466">
        <v>200</v>
      </c>
      <c r="E387" s="467">
        <f t="shared" si="5"/>
        <v>100</v>
      </c>
    </row>
    <row r="388" spans="1:5" ht="25.5" x14ac:dyDescent="0.2">
      <c r="A388" s="1388"/>
      <c r="B388" s="465" t="s">
        <v>1067</v>
      </c>
      <c r="C388" s="466">
        <v>180</v>
      </c>
      <c r="D388" s="466">
        <v>0</v>
      </c>
      <c r="E388" s="467">
        <f t="shared" si="5"/>
        <v>0</v>
      </c>
    </row>
    <row r="389" spans="1:5" ht="25.5" x14ac:dyDescent="0.2">
      <c r="A389" s="1388"/>
      <c r="B389" s="465" t="s">
        <v>1068</v>
      </c>
      <c r="C389" s="466">
        <v>95</v>
      </c>
      <c r="D389" s="466">
        <v>85</v>
      </c>
      <c r="E389" s="467">
        <f t="shared" si="5"/>
        <v>89.473684210526315</v>
      </c>
    </row>
    <row r="390" spans="1:5" x14ac:dyDescent="0.2">
      <c r="A390" s="1388"/>
      <c r="B390" s="465" t="s">
        <v>1069</v>
      </c>
      <c r="C390" s="466">
        <v>80</v>
      </c>
      <c r="D390" s="466">
        <v>80</v>
      </c>
      <c r="E390" s="467">
        <f t="shared" si="5"/>
        <v>100</v>
      </c>
    </row>
    <row r="391" spans="1:5" x14ac:dyDescent="0.2">
      <c r="A391" s="1388"/>
      <c r="B391" s="465" t="s">
        <v>1070</v>
      </c>
      <c r="C391" s="466">
        <v>30</v>
      </c>
      <c r="D391" s="466">
        <v>30</v>
      </c>
      <c r="E391" s="467">
        <f t="shared" si="5"/>
        <v>100</v>
      </c>
    </row>
    <row r="392" spans="1:5" x14ac:dyDescent="0.2">
      <c r="A392" s="1388"/>
      <c r="B392" s="465" t="s">
        <v>1071</v>
      </c>
      <c r="C392" s="466">
        <v>300</v>
      </c>
      <c r="D392" s="466">
        <v>150</v>
      </c>
      <c r="E392" s="467">
        <f t="shared" si="5"/>
        <v>50</v>
      </c>
    </row>
    <row r="393" spans="1:5" ht="25.5" x14ac:dyDescent="0.2">
      <c r="A393" s="1388"/>
      <c r="B393" s="465" t="s">
        <v>1072</v>
      </c>
      <c r="C393" s="466">
        <v>100</v>
      </c>
      <c r="D393" s="466">
        <v>100</v>
      </c>
      <c r="E393" s="467">
        <f>D393/C393*100</f>
        <v>100</v>
      </c>
    </row>
    <row r="394" spans="1:5" x14ac:dyDescent="0.2">
      <c r="A394" s="1388"/>
      <c r="B394" s="465" t="s">
        <v>929</v>
      </c>
      <c r="C394" s="466">
        <v>80</v>
      </c>
      <c r="D394" s="466">
        <v>80</v>
      </c>
      <c r="E394" s="467">
        <f t="shared" si="5"/>
        <v>100</v>
      </c>
    </row>
    <row r="395" spans="1:5" x14ac:dyDescent="0.2">
      <c r="A395" s="1388"/>
      <c r="B395" s="465" t="s">
        <v>1073</v>
      </c>
      <c r="C395" s="466">
        <v>30</v>
      </c>
      <c r="D395" s="466">
        <v>0</v>
      </c>
      <c r="E395" s="467">
        <f t="shared" si="5"/>
        <v>0</v>
      </c>
    </row>
    <row r="396" spans="1:5" x14ac:dyDescent="0.2">
      <c r="A396" s="1388"/>
      <c r="B396" s="465" t="s">
        <v>1074</v>
      </c>
      <c r="C396" s="466">
        <v>30</v>
      </c>
      <c r="D396" s="466">
        <v>30</v>
      </c>
      <c r="E396" s="467">
        <f t="shared" si="5"/>
        <v>100</v>
      </c>
    </row>
    <row r="397" spans="1:5" ht="25.5" x14ac:dyDescent="0.2">
      <c r="A397" s="1388"/>
      <c r="B397" s="465" t="s">
        <v>1075</v>
      </c>
      <c r="C397" s="466">
        <v>201</v>
      </c>
      <c r="D397" s="466">
        <v>100</v>
      </c>
      <c r="E397" s="467">
        <f t="shared" si="5"/>
        <v>49.75124378109453</v>
      </c>
    </row>
    <row r="398" spans="1:5" ht="25.5" x14ac:dyDescent="0.2">
      <c r="A398" s="1389"/>
      <c r="B398" s="465" t="s">
        <v>1076</v>
      </c>
      <c r="C398" s="466">
        <v>50</v>
      </c>
      <c r="D398" s="466">
        <v>50</v>
      </c>
      <c r="E398" s="467">
        <f t="shared" si="5"/>
        <v>100</v>
      </c>
    </row>
    <row r="399" spans="1:5" x14ac:dyDescent="0.2">
      <c r="A399" s="1387" t="s">
        <v>1077</v>
      </c>
      <c r="B399" s="465" t="s">
        <v>1078</v>
      </c>
      <c r="C399" s="466">
        <v>250</v>
      </c>
      <c r="D399" s="466">
        <v>0</v>
      </c>
      <c r="E399" s="467">
        <f t="shared" ref="E399:E463" si="6">D399/C399*100</f>
        <v>0</v>
      </c>
    </row>
    <row r="400" spans="1:5" x14ac:dyDescent="0.2">
      <c r="A400" s="1388"/>
      <c r="B400" s="465" t="s">
        <v>1062</v>
      </c>
      <c r="C400" s="466">
        <v>150</v>
      </c>
      <c r="D400" s="466">
        <v>0</v>
      </c>
      <c r="E400" s="467">
        <f t="shared" si="6"/>
        <v>0</v>
      </c>
    </row>
    <row r="401" spans="1:5" ht="25.5" x14ac:dyDescent="0.2">
      <c r="A401" s="1388"/>
      <c r="B401" s="465" t="s">
        <v>1067</v>
      </c>
      <c r="C401" s="466">
        <v>200</v>
      </c>
      <c r="D401" s="466">
        <v>200</v>
      </c>
      <c r="E401" s="467">
        <f t="shared" si="6"/>
        <v>100</v>
      </c>
    </row>
    <row r="402" spans="1:5" x14ac:dyDescent="0.2">
      <c r="A402" s="1388"/>
      <c r="B402" s="465" t="s">
        <v>1079</v>
      </c>
      <c r="C402" s="466">
        <v>10</v>
      </c>
      <c r="D402" s="466">
        <v>10</v>
      </c>
      <c r="E402" s="467">
        <f t="shared" si="6"/>
        <v>100</v>
      </c>
    </row>
    <row r="403" spans="1:5" x14ac:dyDescent="0.2">
      <c r="A403" s="1388"/>
      <c r="B403" s="465" t="s">
        <v>1080</v>
      </c>
      <c r="C403" s="466">
        <v>10</v>
      </c>
      <c r="D403" s="466">
        <v>10</v>
      </c>
      <c r="E403" s="467">
        <f t="shared" si="6"/>
        <v>100</v>
      </c>
    </row>
    <row r="404" spans="1:5" x14ac:dyDescent="0.2">
      <c r="A404" s="1389"/>
      <c r="B404" s="465" t="s">
        <v>1081</v>
      </c>
      <c r="C404" s="466">
        <v>10</v>
      </c>
      <c r="D404" s="466">
        <v>10</v>
      </c>
      <c r="E404" s="467">
        <f t="shared" si="6"/>
        <v>100</v>
      </c>
    </row>
    <row r="405" spans="1:5" ht="15" customHeight="1" x14ac:dyDescent="0.2">
      <c r="A405" s="472" t="s">
        <v>1082</v>
      </c>
      <c r="B405" s="465" t="s">
        <v>1062</v>
      </c>
      <c r="C405" s="466">
        <v>700</v>
      </c>
      <c r="D405" s="466">
        <v>700</v>
      </c>
      <c r="E405" s="467">
        <f t="shared" si="6"/>
        <v>100</v>
      </c>
    </row>
    <row r="406" spans="1:5" x14ac:dyDescent="0.2">
      <c r="A406" s="1387" t="s">
        <v>1083</v>
      </c>
      <c r="B406" s="465" t="s">
        <v>1084</v>
      </c>
      <c r="C406" s="466">
        <v>190</v>
      </c>
      <c r="D406" s="466">
        <v>0</v>
      </c>
      <c r="E406" s="467">
        <f t="shared" si="6"/>
        <v>0</v>
      </c>
    </row>
    <row r="407" spans="1:5" x14ac:dyDescent="0.2">
      <c r="A407" s="1388"/>
      <c r="B407" s="465" t="s">
        <v>1085</v>
      </c>
      <c r="C407" s="466">
        <v>50</v>
      </c>
      <c r="D407" s="466">
        <v>50</v>
      </c>
      <c r="E407" s="467">
        <f t="shared" si="6"/>
        <v>100</v>
      </c>
    </row>
    <row r="408" spans="1:5" ht="25.5" x14ac:dyDescent="0.2">
      <c r="A408" s="1388"/>
      <c r="B408" s="465" t="s">
        <v>1086</v>
      </c>
      <c r="C408" s="466">
        <v>84</v>
      </c>
      <c r="D408" s="466">
        <v>13</v>
      </c>
      <c r="E408" s="467">
        <f t="shared" si="6"/>
        <v>15.476190476190476</v>
      </c>
    </row>
    <row r="409" spans="1:5" x14ac:dyDescent="0.2">
      <c r="A409" s="1388"/>
      <c r="B409" s="465" t="s">
        <v>1087</v>
      </c>
      <c r="C409" s="466">
        <v>6.66</v>
      </c>
      <c r="D409" s="466">
        <v>6.6680000000000001</v>
      </c>
      <c r="E409" s="467">
        <f t="shared" si="6"/>
        <v>100.12012012012012</v>
      </c>
    </row>
    <row r="410" spans="1:5" x14ac:dyDescent="0.2">
      <c r="A410" s="1388"/>
      <c r="B410" s="465" t="s">
        <v>1088</v>
      </c>
      <c r="C410" s="466">
        <v>200</v>
      </c>
      <c r="D410" s="466">
        <v>200</v>
      </c>
      <c r="E410" s="467">
        <f t="shared" si="6"/>
        <v>100</v>
      </c>
    </row>
    <row r="411" spans="1:5" x14ac:dyDescent="0.2">
      <c r="A411" s="1388"/>
      <c r="B411" s="465" t="s">
        <v>859</v>
      </c>
      <c r="C411" s="466">
        <v>21.51</v>
      </c>
      <c r="D411" s="466">
        <v>21.504999999999999</v>
      </c>
      <c r="E411" s="467">
        <f t="shared" si="6"/>
        <v>99.976754997675485</v>
      </c>
    </row>
    <row r="412" spans="1:5" ht="25.5" x14ac:dyDescent="0.2">
      <c r="A412" s="1388"/>
      <c r="B412" s="465" t="s">
        <v>1089</v>
      </c>
      <c r="C412" s="466">
        <v>100</v>
      </c>
      <c r="D412" s="466">
        <v>0</v>
      </c>
      <c r="E412" s="467">
        <f t="shared" si="6"/>
        <v>0</v>
      </c>
    </row>
    <row r="413" spans="1:5" x14ac:dyDescent="0.2">
      <c r="A413" s="1389"/>
      <c r="B413" s="465" t="s">
        <v>1090</v>
      </c>
      <c r="C413" s="466">
        <v>659</v>
      </c>
      <c r="D413" s="466">
        <v>659</v>
      </c>
      <c r="E413" s="467">
        <f t="shared" si="6"/>
        <v>100</v>
      </c>
    </row>
    <row r="414" spans="1:5" s="471" customFormat="1" ht="15.75" customHeight="1" x14ac:dyDescent="0.2">
      <c r="A414" s="1383" t="s">
        <v>691</v>
      </c>
      <c r="B414" s="1384"/>
      <c r="C414" s="469">
        <f>SUM(C375:C413)</f>
        <v>22301.67</v>
      </c>
      <c r="D414" s="469">
        <f>SUM(D375:D413)</f>
        <v>14084.760769999999</v>
      </c>
      <c r="E414" s="470">
        <f t="shared" si="6"/>
        <v>63.155632605091903</v>
      </c>
    </row>
    <row r="415" spans="1:5" s="471" customFormat="1" ht="18" customHeight="1" x14ac:dyDescent="0.2">
      <c r="A415" s="1393" t="s">
        <v>607</v>
      </c>
      <c r="B415" s="1394"/>
      <c r="C415" s="1394"/>
      <c r="D415" s="1394"/>
      <c r="E415" s="1395"/>
    </row>
    <row r="416" spans="1:5" ht="27.75" customHeight="1" x14ac:dyDescent="0.2">
      <c r="A416" s="472" t="s">
        <v>1091</v>
      </c>
      <c r="B416" s="465" t="s">
        <v>1092</v>
      </c>
      <c r="C416" s="466">
        <v>300</v>
      </c>
      <c r="D416" s="466">
        <v>300</v>
      </c>
      <c r="E416" s="467">
        <f t="shared" si="6"/>
        <v>100</v>
      </c>
    </row>
    <row r="417" spans="1:5" x14ac:dyDescent="0.2">
      <c r="A417" s="1387" t="s">
        <v>1093</v>
      </c>
      <c r="B417" s="465" t="s">
        <v>1094</v>
      </c>
      <c r="C417" s="466">
        <v>20</v>
      </c>
      <c r="D417" s="466">
        <v>20</v>
      </c>
      <c r="E417" s="467">
        <f t="shared" si="6"/>
        <v>100</v>
      </c>
    </row>
    <row r="418" spans="1:5" x14ac:dyDescent="0.2">
      <c r="A418" s="1388"/>
      <c r="B418" s="465" t="s">
        <v>1095</v>
      </c>
      <c r="C418" s="466">
        <v>200</v>
      </c>
      <c r="D418" s="466">
        <v>200</v>
      </c>
      <c r="E418" s="467">
        <f t="shared" si="6"/>
        <v>100</v>
      </c>
    </row>
    <row r="419" spans="1:5" x14ac:dyDescent="0.2">
      <c r="A419" s="1388"/>
      <c r="B419" s="465" t="s">
        <v>1096</v>
      </c>
      <c r="C419" s="466">
        <v>200</v>
      </c>
      <c r="D419" s="466">
        <v>200</v>
      </c>
      <c r="E419" s="467">
        <f t="shared" si="6"/>
        <v>100</v>
      </c>
    </row>
    <row r="420" spans="1:5" x14ac:dyDescent="0.2">
      <c r="A420" s="1389"/>
      <c r="B420" s="465" t="s">
        <v>1097</v>
      </c>
      <c r="C420" s="466">
        <v>200</v>
      </c>
      <c r="D420" s="466">
        <v>200</v>
      </c>
      <c r="E420" s="467">
        <f t="shared" si="6"/>
        <v>100</v>
      </c>
    </row>
    <row r="421" spans="1:5" ht="27.75" customHeight="1" x14ac:dyDescent="0.2">
      <c r="A421" s="472" t="s">
        <v>1098</v>
      </c>
      <c r="B421" s="465" t="s">
        <v>961</v>
      </c>
      <c r="C421" s="466">
        <v>200</v>
      </c>
      <c r="D421" s="466">
        <v>200</v>
      </c>
      <c r="E421" s="467">
        <f t="shared" si="6"/>
        <v>100</v>
      </c>
    </row>
    <row r="422" spans="1:5" ht="27.75" customHeight="1" x14ac:dyDescent="0.2">
      <c r="A422" s="472" t="s">
        <v>1099</v>
      </c>
      <c r="B422" s="465" t="s">
        <v>754</v>
      </c>
      <c r="C422" s="466">
        <v>1700</v>
      </c>
      <c r="D422" s="466">
        <v>1700</v>
      </c>
      <c r="E422" s="467">
        <f t="shared" si="6"/>
        <v>100</v>
      </c>
    </row>
    <row r="423" spans="1:5" ht="25.5" x14ac:dyDescent="0.2">
      <c r="A423" s="1387" t="s">
        <v>1100</v>
      </c>
      <c r="B423" s="465" t="s">
        <v>1101</v>
      </c>
      <c r="C423" s="466">
        <v>50</v>
      </c>
      <c r="D423" s="466">
        <v>50</v>
      </c>
      <c r="E423" s="467">
        <f t="shared" si="6"/>
        <v>100</v>
      </c>
    </row>
    <row r="424" spans="1:5" x14ac:dyDescent="0.2">
      <c r="A424" s="1388"/>
      <c r="B424" s="465" t="s">
        <v>1102</v>
      </c>
      <c r="C424" s="466">
        <v>70</v>
      </c>
      <c r="D424" s="466">
        <v>0</v>
      </c>
      <c r="E424" s="467">
        <f t="shared" si="6"/>
        <v>0</v>
      </c>
    </row>
    <row r="425" spans="1:5" ht="25.5" x14ac:dyDescent="0.2">
      <c r="A425" s="1388"/>
      <c r="B425" s="465" t="s">
        <v>1103</v>
      </c>
      <c r="C425" s="466">
        <v>6.6</v>
      </c>
      <c r="D425" s="466">
        <v>6.6</v>
      </c>
      <c r="E425" s="467">
        <f t="shared" si="6"/>
        <v>100</v>
      </c>
    </row>
    <row r="426" spans="1:5" x14ac:dyDescent="0.2">
      <c r="A426" s="1388"/>
      <c r="B426" s="465" t="s">
        <v>1104</v>
      </c>
      <c r="C426" s="466">
        <v>150</v>
      </c>
      <c r="D426" s="466">
        <v>150</v>
      </c>
      <c r="E426" s="467">
        <f t="shared" si="6"/>
        <v>100</v>
      </c>
    </row>
    <row r="427" spans="1:5" x14ac:dyDescent="0.2">
      <c r="A427" s="1388"/>
      <c r="B427" s="465" t="s">
        <v>1048</v>
      </c>
      <c r="C427" s="466">
        <v>1500</v>
      </c>
      <c r="D427" s="466">
        <v>1500</v>
      </c>
      <c r="E427" s="467">
        <f t="shared" si="6"/>
        <v>100</v>
      </c>
    </row>
    <row r="428" spans="1:5" ht="38.25" x14ac:dyDescent="0.2">
      <c r="A428" s="1388"/>
      <c r="B428" s="465" t="s">
        <v>1105</v>
      </c>
      <c r="C428" s="466">
        <v>12.2</v>
      </c>
      <c r="D428" s="466">
        <v>9.7850000000000001</v>
      </c>
      <c r="E428" s="467">
        <f t="shared" si="6"/>
        <v>80.204918032786892</v>
      </c>
    </row>
    <row r="429" spans="1:5" x14ac:dyDescent="0.2">
      <c r="A429" s="1389"/>
      <c r="B429" s="474" t="s">
        <v>1106</v>
      </c>
      <c r="C429" s="466">
        <v>200</v>
      </c>
      <c r="D429" s="466">
        <v>0</v>
      </c>
      <c r="E429" s="467">
        <f>D429/C429*100</f>
        <v>0</v>
      </c>
    </row>
    <row r="430" spans="1:5" s="471" customFormat="1" ht="15.75" customHeight="1" x14ac:dyDescent="0.2">
      <c r="A430" s="1383" t="s">
        <v>679</v>
      </c>
      <c r="B430" s="1384"/>
      <c r="C430" s="469">
        <f>SUM(C416:C429)</f>
        <v>4808.8</v>
      </c>
      <c r="D430" s="469">
        <f>SUM(D416:D429)</f>
        <v>4536.3850000000002</v>
      </c>
      <c r="E430" s="470">
        <f t="shared" si="6"/>
        <v>94.335073199134925</v>
      </c>
    </row>
    <row r="431" spans="1:5" s="471" customFormat="1" ht="18" customHeight="1" x14ac:dyDescent="0.2">
      <c r="A431" s="1393" t="s">
        <v>583</v>
      </c>
      <c r="B431" s="1394"/>
      <c r="C431" s="1394"/>
      <c r="D431" s="1394"/>
      <c r="E431" s="1395"/>
    </row>
    <row r="432" spans="1:5" ht="25.5" x14ac:dyDescent="0.2">
      <c r="A432" s="472" t="s">
        <v>1107</v>
      </c>
      <c r="B432" s="465" t="s">
        <v>1108</v>
      </c>
      <c r="C432" s="466">
        <v>300</v>
      </c>
      <c r="D432" s="466">
        <v>300</v>
      </c>
      <c r="E432" s="467">
        <f t="shared" si="6"/>
        <v>100</v>
      </c>
    </row>
    <row r="433" spans="1:5" ht="25.5" x14ac:dyDescent="0.2">
      <c r="A433" s="1387" t="s">
        <v>1109</v>
      </c>
      <c r="B433" s="465" t="s">
        <v>1110</v>
      </c>
      <c r="C433" s="466">
        <v>250</v>
      </c>
      <c r="D433" s="466">
        <v>250</v>
      </c>
      <c r="E433" s="467">
        <f t="shared" si="6"/>
        <v>100</v>
      </c>
    </row>
    <row r="434" spans="1:5" x14ac:dyDescent="0.2">
      <c r="A434" s="1388"/>
      <c r="B434" s="465" t="s">
        <v>770</v>
      </c>
      <c r="C434" s="466">
        <v>40</v>
      </c>
      <c r="D434" s="466">
        <v>40</v>
      </c>
      <c r="E434" s="467">
        <f t="shared" si="6"/>
        <v>100</v>
      </c>
    </row>
    <row r="435" spans="1:5" x14ac:dyDescent="0.2">
      <c r="A435" s="1388"/>
      <c r="B435" s="465" t="s">
        <v>772</v>
      </c>
      <c r="C435" s="466">
        <v>43</v>
      </c>
      <c r="D435" s="466">
        <v>43</v>
      </c>
      <c r="E435" s="467">
        <f t="shared" si="6"/>
        <v>100</v>
      </c>
    </row>
    <row r="436" spans="1:5" x14ac:dyDescent="0.2">
      <c r="A436" s="1388"/>
      <c r="B436" s="465" t="s">
        <v>929</v>
      </c>
      <c r="C436" s="466">
        <v>71</v>
      </c>
      <c r="D436" s="466">
        <v>71</v>
      </c>
      <c r="E436" s="467">
        <f t="shared" si="6"/>
        <v>100</v>
      </c>
    </row>
    <row r="437" spans="1:5" x14ac:dyDescent="0.2">
      <c r="A437" s="1388"/>
      <c r="B437" s="465" t="s">
        <v>932</v>
      </c>
      <c r="C437" s="466">
        <v>81</v>
      </c>
      <c r="D437" s="466">
        <v>81</v>
      </c>
      <c r="E437" s="467">
        <f t="shared" si="6"/>
        <v>100</v>
      </c>
    </row>
    <row r="438" spans="1:5" x14ac:dyDescent="0.2">
      <c r="A438" s="1389"/>
      <c r="B438" s="465" t="s">
        <v>933</v>
      </c>
      <c r="C438" s="466">
        <v>183</v>
      </c>
      <c r="D438" s="466">
        <v>183</v>
      </c>
      <c r="E438" s="467">
        <f t="shared" si="6"/>
        <v>100</v>
      </c>
    </row>
    <row r="439" spans="1:5" x14ac:dyDescent="0.2">
      <c r="A439" s="1387" t="s">
        <v>1111</v>
      </c>
      <c r="B439" s="465" t="s">
        <v>1112</v>
      </c>
      <c r="C439" s="466">
        <v>50</v>
      </c>
      <c r="D439" s="466">
        <v>50</v>
      </c>
      <c r="E439" s="467">
        <f t="shared" si="6"/>
        <v>100</v>
      </c>
    </row>
    <row r="440" spans="1:5" x14ac:dyDescent="0.2">
      <c r="A440" s="1388"/>
      <c r="B440" s="465" t="s">
        <v>1113</v>
      </c>
      <c r="C440" s="466">
        <v>10</v>
      </c>
      <c r="D440" s="466">
        <v>10</v>
      </c>
      <c r="E440" s="467">
        <f t="shared" si="6"/>
        <v>100</v>
      </c>
    </row>
    <row r="441" spans="1:5" x14ac:dyDescent="0.2">
      <c r="A441" s="1388"/>
      <c r="B441" s="465" t="s">
        <v>1114</v>
      </c>
      <c r="C441" s="466">
        <v>40</v>
      </c>
      <c r="D441" s="466">
        <v>40</v>
      </c>
      <c r="E441" s="467">
        <f t="shared" si="6"/>
        <v>100</v>
      </c>
    </row>
    <row r="442" spans="1:5" x14ac:dyDescent="0.2">
      <c r="A442" s="1388"/>
      <c r="B442" s="465" t="s">
        <v>1115</v>
      </c>
      <c r="C442" s="466">
        <v>100</v>
      </c>
      <c r="D442" s="466">
        <v>100</v>
      </c>
      <c r="E442" s="467">
        <f t="shared" si="6"/>
        <v>100</v>
      </c>
    </row>
    <row r="443" spans="1:5" ht="25.5" x14ac:dyDescent="0.2">
      <c r="A443" s="1388"/>
      <c r="B443" s="465" t="s">
        <v>1116</v>
      </c>
      <c r="C443" s="466">
        <v>2500</v>
      </c>
      <c r="D443" s="466">
        <v>2500</v>
      </c>
      <c r="E443" s="467">
        <f t="shared" si="6"/>
        <v>100</v>
      </c>
    </row>
    <row r="444" spans="1:5" x14ac:dyDescent="0.2">
      <c r="A444" s="1388"/>
      <c r="B444" s="465" t="s">
        <v>1117</v>
      </c>
      <c r="C444" s="466">
        <v>500</v>
      </c>
      <c r="D444" s="466">
        <v>0</v>
      </c>
      <c r="E444" s="467">
        <f t="shared" si="6"/>
        <v>0</v>
      </c>
    </row>
    <row r="445" spans="1:5" x14ac:dyDescent="0.2">
      <c r="A445" s="1388"/>
      <c r="B445" s="465" t="s">
        <v>1118</v>
      </c>
      <c r="C445" s="466">
        <v>2000</v>
      </c>
      <c r="D445" s="466">
        <v>2000</v>
      </c>
      <c r="E445" s="467">
        <f t="shared" si="6"/>
        <v>100</v>
      </c>
    </row>
    <row r="446" spans="1:5" x14ac:dyDescent="0.2">
      <c r="A446" s="1388"/>
      <c r="B446" s="465" t="s">
        <v>1119</v>
      </c>
      <c r="C446" s="466">
        <v>50</v>
      </c>
      <c r="D446" s="466">
        <v>50</v>
      </c>
      <c r="E446" s="467">
        <f t="shared" si="6"/>
        <v>100</v>
      </c>
    </row>
    <row r="447" spans="1:5" ht="25.5" x14ac:dyDescent="0.2">
      <c r="A447" s="1388"/>
      <c r="B447" s="465" t="s">
        <v>1120</v>
      </c>
      <c r="C447" s="466">
        <v>250</v>
      </c>
      <c r="D447" s="466">
        <v>250</v>
      </c>
      <c r="E447" s="467">
        <f t="shared" si="6"/>
        <v>100</v>
      </c>
    </row>
    <row r="448" spans="1:5" x14ac:dyDescent="0.2">
      <c r="A448" s="1388"/>
      <c r="B448" s="465" t="s">
        <v>1121</v>
      </c>
      <c r="C448" s="466">
        <v>600</v>
      </c>
      <c r="D448" s="466">
        <v>600</v>
      </c>
      <c r="E448" s="467">
        <f t="shared" si="6"/>
        <v>100</v>
      </c>
    </row>
    <row r="449" spans="1:5" x14ac:dyDescent="0.2">
      <c r="A449" s="1388"/>
      <c r="B449" s="465" t="s">
        <v>1122</v>
      </c>
      <c r="C449" s="466">
        <v>100</v>
      </c>
      <c r="D449" s="466">
        <v>100</v>
      </c>
      <c r="E449" s="467">
        <f t="shared" si="6"/>
        <v>100</v>
      </c>
    </row>
    <row r="450" spans="1:5" ht="25.5" x14ac:dyDescent="0.2">
      <c r="A450" s="1388"/>
      <c r="B450" s="465" t="s">
        <v>1123</v>
      </c>
      <c r="C450" s="466">
        <v>100</v>
      </c>
      <c r="D450" s="466">
        <v>100</v>
      </c>
      <c r="E450" s="467">
        <f t="shared" si="6"/>
        <v>100</v>
      </c>
    </row>
    <row r="451" spans="1:5" x14ac:dyDescent="0.2">
      <c r="A451" s="1388"/>
      <c r="B451" s="465" t="s">
        <v>1124</v>
      </c>
      <c r="C451" s="466">
        <v>1500</v>
      </c>
      <c r="D451" s="466">
        <v>1500</v>
      </c>
      <c r="E451" s="467">
        <f t="shared" si="6"/>
        <v>100</v>
      </c>
    </row>
    <row r="452" spans="1:5" x14ac:dyDescent="0.2">
      <c r="A452" s="1388"/>
      <c r="B452" s="465" t="s">
        <v>1125</v>
      </c>
      <c r="C452" s="466">
        <v>190</v>
      </c>
      <c r="D452" s="466">
        <v>190</v>
      </c>
      <c r="E452" s="467">
        <f t="shared" si="6"/>
        <v>100</v>
      </c>
    </row>
    <row r="453" spans="1:5" x14ac:dyDescent="0.2">
      <c r="A453" s="1388"/>
      <c r="B453" s="465" t="s">
        <v>1126</v>
      </c>
      <c r="C453" s="466">
        <v>150</v>
      </c>
      <c r="D453" s="466">
        <v>150</v>
      </c>
      <c r="E453" s="467">
        <f t="shared" si="6"/>
        <v>100</v>
      </c>
    </row>
    <row r="454" spans="1:5" x14ac:dyDescent="0.2">
      <c r="A454" s="1388"/>
      <c r="B454" s="465" t="s">
        <v>1127</v>
      </c>
      <c r="C454" s="466">
        <v>100</v>
      </c>
      <c r="D454" s="466">
        <v>100</v>
      </c>
      <c r="E454" s="467">
        <f t="shared" si="6"/>
        <v>100</v>
      </c>
    </row>
    <row r="455" spans="1:5" x14ac:dyDescent="0.2">
      <c r="A455" s="1388"/>
      <c r="B455" s="465" t="s">
        <v>1128</v>
      </c>
      <c r="C455" s="466">
        <v>50</v>
      </c>
      <c r="D455" s="466">
        <v>50</v>
      </c>
      <c r="E455" s="467">
        <f t="shared" si="6"/>
        <v>100</v>
      </c>
    </row>
    <row r="456" spans="1:5" x14ac:dyDescent="0.2">
      <c r="A456" s="1388"/>
      <c r="B456" s="465" t="s">
        <v>1129</v>
      </c>
      <c r="C456" s="466">
        <v>50</v>
      </c>
      <c r="D456" s="466">
        <v>0</v>
      </c>
      <c r="E456" s="467">
        <f t="shared" si="6"/>
        <v>0</v>
      </c>
    </row>
    <row r="457" spans="1:5" x14ac:dyDescent="0.2">
      <c r="A457" s="1388"/>
      <c r="B457" s="465" t="s">
        <v>1130</v>
      </c>
      <c r="C457" s="466">
        <v>70</v>
      </c>
      <c r="D457" s="466">
        <v>70</v>
      </c>
      <c r="E457" s="467">
        <f t="shared" si="6"/>
        <v>100</v>
      </c>
    </row>
    <row r="458" spans="1:5" x14ac:dyDescent="0.2">
      <c r="A458" s="1388"/>
      <c r="B458" s="465" t="s">
        <v>1131</v>
      </c>
      <c r="C458" s="466">
        <v>600</v>
      </c>
      <c r="D458" s="466">
        <v>0</v>
      </c>
      <c r="E458" s="467">
        <f t="shared" si="6"/>
        <v>0</v>
      </c>
    </row>
    <row r="459" spans="1:5" ht="25.5" x14ac:dyDescent="0.2">
      <c r="A459" s="1388"/>
      <c r="B459" s="465" t="s">
        <v>1132</v>
      </c>
      <c r="C459" s="466">
        <v>600</v>
      </c>
      <c r="D459" s="466">
        <v>0</v>
      </c>
      <c r="E459" s="467">
        <f t="shared" si="6"/>
        <v>0</v>
      </c>
    </row>
    <row r="460" spans="1:5" x14ac:dyDescent="0.2">
      <c r="A460" s="1388"/>
      <c r="B460" s="465" t="s">
        <v>1133</v>
      </c>
      <c r="C460" s="466">
        <v>50</v>
      </c>
      <c r="D460" s="466">
        <v>50</v>
      </c>
      <c r="E460" s="467">
        <f t="shared" si="6"/>
        <v>100</v>
      </c>
    </row>
    <row r="461" spans="1:5" x14ac:dyDescent="0.2">
      <c r="A461" s="1388"/>
      <c r="B461" s="465" t="s">
        <v>1134</v>
      </c>
      <c r="C461" s="466">
        <v>30</v>
      </c>
      <c r="D461" s="466">
        <v>30</v>
      </c>
      <c r="E461" s="467">
        <f t="shared" si="6"/>
        <v>100</v>
      </c>
    </row>
    <row r="462" spans="1:5" ht="25.5" x14ac:dyDescent="0.2">
      <c r="A462" s="1388"/>
      <c r="B462" s="465" t="s">
        <v>1135</v>
      </c>
      <c r="C462" s="466">
        <v>90</v>
      </c>
      <c r="D462" s="466">
        <v>90</v>
      </c>
      <c r="E462" s="467">
        <f t="shared" si="6"/>
        <v>100</v>
      </c>
    </row>
    <row r="463" spans="1:5" ht="25.5" x14ac:dyDescent="0.2">
      <c r="A463" s="1388"/>
      <c r="B463" s="465" t="s">
        <v>1136</v>
      </c>
      <c r="C463" s="466">
        <v>30</v>
      </c>
      <c r="D463" s="466">
        <v>30</v>
      </c>
      <c r="E463" s="467">
        <f t="shared" si="6"/>
        <v>100</v>
      </c>
    </row>
    <row r="464" spans="1:5" x14ac:dyDescent="0.2">
      <c r="A464" s="1388"/>
      <c r="B464" s="465" t="s">
        <v>1137</v>
      </c>
      <c r="C464" s="466">
        <v>120</v>
      </c>
      <c r="D464" s="466">
        <v>120</v>
      </c>
      <c r="E464" s="467">
        <f t="shared" ref="E464:E530" si="7">D464/C464*100</f>
        <v>100</v>
      </c>
    </row>
    <row r="465" spans="1:5" x14ac:dyDescent="0.2">
      <c r="A465" s="1388"/>
      <c r="B465" s="465" t="s">
        <v>1138</v>
      </c>
      <c r="C465" s="466">
        <v>30</v>
      </c>
      <c r="D465" s="466">
        <v>30</v>
      </c>
      <c r="E465" s="467">
        <f t="shared" si="7"/>
        <v>100</v>
      </c>
    </row>
    <row r="466" spans="1:5" x14ac:dyDescent="0.2">
      <c r="A466" s="1388"/>
      <c r="B466" s="465" t="s">
        <v>1139</v>
      </c>
      <c r="C466" s="466">
        <v>64</v>
      </c>
      <c r="D466" s="466">
        <v>64</v>
      </c>
      <c r="E466" s="467">
        <f>D466/C466*100</f>
        <v>100</v>
      </c>
    </row>
    <row r="467" spans="1:5" x14ac:dyDescent="0.2">
      <c r="A467" s="1388"/>
      <c r="B467" s="465" t="s">
        <v>1140</v>
      </c>
      <c r="C467" s="466">
        <v>40</v>
      </c>
      <c r="D467" s="466">
        <v>40</v>
      </c>
      <c r="E467" s="467">
        <f t="shared" si="7"/>
        <v>100</v>
      </c>
    </row>
    <row r="468" spans="1:5" x14ac:dyDescent="0.2">
      <c r="A468" s="1388"/>
      <c r="B468" s="465" t="s">
        <v>768</v>
      </c>
      <c r="C468" s="466">
        <v>50</v>
      </c>
      <c r="D468" s="466">
        <v>50</v>
      </c>
      <c r="E468" s="467">
        <f t="shared" si="7"/>
        <v>100</v>
      </c>
    </row>
    <row r="469" spans="1:5" x14ac:dyDescent="0.2">
      <c r="A469" s="1388"/>
      <c r="B469" s="465" t="s">
        <v>1141</v>
      </c>
      <c r="C469" s="466">
        <v>20</v>
      </c>
      <c r="D469" s="466">
        <v>20</v>
      </c>
      <c r="E469" s="467">
        <f t="shared" si="7"/>
        <v>100</v>
      </c>
    </row>
    <row r="470" spans="1:5" ht="25.5" x14ac:dyDescent="0.2">
      <c r="A470" s="1388"/>
      <c r="B470" s="465" t="s">
        <v>1108</v>
      </c>
      <c r="C470" s="466">
        <v>1320</v>
      </c>
      <c r="D470" s="466">
        <v>1320</v>
      </c>
      <c r="E470" s="467">
        <f t="shared" si="7"/>
        <v>100</v>
      </c>
    </row>
    <row r="471" spans="1:5" ht="25.5" x14ac:dyDescent="0.2">
      <c r="A471" s="1388"/>
      <c r="B471" s="465" t="s">
        <v>1142</v>
      </c>
      <c r="C471" s="466">
        <v>10</v>
      </c>
      <c r="D471" s="466">
        <v>10</v>
      </c>
      <c r="E471" s="467">
        <f t="shared" si="7"/>
        <v>100</v>
      </c>
    </row>
    <row r="472" spans="1:5" ht="25.5" x14ac:dyDescent="0.2">
      <c r="A472" s="1388"/>
      <c r="B472" s="465" t="s">
        <v>1143</v>
      </c>
      <c r="C472" s="466">
        <v>500</v>
      </c>
      <c r="D472" s="466">
        <v>500</v>
      </c>
      <c r="E472" s="467">
        <f t="shared" si="7"/>
        <v>100</v>
      </c>
    </row>
    <row r="473" spans="1:5" ht="25.5" x14ac:dyDescent="0.2">
      <c r="A473" s="1388"/>
      <c r="B473" s="465" t="s">
        <v>1038</v>
      </c>
      <c r="C473" s="466">
        <v>150</v>
      </c>
      <c r="D473" s="466">
        <v>150</v>
      </c>
      <c r="E473" s="467">
        <f t="shared" si="7"/>
        <v>100</v>
      </c>
    </row>
    <row r="474" spans="1:5" ht="25.5" x14ac:dyDescent="0.2">
      <c r="A474" s="1388"/>
      <c r="B474" s="465" t="s">
        <v>1144</v>
      </c>
      <c r="C474" s="466">
        <v>20</v>
      </c>
      <c r="D474" s="466">
        <v>20</v>
      </c>
      <c r="E474" s="467">
        <f t="shared" si="7"/>
        <v>100</v>
      </c>
    </row>
    <row r="475" spans="1:5" x14ac:dyDescent="0.2">
      <c r="A475" s="1388"/>
      <c r="B475" s="465" t="s">
        <v>1145</v>
      </c>
      <c r="C475" s="466">
        <v>198</v>
      </c>
      <c r="D475" s="466">
        <v>198</v>
      </c>
      <c r="E475" s="467">
        <f t="shared" si="7"/>
        <v>100</v>
      </c>
    </row>
    <row r="476" spans="1:5" ht="25.5" x14ac:dyDescent="0.2">
      <c r="A476" s="1388"/>
      <c r="B476" s="465" t="s">
        <v>1146</v>
      </c>
      <c r="C476" s="466">
        <v>150</v>
      </c>
      <c r="D476" s="466">
        <v>150</v>
      </c>
      <c r="E476" s="467">
        <f t="shared" si="7"/>
        <v>100</v>
      </c>
    </row>
    <row r="477" spans="1:5" x14ac:dyDescent="0.2">
      <c r="A477" s="1388"/>
      <c r="B477" s="465" t="s">
        <v>1147</v>
      </c>
      <c r="C477" s="466">
        <v>50</v>
      </c>
      <c r="D477" s="466">
        <v>0</v>
      </c>
      <c r="E477" s="467">
        <f t="shared" si="7"/>
        <v>0</v>
      </c>
    </row>
    <row r="478" spans="1:5" x14ac:dyDescent="0.2">
      <c r="A478" s="1388"/>
      <c r="B478" s="465" t="s">
        <v>1148</v>
      </c>
      <c r="C478" s="466">
        <v>200</v>
      </c>
      <c r="D478" s="466">
        <v>200</v>
      </c>
      <c r="E478" s="467">
        <f t="shared" si="7"/>
        <v>100</v>
      </c>
    </row>
    <row r="479" spans="1:5" ht="25.5" x14ac:dyDescent="0.2">
      <c r="A479" s="1388"/>
      <c r="B479" s="465" t="s">
        <v>1149</v>
      </c>
      <c r="C479" s="466">
        <v>5000</v>
      </c>
      <c r="D479" s="466">
        <v>5000</v>
      </c>
      <c r="E479" s="467">
        <f t="shared" si="7"/>
        <v>100</v>
      </c>
    </row>
    <row r="480" spans="1:5" ht="25.5" x14ac:dyDescent="0.2">
      <c r="A480" s="1388"/>
      <c r="B480" s="465" t="s">
        <v>1150</v>
      </c>
      <c r="C480" s="466">
        <v>10</v>
      </c>
      <c r="D480" s="466">
        <v>10</v>
      </c>
      <c r="E480" s="467">
        <f t="shared" si="7"/>
        <v>100</v>
      </c>
    </row>
    <row r="481" spans="1:5" x14ac:dyDescent="0.2">
      <c r="A481" s="1388"/>
      <c r="B481" s="474" t="s">
        <v>4799</v>
      </c>
      <c r="C481" s="466">
        <v>23</v>
      </c>
      <c r="D481" s="466">
        <v>23</v>
      </c>
      <c r="E481" s="467">
        <f t="shared" si="7"/>
        <v>100</v>
      </c>
    </row>
    <row r="482" spans="1:5" ht="51" x14ac:dyDescent="0.2">
      <c r="A482" s="1388"/>
      <c r="B482" s="474" t="s">
        <v>1151</v>
      </c>
      <c r="C482" s="466">
        <v>200</v>
      </c>
      <c r="D482" s="466">
        <v>200</v>
      </c>
      <c r="E482" s="467">
        <f t="shared" si="7"/>
        <v>100</v>
      </c>
    </row>
    <row r="483" spans="1:5" ht="25.5" x14ac:dyDescent="0.2">
      <c r="A483" s="1388"/>
      <c r="B483" s="474" t="s">
        <v>1152</v>
      </c>
      <c r="C483" s="466">
        <v>49</v>
      </c>
      <c r="D483" s="466">
        <v>49</v>
      </c>
      <c r="E483" s="467">
        <f t="shared" si="7"/>
        <v>100</v>
      </c>
    </row>
    <row r="484" spans="1:5" x14ac:dyDescent="0.2">
      <c r="A484" s="1388"/>
      <c r="B484" s="474" t="s">
        <v>1153</v>
      </c>
      <c r="C484" s="466">
        <v>150</v>
      </c>
      <c r="D484" s="466">
        <v>150</v>
      </c>
      <c r="E484" s="467">
        <f t="shared" si="7"/>
        <v>100</v>
      </c>
    </row>
    <row r="485" spans="1:5" x14ac:dyDescent="0.2">
      <c r="A485" s="1388"/>
      <c r="B485" s="474" t="s">
        <v>1154</v>
      </c>
      <c r="C485" s="466">
        <v>150</v>
      </c>
      <c r="D485" s="466">
        <v>0</v>
      </c>
      <c r="E485" s="467">
        <f t="shared" si="7"/>
        <v>0</v>
      </c>
    </row>
    <row r="486" spans="1:5" x14ac:dyDescent="0.2">
      <c r="A486" s="1388"/>
      <c r="B486" s="474" t="s">
        <v>1155</v>
      </c>
      <c r="C486" s="466">
        <v>30</v>
      </c>
      <c r="D486" s="466">
        <v>30</v>
      </c>
      <c r="E486" s="467">
        <f t="shared" si="7"/>
        <v>100</v>
      </c>
    </row>
    <row r="487" spans="1:5" x14ac:dyDescent="0.2">
      <c r="A487" s="1388"/>
      <c r="B487" s="474" t="s">
        <v>4799</v>
      </c>
      <c r="C487" s="466">
        <v>100</v>
      </c>
      <c r="D487" s="466">
        <v>100</v>
      </c>
      <c r="E487" s="467">
        <f t="shared" si="7"/>
        <v>100</v>
      </c>
    </row>
    <row r="488" spans="1:5" x14ac:dyDescent="0.2">
      <c r="A488" s="1388"/>
      <c r="B488" s="474" t="s">
        <v>1156</v>
      </c>
      <c r="C488" s="466">
        <v>100</v>
      </c>
      <c r="D488" s="466">
        <v>100</v>
      </c>
      <c r="E488" s="467">
        <f t="shared" si="7"/>
        <v>100</v>
      </c>
    </row>
    <row r="489" spans="1:5" ht="25.5" x14ac:dyDescent="0.2">
      <c r="A489" s="1388"/>
      <c r="B489" s="474" t="s">
        <v>1157</v>
      </c>
      <c r="C489" s="466">
        <v>30</v>
      </c>
      <c r="D489" s="466">
        <v>30</v>
      </c>
      <c r="E489" s="467">
        <f t="shared" si="7"/>
        <v>100</v>
      </c>
    </row>
    <row r="490" spans="1:5" x14ac:dyDescent="0.2">
      <c r="A490" s="1388"/>
      <c r="B490" s="465" t="s">
        <v>1158</v>
      </c>
      <c r="C490" s="466">
        <v>2000</v>
      </c>
      <c r="D490" s="466">
        <v>2000</v>
      </c>
      <c r="E490" s="467">
        <f t="shared" si="7"/>
        <v>100</v>
      </c>
    </row>
    <row r="491" spans="1:5" x14ac:dyDescent="0.2">
      <c r="A491" s="1388"/>
      <c r="B491" s="465" t="s">
        <v>1159</v>
      </c>
      <c r="C491" s="466">
        <v>500</v>
      </c>
      <c r="D491" s="466">
        <v>500</v>
      </c>
      <c r="E491" s="467">
        <f t="shared" si="7"/>
        <v>100</v>
      </c>
    </row>
    <row r="492" spans="1:5" ht="25.5" x14ac:dyDescent="0.2">
      <c r="A492" s="1389"/>
      <c r="B492" s="465" t="s">
        <v>1160</v>
      </c>
      <c r="C492" s="466">
        <v>100</v>
      </c>
      <c r="D492" s="466">
        <v>0</v>
      </c>
      <c r="E492" s="467">
        <f t="shared" si="7"/>
        <v>0</v>
      </c>
    </row>
    <row r="493" spans="1:5" x14ac:dyDescent="0.2">
      <c r="A493" s="1387" t="s">
        <v>1161</v>
      </c>
      <c r="B493" s="465" t="s">
        <v>1162</v>
      </c>
      <c r="C493" s="466">
        <v>50</v>
      </c>
      <c r="D493" s="466">
        <v>50</v>
      </c>
      <c r="E493" s="467">
        <f t="shared" si="7"/>
        <v>100</v>
      </c>
    </row>
    <row r="494" spans="1:5" ht="25.5" x14ac:dyDescent="0.2">
      <c r="A494" s="1388"/>
      <c r="B494" s="465" t="s">
        <v>1163</v>
      </c>
      <c r="C494" s="466">
        <v>50</v>
      </c>
      <c r="D494" s="466">
        <v>50</v>
      </c>
      <c r="E494" s="467">
        <f t="shared" si="7"/>
        <v>100</v>
      </c>
    </row>
    <row r="495" spans="1:5" x14ac:dyDescent="0.2">
      <c r="A495" s="1388"/>
      <c r="B495" s="465" t="s">
        <v>1164</v>
      </c>
      <c r="C495" s="466">
        <v>40</v>
      </c>
      <c r="D495" s="466">
        <v>40</v>
      </c>
      <c r="E495" s="467">
        <f t="shared" si="7"/>
        <v>100</v>
      </c>
    </row>
    <row r="496" spans="1:5" ht="25.5" x14ac:dyDescent="0.2">
      <c r="A496" s="1388"/>
      <c r="B496" s="465" t="s">
        <v>1165</v>
      </c>
      <c r="C496" s="466">
        <v>50</v>
      </c>
      <c r="D496" s="466">
        <v>50</v>
      </c>
      <c r="E496" s="467">
        <f t="shared" si="7"/>
        <v>100</v>
      </c>
    </row>
    <row r="497" spans="1:5" ht="25.5" x14ac:dyDescent="0.2">
      <c r="A497" s="1388"/>
      <c r="B497" s="465" t="s">
        <v>1166</v>
      </c>
      <c r="C497" s="466">
        <v>50</v>
      </c>
      <c r="D497" s="466">
        <v>50</v>
      </c>
      <c r="E497" s="467">
        <f t="shared" si="7"/>
        <v>100</v>
      </c>
    </row>
    <row r="498" spans="1:5" x14ac:dyDescent="0.2">
      <c r="A498" s="1388"/>
      <c r="B498" s="465" t="s">
        <v>1167</v>
      </c>
      <c r="C498" s="466">
        <v>10</v>
      </c>
      <c r="D498" s="466">
        <v>0</v>
      </c>
      <c r="E498" s="467">
        <f t="shared" si="7"/>
        <v>0</v>
      </c>
    </row>
    <row r="499" spans="1:5" x14ac:dyDescent="0.2">
      <c r="A499" s="1388"/>
      <c r="B499" s="465" t="s">
        <v>1168</v>
      </c>
      <c r="C499" s="466">
        <v>30</v>
      </c>
      <c r="D499" s="466">
        <v>30</v>
      </c>
      <c r="E499" s="467">
        <f t="shared" si="7"/>
        <v>100</v>
      </c>
    </row>
    <row r="500" spans="1:5" x14ac:dyDescent="0.2">
      <c r="A500" s="1388"/>
      <c r="B500" s="465" t="s">
        <v>1169</v>
      </c>
      <c r="C500" s="466">
        <v>10</v>
      </c>
      <c r="D500" s="466">
        <v>10</v>
      </c>
      <c r="E500" s="467">
        <f t="shared" si="7"/>
        <v>100</v>
      </c>
    </row>
    <row r="501" spans="1:5" x14ac:dyDescent="0.2">
      <c r="A501" s="1388"/>
      <c r="B501" s="465" t="s">
        <v>1170</v>
      </c>
      <c r="C501" s="466">
        <v>20</v>
      </c>
      <c r="D501" s="466">
        <v>20</v>
      </c>
      <c r="E501" s="467">
        <f t="shared" si="7"/>
        <v>100</v>
      </c>
    </row>
    <row r="502" spans="1:5" x14ac:dyDescent="0.2">
      <c r="A502" s="1388"/>
      <c r="B502" s="465" t="s">
        <v>933</v>
      </c>
      <c r="C502" s="466">
        <v>20</v>
      </c>
      <c r="D502" s="466">
        <v>20</v>
      </c>
      <c r="E502" s="467">
        <f t="shared" si="7"/>
        <v>100</v>
      </c>
    </row>
    <row r="503" spans="1:5" x14ac:dyDescent="0.2">
      <c r="A503" s="1388"/>
      <c r="B503" s="465" t="s">
        <v>1171</v>
      </c>
      <c r="C503" s="466">
        <v>10</v>
      </c>
      <c r="D503" s="466">
        <v>10</v>
      </c>
      <c r="E503" s="467">
        <f t="shared" si="7"/>
        <v>100</v>
      </c>
    </row>
    <row r="504" spans="1:5" x14ac:dyDescent="0.2">
      <c r="A504" s="1389"/>
      <c r="B504" s="465" t="s">
        <v>1172</v>
      </c>
      <c r="C504" s="466">
        <v>10</v>
      </c>
      <c r="D504" s="466">
        <v>10</v>
      </c>
      <c r="E504" s="467">
        <f t="shared" si="7"/>
        <v>100</v>
      </c>
    </row>
    <row r="505" spans="1:5" x14ac:dyDescent="0.2">
      <c r="A505" s="1387" t="s">
        <v>1173</v>
      </c>
      <c r="B505" s="465" t="s">
        <v>1094</v>
      </c>
      <c r="C505" s="466">
        <v>10</v>
      </c>
      <c r="D505" s="466">
        <v>0</v>
      </c>
      <c r="E505" s="467">
        <f t="shared" si="7"/>
        <v>0</v>
      </c>
    </row>
    <row r="506" spans="1:5" ht="25.5" x14ac:dyDescent="0.2">
      <c r="A506" s="1388"/>
      <c r="B506" s="465" t="s">
        <v>1174</v>
      </c>
      <c r="C506" s="466">
        <v>30</v>
      </c>
      <c r="D506" s="466">
        <v>30</v>
      </c>
      <c r="E506" s="467">
        <f t="shared" si="7"/>
        <v>100</v>
      </c>
    </row>
    <row r="507" spans="1:5" ht="25.5" x14ac:dyDescent="0.2">
      <c r="A507" s="1388"/>
      <c r="B507" s="465" t="s">
        <v>1175</v>
      </c>
      <c r="C507" s="466">
        <v>30</v>
      </c>
      <c r="D507" s="466">
        <v>0</v>
      </c>
      <c r="E507" s="467">
        <f t="shared" si="7"/>
        <v>0</v>
      </c>
    </row>
    <row r="508" spans="1:5" x14ac:dyDescent="0.2">
      <c r="A508" s="1388"/>
      <c r="B508" s="465" t="s">
        <v>1176</v>
      </c>
      <c r="C508" s="466">
        <v>300</v>
      </c>
      <c r="D508" s="466">
        <v>300</v>
      </c>
      <c r="E508" s="467">
        <f t="shared" si="7"/>
        <v>100</v>
      </c>
    </row>
    <row r="509" spans="1:5" ht="25.5" x14ac:dyDescent="0.2">
      <c r="A509" s="1388"/>
      <c r="B509" s="465" t="s">
        <v>990</v>
      </c>
      <c r="C509" s="466">
        <v>20</v>
      </c>
      <c r="D509" s="466">
        <v>20</v>
      </c>
      <c r="E509" s="467">
        <f t="shared" si="7"/>
        <v>100</v>
      </c>
    </row>
    <row r="510" spans="1:5" ht="25.5" x14ac:dyDescent="0.2">
      <c r="A510" s="1388"/>
      <c r="B510" s="465" t="s">
        <v>1177</v>
      </c>
      <c r="C510" s="466">
        <v>20</v>
      </c>
      <c r="D510" s="466">
        <v>0</v>
      </c>
      <c r="E510" s="467">
        <f t="shared" si="7"/>
        <v>0</v>
      </c>
    </row>
    <row r="511" spans="1:5" ht="25.5" x14ac:dyDescent="0.2">
      <c r="A511" s="1388"/>
      <c r="B511" s="465" t="s">
        <v>1178</v>
      </c>
      <c r="C511" s="466">
        <v>100</v>
      </c>
      <c r="D511" s="466">
        <v>100</v>
      </c>
      <c r="E511" s="467">
        <f t="shared" si="7"/>
        <v>100</v>
      </c>
    </row>
    <row r="512" spans="1:5" x14ac:dyDescent="0.2">
      <c r="A512" s="1389"/>
      <c r="B512" s="465" t="s">
        <v>998</v>
      </c>
      <c r="C512" s="466">
        <v>150</v>
      </c>
      <c r="D512" s="466">
        <v>150</v>
      </c>
      <c r="E512" s="467">
        <f t="shared" si="7"/>
        <v>100</v>
      </c>
    </row>
    <row r="513" spans="1:5" s="471" customFormat="1" ht="15.75" customHeight="1" x14ac:dyDescent="0.2">
      <c r="A513" s="1383" t="s">
        <v>675</v>
      </c>
      <c r="B513" s="1384"/>
      <c r="C513" s="469">
        <f>SUM(C432:C512)</f>
        <v>23152</v>
      </c>
      <c r="D513" s="469">
        <f>SUM(D432:D512)</f>
        <v>21032</v>
      </c>
      <c r="E513" s="470">
        <f t="shared" si="7"/>
        <v>90.843123704215628</v>
      </c>
    </row>
    <row r="514" spans="1:5" s="471" customFormat="1" ht="18" customHeight="1" x14ac:dyDescent="0.2">
      <c r="A514" s="1393" t="s">
        <v>534</v>
      </c>
      <c r="B514" s="1394"/>
      <c r="C514" s="1394"/>
      <c r="D514" s="1394"/>
      <c r="E514" s="1395"/>
    </row>
    <row r="515" spans="1:5" ht="25.5" x14ac:dyDescent="0.2">
      <c r="A515" s="1396" t="s">
        <v>1179</v>
      </c>
      <c r="B515" s="465" t="s">
        <v>1180</v>
      </c>
      <c r="C515" s="466">
        <v>30</v>
      </c>
      <c r="D515" s="466">
        <v>30</v>
      </c>
      <c r="E515" s="467">
        <f t="shared" si="7"/>
        <v>100</v>
      </c>
    </row>
    <row r="516" spans="1:5" x14ac:dyDescent="0.2">
      <c r="A516" s="1397"/>
      <c r="B516" s="465" t="s">
        <v>1181</v>
      </c>
      <c r="C516" s="466">
        <v>30</v>
      </c>
      <c r="D516" s="466">
        <v>30</v>
      </c>
      <c r="E516" s="467">
        <f t="shared" si="7"/>
        <v>100</v>
      </c>
    </row>
    <row r="517" spans="1:5" ht="25.5" x14ac:dyDescent="0.2">
      <c r="A517" s="1397"/>
      <c r="B517" s="465" t="s">
        <v>1182</v>
      </c>
      <c r="C517" s="466">
        <v>40</v>
      </c>
      <c r="D517" s="466">
        <v>40</v>
      </c>
      <c r="E517" s="467">
        <f t="shared" si="7"/>
        <v>100</v>
      </c>
    </row>
    <row r="518" spans="1:5" ht="25.5" x14ac:dyDescent="0.2">
      <c r="A518" s="1397"/>
      <c r="B518" s="465" t="s">
        <v>1183</v>
      </c>
      <c r="C518" s="466">
        <v>30</v>
      </c>
      <c r="D518" s="466">
        <v>30</v>
      </c>
      <c r="E518" s="467">
        <f t="shared" si="7"/>
        <v>100</v>
      </c>
    </row>
    <row r="519" spans="1:5" x14ac:dyDescent="0.2">
      <c r="A519" s="1398"/>
      <c r="B519" s="465" t="s">
        <v>1028</v>
      </c>
      <c r="C519" s="466">
        <v>30</v>
      </c>
      <c r="D519" s="466">
        <v>30</v>
      </c>
      <c r="E519" s="467">
        <f t="shared" si="7"/>
        <v>100</v>
      </c>
    </row>
    <row r="520" spans="1:5" ht="15" customHeight="1" x14ac:dyDescent="0.2">
      <c r="A520" s="472" t="s">
        <v>1184</v>
      </c>
      <c r="B520" s="465" t="s">
        <v>933</v>
      </c>
      <c r="C520" s="466">
        <v>3680</v>
      </c>
      <c r="D520" s="466">
        <v>3680</v>
      </c>
      <c r="E520" s="467">
        <f t="shared" si="7"/>
        <v>100</v>
      </c>
    </row>
    <row r="521" spans="1:5" ht="27.75" customHeight="1" x14ac:dyDescent="0.2">
      <c r="A521" s="472" t="s">
        <v>1185</v>
      </c>
      <c r="B521" s="465" t="s">
        <v>933</v>
      </c>
      <c r="C521" s="466">
        <v>2591</v>
      </c>
      <c r="D521" s="466">
        <v>2586.5</v>
      </c>
      <c r="E521" s="467">
        <f t="shared" si="7"/>
        <v>99.826321883442688</v>
      </c>
    </row>
    <row r="522" spans="1:5" ht="25.5" x14ac:dyDescent="0.2">
      <c r="A522" s="1387" t="s">
        <v>1186</v>
      </c>
      <c r="B522" s="465" t="s">
        <v>1187</v>
      </c>
      <c r="C522" s="466">
        <v>50</v>
      </c>
      <c r="D522" s="466">
        <v>50</v>
      </c>
      <c r="E522" s="467">
        <f t="shared" si="7"/>
        <v>100</v>
      </c>
    </row>
    <row r="523" spans="1:5" ht="25.5" x14ac:dyDescent="0.2">
      <c r="A523" s="1388"/>
      <c r="B523" s="474" t="s">
        <v>1188</v>
      </c>
      <c r="C523" s="466">
        <v>100</v>
      </c>
      <c r="D523" s="466">
        <v>100</v>
      </c>
      <c r="E523" s="467">
        <f t="shared" si="7"/>
        <v>100</v>
      </c>
    </row>
    <row r="524" spans="1:5" ht="25.5" x14ac:dyDescent="0.2">
      <c r="A524" s="1388"/>
      <c r="B524" s="465" t="s">
        <v>1189</v>
      </c>
      <c r="C524" s="466">
        <v>188</v>
      </c>
      <c r="D524" s="466">
        <v>188</v>
      </c>
      <c r="E524" s="467">
        <f t="shared" si="7"/>
        <v>100</v>
      </c>
    </row>
    <row r="525" spans="1:5" ht="25.5" x14ac:dyDescent="0.2">
      <c r="A525" s="1389"/>
      <c r="B525" s="465" t="s">
        <v>1190</v>
      </c>
      <c r="C525" s="466">
        <v>30</v>
      </c>
      <c r="D525" s="466">
        <v>30</v>
      </c>
      <c r="E525" s="467">
        <f t="shared" si="7"/>
        <v>100</v>
      </c>
    </row>
    <row r="526" spans="1:5" s="471" customFormat="1" ht="15.75" customHeight="1" x14ac:dyDescent="0.2">
      <c r="A526" s="1383" t="s">
        <v>673</v>
      </c>
      <c r="B526" s="1384"/>
      <c r="C526" s="469">
        <f>SUM(C515:C525)</f>
        <v>6799</v>
      </c>
      <c r="D526" s="469">
        <f>SUM(D515:D525)</f>
        <v>6794.5</v>
      </c>
      <c r="E526" s="470">
        <f t="shared" si="7"/>
        <v>99.933813796146481</v>
      </c>
    </row>
    <row r="527" spans="1:5" s="471" customFormat="1" ht="18" customHeight="1" x14ac:dyDescent="0.2">
      <c r="A527" s="1393" t="s">
        <v>497</v>
      </c>
      <c r="B527" s="1394"/>
      <c r="C527" s="1394"/>
      <c r="D527" s="1394"/>
      <c r="E527" s="1395"/>
    </row>
    <row r="528" spans="1:5" x14ac:dyDescent="0.2">
      <c r="A528" s="1387" t="s">
        <v>1191</v>
      </c>
      <c r="B528" s="465" t="s">
        <v>1192</v>
      </c>
      <c r="C528" s="466">
        <v>1000</v>
      </c>
      <c r="D528" s="466">
        <v>1000</v>
      </c>
      <c r="E528" s="467">
        <f t="shared" si="7"/>
        <v>100</v>
      </c>
    </row>
    <row r="529" spans="1:5" x14ac:dyDescent="0.2">
      <c r="A529" s="1389"/>
      <c r="B529" s="465" t="s">
        <v>1193</v>
      </c>
      <c r="C529" s="466">
        <v>900</v>
      </c>
      <c r="D529" s="466">
        <v>900</v>
      </c>
      <c r="E529" s="467">
        <f t="shared" si="7"/>
        <v>100</v>
      </c>
    </row>
    <row r="530" spans="1:5" ht="15" customHeight="1" x14ac:dyDescent="0.2">
      <c r="A530" s="472" t="s">
        <v>1194</v>
      </c>
      <c r="B530" s="465" t="s">
        <v>792</v>
      </c>
      <c r="C530" s="466">
        <v>90.79</v>
      </c>
      <c r="D530" s="466">
        <v>90.782880000000006</v>
      </c>
      <c r="E530" s="467">
        <f t="shared" si="7"/>
        <v>99.992157726621883</v>
      </c>
    </row>
    <row r="531" spans="1:5" ht="13.5" customHeight="1" x14ac:dyDescent="0.2">
      <c r="A531" s="1387" t="s">
        <v>1195</v>
      </c>
      <c r="B531" s="465" t="s">
        <v>1196</v>
      </c>
      <c r="C531" s="466">
        <v>100</v>
      </c>
      <c r="D531" s="466">
        <v>100</v>
      </c>
      <c r="E531" s="467">
        <f t="shared" ref="E531:E573" si="8">D531/C531*100</f>
        <v>100</v>
      </c>
    </row>
    <row r="532" spans="1:5" ht="13.5" customHeight="1" x14ac:dyDescent="0.2">
      <c r="A532" s="1389"/>
      <c r="B532" s="465" t="s">
        <v>1197</v>
      </c>
      <c r="C532" s="466">
        <v>100</v>
      </c>
      <c r="D532" s="466">
        <v>100</v>
      </c>
      <c r="E532" s="467">
        <f t="shared" si="8"/>
        <v>100</v>
      </c>
    </row>
    <row r="533" spans="1:5" ht="13.5" customHeight="1" x14ac:dyDescent="0.2">
      <c r="A533" s="1387" t="s">
        <v>1198</v>
      </c>
      <c r="B533" s="465" t="s">
        <v>929</v>
      </c>
      <c r="C533" s="466">
        <v>195.12</v>
      </c>
      <c r="D533" s="466">
        <v>195.1189</v>
      </c>
      <c r="E533" s="467">
        <f t="shared" si="8"/>
        <v>99.999436244362442</v>
      </c>
    </row>
    <row r="534" spans="1:5" ht="13.5" customHeight="1" x14ac:dyDescent="0.2">
      <c r="A534" s="1389"/>
      <c r="B534" s="465" t="s">
        <v>932</v>
      </c>
      <c r="C534" s="466">
        <v>181.32</v>
      </c>
      <c r="D534" s="466">
        <v>181.3185</v>
      </c>
      <c r="E534" s="467">
        <f t="shared" si="8"/>
        <v>99.999172733289214</v>
      </c>
    </row>
    <row r="535" spans="1:5" x14ac:dyDescent="0.2">
      <c r="A535" s="1387" t="s">
        <v>1199</v>
      </c>
      <c r="B535" s="465" t="s">
        <v>1200</v>
      </c>
      <c r="C535" s="466">
        <v>700</v>
      </c>
      <c r="D535" s="466">
        <v>700</v>
      </c>
      <c r="E535" s="467">
        <f t="shared" si="8"/>
        <v>100</v>
      </c>
    </row>
    <row r="536" spans="1:5" x14ac:dyDescent="0.2">
      <c r="A536" s="1389"/>
      <c r="B536" s="465" t="s">
        <v>1201</v>
      </c>
      <c r="C536" s="466">
        <v>200</v>
      </c>
      <c r="D536" s="466">
        <v>200</v>
      </c>
      <c r="E536" s="467">
        <f t="shared" si="8"/>
        <v>100</v>
      </c>
    </row>
    <row r="537" spans="1:5" ht="25.5" x14ac:dyDescent="0.2">
      <c r="A537" s="472" t="s">
        <v>1202</v>
      </c>
      <c r="B537" s="465" t="s">
        <v>1203</v>
      </c>
      <c r="C537" s="466">
        <v>3000</v>
      </c>
      <c r="D537" s="466">
        <v>0</v>
      </c>
      <c r="E537" s="467">
        <f t="shared" si="8"/>
        <v>0</v>
      </c>
    </row>
    <row r="538" spans="1:5" ht="25.5" x14ac:dyDescent="0.2">
      <c r="A538" s="1387" t="s">
        <v>1204</v>
      </c>
      <c r="B538" s="465" t="s">
        <v>1205</v>
      </c>
      <c r="C538" s="466">
        <v>180.45</v>
      </c>
      <c r="D538" s="466">
        <v>180.45</v>
      </c>
      <c r="E538" s="467">
        <f t="shared" si="8"/>
        <v>100</v>
      </c>
    </row>
    <row r="539" spans="1:5" ht="25.5" x14ac:dyDescent="0.2">
      <c r="A539" s="1388"/>
      <c r="B539" s="465" t="s">
        <v>1206</v>
      </c>
      <c r="C539" s="466">
        <v>388.8</v>
      </c>
      <c r="D539" s="466">
        <v>388.8</v>
      </c>
      <c r="E539" s="467">
        <f t="shared" si="8"/>
        <v>100</v>
      </c>
    </row>
    <row r="540" spans="1:5" ht="25.5" x14ac:dyDescent="0.2">
      <c r="A540" s="1388"/>
      <c r="B540" s="465" t="s">
        <v>1207</v>
      </c>
      <c r="C540" s="466">
        <v>170.85</v>
      </c>
      <c r="D540" s="466">
        <v>170.85</v>
      </c>
      <c r="E540" s="467">
        <f t="shared" si="8"/>
        <v>100</v>
      </c>
    </row>
    <row r="541" spans="1:5" ht="25.5" x14ac:dyDescent="0.2">
      <c r="A541" s="1388"/>
      <c r="B541" s="465" t="s">
        <v>1208</v>
      </c>
      <c r="C541" s="466">
        <v>331.65</v>
      </c>
      <c r="D541" s="466">
        <v>331.65</v>
      </c>
      <c r="E541" s="467">
        <f t="shared" si="8"/>
        <v>100</v>
      </c>
    </row>
    <row r="542" spans="1:5" ht="25.5" x14ac:dyDescent="0.2">
      <c r="A542" s="1388"/>
      <c r="B542" s="465" t="s">
        <v>1209</v>
      </c>
      <c r="C542" s="466">
        <v>352.35</v>
      </c>
      <c r="D542" s="466">
        <v>352.35</v>
      </c>
      <c r="E542" s="467">
        <f t="shared" si="8"/>
        <v>100</v>
      </c>
    </row>
    <row r="543" spans="1:5" ht="25.5" x14ac:dyDescent="0.2">
      <c r="A543" s="1389"/>
      <c r="B543" s="465" t="s">
        <v>1210</v>
      </c>
      <c r="C543" s="466">
        <v>99</v>
      </c>
      <c r="D543" s="466">
        <v>99</v>
      </c>
      <c r="E543" s="467">
        <f t="shared" si="8"/>
        <v>100</v>
      </c>
    </row>
    <row r="544" spans="1:5" x14ac:dyDescent="0.2">
      <c r="A544" s="1387" t="s">
        <v>1211</v>
      </c>
      <c r="B544" s="465" t="s">
        <v>801</v>
      </c>
      <c r="C544" s="466">
        <v>407</v>
      </c>
      <c r="D544" s="466">
        <v>0</v>
      </c>
      <c r="E544" s="467">
        <f t="shared" si="8"/>
        <v>0</v>
      </c>
    </row>
    <row r="545" spans="1:5" x14ac:dyDescent="0.2">
      <c r="A545" s="1388"/>
      <c r="B545" s="465" t="s">
        <v>1212</v>
      </c>
      <c r="C545" s="466">
        <v>300</v>
      </c>
      <c r="D545" s="466">
        <v>150</v>
      </c>
      <c r="E545" s="467">
        <f t="shared" si="8"/>
        <v>50</v>
      </c>
    </row>
    <row r="546" spans="1:5" x14ac:dyDescent="0.2">
      <c r="A546" s="1388"/>
      <c r="B546" s="465" t="s">
        <v>1213</v>
      </c>
      <c r="C546" s="466">
        <v>786</v>
      </c>
      <c r="D546" s="466">
        <v>0</v>
      </c>
      <c r="E546" s="467">
        <f t="shared" si="8"/>
        <v>0</v>
      </c>
    </row>
    <row r="547" spans="1:5" x14ac:dyDescent="0.2">
      <c r="A547" s="1389"/>
      <c r="B547" s="465" t="s">
        <v>903</v>
      </c>
      <c r="C547" s="466">
        <v>669.35</v>
      </c>
      <c r="D547" s="466">
        <v>669.34799999999996</v>
      </c>
      <c r="E547" s="467">
        <f t="shared" si="8"/>
        <v>99.999701202659281</v>
      </c>
    </row>
    <row r="548" spans="1:5" ht="25.5" x14ac:dyDescent="0.2">
      <c r="A548" s="1387" t="s">
        <v>1214</v>
      </c>
      <c r="B548" s="465" t="s">
        <v>1215</v>
      </c>
      <c r="C548" s="466">
        <v>40</v>
      </c>
      <c r="D548" s="466">
        <v>39.865000000000002</v>
      </c>
      <c r="E548" s="467">
        <f t="shared" si="8"/>
        <v>99.662500000000009</v>
      </c>
    </row>
    <row r="549" spans="1:5" x14ac:dyDescent="0.2">
      <c r="A549" s="1388"/>
      <c r="B549" s="465" t="s">
        <v>1216</v>
      </c>
      <c r="C549" s="466">
        <v>200</v>
      </c>
      <c r="D549" s="466">
        <v>78.099000000000004</v>
      </c>
      <c r="E549" s="467">
        <f t="shared" si="8"/>
        <v>39.049500000000002</v>
      </c>
    </row>
    <row r="550" spans="1:5" x14ac:dyDescent="0.2">
      <c r="A550" s="1389"/>
      <c r="B550" s="465" t="s">
        <v>932</v>
      </c>
      <c r="C550" s="466">
        <v>20</v>
      </c>
      <c r="D550" s="466">
        <v>20</v>
      </c>
      <c r="E550" s="467">
        <f t="shared" si="8"/>
        <v>100</v>
      </c>
    </row>
    <row r="551" spans="1:5" x14ac:dyDescent="0.2">
      <c r="A551" s="1387" t="s">
        <v>1217</v>
      </c>
      <c r="B551" s="465" t="s">
        <v>1218</v>
      </c>
      <c r="C551" s="466">
        <v>150</v>
      </c>
      <c r="D551" s="466">
        <v>150</v>
      </c>
      <c r="E551" s="467">
        <f t="shared" si="8"/>
        <v>100</v>
      </c>
    </row>
    <row r="552" spans="1:5" x14ac:dyDescent="0.2">
      <c r="A552" s="1388"/>
      <c r="B552" s="465" t="s">
        <v>1219</v>
      </c>
      <c r="C552" s="466">
        <v>50</v>
      </c>
      <c r="D552" s="466">
        <v>50</v>
      </c>
      <c r="E552" s="467">
        <f t="shared" si="8"/>
        <v>100</v>
      </c>
    </row>
    <row r="553" spans="1:5" ht="25.5" x14ac:dyDescent="0.2">
      <c r="A553" s="1388"/>
      <c r="B553" s="465" t="s">
        <v>1220</v>
      </c>
      <c r="C553" s="466">
        <v>25</v>
      </c>
      <c r="D553" s="466">
        <v>25</v>
      </c>
      <c r="E553" s="467">
        <f t="shared" si="8"/>
        <v>100</v>
      </c>
    </row>
    <row r="554" spans="1:5" ht="25.5" x14ac:dyDescent="0.2">
      <c r="A554" s="1388"/>
      <c r="B554" s="465" t="s">
        <v>1221</v>
      </c>
      <c r="C554" s="466">
        <v>25</v>
      </c>
      <c r="D554" s="466">
        <v>25</v>
      </c>
      <c r="E554" s="467">
        <f t="shared" si="8"/>
        <v>100</v>
      </c>
    </row>
    <row r="555" spans="1:5" ht="25.5" x14ac:dyDescent="0.2">
      <c r="A555" s="1388"/>
      <c r="B555" s="465" t="s">
        <v>1222</v>
      </c>
      <c r="C555" s="466">
        <v>10</v>
      </c>
      <c r="D555" s="466">
        <v>10</v>
      </c>
      <c r="E555" s="467">
        <f t="shared" si="8"/>
        <v>100</v>
      </c>
    </row>
    <row r="556" spans="1:5" ht="25.5" x14ac:dyDescent="0.2">
      <c r="A556" s="1388"/>
      <c r="B556" s="465" t="s">
        <v>1207</v>
      </c>
      <c r="C556" s="466">
        <v>50</v>
      </c>
      <c r="D556" s="466">
        <v>50</v>
      </c>
      <c r="E556" s="467">
        <f t="shared" si="8"/>
        <v>100</v>
      </c>
    </row>
    <row r="557" spans="1:5" ht="25.5" x14ac:dyDescent="0.2">
      <c r="A557" s="1388"/>
      <c r="B557" s="465" t="s">
        <v>1223</v>
      </c>
      <c r="C557" s="466">
        <v>25</v>
      </c>
      <c r="D557" s="466">
        <v>25</v>
      </c>
      <c r="E557" s="467">
        <f t="shared" si="8"/>
        <v>100</v>
      </c>
    </row>
    <row r="558" spans="1:5" x14ac:dyDescent="0.2">
      <c r="A558" s="1388"/>
      <c r="B558" s="465" t="s">
        <v>1224</v>
      </c>
      <c r="C558" s="466">
        <v>50</v>
      </c>
      <c r="D558" s="466">
        <v>50</v>
      </c>
      <c r="E558" s="467">
        <f t="shared" si="8"/>
        <v>100</v>
      </c>
    </row>
    <row r="559" spans="1:5" x14ac:dyDescent="0.2">
      <c r="A559" s="1388"/>
      <c r="B559" s="465" t="s">
        <v>1062</v>
      </c>
      <c r="C559" s="466">
        <v>180</v>
      </c>
      <c r="D559" s="466">
        <v>0</v>
      </c>
      <c r="E559" s="467">
        <f t="shared" si="8"/>
        <v>0</v>
      </c>
    </row>
    <row r="560" spans="1:5" x14ac:dyDescent="0.2">
      <c r="A560" s="1388"/>
      <c r="B560" s="465" t="s">
        <v>757</v>
      </c>
      <c r="C560" s="466">
        <v>20</v>
      </c>
      <c r="D560" s="466">
        <v>0</v>
      </c>
      <c r="E560" s="467">
        <f t="shared" si="8"/>
        <v>0</v>
      </c>
    </row>
    <row r="561" spans="1:5" ht="25.5" x14ac:dyDescent="0.2">
      <c r="A561" s="1388"/>
      <c r="B561" s="465" t="s">
        <v>1225</v>
      </c>
      <c r="C561" s="466">
        <v>100</v>
      </c>
      <c r="D561" s="466">
        <v>100</v>
      </c>
      <c r="E561" s="467">
        <f t="shared" si="8"/>
        <v>100</v>
      </c>
    </row>
    <row r="562" spans="1:5" x14ac:dyDescent="0.2">
      <c r="A562" s="1388"/>
      <c r="B562" s="465" t="s">
        <v>1226</v>
      </c>
      <c r="C562" s="466">
        <v>150</v>
      </c>
      <c r="D562" s="466">
        <v>150</v>
      </c>
      <c r="E562" s="467">
        <f t="shared" si="8"/>
        <v>100</v>
      </c>
    </row>
    <row r="563" spans="1:5" x14ac:dyDescent="0.2">
      <c r="A563" s="1388"/>
      <c r="B563" s="465" t="s">
        <v>1227</v>
      </c>
      <c r="C563" s="466">
        <v>50</v>
      </c>
      <c r="D563" s="466">
        <v>50</v>
      </c>
      <c r="E563" s="467">
        <f t="shared" si="8"/>
        <v>100</v>
      </c>
    </row>
    <row r="564" spans="1:5" ht="25.5" x14ac:dyDescent="0.2">
      <c r="A564" s="1388"/>
      <c r="B564" s="465" t="s">
        <v>720</v>
      </c>
      <c r="C564" s="466">
        <v>90</v>
      </c>
      <c r="D564" s="466">
        <v>85.038399999999996</v>
      </c>
      <c r="E564" s="467">
        <f t="shared" si="8"/>
        <v>94.487111111111105</v>
      </c>
    </row>
    <row r="565" spans="1:5" x14ac:dyDescent="0.2">
      <c r="A565" s="1388"/>
      <c r="B565" s="465" t="s">
        <v>933</v>
      </c>
      <c r="C565" s="466">
        <v>300</v>
      </c>
      <c r="D565" s="466">
        <v>300</v>
      </c>
      <c r="E565" s="467">
        <f t="shared" si="8"/>
        <v>100</v>
      </c>
    </row>
    <row r="566" spans="1:5" ht="25.5" x14ac:dyDescent="0.2">
      <c r="A566" s="1389"/>
      <c r="B566" s="465" t="s">
        <v>1229</v>
      </c>
      <c r="C566" s="466">
        <v>100</v>
      </c>
      <c r="D566" s="466">
        <v>100</v>
      </c>
      <c r="E566" s="467">
        <f t="shared" si="8"/>
        <v>100</v>
      </c>
    </row>
    <row r="567" spans="1:5" ht="25.5" x14ac:dyDescent="0.2">
      <c r="A567" s="1387" t="s">
        <v>1230</v>
      </c>
      <c r="B567" s="465" t="s">
        <v>1206</v>
      </c>
      <c r="C567" s="466">
        <v>22</v>
      </c>
      <c r="D567" s="466">
        <v>22</v>
      </c>
      <c r="E567" s="467">
        <f t="shared" si="8"/>
        <v>100</v>
      </c>
    </row>
    <row r="568" spans="1:5" x14ac:dyDescent="0.2">
      <c r="A568" s="1389"/>
      <c r="B568" s="465" t="s">
        <v>1231</v>
      </c>
      <c r="C568" s="466">
        <v>50</v>
      </c>
      <c r="D568" s="466">
        <v>50</v>
      </c>
      <c r="E568" s="467">
        <f t="shared" si="8"/>
        <v>100</v>
      </c>
    </row>
    <row r="569" spans="1:5" s="471" customFormat="1" ht="15.75" customHeight="1" x14ac:dyDescent="0.2">
      <c r="A569" s="1383" t="s">
        <v>667</v>
      </c>
      <c r="B569" s="1384"/>
      <c r="C569" s="469">
        <f>SUM(C528:C568)</f>
        <v>11859.68</v>
      </c>
      <c r="D569" s="469">
        <f>SUM(D528:D568)</f>
        <v>7189.6706800000002</v>
      </c>
      <c r="E569" s="470">
        <f t="shared" si="8"/>
        <v>60.62280499979763</v>
      </c>
    </row>
    <row r="570" spans="1:5" s="471" customFormat="1" ht="18" customHeight="1" x14ac:dyDescent="0.2">
      <c r="A570" s="1390" t="s">
        <v>1232</v>
      </c>
      <c r="B570" s="1391"/>
      <c r="C570" s="1391"/>
      <c r="D570" s="1391"/>
      <c r="E570" s="1392"/>
    </row>
    <row r="571" spans="1:5" ht="41.25" customHeight="1" x14ac:dyDescent="0.2">
      <c r="A571" s="472" t="s">
        <v>1233</v>
      </c>
      <c r="B571" s="465" t="s">
        <v>1234</v>
      </c>
      <c r="C571" s="466">
        <v>4500</v>
      </c>
      <c r="D571" s="466">
        <v>4500</v>
      </c>
      <c r="E571" s="467">
        <f t="shared" si="8"/>
        <v>100</v>
      </c>
    </row>
    <row r="572" spans="1:5" s="471" customFormat="1" ht="15.75" customHeight="1" x14ac:dyDescent="0.2">
      <c r="A572" s="1383" t="s">
        <v>1235</v>
      </c>
      <c r="B572" s="1384"/>
      <c r="C572" s="469">
        <f>SUM(C571)</f>
        <v>4500</v>
      </c>
      <c r="D572" s="469">
        <f>SUM(D571)</f>
        <v>4500</v>
      </c>
      <c r="E572" s="470">
        <f t="shared" si="8"/>
        <v>100</v>
      </c>
    </row>
    <row r="573" spans="1:5" s="471" customFormat="1" ht="21" customHeight="1" thickBot="1" x14ac:dyDescent="0.25">
      <c r="A573" s="1385" t="s">
        <v>477</v>
      </c>
      <c r="B573" s="1386"/>
      <c r="C573" s="476">
        <f>C18+C248+C314+C338+C373+C414+C430+C513+C526+C569+C572</f>
        <v>182483.79999999987</v>
      </c>
      <c r="D573" s="476">
        <f>D18+D248+D314+D338+D373+D414+D430+D513+D526+D569+D572</f>
        <v>133153.79048999998</v>
      </c>
      <c r="E573" s="477">
        <f t="shared" si="8"/>
        <v>72.96745820176919</v>
      </c>
    </row>
  </sheetData>
  <mergeCells count="62">
    <mergeCell ref="A18:B18"/>
    <mergeCell ref="A2:E2"/>
    <mergeCell ref="A4:E4"/>
    <mergeCell ref="A8:E8"/>
    <mergeCell ref="A10:A11"/>
    <mergeCell ref="A12:A16"/>
    <mergeCell ref="A311:A313"/>
    <mergeCell ref="A19:E19"/>
    <mergeCell ref="A22:A34"/>
    <mergeCell ref="A36:A227"/>
    <mergeCell ref="A228:A242"/>
    <mergeCell ref="A243:A247"/>
    <mergeCell ref="A248:B248"/>
    <mergeCell ref="A249:E249"/>
    <mergeCell ref="A250:A270"/>
    <mergeCell ref="A273:A275"/>
    <mergeCell ref="A276:A278"/>
    <mergeCell ref="A279:A310"/>
    <mergeCell ref="A374:E374"/>
    <mergeCell ref="A314:B314"/>
    <mergeCell ref="A315:E315"/>
    <mergeCell ref="A316:A319"/>
    <mergeCell ref="A320:A325"/>
    <mergeCell ref="A326:A337"/>
    <mergeCell ref="A338:B338"/>
    <mergeCell ref="A339:E339"/>
    <mergeCell ref="A340:A341"/>
    <mergeCell ref="A342:A367"/>
    <mergeCell ref="A369:A372"/>
    <mergeCell ref="A373:B373"/>
    <mergeCell ref="A493:A504"/>
    <mergeCell ref="A377:A398"/>
    <mergeCell ref="A399:A404"/>
    <mergeCell ref="A406:A413"/>
    <mergeCell ref="A414:B414"/>
    <mergeCell ref="A415:E415"/>
    <mergeCell ref="A417:A420"/>
    <mergeCell ref="A423:A429"/>
    <mergeCell ref="A430:B430"/>
    <mergeCell ref="A431:E431"/>
    <mergeCell ref="A433:A438"/>
    <mergeCell ref="A439:A492"/>
    <mergeCell ref="A538:A543"/>
    <mergeCell ref="A505:A512"/>
    <mergeCell ref="A513:B513"/>
    <mergeCell ref="A514:E514"/>
    <mergeCell ref="A515:A519"/>
    <mergeCell ref="A522:A525"/>
    <mergeCell ref="A526:B526"/>
    <mergeCell ref="A527:E527"/>
    <mergeCell ref="A528:A529"/>
    <mergeCell ref="A531:A532"/>
    <mergeCell ref="A533:A534"/>
    <mergeCell ref="A535:A536"/>
    <mergeCell ref="A572:B572"/>
    <mergeCell ref="A573:B573"/>
    <mergeCell ref="A544:A547"/>
    <mergeCell ref="A548:A550"/>
    <mergeCell ref="A551:A566"/>
    <mergeCell ref="A567:A568"/>
    <mergeCell ref="A569:B569"/>
    <mergeCell ref="A570:E570"/>
  </mergeCells>
  <printOptions horizontalCentered="1"/>
  <pageMargins left="0.39370078740157483" right="0.39370078740157483" top="0.59055118110236227" bottom="0.39370078740157483" header="0.31496062992125984" footer="0.11811023622047245"/>
  <pageSetup paperSize="9" scale="82" firstPageNumber="222" fitToHeight="0" orientation="portrait" useFirstPageNumber="1" r:id="rId1"/>
  <headerFooter>
    <oddHeader>&amp;L&amp;"Tahoma,Kurzíva"Závěrečný účet za rok 2015&amp;R&amp;"Tahoma,Kurzíva"Tabulka č. 5</oddHeader>
    <oddFooter>&amp;C&amp;"Tahoma,Obyčejné"&amp;P</oddFooter>
  </headerFooter>
  <rowBreaks count="4" manualBreakCount="4">
    <brk id="314" max="4" man="1"/>
    <brk id="414" max="4" man="1"/>
    <brk id="467" max="4" man="1"/>
    <brk id="513"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5"/>
  <sheetViews>
    <sheetView topLeftCell="B1" zoomScaleNormal="100" zoomScaleSheetLayoutView="100" workbookViewId="0">
      <selection activeCell="N3" sqref="N3"/>
    </sheetView>
  </sheetViews>
  <sheetFormatPr defaultRowHeight="12.75" x14ac:dyDescent="0.2"/>
  <cols>
    <col min="1" max="1" width="7.5703125" style="482" hidden="1" customWidth="1"/>
    <col min="2" max="2" width="47.5703125" style="482" customWidth="1"/>
    <col min="3" max="3" width="13.5703125" style="482" customWidth="1"/>
    <col min="4" max="5" width="11.28515625" style="482" customWidth="1"/>
    <col min="6" max="6" width="12.7109375" style="482" customWidth="1"/>
    <col min="7" max="8" width="11.28515625" style="482" customWidth="1"/>
    <col min="9" max="9" width="12.28515625" style="482" customWidth="1"/>
    <col min="10" max="10" width="10" style="482" customWidth="1"/>
    <col min="11" max="11" width="12.7109375" style="482" customWidth="1"/>
    <col min="12" max="12" width="11.28515625" style="482" customWidth="1"/>
    <col min="13" max="13" width="10.85546875" style="482" customWidth="1"/>
    <col min="14" max="16384" width="9.140625" style="482"/>
  </cols>
  <sheetData>
    <row r="1" spans="1:13" ht="36" customHeight="1" x14ac:dyDescent="0.2">
      <c r="A1" s="479"/>
      <c r="B1" s="1407" t="s">
        <v>1236</v>
      </c>
      <c r="C1" s="1407"/>
      <c r="D1" s="1407"/>
      <c r="E1" s="1407"/>
      <c r="F1" s="1407"/>
      <c r="G1" s="1407"/>
      <c r="H1" s="1407"/>
      <c r="I1" s="1407"/>
      <c r="J1" s="1407"/>
      <c r="K1" s="1407"/>
      <c r="L1" s="1407"/>
      <c r="M1" s="1407"/>
    </row>
    <row r="2" spans="1:13" ht="13.5" thickBot="1" x14ac:dyDescent="0.25">
      <c r="A2" s="479"/>
      <c r="B2" s="483"/>
      <c r="C2" s="483"/>
      <c r="D2" s="483"/>
      <c r="E2" s="483"/>
      <c r="F2" s="483"/>
      <c r="G2" s="483"/>
      <c r="H2" s="483"/>
      <c r="I2" s="483"/>
      <c r="J2" s="483"/>
      <c r="K2" s="483"/>
      <c r="L2" s="483"/>
      <c r="M2" s="484" t="s">
        <v>2</v>
      </c>
    </row>
    <row r="3" spans="1:13" ht="13.5" customHeight="1" x14ac:dyDescent="0.2">
      <c r="A3" s="1408" t="s">
        <v>1237</v>
      </c>
      <c r="B3" s="1410" t="s">
        <v>665</v>
      </c>
      <c r="C3" s="1412" t="s">
        <v>1238</v>
      </c>
      <c r="D3" s="1414" t="s">
        <v>1239</v>
      </c>
      <c r="E3" s="1415"/>
      <c r="F3" s="1415"/>
      <c r="G3" s="1415"/>
      <c r="H3" s="1415"/>
      <c r="I3" s="1415"/>
      <c r="J3" s="1415"/>
      <c r="K3" s="1416"/>
      <c r="L3" s="1412" t="s">
        <v>2519</v>
      </c>
      <c r="M3" s="1417" t="s">
        <v>1240</v>
      </c>
    </row>
    <row r="4" spans="1:13" ht="33" customHeight="1" thickBot="1" x14ac:dyDescent="0.25">
      <c r="A4" s="1409"/>
      <c r="B4" s="1411"/>
      <c r="C4" s="1413"/>
      <c r="D4" s="485">
        <v>2008</v>
      </c>
      <c r="E4" s="486">
        <v>2009</v>
      </c>
      <c r="F4" s="486">
        <v>2010</v>
      </c>
      <c r="G4" s="486">
        <v>2011</v>
      </c>
      <c r="H4" s="486">
        <v>2012</v>
      </c>
      <c r="I4" s="487">
        <v>2013</v>
      </c>
      <c r="J4" s="487">
        <v>2014</v>
      </c>
      <c r="K4" s="488">
        <v>2015</v>
      </c>
      <c r="L4" s="1413"/>
      <c r="M4" s="1418"/>
    </row>
    <row r="5" spans="1:13" ht="18.75" customHeight="1" x14ac:dyDescent="0.2">
      <c r="A5" s="489"/>
      <c r="B5" s="490" t="s">
        <v>1241</v>
      </c>
      <c r="C5" s="491">
        <f>SUM(C6:C26)</f>
        <v>3784343.2765799998</v>
      </c>
      <c r="D5" s="491">
        <f t="shared" ref="D5:L5" si="0">SUM(D6:D26)</f>
        <v>202.51999999999998</v>
      </c>
      <c r="E5" s="491">
        <f t="shared" si="0"/>
        <v>9653.4699999999993</v>
      </c>
      <c r="F5" s="491">
        <f t="shared" si="0"/>
        <v>5929.98</v>
      </c>
      <c r="G5" s="491">
        <f t="shared" si="0"/>
        <v>21802.940000000002</v>
      </c>
      <c r="H5" s="491">
        <f t="shared" si="0"/>
        <v>9238.196979999997</v>
      </c>
      <c r="I5" s="491">
        <f t="shared" si="0"/>
        <v>29425.999799999994</v>
      </c>
      <c r="J5" s="491">
        <f t="shared" si="0"/>
        <v>1019381.82911</v>
      </c>
      <c r="K5" s="491">
        <f t="shared" si="0"/>
        <v>1396575.89069</v>
      </c>
      <c r="L5" s="491">
        <f t="shared" si="0"/>
        <v>1292132.45</v>
      </c>
      <c r="M5" s="492" t="s">
        <v>279</v>
      </c>
    </row>
    <row r="6" spans="1:13" x14ac:dyDescent="0.2">
      <c r="A6" s="493">
        <v>2581</v>
      </c>
      <c r="B6" s="494" t="s">
        <v>1242</v>
      </c>
      <c r="C6" s="495">
        <f>SUM(D6:L6)</f>
        <v>530402.45898</v>
      </c>
      <c r="D6" s="495">
        <v>201.07</v>
      </c>
      <c r="E6" s="495">
        <v>9649.7199999999993</v>
      </c>
      <c r="F6" s="495">
        <v>5929.98</v>
      </c>
      <c r="G6" s="495">
        <v>21746.78</v>
      </c>
      <c r="H6" s="495">
        <v>8768.7589799999987</v>
      </c>
      <c r="I6" s="496">
        <v>21164.41</v>
      </c>
      <c r="J6" s="496">
        <v>376184.65</v>
      </c>
      <c r="K6" s="497">
        <v>86730.19</v>
      </c>
      <c r="L6" s="495">
        <v>26.9</v>
      </c>
      <c r="M6" s="498">
        <v>100</v>
      </c>
    </row>
    <row r="7" spans="1:13" x14ac:dyDescent="0.2">
      <c r="A7" s="499">
        <v>2583</v>
      </c>
      <c r="B7" s="494" t="s">
        <v>1243</v>
      </c>
      <c r="C7" s="495">
        <f t="shared" ref="C7:C24" si="1">SUM(D7:L7)</f>
        <v>259981.44661000001</v>
      </c>
      <c r="D7" s="495">
        <v>0</v>
      </c>
      <c r="E7" s="495">
        <v>0</v>
      </c>
      <c r="F7" s="495">
        <v>0</v>
      </c>
      <c r="G7" s="495">
        <v>0</v>
      </c>
      <c r="H7" s="495">
        <v>0</v>
      </c>
      <c r="I7" s="495">
        <v>5315.53</v>
      </c>
      <c r="J7" s="495">
        <v>4787.03</v>
      </c>
      <c r="K7" s="500">
        <v>249819.88661000002</v>
      </c>
      <c r="L7" s="495">
        <v>59</v>
      </c>
      <c r="M7" s="498">
        <v>100</v>
      </c>
    </row>
    <row r="8" spans="1:13" ht="24" customHeight="1" x14ac:dyDescent="0.2">
      <c r="A8" s="501">
        <v>2610</v>
      </c>
      <c r="B8" s="502" t="s">
        <v>1244</v>
      </c>
      <c r="C8" s="495">
        <f t="shared" si="1"/>
        <v>81556.343500000003</v>
      </c>
      <c r="D8" s="495">
        <v>0</v>
      </c>
      <c r="E8" s="495">
        <v>0</v>
      </c>
      <c r="F8" s="495">
        <v>0</v>
      </c>
      <c r="G8" s="495">
        <v>0</v>
      </c>
      <c r="H8" s="495">
        <v>0</v>
      </c>
      <c r="I8" s="495">
        <v>1120.1400000000001</v>
      </c>
      <c r="J8" s="495">
        <v>4359.5734999999995</v>
      </c>
      <c r="K8" s="500">
        <v>76076.63</v>
      </c>
      <c r="L8" s="495">
        <v>0</v>
      </c>
      <c r="M8" s="498">
        <v>85</v>
      </c>
    </row>
    <row r="9" spans="1:13" ht="24" customHeight="1" x14ac:dyDescent="0.2">
      <c r="A9" s="501">
        <v>2618</v>
      </c>
      <c r="B9" s="494" t="s">
        <v>1245</v>
      </c>
      <c r="C9" s="495">
        <f t="shared" si="1"/>
        <v>21384.731200000002</v>
      </c>
      <c r="D9" s="495">
        <v>0</v>
      </c>
      <c r="E9" s="495">
        <v>0</v>
      </c>
      <c r="F9" s="495">
        <v>0</v>
      </c>
      <c r="G9" s="495">
        <v>0</v>
      </c>
      <c r="H9" s="495">
        <v>0</v>
      </c>
      <c r="I9" s="495">
        <v>0</v>
      </c>
      <c r="J9" s="495">
        <v>11503.841200000001</v>
      </c>
      <c r="K9" s="500">
        <v>9880.89</v>
      </c>
      <c r="L9" s="495">
        <v>0</v>
      </c>
      <c r="M9" s="498">
        <v>85</v>
      </c>
    </row>
    <row r="10" spans="1:13" ht="24" customHeight="1" x14ac:dyDescent="0.2">
      <c r="A10" s="501">
        <v>2619</v>
      </c>
      <c r="B10" s="494" t="s">
        <v>1246</v>
      </c>
      <c r="C10" s="495">
        <f t="shared" si="1"/>
        <v>8675.9813400000003</v>
      </c>
      <c r="D10" s="495">
        <v>0</v>
      </c>
      <c r="E10" s="495">
        <v>0</v>
      </c>
      <c r="F10" s="495">
        <v>0</v>
      </c>
      <c r="G10" s="495">
        <v>0</v>
      </c>
      <c r="H10" s="495">
        <v>0</v>
      </c>
      <c r="I10" s="495">
        <v>0</v>
      </c>
      <c r="J10" s="495">
        <v>5244.7844000000005</v>
      </c>
      <c r="K10" s="500">
        <v>3431.1969399999998</v>
      </c>
      <c r="L10" s="495">
        <v>0</v>
      </c>
      <c r="M10" s="498">
        <v>25</v>
      </c>
    </row>
    <row r="11" spans="1:13" x14ac:dyDescent="0.2">
      <c r="A11" s="501">
        <v>2598</v>
      </c>
      <c r="B11" s="494" t="s">
        <v>1248</v>
      </c>
      <c r="C11" s="495">
        <f t="shared" si="1"/>
        <v>49242.546110000003</v>
      </c>
      <c r="D11" s="495">
        <v>0</v>
      </c>
      <c r="E11" s="495">
        <v>0</v>
      </c>
      <c r="F11" s="495">
        <v>0</v>
      </c>
      <c r="G11" s="495">
        <v>18.72</v>
      </c>
      <c r="H11" s="495">
        <v>124.46</v>
      </c>
      <c r="I11" s="495">
        <v>113.05</v>
      </c>
      <c r="J11" s="495">
        <v>230.77500000000001</v>
      </c>
      <c r="K11" s="500">
        <v>48753.531110000004</v>
      </c>
      <c r="L11" s="495">
        <v>2.0099999999999998</v>
      </c>
      <c r="M11" s="498">
        <v>85</v>
      </c>
    </row>
    <row r="12" spans="1:13" x14ac:dyDescent="0.2">
      <c r="A12" s="501">
        <v>2599</v>
      </c>
      <c r="B12" s="494" t="s">
        <v>1249</v>
      </c>
      <c r="C12" s="495">
        <f t="shared" si="1"/>
        <v>93280.469039999996</v>
      </c>
      <c r="D12" s="495">
        <v>0</v>
      </c>
      <c r="E12" s="495">
        <v>0</v>
      </c>
      <c r="F12" s="495">
        <v>0</v>
      </c>
      <c r="G12" s="495">
        <v>18.72</v>
      </c>
      <c r="H12" s="495">
        <v>142.72800000000001</v>
      </c>
      <c r="I12" s="495">
        <v>83.66</v>
      </c>
      <c r="J12" s="495">
        <v>57977.443590000003</v>
      </c>
      <c r="K12" s="500">
        <v>34606.107449999989</v>
      </c>
      <c r="L12" s="495">
        <v>451.81</v>
      </c>
      <c r="M12" s="498">
        <v>85</v>
      </c>
    </row>
    <row r="13" spans="1:13" x14ac:dyDescent="0.2">
      <c r="A13" s="501">
        <v>2601</v>
      </c>
      <c r="B13" s="494" t="s">
        <v>1250</v>
      </c>
      <c r="C13" s="495">
        <f t="shared" si="1"/>
        <v>98324.171359999993</v>
      </c>
      <c r="D13" s="495">
        <v>0</v>
      </c>
      <c r="E13" s="495">
        <v>0</v>
      </c>
      <c r="F13" s="495">
        <v>0</v>
      </c>
      <c r="G13" s="495">
        <v>18.72</v>
      </c>
      <c r="H13" s="495">
        <v>177.39</v>
      </c>
      <c r="I13" s="495">
        <v>504.8</v>
      </c>
      <c r="J13" s="495">
        <v>26080.87141</v>
      </c>
      <c r="K13" s="500">
        <v>70712.279949999996</v>
      </c>
      <c r="L13" s="495">
        <v>830.11</v>
      </c>
      <c r="M13" s="498">
        <v>85</v>
      </c>
    </row>
    <row r="14" spans="1:13" x14ac:dyDescent="0.2">
      <c r="A14" s="501">
        <v>2602</v>
      </c>
      <c r="B14" s="494" t="s">
        <v>1251</v>
      </c>
      <c r="C14" s="495">
        <f t="shared" si="1"/>
        <v>232762.65954000002</v>
      </c>
      <c r="D14" s="495">
        <v>0</v>
      </c>
      <c r="E14" s="495">
        <v>0</v>
      </c>
      <c r="F14" s="495">
        <v>0</v>
      </c>
      <c r="G14" s="495">
        <v>0</v>
      </c>
      <c r="H14" s="495">
        <v>0</v>
      </c>
      <c r="I14" s="495">
        <v>206.87</v>
      </c>
      <c r="J14" s="495">
        <v>165760.41838000002</v>
      </c>
      <c r="K14" s="500">
        <v>66795.371159999995</v>
      </c>
      <c r="L14" s="495">
        <v>0</v>
      </c>
      <c r="M14" s="498">
        <v>85</v>
      </c>
    </row>
    <row r="15" spans="1:13" x14ac:dyDescent="0.2">
      <c r="A15" s="501">
        <v>2603</v>
      </c>
      <c r="B15" s="494" t="s">
        <v>1252</v>
      </c>
      <c r="C15" s="495">
        <f t="shared" si="1"/>
        <v>97437.991039999994</v>
      </c>
      <c r="D15" s="495">
        <v>0</v>
      </c>
      <c r="E15" s="495">
        <v>0</v>
      </c>
      <c r="F15" s="495">
        <v>0</v>
      </c>
      <c r="G15" s="495">
        <v>0</v>
      </c>
      <c r="H15" s="495">
        <v>0</v>
      </c>
      <c r="I15" s="495">
        <v>273.5</v>
      </c>
      <c r="J15" s="495">
        <v>77745.323929999999</v>
      </c>
      <c r="K15" s="500">
        <v>19419.167110000002</v>
      </c>
      <c r="L15" s="495">
        <v>0</v>
      </c>
      <c r="M15" s="498">
        <v>85</v>
      </c>
    </row>
    <row r="16" spans="1:13" x14ac:dyDescent="0.2">
      <c r="A16" s="501">
        <v>2605</v>
      </c>
      <c r="B16" s="494" t="s">
        <v>1253</v>
      </c>
      <c r="C16" s="495">
        <f t="shared" si="1"/>
        <v>275422.14805999998</v>
      </c>
      <c r="D16" s="495">
        <v>0</v>
      </c>
      <c r="E16" s="495">
        <v>0</v>
      </c>
      <c r="F16" s="495">
        <v>0</v>
      </c>
      <c r="G16" s="495">
        <v>0</v>
      </c>
      <c r="H16" s="495">
        <v>0</v>
      </c>
      <c r="I16" s="495">
        <v>259.11</v>
      </c>
      <c r="J16" s="495">
        <v>193768.15655999997</v>
      </c>
      <c r="K16" s="500">
        <v>81359.881500000003</v>
      </c>
      <c r="L16" s="495">
        <v>35</v>
      </c>
      <c r="M16" s="498">
        <v>85</v>
      </c>
    </row>
    <row r="17" spans="1:13" x14ac:dyDescent="0.2">
      <c r="A17" s="501">
        <v>2609</v>
      </c>
      <c r="B17" s="494" t="s">
        <v>1254</v>
      </c>
      <c r="C17" s="495">
        <f t="shared" si="1"/>
        <v>125383.76722999997</v>
      </c>
      <c r="D17" s="495">
        <v>0</v>
      </c>
      <c r="E17" s="495">
        <v>0</v>
      </c>
      <c r="F17" s="495">
        <v>0</v>
      </c>
      <c r="G17" s="495">
        <v>0</v>
      </c>
      <c r="H17" s="495">
        <v>0</v>
      </c>
      <c r="I17" s="495">
        <v>112.4</v>
      </c>
      <c r="J17" s="495">
        <v>71874.908609999969</v>
      </c>
      <c r="K17" s="500">
        <v>53396.458619999998</v>
      </c>
      <c r="L17" s="495">
        <v>0</v>
      </c>
      <c r="M17" s="498">
        <v>85</v>
      </c>
    </row>
    <row r="18" spans="1:13" x14ac:dyDescent="0.2">
      <c r="A18" s="501">
        <v>2611</v>
      </c>
      <c r="B18" s="494" t="s">
        <v>1255</v>
      </c>
      <c r="C18" s="495">
        <f t="shared" si="1"/>
        <v>78060.434989999994</v>
      </c>
      <c r="D18" s="495">
        <v>0</v>
      </c>
      <c r="E18" s="495">
        <v>0</v>
      </c>
      <c r="F18" s="495">
        <v>0</v>
      </c>
      <c r="G18" s="495">
        <v>0</v>
      </c>
      <c r="H18" s="495">
        <v>0</v>
      </c>
      <c r="I18" s="495">
        <v>119.51</v>
      </c>
      <c r="J18" s="495">
        <v>86.92880000000001</v>
      </c>
      <c r="K18" s="500">
        <v>77853.996189999991</v>
      </c>
      <c r="L18" s="495">
        <v>0</v>
      </c>
      <c r="M18" s="498">
        <v>85</v>
      </c>
    </row>
    <row r="19" spans="1:13" x14ac:dyDescent="0.2">
      <c r="A19" s="501">
        <v>2612</v>
      </c>
      <c r="B19" s="494" t="s">
        <v>1256</v>
      </c>
      <c r="C19" s="495">
        <f t="shared" si="1"/>
        <v>93248.212230000005</v>
      </c>
      <c r="D19" s="495">
        <v>0</v>
      </c>
      <c r="E19" s="495">
        <v>0</v>
      </c>
      <c r="F19" s="495">
        <v>0</v>
      </c>
      <c r="G19" s="495">
        <v>0</v>
      </c>
      <c r="H19" s="495">
        <v>0</v>
      </c>
      <c r="I19" s="495">
        <v>26</v>
      </c>
      <c r="J19" s="495">
        <v>13928.16115</v>
      </c>
      <c r="K19" s="500">
        <v>79294.051080000005</v>
      </c>
      <c r="L19" s="495">
        <v>0</v>
      </c>
      <c r="M19" s="498">
        <v>85</v>
      </c>
    </row>
    <row r="20" spans="1:13" x14ac:dyDescent="0.2">
      <c r="A20" s="501">
        <v>2613</v>
      </c>
      <c r="B20" s="494" t="s">
        <v>1257</v>
      </c>
      <c r="C20" s="495">
        <f t="shared" si="1"/>
        <v>65187.598920000004</v>
      </c>
      <c r="D20" s="495">
        <v>0</v>
      </c>
      <c r="E20" s="495">
        <v>0</v>
      </c>
      <c r="F20" s="495">
        <v>0</v>
      </c>
      <c r="G20" s="495">
        <v>0</v>
      </c>
      <c r="H20" s="495">
        <v>0</v>
      </c>
      <c r="I20" s="495">
        <v>36.247400000000006</v>
      </c>
      <c r="J20" s="495">
        <v>228.55199999999999</v>
      </c>
      <c r="K20" s="500">
        <v>64922.79952</v>
      </c>
      <c r="L20" s="495">
        <v>0</v>
      </c>
      <c r="M20" s="498">
        <v>85</v>
      </c>
    </row>
    <row r="21" spans="1:13" x14ac:dyDescent="0.2">
      <c r="A21" s="501">
        <v>2614</v>
      </c>
      <c r="B21" s="494" t="s">
        <v>1258</v>
      </c>
      <c r="C21" s="495">
        <f t="shared" si="1"/>
        <v>110079.47396</v>
      </c>
      <c r="D21" s="495">
        <v>0</v>
      </c>
      <c r="E21" s="495">
        <v>0</v>
      </c>
      <c r="F21" s="495">
        <v>0</v>
      </c>
      <c r="G21" s="495">
        <v>0</v>
      </c>
      <c r="H21" s="495">
        <v>0</v>
      </c>
      <c r="I21" s="495">
        <v>29.380400000000002</v>
      </c>
      <c r="J21" s="495">
        <v>212.37700000000004</v>
      </c>
      <c r="K21" s="500">
        <v>109837.71656</v>
      </c>
      <c r="L21" s="495">
        <v>0</v>
      </c>
      <c r="M21" s="498">
        <v>85</v>
      </c>
    </row>
    <row r="22" spans="1:13" x14ac:dyDescent="0.2">
      <c r="A22" s="501">
        <v>2615</v>
      </c>
      <c r="B22" s="494" t="s">
        <v>1259</v>
      </c>
      <c r="C22" s="495">
        <f t="shared" si="1"/>
        <v>63143.189109999999</v>
      </c>
      <c r="D22" s="495">
        <v>0</v>
      </c>
      <c r="E22" s="495">
        <v>0</v>
      </c>
      <c r="F22" s="495">
        <v>0</v>
      </c>
      <c r="G22" s="495">
        <v>0</v>
      </c>
      <c r="H22" s="495">
        <v>0</v>
      </c>
      <c r="I22" s="495">
        <v>0</v>
      </c>
      <c r="J22" s="495">
        <v>197.48600000000002</v>
      </c>
      <c r="K22" s="500">
        <v>62945.703110000002</v>
      </c>
      <c r="L22" s="495">
        <v>0</v>
      </c>
      <c r="M22" s="498">
        <v>85</v>
      </c>
    </row>
    <row r="23" spans="1:13" x14ac:dyDescent="0.2">
      <c r="A23" s="501">
        <v>2616</v>
      </c>
      <c r="B23" s="494" t="s">
        <v>1260</v>
      </c>
      <c r="C23" s="495">
        <f t="shared" si="1"/>
        <v>154617.9234</v>
      </c>
      <c r="D23" s="495">
        <v>0</v>
      </c>
      <c r="E23" s="495">
        <v>0</v>
      </c>
      <c r="F23" s="495">
        <v>0</v>
      </c>
      <c r="G23" s="495">
        <v>0</v>
      </c>
      <c r="H23" s="495">
        <v>0</v>
      </c>
      <c r="I23" s="495">
        <v>0</v>
      </c>
      <c r="J23" s="495">
        <v>133.24540000000002</v>
      </c>
      <c r="K23" s="500">
        <v>154472.57799999998</v>
      </c>
      <c r="L23" s="495">
        <v>12.1</v>
      </c>
      <c r="M23" s="498">
        <v>85</v>
      </c>
    </row>
    <row r="24" spans="1:13" x14ac:dyDescent="0.2">
      <c r="A24" s="501">
        <v>2617</v>
      </c>
      <c r="B24" s="494" t="s">
        <v>1261</v>
      </c>
      <c r="C24" s="495">
        <f t="shared" si="1"/>
        <v>45725.132259999998</v>
      </c>
      <c r="D24" s="495">
        <v>0</v>
      </c>
      <c r="E24" s="495">
        <v>0</v>
      </c>
      <c r="F24" s="495">
        <v>0</v>
      </c>
      <c r="G24" s="495">
        <v>0</v>
      </c>
      <c r="H24" s="495">
        <v>0</v>
      </c>
      <c r="I24" s="495">
        <v>0</v>
      </c>
      <c r="J24" s="495">
        <v>83.759500000000017</v>
      </c>
      <c r="K24" s="500">
        <v>45641.372759999998</v>
      </c>
      <c r="L24" s="495">
        <v>0</v>
      </c>
      <c r="M24" s="498">
        <v>100</v>
      </c>
    </row>
    <row r="25" spans="1:13" ht="24" customHeight="1" x14ac:dyDescent="0.2">
      <c r="A25" s="501">
        <v>2876</v>
      </c>
      <c r="B25" s="502" t="s">
        <v>1262</v>
      </c>
      <c r="C25" s="495">
        <f>SUM(D25:L25)</f>
        <v>9526.6006999999954</v>
      </c>
      <c r="D25" s="495">
        <v>1.45</v>
      </c>
      <c r="E25" s="495">
        <v>3.75</v>
      </c>
      <c r="F25" s="495">
        <v>0</v>
      </c>
      <c r="G25" s="495">
        <v>0</v>
      </c>
      <c r="H25" s="495">
        <v>24.86</v>
      </c>
      <c r="I25" s="495">
        <v>61.391999999999996</v>
      </c>
      <c r="J25" s="495">
        <v>8993.5426799999968</v>
      </c>
      <c r="K25" s="500">
        <v>441.60602</v>
      </c>
      <c r="L25" s="495">
        <v>0</v>
      </c>
      <c r="M25" s="498">
        <v>90</v>
      </c>
    </row>
    <row r="26" spans="1:13" s="856" customFormat="1" ht="14.25" customHeight="1" thickBot="1" x14ac:dyDescent="0.25">
      <c r="A26" s="859">
        <v>3261</v>
      </c>
      <c r="B26" s="852" t="s">
        <v>1247</v>
      </c>
      <c r="C26" s="853">
        <f>SUM(D26:L26)</f>
        <v>1290899.997</v>
      </c>
      <c r="D26" s="853">
        <v>0</v>
      </c>
      <c r="E26" s="853">
        <v>0</v>
      </c>
      <c r="F26" s="853">
        <v>0</v>
      </c>
      <c r="G26" s="853">
        <v>0</v>
      </c>
      <c r="H26" s="853">
        <v>0</v>
      </c>
      <c r="I26" s="853">
        <v>0</v>
      </c>
      <c r="J26" s="853">
        <v>0</v>
      </c>
      <c r="K26" s="854">
        <v>184.477</v>
      </c>
      <c r="L26" s="853">
        <v>1290715.52</v>
      </c>
      <c r="M26" s="855">
        <v>90</v>
      </c>
    </row>
    <row r="27" spans="1:13" ht="18" customHeight="1" x14ac:dyDescent="0.2">
      <c r="A27" s="489"/>
      <c r="B27" s="490" t="s">
        <v>1263</v>
      </c>
      <c r="C27" s="491">
        <f>SUM(C28:C35)</f>
        <v>1092067.5996600001</v>
      </c>
      <c r="D27" s="491">
        <f t="shared" ref="D27:L27" si="2">SUM(D28:D35)</f>
        <v>0</v>
      </c>
      <c r="E27" s="491">
        <f t="shared" si="2"/>
        <v>0</v>
      </c>
      <c r="F27" s="491">
        <f t="shared" si="2"/>
        <v>0</v>
      </c>
      <c r="G27" s="491">
        <f t="shared" si="2"/>
        <v>0</v>
      </c>
      <c r="H27" s="491">
        <f t="shared" si="2"/>
        <v>150</v>
      </c>
      <c r="I27" s="491">
        <f t="shared" si="2"/>
        <v>44.96</v>
      </c>
      <c r="J27" s="491">
        <f t="shared" si="2"/>
        <v>2020.6803</v>
      </c>
      <c r="K27" s="491">
        <f t="shared" si="2"/>
        <v>1061001.3293599999</v>
      </c>
      <c r="L27" s="491">
        <f t="shared" si="2"/>
        <v>28850.629999999997</v>
      </c>
      <c r="M27" s="492" t="s">
        <v>279</v>
      </c>
    </row>
    <row r="28" spans="1:13" s="506" customFormat="1" x14ac:dyDescent="0.2">
      <c r="A28" s="503">
        <v>2911</v>
      </c>
      <c r="B28" s="504" t="s">
        <v>1264</v>
      </c>
      <c r="C28" s="495">
        <f>SUM(D28:L28)</f>
        <v>8476.7549299999919</v>
      </c>
      <c r="D28" s="495">
        <v>0</v>
      </c>
      <c r="E28" s="505">
        <v>0</v>
      </c>
      <c r="F28" s="505">
        <v>0</v>
      </c>
      <c r="G28" s="505">
        <v>0</v>
      </c>
      <c r="H28" s="505">
        <v>150</v>
      </c>
      <c r="I28" s="495">
        <v>1</v>
      </c>
      <c r="J28" s="495">
        <v>0</v>
      </c>
      <c r="K28" s="500">
        <v>8325.7549299999919</v>
      </c>
      <c r="L28" s="495">
        <v>0</v>
      </c>
      <c r="M28" s="498">
        <v>90</v>
      </c>
    </row>
    <row r="29" spans="1:13" s="506" customFormat="1" x14ac:dyDescent="0.2">
      <c r="A29" s="503">
        <v>2722</v>
      </c>
      <c r="B29" s="504" t="s">
        <v>1265</v>
      </c>
      <c r="C29" s="495">
        <f t="shared" ref="C29:C35" si="3">SUM(D29:L29)</f>
        <v>250014.45235000001</v>
      </c>
      <c r="D29" s="495">
        <v>0</v>
      </c>
      <c r="E29" s="505">
        <v>0</v>
      </c>
      <c r="F29" s="505">
        <v>0</v>
      </c>
      <c r="G29" s="505">
        <v>0</v>
      </c>
      <c r="H29" s="505">
        <v>0</v>
      </c>
      <c r="I29" s="495">
        <v>43.96</v>
      </c>
      <c r="J29" s="495">
        <v>336.25530000000003</v>
      </c>
      <c r="K29" s="500">
        <v>246616.08705</v>
      </c>
      <c r="L29" s="495">
        <v>3018.15</v>
      </c>
      <c r="M29" s="498">
        <v>85</v>
      </c>
    </row>
    <row r="30" spans="1:13" s="506" customFormat="1" x14ac:dyDescent="0.2">
      <c r="A30" s="503">
        <v>2539</v>
      </c>
      <c r="B30" s="504" t="s">
        <v>1266</v>
      </c>
      <c r="C30" s="495">
        <f t="shared" si="3"/>
        <v>192173.20300000001</v>
      </c>
      <c r="D30" s="495">
        <v>0</v>
      </c>
      <c r="E30" s="505">
        <v>0</v>
      </c>
      <c r="F30" s="505">
        <v>0</v>
      </c>
      <c r="G30" s="505">
        <v>0</v>
      </c>
      <c r="H30" s="505">
        <v>0</v>
      </c>
      <c r="I30" s="495">
        <v>0</v>
      </c>
      <c r="J30" s="495">
        <v>0</v>
      </c>
      <c r="K30" s="500">
        <v>192153.20300000001</v>
      </c>
      <c r="L30" s="495">
        <v>20</v>
      </c>
      <c r="M30" s="498">
        <v>100</v>
      </c>
    </row>
    <row r="31" spans="1:13" s="506" customFormat="1" x14ac:dyDescent="0.2">
      <c r="A31" s="503">
        <v>2537</v>
      </c>
      <c r="B31" s="507" t="s">
        <v>1267</v>
      </c>
      <c r="C31" s="495">
        <f t="shared" si="3"/>
        <v>110808.05799999999</v>
      </c>
      <c r="D31" s="495">
        <v>0</v>
      </c>
      <c r="E31" s="495">
        <v>0</v>
      </c>
      <c r="F31" s="495">
        <v>0</v>
      </c>
      <c r="G31" s="495">
        <v>0</v>
      </c>
      <c r="H31" s="495">
        <v>0</v>
      </c>
      <c r="I31" s="495">
        <v>0</v>
      </c>
      <c r="J31" s="495">
        <v>202.07400000000001</v>
      </c>
      <c r="K31" s="500">
        <v>110605.984</v>
      </c>
      <c r="L31" s="495">
        <v>0</v>
      </c>
      <c r="M31" s="498">
        <v>85</v>
      </c>
    </row>
    <row r="32" spans="1:13" s="506" customFormat="1" x14ac:dyDescent="0.2">
      <c r="A32" s="503">
        <v>2720</v>
      </c>
      <c r="B32" s="507" t="s">
        <v>1268</v>
      </c>
      <c r="C32" s="495">
        <f t="shared" si="3"/>
        <v>105184.63449999999</v>
      </c>
      <c r="D32" s="495">
        <v>0</v>
      </c>
      <c r="E32" s="495">
        <v>0</v>
      </c>
      <c r="F32" s="495">
        <v>0</v>
      </c>
      <c r="G32" s="495">
        <v>0</v>
      </c>
      <c r="H32" s="495">
        <v>0</v>
      </c>
      <c r="I32" s="495">
        <v>0</v>
      </c>
      <c r="J32" s="495">
        <v>56.589999999999996</v>
      </c>
      <c r="K32" s="500">
        <v>105128.04449999999</v>
      </c>
      <c r="L32" s="495">
        <v>0</v>
      </c>
      <c r="M32" s="498">
        <v>85</v>
      </c>
    </row>
    <row r="33" spans="1:13" s="506" customFormat="1" x14ac:dyDescent="0.2">
      <c r="A33" s="503">
        <v>2725</v>
      </c>
      <c r="B33" s="508" t="s">
        <v>1269</v>
      </c>
      <c r="C33" s="495">
        <f t="shared" si="3"/>
        <v>123080.4005</v>
      </c>
      <c r="D33" s="495">
        <v>0</v>
      </c>
      <c r="E33" s="495">
        <v>0</v>
      </c>
      <c r="F33" s="495">
        <v>0</v>
      </c>
      <c r="G33" s="495">
        <v>0</v>
      </c>
      <c r="H33" s="495">
        <v>0</v>
      </c>
      <c r="I33" s="495">
        <v>0</v>
      </c>
      <c r="J33" s="495">
        <v>201.03899999999996</v>
      </c>
      <c r="K33" s="500">
        <v>122748.8015</v>
      </c>
      <c r="L33" s="495">
        <v>130.56</v>
      </c>
      <c r="M33" s="498">
        <v>100</v>
      </c>
    </row>
    <row r="34" spans="1:13" s="506" customFormat="1" ht="24" customHeight="1" x14ac:dyDescent="0.2">
      <c r="A34" s="503">
        <v>2723</v>
      </c>
      <c r="B34" s="509" t="s">
        <v>1270</v>
      </c>
      <c r="C34" s="495">
        <f t="shared" si="3"/>
        <v>27983.084889999998</v>
      </c>
      <c r="D34" s="495">
        <v>0</v>
      </c>
      <c r="E34" s="505">
        <v>0</v>
      </c>
      <c r="F34" s="505">
        <v>0</v>
      </c>
      <c r="G34" s="505">
        <v>0</v>
      </c>
      <c r="H34" s="505">
        <v>0</v>
      </c>
      <c r="I34" s="495">
        <v>0</v>
      </c>
      <c r="J34" s="495">
        <v>457.88800000000003</v>
      </c>
      <c r="K34" s="500">
        <v>27525.196889999999</v>
      </c>
      <c r="L34" s="495">
        <v>0</v>
      </c>
      <c r="M34" s="498">
        <v>85</v>
      </c>
    </row>
    <row r="35" spans="1:13" s="506" customFormat="1" ht="13.5" thickBot="1" x14ac:dyDescent="0.25">
      <c r="A35" s="503">
        <v>2724</v>
      </c>
      <c r="B35" s="510" t="s">
        <v>1271</v>
      </c>
      <c r="C35" s="495">
        <f t="shared" si="3"/>
        <v>274347.01148999995</v>
      </c>
      <c r="D35" s="495">
        <v>0</v>
      </c>
      <c r="E35" s="505">
        <v>0</v>
      </c>
      <c r="F35" s="505">
        <v>0</v>
      </c>
      <c r="G35" s="505">
        <v>0</v>
      </c>
      <c r="H35" s="505">
        <v>0</v>
      </c>
      <c r="I35" s="505">
        <v>0</v>
      </c>
      <c r="J35" s="505">
        <v>766.83399999999995</v>
      </c>
      <c r="K35" s="500">
        <v>247898.25748999996</v>
      </c>
      <c r="L35" s="495">
        <v>25681.919999999998</v>
      </c>
      <c r="M35" s="498">
        <v>85</v>
      </c>
    </row>
    <row r="36" spans="1:13" ht="18" customHeight="1" x14ac:dyDescent="0.2">
      <c r="A36" s="489"/>
      <c r="B36" s="490" t="s">
        <v>1272</v>
      </c>
      <c r="C36" s="491">
        <f>SUM(C37:C38)</f>
        <v>55232.897240000006</v>
      </c>
      <c r="D36" s="491">
        <f t="shared" ref="D36:L36" si="4">SUM(D37:D38)</f>
        <v>0</v>
      </c>
      <c r="E36" s="491">
        <f t="shared" si="4"/>
        <v>0</v>
      </c>
      <c r="F36" s="491">
        <f t="shared" si="4"/>
        <v>0</v>
      </c>
      <c r="G36" s="491">
        <f t="shared" si="4"/>
        <v>0</v>
      </c>
      <c r="H36" s="491">
        <f t="shared" si="4"/>
        <v>0</v>
      </c>
      <c r="I36" s="491">
        <f t="shared" si="4"/>
        <v>1143.116</v>
      </c>
      <c r="J36" s="491">
        <f t="shared" si="4"/>
        <v>1766.3881999999999</v>
      </c>
      <c r="K36" s="491">
        <f t="shared" si="4"/>
        <v>52323.393040000003</v>
      </c>
      <c r="L36" s="491">
        <f t="shared" si="4"/>
        <v>0</v>
      </c>
      <c r="M36" s="492" t="s">
        <v>279</v>
      </c>
    </row>
    <row r="37" spans="1:13" x14ac:dyDescent="0.2">
      <c r="A37" s="511">
        <v>2552</v>
      </c>
      <c r="B37" s="494" t="s">
        <v>1273</v>
      </c>
      <c r="C37" s="495">
        <f>SUM(D37:L37)</f>
        <v>49747.521080000006</v>
      </c>
      <c r="D37" s="495">
        <v>0</v>
      </c>
      <c r="E37" s="512">
        <v>0</v>
      </c>
      <c r="F37" s="512">
        <v>0</v>
      </c>
      <c r="G37" s="512">
        <v>0</v>
      </c>
      <c r="H37" s="512">
        <v>0</v>
      </c>
      <c r="I37" s="512">
        <v>975.34799999999996</v>
      </c>
      <c r="J37" s="512">
        <v>1616.5101999999999</v>
      </c>
      <c r="K37" s="500">
        <v>47155.662880000003</v>
      </c>
      <c r="L37" s="495">
        <v>0</v>
      </c>
      <c r="M37" s="498">
        <v>85</v>
      </c>
    </row>
    <row r="38" spans="1:13" ht="21.75" thickBot="1" x14ac:dyDescent="0.25">
      <c r="A38" s="511">
        <v>2560</v>
      </c>
      <c r="B38" s="494" t="s">
        <v>1274</v>
      </c>
      <c r="C38" s="495">
        <f>SUM(D38:L38)</f>
        <v>5485.3761599999998</v>
      </c>
      <c r="D38" s="495">
        <v>0</v>
      </c>
      <c r="E38" s="512">
        <v>0</v>
      </c>
      <c r="F38" s="512">
        <v>0</v>
      </c>
      <c r="G38" s="512">
        <v>0</v>
      </c>
      <c r="H38" s="512">
        <v>0</v>
      </c>
      <c r="I38" s="512">
        <v>167.76800000000003</v>
      </c>
      <c r="J38" s="512">
        <v>149.87799999999999</v>
      </c>
      <c r="K38" s="500">
        <v>5167.7301600000001</v>
      </c>
      <c r="L38" s="495">
        <v>0</v>
      </c>
      <c r="M38" s="498">
        <v>85</v>
      </c>
    </row>
    <row r="39" spans="1:13" ht="18" customHeight="1" x14ac:dyDescent="0.2">
      <c r="A39" s="489"/>
      <c r="B39" s="490" t="s">
        <v>1275</v>
      </c>
      <c r="C39" s="491">
        <f>SUM(C40:C43)</f>
        <v>17841.327990000002</v>
      </c>
      <c r="D39" s="491">
        <f t="shared" ref="D39:L39" si="5">SUM(D40:D43)</f>
        <v>0</v>
      </c>
      <c r="E39" s="491">
        <f t="shared" si="5"/>
        <v>0</v>
      </c>
      <c r="F39" s="491">
        <f t="shared" si="5"/>
        <v>0</v>
      </c>
      <c r="G39" s="491">
        <f t="shared" si="5"/>
        <v>0</v>
      </c>
      <c r="H39" s="491">
        <f t="shared" si="5"/>
        <v>1896.5460400000002</v>
      </c>
      <c r="I39" s="491">
        <f t="shared" si="5"/>
        <v>2722.69</v>
      </c>
      <c r="J39" s="491">
        <f t="shared" si="5"/>
        <v>5059.3173399999996</v>
      </c>
      <c r="K39" s="491">
        <f t="shared" si="5"/>
        <v>7846.5746099999997</v>
      </c>
      <c r="L39" s="491">
        <f t="shared" si="5"/>
        <v>316.2</v>
      </c>
      <c r="M39" s="492" t="s">
        <v>279</v>
      </c>
    </row>
    <row r="40" spans="1:13" ht="34.5" customHeight="1" x14ac:dyDescent="0.2">
      <c r="A40" s="511">
        <v>2861</v>
      </c>
      <c r="B40" s="514" t="s">
        <v>1276</v>
      </c>
      <c r="C40" s="495">
        <f>SUM(D40:L40)</f>
        <v>7188.9218900000014</v>
      </c>
      <c r="D40" s="495">
        <v>0</v>
      </c>
      <c r="E40" s="495">
        <v>0</v>
      </c>
      <c r="F40" s="495">
        <v>0</v>
      </c>
      <c r="G40" s="495">
        <v>0</v>
      </c>
      <c r="H40" s="495">
        <v>1896.5460400000002</v>
      </c>
      <c r="I40" s="495">
        <v>2563.73</v>
      </c>
      <c r="J40" s="495">
        <v>1350.9605600000002</v>
      </c>
      <c r="K40" s="500">
        <v>1377.6852899999999</v>
      </c>
      <c r="L40" s="495">
        <v>0</v>
      </c>
      <c r="M40" s="498">
        <v>100</v>
      </c>
    </row>
    <row r="41" spans="1:13" x14ac:dyDescent="0.2">
      <c r="A41" s="511">
        <v>2755</v>
      </c>
      <c r="B41" s="508" t="s">
        <v>1277</v>
      </c>
      <c r="C41" s="495">
        <f t="shared" ref="C41:C43" si="6">SUM(D41:L41)</f>
        <v>7528.817</v>
      </c>
      <c r="D41" s="495">
        <v>0</v>
      </c>
      <c r="E41" s="495">
        <v>0</v>
      </c>
      <c r="F41" s="495">
        <v>0</v>
      </c>
      <c r="G41" s="495">
        <v>0</v>
      </c>
      <c r="H41" s="495">
        <v>0</v>
      </c>
      <c r="I41" s="495">
        <v>0</v>
      </c>
      <c r="J41" s="495">
        <v>2295.8456899999996</v>
      </c>
      <c r="K41" s="500">
        <v>4916.7713100000001</v>
      </c>
      <c r="L41" s="495">
        <v>316.2</v>
      </c>
      <c r="M41" s="498">
        <v>100</v>
      </c>
    </row>
    <row r="42" spans="1:13" x14ac:dyDescent="0.2">
      <c r="A42" s="513">
        <v>2887</v>
      </c>
      <c r="B42" s="494" t="s">
        <v>1278</v>
      </c>
      <c r="C42" s="495">
        <f t="shared" si="6"/>
        <v>2701.8271599999998</v>
      </c>
      <c r="D42" s="495">
        <v>0</v>
      </c>
      <c r="E42" s="495">
        <v>0</v>
      </c>
      <c r="F42" s="495">
        <v>0</v>
      </c>
      <c r="G42" s="495">
        <v>0</v>
      </c>
      <c r="H42" s="495">
        <v>0</v>
      </c>
      <c r="I42" s="495">
        <v>158.96</v>
      </c>
      <c r="J42" s="495">
        <v>1139.51109</v>
      </c>
      <c r="K42" s="500">
        <v>1403.35607</v>
      </c>
      <c r="L42" s="495">
        <v>0</v>
      </c>
      <c r="M42" s="498">
        <v>90</v>
      </c>
    </row>
    <row r="43" spans="1:13" ht="24" customHeight="1" thickBot="1" x14ac:dyDescent="0.25">
      <c r="A43" s="513">
        <v>2866</v>
      </c>
      <c r="B43" s="494" t="s">
        <v>1279</v>
      </c>
      <c r="C43" s="495">
        <f t="shared" si="6"/>
        <v>421.76193999999998</v>
      </c>
      <c r="D43" s="495">
        <v>0</v>
      </c>
      <c r="E43" s="495">
        <v>0</v>
      </c>
      <c r="F43" s="495">
        <v>0</v>
      </c>
      <c r="G43" s="495">
        <v>0</v>
      </c>
      <c r="H43" s="495">
        <v>0</v>
      </c>
      <c r="I43" s="495">
        <v>0</v>
      </c>
      <c r="J43" s="495">
        <v>273</v>
      </c>
      <c r="K43" s="500">
        <v>148.76193999999998</v>
      </c>
      <c r="L43" s="495">
        <v>0</v>
      </c>
      <c r="M43" s="498">
        <v>90</v>
      </c>
    </row>
    <row r="44" spans="1:13" ht="18" customHeight="1" x14ac:dyDescent="0.2">
      <c r="A44" s="489"/>
      <c r="B44" s="490" t="s">
        <v>1280</v>
      </c>
      <c r="C44" s="491">
        <f>SUM(C45:C49)</f>
        <v>56826.928510000005</v>
      </c>
      <c r="D44" s="491">
        <f t="shared" ref="D44:K44" si="7">SUM(D45:D49)</f>
        <v>0</v>
      </c>
      <c r="E44" s="491">
        <f t="shared" si="7"/>
        <v>0</v>
      </c>
      <c r="F44" s="491">
        <f t="shared" si="7"/>
        <v>0</v>
      </c>
      <c r="G44" s="491">
        <f t="shared" si="7"/>
        <v>1.1628000000000001</v>
      </c>
      <c r="H44" s="491">
        <f t="shared" si="7"/>
        <v>577.86229999999989</v>
      </c>
      <c r="I44" s="491">
        <f t="shared" si="7"/>
        <v>6520.9500000000007</v>
      </c>
      <c r="J44" s="491">
        <f t="shared" si="7"/>
        <v>29124.953970000002</v>
      </c>
      <c r="K44" s="491">
        <f t="shared" si="7"/>
        <v>10074.42944</v>
      </c>
      <c r="L44" s="491">
        <f>SUM(L45:L49)</f>
        <v>10527.57</v>
      </c>
      <c r="M44" s="492" t="s">
        <v>279</v>
      </c>
    </row>
    <row r="45" spans="1:13" ht="12.75" customHeight="1" x14ac:dyDescent="0.2">
      <c r="A45" s="503">
        <v>2684</v>
      </c>
      <c r="B45" s="507" t="s">
        <v>1281</v>
      </c>
      <c r="C45" s="495">
        <f>SUM(D45:L45)</f>
        <v>3045.9852300000007</v>
      </c>
      <c r="D45" s="495">
        <v>0</v>
      </c>
      <c r="E45" s="495">
        <v>0</v>
      </c>
      <c r="F45" s="495">
        <v>0</v>
      </c>
      <c r="G45" s="495">
        <v>0</v>
      </c>
      <c r="H45" s="495">
        <v>0</v>
      </c>
      <c r="I45" s="495">
        <v>0</v>
      </c>
      <c r="J45" s="495">
        <v>122.61500000000001</v>
      </c>
      <c r="K45" s="500">
        <v>2877.8002300000003</v>
      </c>
      <c r="L45" s="495">
        <v>45.57</v>
      </c>
      <c r="M45" s="498">
        <v>100</v>
      </c>
    </row>
    <row r="46" spans="1:13" ht="12.75" customHeight="1" x14ac:dyDescent="0.2">
      <c r="A46" s="501">
        <v>2682</v>
      </c>
      <c r="B46" s="507" t="s">
        <v>1283</v>
      </c>
      <c r="C46" s="495">
        <f t="shared" ref="C46:C48" si="8">SUM(D46:L46)</f>
        <v>4191.2780700000003</v>
      </c>
      <c r="D46" s="495">
        <v>0</v>
      </c>
      <c r="E46" s="495">
        <v>0</v>
      </c>
      <c r="F46" s="495">
        <v>0</v>
      </c>
      <c r="G46" s="495">
        <v>0</v>
      </c>
      <c r="H46" s="495">
        <v>0</v>
      </c>
      <c r="I46" s="495">
        <v>501.55</v>
      </c>
      <c r="J46" s="495">
        <v>2517.6555699999999</v>
      </c>
      <c r="K46" s="500">
        <v>1172.0725</v>
      </c>
      <c r="L46" s="495">
        <v>0</v>
      </c>
      <c r="M46" s="498">
        <v>85</v>
      </c>
    </row>
    <row r="47" spans="1:13" ht="12.75" customHeight="1" x14ac:dyDescent="0.2">
      <c r="A47" s="501">
        <v>2545</v>
      </c>
      <c r="B47" s="507" t="s">
        <v>1284</v>
      </c>
      <c r="C47" s="495">
        <f t="shared" si="8"/>
        <v>17475.3246</v>
      </c>
      <c r="D47" s="495">
        <v>0</v>
      </c>
      <c r="E47" s="495">
        <v>0</v>
      </c>
      <c r="F47" s="495">
        <v>0</v>
      </c>
      <c r="G47" s="495">
        <v>1.1628000000000001</v>
      </c>
      <c r="H47" s="495">
        <v>553.26529999999991</v>
      </c>
      <c r="I47" s="495">
        <v>3155.35</v>
      </c>
      <c r="J47" s="495">
        <v>11498.853400000002</v>
      </c>
      <c r="K47" s="500">
        <v>2266.6931</v>
      </c>
      <c r="L47" s="495">
        <v>0</v>
      </c>
      <c r="M47" s="498">
        <v>85</v>
      </c>
    </row>
    <row r="48" spans="1:13" ht="12.75" customHeight="1" x14ac:dyDescent="0.2">
      <c r="A48" s="501">
        <v>2546</v>
      </c>
      <c r="B48" s="507" t="s">
        <v>1285</v>
      </c>
      <c r="C48" s="495">
        <f t="shared" si="8"/>
        <v>21614.542010000001</v>
      </c>
      <c r="D48" s="495">
        <v>0</v>
      </c>
      <c r="E48" s="495">
        <v>0</v>
      </c>
      <c r="F48" s="495">
        <v>0</v>
      </c>
      <c r="G48" s="495">
        <v>0</v>
      </c>
      <c r="H48" s="495">
        <v>24.596999999999998</v>
      </c>
      <c r="I48" s="495">
        <v>2864.05</v>
      </c>
      <c r="J48" s="495">
        <v>14985.83</v>
      </c>
      <c r="K48" s="500">
        <v>3740.0650100000007</v>
      </c>
      <c r="L48" s="495">
        <v>0</v>
      </c>
      <c r="M48" s="498">
        <v>85</v>
      </c>
    </row>
    <row r="49" spans="1:13" s="856" customFormat="1" ht="12.75" customHeight="1" thickBot="1" x14ac:dyDescent="0.25">
      <c r="A49" s="860">
        <v>3272</v>
      </c>
      <c r="B49" s="857" t="s">
        <v>1282</v>
      </c>
      <c r="C49" s="853">
        <f>SUM(D49:L49)</f>
        <v>10499.7986</v>
      </c>
      <c r="D49" s="853">
        <v>0</v>
      </c>
      <c r="E49" s="853">
        <v>0</v>
      </c>
      <c r="F49" s="853">
        <v>0</v>
      </c>
      <c r="G49" s="853">
        <v>0</v>
      </c>
      <c r="H49" s="853">
        <v>0</v>
      </c>
      <c r="I49" s="853">
        <v>0</v>
      </c>
      <c r="J49" s="853">
        <v>0</v>
      </c>
      <c r="K49" s="854">
        <v>17.798599999999997</v>
      </c>
      <c r="L49" s="853">
        <v>10482</v>
      </c>
      <c r="M49" s="855">
        <v>90</v>
      </c>
    </row>
    <row r="50" spans="1:13" ht="18" customHeight="1" x14ac:dyDescent="0.2">
      <c r="A50" s="489"/>
      <c r="B50" s="490" t="s">
        <v>1286</v>
      </c>
      <c r="C50" s="491">
        <f>SUM(C51:C76)</f>
        <v>657071.89483000012</v>
      </c>
      <c r="D50" s="491">
        <f t="shared" ref="D50:L50" si="9">SUM(D51:D76)</f>
        <v>0</v>
      </c>
      <c r="E50" s="491">
        <f t="shared" si="9"/>
        <v>0</v>
      </c>
      <c r="F50" s="491">
        <f t="shared" si="9"/>
        <v>848.64</v>
      </c>
      <c r="G50" s="491">
        <f t="shared" si="9"/>
        <v>4565.75</v>
      </c>
      <c r="H50" s="491">
        <f t="shared" si="9"/>
        <v>5925.3639999999987</v>
      </c>
      <c r="I50" s="491">
        <f t="shared" si="9"/>
        <v>120195.45469000001</v>
      </c>
      <c r="J50" s="491">
        <f t="shared" si="9"/>
        <v>165483.21931999997</v>
      </c>
      <c r="K50" s="491">
        <f t="shared" si="9"/>
        <v>341449.34682000004</v>
      </c>
      <c r="L50" s="491">
        <f t="shared" si="9"/>
        <v>18604.120000000003</v>
      </c>
      <c r="M50" s="492" t="s">
        <v>279</v>
      </c>
    </row>
    <row r="51" spans="1:13" ht="12.75" customHeight="1" x14ac:dyDescent="0.2">
      <c r="A51" s="501">
        <v>2821</v>
      </c>
      <c r="B51" s="494" t="s">
        <v>1287</v>
      </c>
      <c r="C51" s="495">
        <f>SUM(D51:L51)</f>
        <v>58412.064079999996</v>
      </c>
      <c r="D51" s="495">
        <v>0</v>
      </c>
      <c r="E51" s="495">
        <v>0</v>
      </c>
      <c r="F51" s="495">
        <v>0</v>
      </c>
      <c r="G51" s="495">
        <v>0</v>
      </c>
      <c r="H51" s="495">
        <v>130.93400000000003</v>
      </c>
      <c r="I51" s="495">
        <v>1739.43</v>
      </c>
      <c r="J51" s="495">
        <v>6887.1477700000023</v>
      </c>
      <c r="K51" s="500">
        <v>48207.032309999995</v>
      </c>
      <c r="L51" s="495">
        <v>1447.52</v>
      </c>
      <c r="M51" s="498">
        <v>100</v>
      </c>
    </row>
    <row r="52" spans="1:13" ht="12.75" customHeight="1" x14ac:dyDescent="0.2">
      <c r="A52" s="501">
        <v>2820</v>
      </c>
      <c r="B52" s="494" t="s">
        <v>1288</v>
      </c>
      <c r="C52" s="495">
        <f t="shared" ref="C52:C76" si="10">SUM(D52:L52)</f>
        <v>25771.204389999999</v>
      </c>
      <c r="D52" s="495">
        <v>0</v>
      </c>
      <c r="E52" s="495">
        <v>0</v>
      </c>
      <c r="F52" s="495">
        <v>0</v>
      </c>
      <c r="G52" s="495">
        <v>4200</v>
      </c>
      <c r="H52" s="495">
        <v>5368.94</v>
      </c>
      <c r="I52" s="495">
        <v>81.076000000000008</v>
      </c>
      <c r="J52" s="495">
        <v>242.36500000000001</v>
      </c>
      <c r="K52" s="500">
        <v>15878.82339</v>
      </c>
      <c r="L52" s="495">
        <v>0</v>
      </c>
      <c r="M52" s="498">
        <v>100</v>
      </c>
    </row>
    <row r="53" spans="1:13" ht="12.75" customHeight="1" x14ac:dyDescent="0.2">
      <c r="A53" s="503">
        <v>2825</v>
      </c>
      <c r="B53" s="514" t="s">
        <v>1289</v>
      </c>
      <c r="C53" s="495">
        <f t="shared" si="10"/>
        <v>10498.601280000001</v>
      </c>
      <c r="D53" s="495">
        <v>0</v>
      </c>
      <c r="E53" s="495">
        <v>0</v>
      </c>
      <c r="F53" s="495">
        <v>0</v>
      </c>
      <c r="G53" s="495">
        <v>0</v>
      </c>
      <c r="H53" s="495">
        <v>0</v>
      </c>
      <c r="I53" s="495">
        <v>22.41</v>
      </c>
      <c r="J53" s="495">
        <v>58.386999999999993</v>
      </c>
      <c r="K53" s="500">
        <v>10417.80428</v>
      </c>
      <c r="L53" s="495">
        <v>0</v>
      </c>
      <c r="M53" s="498">
        <v>100</v>
      </c>
    </row>
    <row r="54" spans="1:13" ht="12.75" customHeight="1" x14ac:dyDescent="0.2">
      <c r="A54" s="501">
        <v>2740</v>
      </c>
      <c r="B54" s="510" t="s">
        <v>1290</v>
      </c>
      <c r="C54" s="495">
        <f t="shared" si="10"/>
        <v>11967.574400000001</v>
      </c>
      <c r="D54" s="495">
        <v>0</v>
      </c>
      <c r="E54" s="495">
        <v>0</v>
      </c>
      <c r="F54" s="495">
        <v>0</v>
      </c>
      <c r="G54" s="495">
        <v>0</v>
      </c>
      <c r="H54" s="495">
        <v>0</v>
      </c>
      <c r="I54" s="495">
        <v>150.44999999999999</v>
      </c>
      <c r="J54" s="495">
        <v>1766.9342400000003</v>
      </c>
      <c r="K54" s="500">
        <v>10050.19016</v>
      </c>
      <c r="L54" s="495">
        <v>0</v>
      </c>
      <c r="M54" s="498">
        <v>85</v>
      </c>
    </row>
    <row r="55" spans="1:13" ht="12.75" customHeight="1" x14ac:dyDescent="0.2">
      <c r="A55" s="501">
        <v>2743</v>
      </c>
      <c r="B55" s="510" t="s">
        <v>1291</v>
      </c>
      <c r="C55" s="495">
        <f t="shared" si="10"/>
        <v>20322.197200000002</v>
      </c>
      <c r="D55" s="495">
        <v>0</v>
      </c>
      <c r="E55" s="495">
        <v>0</v>
      </c>
      <c r="F55" s="495">
        <v>0</v>
      </c>
      <c r="G55" s="495">
        <v>0</v>
      </c>
      <c r="H55" s="495">
        <v>0</v>
      </c>
      <c r="I55" s="495">
        <v>146.83000000000001</v>
      </c>
      <c r="J55" s="495">
        <v>788.38099999999986</v>
      </c>
      <c r="K55" s="500">
        <v>19386.986200000003</v>
      </c>
      <c r="L55" s="495">
        <v>0</v>
      </c>
      <c r="M55" s="498">
        <v>85</v>
      </c>
    </row>
    <row r="56" spans="1:13" x14ac:dyDescent="0.2">
      <c r="A56" s="501">
        <v>2751</v>
      </c>
      <c r="B56" s="515" t="s">
        <v>1292</v>
      </c>
      <c r="C56" s="495">
        <f t="shared" si="10"/>
        <v>6979.8187600000001</v>
      </c>
      <c r="D56" s="495">
        <v>0</v>
      </c>
      <c r="E56" s="495">
        <v>0</v>
      </c>
      <c r="F56" s="495">
        <v>0</v>
      </c>
      <c r="G56" s="495">
        <v>0</v>
      </c>
      <c r="H56" s="495">
        <v>0</v>
      </c>
      <c r="I56" s="495">
        <v>0</v>
      </c>
      <c r="J56" s="495">
        <v>2849.3370800000002</v>
      </c>
      <c r="K56" s="500">
        <v>3080.4816799999999</v>
      </c>
      <c r="L56" s="495">
        <v>1050</v>
      </c>
      <c r="M56" s="498">
        <v>100</v>
      </c>
    </row>
    <row r="57" spans="1:13" x14ac:dyDescent="0.2">
      <c r="A57" s="503">
        <v>3201</v>
      </c>
      <c r="B57" s="514" t="s">
        <v>2516</v>
      </c>
      <c r="C57" s="495">
        <f t="shared" si="10"/>
        <v>45250.195440000003</v>
      </c>
      <c r="D57" s="495">
        <v>0</v>
      </c>
      <c r="E57" s="495">
        <v>0</v>
      </c>
      <c r="F57" s="495">
        <v>0</v>
      </c>
      <c r="G57" s="495">
        <v>140.16999999999999</v>
      </c>
      <c r="H57" s="495">
        <v>41.4</v>
      </c>
      <c r="I57" s="495">
        <v>80.951960000000014</v>
      </c>
      <c r="J57" s="495">
        <v>245.08836000000002</v>
      </c>
      <c r="K57" s="500">
        <v>32896.685120000002</v>
      </c>
      <c r="L57" s="495">
        <v>11845.9</v>
      </c>
      <c r="M57" s="498">
        <v>85</v>
      </c>
    </row>
    <row r="58" spans="1:13" ht="12.75" customHeight="1" x14ac:dyDescent="0.2">
      <c r="A58" s="501">
        <v>2744</v>
      </c>
      <c r="B58" s="510" t="s">
        <v>1293</v>
      </c>
      <c r="C58" s="495">
        <f t="shared" si="10"/>
        <v>8762.5800399999989</v>
      </c>
      <c r="D58" s="495">
        <v>0</v>
      </c>
      <c r="E58" s="495">
        <v>0</v>
      </c>
      <c r="F58" s="495">
        <v>0</v>
      </c>
      <c r="G58" s="495">
        <v>0</v>
      </c>
      <c r="H58" s="495">
        <v>0</v>
      </c>
      <c r="I58" s="495">
        <v>0</v>
      </c>
      <c r="J58" s="495">
        <v>101.25800000000001</v>
      </c>
      <c r="K58" s="500">
        <v>8661.3220399999991</v>
      </c>
      <c r="L58" s="495">
        <v>0</v>
      </c>
      <c r="M58" s="498">
        <v>100</v>
      </c>
    </row>
    <row r="59" spans="1:13" ht="12" customHeight="1" x14ac:dyDescent="0.2">
      <c r="A59" s="501">
        <v>2735</v>
      </c>
      <c r="B59" s="515" t="s">
        <v>1294</v>
      </c>
      <c r="C59" s="495">
        <f t="shared" si="10"/>
        <v>32901.425919999994</v>
      </c>
      <c r="D59" s="495">
        <v>0</v>
      </c>
      <c r="E59" s="495">
        <v>0</v>
      </c>
      <c r="F59" s="495">
        <v>0</v>
      </c>
      <c r="G59" s="495">
        <v>0</v>
      </c>
      <c r="H59" s="495">
        <v>132.61000000000001</v>
      </c>
      <c r="I59" s="495">
        <v>1267.3800000000001</v>
      </c>
      <c r="J59" s="495">
        <v>22647.562359999993</v>
      </c>
      <c r="K59" s="500">
        <v>8850.8735599999982</v>
      </c>
      <c r="L59" s="495">
        <v>3</v>
      </c>
      <c r="M59" s="498">
        <v>85</v>
      </c>
    </row>
    <row r="60" spans="1:13" ht="12" customHeight="1" x14ac:dyDescent="0.2">
      <c r="A60" s="503">
        <v>2766</v>
      </c>
      <c r="B60" s="514" t="s">
        <v>1295</v>
      </c>
      <c r="C60" s="495">
        <f t="shared" si="10"/>
        <v>197180.13838999998</v>
      </c>
      <c r="D60" s="495">
        <v>0</v>
      </c>
      <c r="E60" s="495">
        <v>0</v>
      </c>
      <c r="F60" s="495">
        <v>0</v>
      </c>
      <c r="G60" s="495">
        <v>0</v>
      </c>
      <c r="H60" s="495">
        <v>0</v>
      </c>
      <c r="I60" s="495">
        <v>86761.44</v>
      </c>
      <c r="J60" s="495">
        <v>90422.04296999998</v>
      </c>
      <c r="K60" s="500">
        <v>19996.655419999999</v>
      </c>
      <c r="L60" s="495">
        <v>0</v>
      </c>
      <c r="M60" s="498">
        <v>100</v>
      </c>
    </row>
    <row r="61" spans="1:13" ht="12.75" customHeight="1" x14ac:dyDescent="0.2">
      <c r="A61" s="501">
        <v>2758</v>
      </c>
      <c r="B61" s="510" t="s">
        <v>1296</v>
      </c>
      <c r="C61" s="495">
        <f t="shared" si="10"/>
        <v>2454.5047999999997</v>
      </c>
      <c r="D61" s="495">
        <v>0</v>
      </c>
      <c r="E61" s="495">
        <v>0</v>
      </c>
      <c r="F61" s="495">
        <v>0</v>
      </c>
      <c r="G61" s="495">
        <v>0</v>
      </c>
      <c r="H61" s="495">
        <v>0</v>
      </c>
      <c r="I61" s="495">
        <v>0</v>
      </c>
      <c r="J61" s="495">
        <v>755.08106999999995</v>
      </c>
      <c r="K61" s="500">
        <v>1699.42373</v>
      </c>
      <c r="L61" s="495">
        <v>0</v>
      </c>
      <c r="M61" s="498">
        <v>100</v>
      </c>
    </row>
    <row r="62" spans="1:13" ht="12.75" customHeight="1" x14ac:dyDescent="0.2">
      <c r="A62" s="501">
        <v>2752</v>
      </c>
      <c r="B62" s="510" t="s">
        <v>1297</v>
      </c>
      <c r="C62" s="495">
        <f t="shared" si="10"/>
        <v>5561.3623599999992</v>
      </c>
      <c r="D62" s="495">
        <v>0</v>
      </c>
      <c r="E62" s="495">
        <v>0</v>
      </c>
      <c r="F62" s="495">
        <v>0</v>
      </c>
      <c r="G62" s="495">
        <v>0</v>
      </c>
      <c r="H62" s="495">
        <v>0</v>
      </c>
      <c r="I62" s="495">
        <v>0</v>
      </c>
      <c r="J62" s="495">
        <v>2097.6359799999996</v>
      </c>
      <c r="K62" s="500">
        <v>3463.7263799999996</v>
      </c>
      <c r="L62" s="495">
        <v>0</v>
      </c>
      <c r="M62" s="498">
        <v>100</v>
      </c>
    </row>
    <row r="63" spans="1:13" ht="24" customHeight="1" x14ac:dyDescent="0.2">
      <c r="A63" s="501">
        <v>2759</v>
      </c>
      <c r="B63" s="515" t="s">
        <v>1298</v>
      </c>
      <c r="C63" s="495">
        <f t="shared" si="10"/>
        <v>9750.1772299999993</v>
      </c>
      <c r="D63" s="495">
        <v>0</v>
      </c>
      <c r="E63" s="495">
        <v>0</v>
      </c>
      <c r="F63" s="495">
        <v>0</v>
      </c>
      <c r="G63" s="495">
        <v>0</v>
      </c>
      <c r="H63" s="495">
        <v>0</v>
      </c>
      <c r="I63" s="495">
        <v>165.7</v>
      </c>
      <c r="J63" s="495">
        <v>2914.3500099999987</v>
      </c>
      <c r="K63" s="500">
        <v>6670.1272200000012</v>
      </c>
      <c r="L63" s="495">
        <v>0</v>
      </c>
      <c r="M63" s="498">
        <v>100</v>
      </c>
    </row>
    <row r="64" spans="1:13" ht="24" customHeight="1" x14ac:dyDescent="0.2">
      <c r="A64" s="501">
        <v>2760</v>
      </c>
      <c r="B64" s="515" t="s">
        <v>1299</v>
      </c>
      <c r="C64" s="495">
        <f t="shared" si="10"/>
        <v>28792.597089999996</v>
      </c>
      <c r="D64" s="495">
        <v>0</v>
      </c>
      <c r="E64" s="495">
        <v>0</v>
      </c>
      <c r="F64" s="495">
        <v>0</v>
      </c>
      <c r="G64" s="495">
        <v>0</v>
      </c>
      <c r="H64" s="495">
        <v>0</v>
      </c>
      <c r="I64" s="495">
        <v>4187.2700000000004</v>
      </c>
      <c r="J64" s="495">
        <v>14359.186989999998</v>
      </c>
      <c r="K64" s="500">
        <v>10246.140099999999</v>
      </c>
      <c r="L64" s="495">
        <v>0</v>
      </c>
      <c r="M64" s="498">
        <v>100</v>
      </c>
    </row>
    <row r="65" spans="1:13" x14ac:dyDescent="0.2">
      <c r="A65" s="503">
        <v>2768</v>
      </c>
      <c r="B65" s="514" t="s">
        <v>1300</v>
      </c>
      <c r="C65" s="495">
        <f t="shared" si="10"/>
        <v>11109.551670000003</v>
      </c>
      <c r="D65" s="495">
        <v>0</v>
      </c>
      <c r="E65" s="495">
        <v>0</v>
      </c>
      <c r="F65" s="495">
        <v>0</v>
      </c>
      <c r="G65" s="495">
        <v>0</v>
      </c>
      <c r="H65" s="495">
        <v>0</v>
      </c>
      <c r="I65" s="495">
        <v>0</v>
      </c>
      <c r="J65" s="495">
        <v>5086.4708300000011</v>
      </c>
      <c r="K65" s="500">
        <v>5042.3808400000007</v>
      </c>
      <c r="L65" s="495">
        <v>980.7</v>
      </c>
      <c r="M65" s="498">
        <v>100</v>
      </c>
    </row>
    <row r="66" spans="1:13" x14ac:dyDescent="0.2">
      <c r="A66" s="503">
        <v>2776</v>
      </c>
      <c r="B66" s="514" t="s">
        <v>1301</v>
      </c>
      <c r="C66" s="495">
        <f t="shared" si="10"/>
        <v>7815.2017700000006</v>
      </c>
      <c r="D66" s="495">
        <v>0</v>
      </c>
      <c r="E66" s="495">
        <v>0</v>
      </c>
      <c r="F66" s="495">
        <v>0</v>
      </c>
      <c r="G66" s="495">
        <v>0</v>
      </c>
      <c r="H66" s="495">
        <v>0</v>
      </c>
      <c r="I66" s="495">
        <v>58.663729999999994</v>
      </c>
      <c r="J66" s="495">
        <v>699.2552300000001</v>
      </c>
      <c r="K66" s="500">
        <v>7057.2828100000006</v>
      </c>
      <c r="L66" s="495">
        <v>0</v>
      </c>
      <c r="M66" s="498">
        <v>100</v>
      </c>
    </row>
    <row r="67" spans="1:13" ht="12.75" customHeight="1" x14ac:dyDescent="0.2">
      <c r="A67" s="501">
        <v>2753</v>
      </c>
      <c r="B67" s="510" t="s">
        <v>1302</v>
      </c>
      <c r="C67" s="495">
        <f t="shared" si="10"/>
        <v>6820.1752699999997</v>
      </c>
      <c r="D67" s="495">
        <v>0</v>
      </c>
      <c r="E67" s="495">
        <v>0</v>
      </c>
      <c r="F67" s="495">
        <v>0</v>
      </c>
      <c r="G67" s="495">
        <v>0</v>
      </c>
      <c r="H67" s="495">
        <v>0</v>
      </c>
      <c r="I67" s="495">
        <v>0</v>
      </c>
      <c r="J67" s="495">
        <v>1977.65771</v>
      </c>
      <c r="K67" s="500">
        <v>4842.5175600000002</v>
      </c>
      <c r="L67" s="495">
        <v>0</v>
      </c>
      <c r="M67" s="498">
        <v>100</v>
      </c>
    </row>
    <row r="68" spans="1:13" s="506" customFormat="1" ht="12.75" customHeight="1" x14ac:dyDescent="0.2">
      <c r="A68" s="501">
        <v>2564</v>
      </c>
      <c r="B68" s="494" t="s">
        <v>1303</v>
      </c>
      <c r="C68" s="495">
        <f t="shared" si="10"/>
        <v>6622.1001300000007</v>
      </c>
      <c r="D68" s="495">
        <v>0</v>
      </c>
      <c r="E68" s="495">
        <v>0</v>
      </c>
      <c r="F68" s="495">
        <v>0</v>
      </c>
      <c r="G68" s="495">
        <v>0</v>
      </c>
      <c r="H68" s="495">
        <v>0</v>
      </c>
      <c r="I68" s="495">
        <v>194.98000000000002</v>
      </c>
      <c r="J68" s="495">
        <v>704.41172999999992</v>
      </c>
      <c r="K68" s="500">
        <v>5722.7084000000004</v>
      </c>
      <c r="L68" s="495">
        <v>0</v>
      </c>
      <c r="M68" s="498">
        <v>85</v>
      </c>
    </row>
    <row r="69" spans="1:13" s="506" customFormat="1" ht="12.75" customHeight="1" x14ac:dyDescent="0.2">
      <c r="A69" s="501">
        <v>2565</v>
      </c>
      <c r="B69" s="510" t="s">
        <v>1304</v>
      </c>
      <c r="C69" s="495">
        <f t="shared" si="10"/>
        <v>27573.311669999996</v>
      </c>
      <c r="D69" s="495">
        <v>0</v>
      </c>
      <c r="E69" s="495">
        <v>0</v>
      </c>
      <c r="F69" s="495">
        <v>0</v>
      </c>
      <c r="G69" s="495">
        <v>0</v>
      </c>
      <c r="H69" s="495">
        <v>0</v>
      </c>
      <c r="I69" s="495">
        <v>11.44</v>
      </c>
      <c r="J69" s="495">
        <v>459.89299999999997</v>
      </c>
      <c r="K69" s="500">
        <v>27101.978669999997</v>
      </c>
      <c r="L69" s="495">
        <v>0</v>
      </c>
      <c r="M69" s="498">
        <v>85</v>
      </c>
    </row>
    <row r="70" spans="1:13" s="506" customFormat="1" ht="12.75" customHeight="1" x14ac:dyDescent="0.2">
      <c r="A70" s="501">
        <v>2745</v>
      </c>
      <c r="B70" s="510" t="s">
        <v>1305</v>
      </c>
      <c r="C70" s="495">
        <f t="shared" si="10"/>
        <v>7670.3685000000005</v>
      </c>
      <c r="D70" s="495">
        <v>0</v>
      </c>
      <c r="E70" s="495">
        <v>0</v>
      </c>
      <c r="F70" s="495">
        <v>0</v>
      </c>
      <c r="G70" s="495">
        <v>0</v>
      </c>
      <c r="H70" s="495">
        <v>0</v>
      </c>
      <c r="I70" s="495">
        <v>0</v>
      </c>
      <c r="J70" s="495">
        <v>0</v>
      </c>
      <c r="K70" s="500">
        <v>7670.3685000000005</v>
      </c>
      <c r="L70" s="495">
        <v>0</v>
      </c>
      <c r="M70" s="498">
        <v>100</v>
      </c>
    </row>
    <row r="71" spans="1:13" ht="24" customHeight="1" x14ac:dyDescent="0.2">
      <c r="A71" s="501">
        <v>2737</v>
      </c>
      <c r="B71" s="515" t="s">
        <v>1306</v>
      </c>
      <c r="C71" s="495">
        <f t="shared" si="10"/>
        <v>17661.507190000004</v>
      </c>
      <c r="D71" s="495">
        <v>0</v>
      </c>
      <c r="E71" s="495">
        <v>0</v>
      </c>
      <c r="F71" s="495">
        <v>0</v>
      </c>
      <c r="G71" s="495">
        <v>0</v>
      </c>
      <c r="H71" s="495">
        <v>153.86000000000001</v>
      </c>
      <c r="I71" s="495">
        <v>2927.49</v>
      </c>
      <c r="J71" s="495">
        <v>1637.44524</v>
      </c>
      <c r="K71" s="500">
        <v>12898.711950000003</v>
      </c>
      <c r="L71" s="495">
        <v>44</v>
      </c>
      <c r="M71" s="498">
        <v>85</v>
      </c>
    </row>
    <row r="72" spans="1:13" ht="24" customHeight="1" x14ac:dyDescent="0.2">
      <c r="A72" s="501">
        <v>2731</v>
      </c>
      <c r="B72" s="515" t="s">
        <v>1307</v>
      </c>
      <c r="C72" s="495">
        <f t="shared" si="10"/>
        <v>26118.81322</v>
      </c>
      <c r="D72" s="495">
        <v>0</v>
      </c>
      <c r="E72" s="495">
        <v>0</v>
      </c>
      <c r="F72" s="495">
        <v>848.64</v>
      </c>
      <c r="G72" s="495">
        <v>225.58</v>
      </c>
      <c r="H72" s="495">
        <v>97.62</v>
      </c>
      <c r="I72" s="495">
        <v>19615.63</v>
      </c>
      <c r="J72" s="495">
        <v>3073.9732199999999</v>
      </c>
      <c r="K72" s="500">
        <v>2257.37</v>
      </c>
      <c r="L72" s="495">
        <v>0</v>
      </c>
      <c r="M72" s="498">
        <v>85</v>
      </c>
    </row>
    <row r="73" spans="1:13" x14ac:dyDescent="0.2">
      <c r="A73" s="501">
        <v>2742</v>
      </c>
      <c r="B73" s="515" t="s">
        <v>1308</v>
      </c>
      <c r="C73" s="495">
        <f t="shared" si="10"/>
        <v>11091.204459999997</v>
      </c>
      <c r="D73" s="495">
        <v>0</v>
      </c>
      <c r="E73" s="495">
        <v>0</v>
      </c>
      <c r="F73" s="495">
        <v>0</v>
      </c>
      <c r="G73" s="495">
        <v>0</v>
      </c>
      <c r="H73" s="495">
        <v>0</v>
      </c>
      <c r="I73" s="495">
        <v>385.00299999999993</v>
      </c>
      <c r="J73" s="495">
        <v>284.02045999999996</v>
      </c>
      <c r="K73" s="500">
        <v>10422.180999999997</v>
      </c>
      <c r="L73" s="495">
        <v>0</v>
      </c>
      <c r="M73" s="498">
        <v>85</v>
      </c>
    </row>
    <row r="74" spans="1:13" x14ac:dyDescent="0.2">
      <c r="A74" s="501">
        <v>2754</v>
      </c>
      <c r="B74" s="515" t="s">
        <v>1309</v>
      </c>
      <c r="C74" s="495">
        <f t="shared" si="10"/>
        <v>5744.26872</v>
      </c>
      <c r="D74" s="495">
        <v>0</v>
      </c>
      <c r="E74" s="495">
        <v>0</v>
      </c>
      <c r="F74" s="495">
        <v>0</v>
      </c>
      <c r="G74" s="495">
        <v>0</v>
      </c>
      <c r="H74" s="495">
        <v>0</v>
      </c>
      <c r="I74" s="495">
        <v>0</v>
      </c>
      <c r="J74" s="495">
        <v>563.09493999999984</v>
      </c>
      <c r="K74" s="500">
        <v>5181.1737800000001</v>
      </c>
      <c r="L74" s="495">
        <v>0</v>
      </c>
      <c r="M74" s="498">
        <v>100</v>
      </c>
    </row>
    <row r="75" spans="1:13" ht="12.75" customHeight="1" x14ac:dyDescent="0.2">
      <c r="A75" s="501">
        <v>2741</v>
      </c>
      <c r="B75" s="510" t="s">
        <v>1310</v>
      </c>
      <c r="C75" s="495">
        <f t="shared" si="10"/>
        <v>26843.243140000002</v>
      </c>
      <c r="D75" s="495">
        <v>0</v>
      </c>
      <c r="E75" s="495">
        <v>0</v>
      </c>
      <c r="F75" s="495">
        <v>0</v>
      </c>
      <c r="G75" s="495">
        <v>0</v>
      </c>
      <c r="H75" s="495">
        <v>0</v>
      </c>
      <c r="I75" s="495">
        <v>142.03000000000003</v>
      </c>
      <c r="J75" s="495">
        <v>4742.7231300000003</v>
      </c>
      <c r="K75" s="500">
        <v>21958.490010000001</v>
      </c>
      <c r="L75" s="495">
        <v>0</v>
      </c>
      <c r="M75" s="498">
        <v>85</v>
      </c>
    </row>
    <row r="76" spans="1:13" ht="12.75" customHeight="1" thickBot="1" x14ac:dyDescent="0.25">
      <c r="A76" s="503">
        <v>2824</v>
      </c>
      <c r="B76" s="514" t="s">
        <v>1311</v>
      </c>
      <c r="C76" s="495">
        <f t="shared" si="10"/>
        <v>37397.707710000002</v>
      </c>
      <c r="D76" s="495">
        <v>0</v>
      </c>
      <c r="E76" s="495">
        <v>0</v>
      </c>
      <c r="F76" s="495">
        <v>0</v>
      </c>
      <c r="G76" s="495">
        <v>0</v>
      </c>
      <c r="H76" s="495">
        <v>0</v>
      </c>
      <c r="I76" s="495">
        <v>2257.2800000000002</v>
      </c>
      <c r="J76" s="495">
        <v>119.51599999999999</v>
      </c>
      <c r="K76" s="500">
        <v>31787.91171</v>
      </c>
      <c r="L76" s="495">
        <v>3233</v>
      </c>
      <c r="M76" s="498">
        <v>85</v>
      </c>
    </row>
    <row r="77" spans="1:13" ht="18" customHeight="1" x14ac:dyDescent="0.2">
      <c r="A77" s="489"/>
      <c r="B77" s="490" t="s">
        <v>1312</v>
      </c>
      <c r="C77" s="491">
        <f>SUM(C78:C143)</f>
        <v>2598516.5509499996</v>
      </c>
      <c r="D77" s="491">
        <f t="shared" ref="D77:L77" si="11">SUM(D78:D143)</f>
        <v>0</v>
      </c>
      <c r="E77" s="491">
        <f t="shared" si="11"/>
        <v>45964.420000000006</v>
      </c>
      <c r="F77" s="491">
        <f t="shared" si="11"/>
        <v>75429.239999999991</v>
      </c>
      <c r="G77" s="491">
        <f t="shared" si="11"/>
        <v>145781.69</v>
      </c>
      <c r="H77" s="491">
        <f t="shared" si="11"/>
        <v>330249.81974999997</v>
      </c>
      <c r="I77" s="491">
        <f t="shared" si="11"/>
        <v>416946.74596999993</v>
      </c>
      <c r="J77" s="491">
        <f t="shared" si="11"/>
        <v>696303.65285999991</v>
      </c>
      <c r="K77" s="491">
        <f t="shared" si="11"/>
        <v>854000.63237000012</v>
      </c>
      <c r="L77" s="491">
        <f t="shared" si="11"/>
        <v>33840.350000000006</v>
      </c>
      <c r="M77" s="492" t="s">
        <v>279</v>
      </c>
    </row>
    <row r="78" spans="1:13" ht="12.75" customHeight="1" x14ac:dyDescent="0.2">
      <c r="A78" s="513">
        <v>2709</v>
      </c>
      <c r="B78" s="494" t="s">
        <v>1313</v>
      </c>
      <c r="C78" s="495">
        <f>SUM(D78:L78)</f>
        <v>9311.5394699999979</v>
      </c>
      <c r="D78" s="495">
        <v>0</v>
      </c>
      <c r="E78" s="495">
        <v>0</v>
      </c>
      <c r="F78" s="495">
        <v>0</v>
      </c>
      <c r="G78" s="495">
        <v>0</v>
      </c>
      <c r="H78" s="495">
        <v>0</v>
      </c>
      <c r="I78" s="495">
        <v>0</v>
      </c>
      <c r="J78" s="495">
        <v>188.958</v>
      </c>
      <c r="K78" s="500">
        <v>9122.5814699999974</v>
      </c>
      <c r="L78" s="495">
        <v>0</v>
      </c>
      <c r="M78" s="498">
        <v>100</v>
      </c>
    </row>
    <row r="79" spans="1:13" ht="24" customHeight="1" x14ac:dyDescent="0.2">
      <c r="A79" s="513">
        <v>2509</v>
      </c>
      <c r="B79" s="494" t="s">
        <v>1314</v>
      </c>
      <c r="C79" s="495">
        <f t="shared" ref="C79:C141" si="12">SUM(D79:L79)</f>
        <v>7606.1190000000006</v>
      </c>
      <c r="D79" s="495">
        <v>0</v>
      </c>
      <c r="E79" s="495">
        <v>0</v>
      </c>
      <c r="F79" s="495">
        <v>0</v>
      </c>
      <c r="G79" s="495">
        <v>114.22</v>
      </c>
      <c r="H79" s="495">
        <v>78.599999999999994</v>
      </c>
      <c r="I79" s="495">
        <v>77.8</v>
      </c>
      <c r="J79" s="495">
        <v>6041.47</v>
      </c>
      <c r="K79" s="500">
        <v>1294.029</v>
      </c>
      <c r="L79" s="495">
        <v>0</v>
      </c>
      <c r="M79" s="498">
        <v>85</v>
      </c>
    </row>
    <row r="80" spans="1:13" ht="24" customHeight="1" x14ac:dyDescent="0.2">
      <c r="A80" s="513">
        <v>2922</v>
      </c>
      <c r="B80" s="494" t="s">
        <v>1315</v>
      </c>
      <c r="C80" s="495">
        <f t="shared" si="12"/>
        <v>124911.91</v>
      </c>
      <c r="D80" s="495">
        <v>0</v>
      </c>
      <c r="E80" s="495">
        <v>9002.1</v>
      </c>
      <c r="F80" s="495">
        <v>1.18</v>
      </c>
      <c r="G80" s="495">
        <v>532.07000000000005</v>
      </c>
      <c r="H80" s="495">
        <v>54166.46</v>
      </c>
      <c r="I80" s="495">
        <v>56988.7</v>
      </c>
      <c r="J80" s="495">
        <v>4205.93</v>
      </c>
      <c r="K80" s="500">
        <v>15.47</v>
      </c>
      <c r="L80" s="495">
        <v>0</v>
      </c>
      <c r="M80" s="498" t="s">
        <v>1316</v>
      </c>
    </row>
    <row r="81" spans="1:13" ht="12.75" customHeight="1" x14ac:dyDescent="0.2">
      <c r="A81" s="513">
        <v>2991</v>
      </c>
      <c r="B81" s="494" t="s">
        <v>1317</v>
      </c>
      <c r="C81" s="495">
        <f t="shared" si="12"/>
        <v>32947.304010000007</v>
      </c>
      <c r="D81" s="495">
        <v>0</v>
      </c>
      <c r="E81" s="495">
        <v>0</v>
      </c>
      <c r="F81" s="495">
        <v>0</v>
      </c>
      <c r="G81" s="495">
        <v>0</v>
      </c>
      <c r="H81" s="495">
        <v>0</v>
      </c>
      <c r="I81" s="495">
        <v>0</v>
      </c>
      <c r="J81" s="495">
        <v>539.66</v>
      </c>
      <c r="K81" s="500">
        <v>32374.314010000002</v>
      </c>
      <c r="L81" s="495">
        <v>33.33</v>
      </c>
      <c r="M81" s="498">
        <v>90</v>
      </c>
    </row>
    <row r="82" spans="1:13" ht="12.75" customHeight="1" x14ac:dyDescent="0.2">
      <c r="A82" s="513">
        <v>3058</v>
      </c>
      <c r="B82" s="494" t="s">
        <v>1318</v>
      </c>
      <c r="C82" s="495">
        <f t="shared" si="12"/>
        <v>381.72415999999998</v>
      </c>
      <c r="D82" s="495">
        <v>0</v>
      </c>
      <c r="E82" s="495">
        <v>0</v>
      </c>
      <c r="F82" s="495">
        <v>0</v>
      </c>
      <c r="G82" s="495">
        <v>0</v>
      </c>
      <c r="H82" s="495">
        <v>0</v>
      </c>
      <c r="I82" s="495">
        <v>0.32</v>
      </c>
      <c r="J82" s="495">
        <v>272.93362000000002</v>
      </c>
      <c r="K82" s="500">
        <v>77.97054</v>
      </c>
      <c r="L82" s="495">
        <v>30.5</v>
      </c>
      <c r="M82" s="498">
        <v>100</v>
      </c>
    </row>
    <row r="83" spans="1:13" ht="12.75" customHeight="1" x14ac:dyDescent="0.2">
      <c r="A83" s="513">
        <v>3059</v>
      </c>
      <c r="B83" s="494" t="s">
        <v>1319</v>
      </c>
      <c r="C83" s="495">
        <f t="shared" si="12"/>
        <v>525.97940000000017</v>
      </c>
      <c r="D83" s="495">
        <v>0</v>
      </c>
      <c r="E83" s="495">
        <v>0</v>
      </c>
      <c r="F83" s="495">
        <v>0</v>
      </c>
      <c r="G83" s="495">
        <v>0</v>
      </c>
      <c r="H83" s="495">
        <v>0</v>
      </c>
      <c r="I83" s="495">
        <v>53.122459999999997</v>
      </c>
      <c r="J83" s="495">
        <v>213.18694000000002</v>
      </c>
      <c r="K83" s="500">
        <v>259.67000000000007</v>
      </c>
      <c r="L83" s="495">
        <v>0</v>
      </c>
      <c r="M83" s="498">
        <v>100</v>
      </c>
    </row>
    <row r="84" spans="1:13" ht="24" customHeight="1" x14ac:dyDescent="0.2">
      <c r="A84" s="513">
        <v>2857</v>
      </c>
      <c r="B84" s="494" t="s">
        <v>1320</v>
      </c>
      <c r="C84" s="495">
        <f t="shared" si="12"/>
        <v>113399.40843</v>
      </c>
      <c r="D84" s="495">
        <v>0</v>
      </c>
      <c r="E84" s="495">
        <v>0</v>
      </c>
      <c r="F84" s="495">
        <v>0</v>
      </c>
      <c r="G84" s="495">
        <v>0</v>
      </c>
      <c r="H84" s="495">
        <v>22184.182000000001</v>
      </c>
      <c r="I84" s="495">
        <v>39326.890299999992</v>
      </c>
      <c r="J84" s="495">
        <v>39615.511250000003</v>
      </c>
      <c r="K84" s="500">
        <v>12272.82488</v>
      </c>
      <c r="L84" s="495">
        <v>0</v>
      </c>
      <c r="M84" s="498">
        <v>100</v>
      </c>
    </row>
    <row r="85" spans="1:13" x14ac:dyDescent="0.2">
      <c r="A85" s="513">
        <v>2838</v>
      </c>
      <c r="B85" s="494" t="s">
        <v>1321</v>
      </c>
      <c r="C85" s="495">
        <f t="shared" si="12"/>
        <v>196824.36711000002</v>
      </c>
      <c r="D85" s="495">
        <v>0</v>
      </c>
      <c r="E85" s="495">
        <v>36840.410000000003</v>
      </c>
      <c r="F85" s="495">
        <v>42449.59</v>
      </c>
      <c r="G85" s="495">
        <v>68817.440000000002</v>
      </c>
      <c r="H85" s="495">
        <v>38116.895220000006</v>
      </c>
      <c r="I85" s="495">
        <v>10549.064890000001</v>
      </c>
      <c r="J85" s="495">
        <v>9.6199999999999992</v>
      </c>
      <c r="K85" s="500">
        <v>41.347000000000001</v>
      </c>
      <c r="L85" s="495">
        <v>0</v>
      </c>
      <c r="M85" s="498">
        <v>100</v>
      </c>
    </row>
    <row r="86" spans="1:13" x14ac:dyDescent="0.2">
      <c r="A86" s="513">
        <v>2851</v>
      </c>
      <c r="B86" s="494" t="s">
        <v>1322</v>
      </c>
      <c r="C86" s="495">
        <f t="shared" si="12"/>
        <v>429686.70716000011</v>
      </c>
      <c r="D86" s="495">
        <v>0</v>
      </c>
      <c r="E86" s="495">
        <v>0</v>
      </c>
      <c r="F86" s="495">
        <v>32861.279999999999</v>
      </c>
      <c r="G86" s="495">
        <v>75076.47</v>
      </c>
      <c r="H86" s="495">
        <v>100053.21</v>
      </c>
      <c r="I86" s="495">
        <v>111890.13704000003</v>
      </c>
      <c r="J86" s="495">
        <v>76848.856130000058</v>
      </c>
      <c r="K86" s="500">
        <v>32109.85399</v>
      </c>
      <c r="L86" s="495">
        <v>846.9</v>
      </c>
      <c r="M86" s="498">
        <v>100</v>
      </c>
    </row>
    <row r="87" spans="1:13" ht="24" customHeight="1" x14ac:dyDescent="0.2">
      <c r="A87" s="513">
        <v>2856</v>
      </c>
      <c r="B87" s="494" t="s">
        <v>1323</v>
      </c>
      <c r="C87" s="495">
        <f t="shared" si="12"/>
        <v>96936.850289999988</v>
      </c>
      <c r="D87" s="495">
        <v>0</v>
      </c>
      <c r="E87" s="495">
        <v>0</v>
      </c>
      <c r="F87" s="495">
        <v>0</v>
      </c>
      <c r="G87" s="495">
        <v>0</v>
      </c>
      <c r="H87" s="495">
        <v>23811.954409999998</v>
      </c>
      <c r="I87" s="495">
        <v>29394.209169999998</v>
      </c>
      <c r="J87" s="495">
        <v>34070.905599999991</v>
      </c>
      <c r="K87" s="500">
        <v>9659.7811100000017</v>
      </c>
      <c r="L87" s="495">
        <v>0</v>
      </c>
      <c r="M87" s="498">
        <v>100</v>
      </c>
    </row>
    <row r="88" spans="1:13" x14ac:dyDescent="0.2">
      <c r="A88" s="513">
        <v>2855</v>
      </c>
      <c r="B88" s="494" t="s">
        <v>1324</v>
      </c>
      <c r="C88" s="495">
        <f t="shared" si="12"/>
        <v>299565.47565999982</v>
      </c>
      <c r="D88" s="495">
        <v>0</v>
      </c>
      <c r="E88" s="495">
        <v>0</v>
      </c>
      <c r="F88" s="495">
        <v>0</v>
      </c>
      <c r="G88" s="495">
        <v>0</v>
      </c>
      <c r="H88" s="495">
        <v>83731.648019999964</v>
      </c>
      <c r="I88" s="495">
        <v>107588.20930999995</v>
      </c>
      <c r="J88" s="495">
        <v>84165.178660000005</v>
      </c>
      <c r="K88" s="500">
        <v>23909.279669999989</v>
      </c>
      <c r="L88" s="495">
        <v>171.16</v>
      </c>
      <c r="M88" s="498">
        <v>100</v>
      </c>
    </row>
    <row r="89" spans="1:13" ht="21" x14ac:dyDescent="0.2">
      <c r="A89" s="513">
        <v>3002</v>
      </c>
      <c r="B89" s="494" t="s">
        <v>1325</v>
      </c>
      <c r="C89" s="495">
        <f t="shared" si="12"/>
        <v>5028.0355300000001</v>
      </c>
      <c r="D89" s="495">
        <v>0</v>
      </c>
      <c r="E89" s="495">
        <v>0</v>
      </c>
      <c r="F89" s="495">
        <v>0</v>
      </c>
      <c r="G89" s="495">
        <v>0</v>
      </c>
      <c r="H89" s="495">
        <v>0</v>
      </c>
      <c r="I89" s="495">
        <v>0</v>
      </c>
      <c r="J89" s="495">
        <f>3656.11257+232.063</f>
        <v>3888.1755699999999</v>
      </c>
      <c r="K89" s="500">
        <v>1106.5599599999998</v>
      </c>
      <c r="L89" s="495">
        <v>33.299999999999997</v>
      </c>
      <c r="M89" s="498">
        <v>90</v>
      </c>
    </row>
    <row r="90" spans="1:13" ht="26.25" customHeight="1" x14ac:dyDescent="0.2">
      <c r="A90" s="513">
        <v>3001</v>
      </c>
      <c r="B90" s="494" t="s">
        <v>1326</v>
      </c>
      <c r="C90" s="495">
        <f t="shared" si="12"/>
        <v>13439.229530000001</v>
      </c>
      <c r="D90" s="495">
        <v>0</v>
      </c>
      <c r="E90" s="495">
        <v>0</v>
      </c>
      <c r="F90" s="495">
        <v>0</v>
      </c>
      <c r="G90" s="495">
        <v>0</v>
      </c>
      <c r="H90" s="495">
        <v>0</v>
      </c>
      <c r="I90" s="495">
        <v>0</v>
      </c>
      <c r="J90" s="495">
        <v>403.88299999999998</v>
      </c>
      <c r="K90" s="500">
        <v>13002.046530000001</v>
      </c>
      <c r="L90" s="495">
        <v>33.299999999999997</v>
      </c>
      <c r="M90" s="498">
        <v>90</v>
      </c>
    </row>
    <row r="91" spans="1:13" ht="12.75" customHeight="1" x14ac:dyDescent="0.2">
      <c r="A91" s="513">
        <v>2710</v>
      </c>
      <c r="B91" s="494" t="s">
        <v>1327</v>
      </c>
      <c r="C91" s="495">
        <f t="shared" si="12"/>
        <v>9621.6279999999988</v>
      </c>
      <c r="D91" s="495">
        <v>0</v>
      </c>
      <c r="E91" s="495">
        <v>0</v>
      </c>
      <c r="F91" s="495">
        <v>0</v>
      </c>
      <c r="G91" s="495">
        <v>0</v>
      </c>
      <c r="H91" s="495">
        <v>0</v>
      </c>
      <c r="I91" s="495">
        <v>0</v>
      </c>
      <c r="J91" s="495">
        <v>157.65700000000001</v>
      </c>
      <c r="K91" s="500">
        <v>9463.9709999999995</v>
      </c>
      <c r="L91" s="495">
        <v>0</v>
      </c>
      <c r="M91" s="498">
        <v>100</v>
      </c>
    </row>
    <row r="92" spans="1:13" ht="12.75" customHeight="1" x14ac:dyDescent="0.2">
      <c r="A92" s="513">
        <v>2847</v>
      </c>
      <c r="B92" s="494" t="s">
        <v>1329</v>
      </c>
      <c r="C92" s="495">
        <f t="shared" si="12"/>
        <v>2123.1334699999998</v>
      </c>
      <c r="D92" s="495">
        <v>0</v>
      </c>
      <c r="E92" s="495">
        <v>0</v>
      </c>
      <c r="F92" s="495">
        <v>0</v>
      </c>
      <c r="G92" s="495">
        <v>0</v>
      </c>
      <c r="H92" s="495">
        <v>0</v>
      </c>
      <c r="I92" s="495">
        <v>0</v>
      </c>
      <c r="J92" s="495">
        <v>1171.68361</v>
      </c>
      <c r="K92" s="500">
        <v>951.44985999999994</v>
      </c>
      <c r="L92" s="495">
        <v>0</v>
      </c>
      <c r="M92" s="498">
        <v>100</v>
      </c>
    </row>
    <row r="93" spans="1:13" x14ac:dyDescent="0.2">
      <c r="A93" s="513">
        <v>2715</v>
      </c>
      <c r="B93" s="494" t="s">
        <v>1330</v>
      </c>
      <c r="C93" s="495">
        <f t="shared" si="12"/>
        <v>6960.6596000000027</v>
      </c>
      <c r="D93" s="495">
        <v>0</v>
      </c>
      <c r="E93" s="495">
        <v>0</v>
      </c>
      <c r="F93" s="495">
        <v>0</v>
      </c>
      <c r="G93" s="495">
        <v>0</v>
      </c>
      <c r="H93" s="495">
        <v>0</v>
      </c>
      <c r="I93" s="495">
        <v>111.02</v>
      </c>
      <c r="J93" s="495">
        <v>6596.1536000000024</v>
      </c>
      <c r="K93" s="500">
        <v>253.48599999999999</v>
      </c>
      <c r="L93" s="495">
        <v>0</v>
      </c>
      <c r="M93" s="498">
        <v>85</v>
      </c>
    </row>
    <row r="94" spans="1:13" ht="24" customHeight="1" x14ac:dyDescent="0.2">
      <c r="A94" s="513">
        <v>2533</v>
      </c>
      <c r="B94" s="494" t="s">
        <v>1331</v>
      </c>
      <c r="C94" s="495">
        <f t="shared" si="12"/>
        <v>9131.9067900000009</v>
      </c>
      <c r="D94" s="495">
        <v>0</v>
      </c>
      <c r="E94" s="495">
        <v>0</v>
      </c>
      <c r="F94" s="495">
        <v>0</v>
      </c>
      <c r="G94" s="495">
        <v>0</v>
      </c>
      <c r="H94" s="495">
        <v>0</v>
      </c>
      <c r="I94" s="495">
        <v>0</v>
      </c>
      <c r="J94" s="495">
        <v>190.54499999999999</v>
      </c>
      <c r="K94" s="500">
        <v>8941.3617900000008</v>
      </c>
      <c r="L94" s="495">
        <v>0</v>
      </c>
      <c r="M94" s="498">
        <v>100</v>
      </c>
    </row>
    <row r="95" spans="1:13" ht="12.75" customHeight="1" x14ac:dyDescent="0.2">
      <c r="A95" s="513">
        <v>2716</v>
      </c>
      <c r="B95" s="494" t="s">
        <v>1332</v>
      </c>
      <c r="C95" s="495">
        <f t="shared" si="12"/>
        <v>9112.9643000000015</v>
      </c>
      <c r="D95" s="495">
        <v>0</v>
      </c>
      <c r="E95" s="495">
        <v>0</v>
      </c>
      <c r="F95" s="495">
        <v>0</v>
      </c>
      <c r="G95" s="495">
        <v>0</v>
      </c>
      <c r="H95" s="495">
        <v>0</v>
      </c>
      <c r="I95" s="495">
        <v>22.41</v>
      </c>
      <c r="J95" s="495">
        <v>133.76300000000001</v>
      </c>
      <c r="K95" s="500">
        <v>8956.7913000000008</v>
      </c>
      <c r="L95" s="495">
        <v>0</v>
      </c>
      <c r="M95" s="498">
        <v>85</v>
      </c>
    </row>
    <row r="96" spans="1:13" ht="12.75" customHeight="1" x14ac:dyDescent="0.2">
      <c r="A96" s="513">
        <v>2712</v>
      </c>
      <c r="B96" s="494" t="s">
        <v>1333</v>
      </c>
      <c r="C96" s="495">
        <f t="shared" si="12"/>
        <v>17559.832549999999</v>
      </c>
      <c r="D96" s="495">
        <v>0</v>
      </c>
      <c r="E96" s="495">
        <v>0</v>
      </c>
      <c r="F96" s="495">
        <v>0</v>
      </c>
      <c r="G96" s="495">
        <v>0</v>
      </c>
      <c r="H96" s="495">
        <v>156.78199999999998</v>
      </c>
      <c r="I96" s="495">
        <v>368.18337000000002</v>
      </c>
      <c r="J96" s="495">
        <v>8546.3929900000003</v>
      </c>
      <c r="K96" s="500">
        <v>8488.474189999999</v>
      </c>
      <c r="L96" s="495">
        <v>0</v>
      </c>
      <c r="M96" s="498">
        <v>85</v>
      </c>
    </row>
    <row r="97" spans="1:13" ht="24" customHeight="1" x14ac:dyDescent="0.2">
      <c r="A97" s="513">
        <v>2513</v>
      </c>
      <c r="B97" s="494" t="s">
        <v>1334</v>
      </c>
      <c r="C97" s="495">
        <f t="shared" si="12"/>
        <v>53268.542650000003</v>
      </c>
      <c r="D97" s="495">
        <v>0</v>
      </c>
      <c r="E97" s="495">
        <v>121.91</v>
      </c>
      <c r="F97" s="495">
        <v>31.55</v>
      </c>
      <c r="G97" s="495">
        <v>294.45999999999998</v>
      </c>
      <c r="H97" s="495">
        <v>10.074</v>
      </c>
      <c r="I97" s="495">
        <v>4912.4399999999996</v>
      </c>
      <c r="J97" s="495">
        <v>4087.1564200000003</v>
      </c>
      <c r="K97" s="500">
        <v>43810.952230000003</v>
      </c>
      <c r="L97" s="495">
        <v>0</v>
      </c>
      <c r="M97" s="498">
        <v>85</v>
      </c>
    </row>
    <row r="98" spans="1:13" ht="24" customHeight="1" x14ac:dyDescent="0.2">
      <c r="A98" s="513">
        <v>2517</v>
      </c>
      <c r="B98" s="494" t="s">
        <v>1335</v>
      </c>
      <c r="C98" s="495">
        <f t="shared" si="12"/>
        <v>40108.289560000005</v>
      </c>
      <c r="D98" s="495">
        <v>0</v>
      </c>
      <c r="E98" s="495">
        <v>0</v>
      </c>
      <c r="F98" s="495">
        <v>85.64</v>
      </c>
      <c r="G98" s="495">
        <v>843.86</v>
      </c>
      <c r="H98" s="495">
        <v>24.907999999999998</v>
      </c>
      <c r="I98" s="495">
        <v>10684.8</v>
      </c>
      <c r="J98" s="495">
        <v>2805.7591400000001</v>
      </c>
      <c r="K98" s="500">
        <v>25663.322420000004</v>
      </c>
      <c r="L98" s="495">
        <v>0</v>
      </c>
      <c r="M98" s="498">
        <v>85</v>
      </c>
    </row>
    <row r="99" spans="1:13" ht="24" customHeight="1" x14ac:dyDescent="0.2">
      <c r="A99" s="513">
        <v>2518</v>
      </c>
      <c r="B99" s="494" t="s">
        <v>1336</v>
      </c>
      <c r="C99" s="495">
        <f t="shared" si="12"/>
        <v>63965.995050000005</v>
      </c>
      <c r="D99" s="495">
        <v>0</v>
      </c>
      <c r="E99" s="495">
        <v>0</v>
      </c>
      <c r="F99" s="495">
        <v>0</v>
      </c>
      <c r="G99" s="495">
        <v>0</v>
      </c>
      <c r="H99" s="495">
        <v>326.79000000000002</v>
      </c>
      <c r="I99" s="495">
        <v>850.77</v>
      </c>
      <c r="J99" s="495">
        <v>4622.2267999999995</v>
      </c>
      <c r="K99" s="500">
        <v>57117.618250000007</v>
      </c>
      <c r="L99" s="495">
        <v>1048.5899999999999</v>
      </c>
      <c r="M99" s="498">
        <v>85</v>
      </c>
    </row>
    <row r="100" spans="1:13" x14ac:dyDescent="0.2">
      <c r="A100" s="513">
        <v>3060</v>
      </c>
      <c r="B100" s="494" t="s">
        <v>1337</v>
      </c>
      <c r="C100" s="495">
        <f t="shared" si="12"/>
        <v>1494.1522199999999</v>
      </c>
      <c r="D100" s="495">
        <v>0</v>
      </c>
      <c r="E100" s="495">
        <v>0</v>
      </c>
      <c r="F100" s="495">
        <v>0</v>
      </c>
      <c r="G100" s="495">
        <v>0</v>
      </c>
      <c r="H100" s="495">
        <v>0</v>
      </c>
      <c r="I100" s="495">
        <v>0</v>
      </c>
      <c r="J100" s="495">
        <v>737.97941999999989</v>
      </c>
      <c r="K100" s="500">
        <v>756.17280000000017</v>
      </c>
      <c r="L100" s="495">
        <v>0</v>
      </c>
      <c r="M100" s="498">
        <v>75</v>
      </c>
    </row>
    <row r="101" spans="1:13" x14ac:dyDescent="0.2">
      <c r="A101" s="513">
        <v>2750</v>
      </c>
      <c r="B101" s="494" t="s">
        <v>1338</v>
      </c>
      <c r="C101" s="495">
        <f t="shared" si="12"/>
        <v>20705.057700000001</v>
      </c>
      <c r="D101" s="495">
        <v>0</v>
      </c>
      <c r="E101" s="495">
        <v>0</v>
      </c>
      <c r="F101" s="495">
        <v>0</v>
      </c>
      <c r="G101" s="495">
        <v>0</v>
      </c>
      <c r="H101" s="495">
        <v>139.54399999999998</v>
      </c>
      <c r="I101" s="495">
        <v>122.46</v>
      </c>
      <c r="J101" s="495">
        <v>4051.0730800000001</v>
      </c>
      <c r="K101" s="500">
        <v>16391.980620000002</v>
      </c>
      <c r="L101" s="495">
        <v>0</v>
      </c>
      <c r="M101" s="498">
        <v>85</v>
      </c>
    </row>
    <row r="102" spans="1:13" ht="24" customHeight="1" x14ac:dyDescent="0.2">
      <c r="A102" s="513">
        <v>2863</v>
      </c>
      <c r="B102" s="494" t="s">
        <v>1339</v>
      </c>
      <c r="C102" s="495">
        <f t="shared" si="12"/>
        <v>198308.96072000003</v>
      </c>
      <c r="D102" s="495">
        <v>0</v>
      </c>
      <c r="E102" s="495">
        <v>0</v>
      </c>
      <c r="F102" s="495">
        <v>0</v>
      </c>
      <c r="G102" s="495">
        <v>0</v>
      </c>
      <c r="H102" s="495">
        <v>0</v>
      </c>
      <c r="I102" s="495">
        <v>27126.91476</v>
      </c>
      <c r="J102" s="495">
        <v>135464.34596000001</v>
      </c>
      <c r="K102" s="500">
        <v>34197.699999999997</v>
      </c>
      <c r="L102" s="495">
        <v>1520</v>
      </c>
      <c r="M102" s="498">
        <v>100</v>
      </c>
    </row>
    <row r="103" spans="1:13" x14ac:dyDescent="0.2">
      <c r="A103" s="513">
        <v>2748</v>
      </c>
      <c r="B103" s="494" t="s">
        <v>1340</v>
      </c>
      <c r="C103" s="495">
        <f t="shared" si="12"/>
        <v>10324.910550000001</v>
      </c>
      <c r="D103" s="495">
        <v>0</v>
      </c>
      <c r="E103" s="495">
        <v>0</v>
      </c>
      <c r="F103" s="495">
        <v>0</v>
      </c>
      <c r="G103" s="495">
        <v>103.17</v>
      </c>
      <c r="H103" s="495">
        <v>106.824</v>
      </c>
      <c r="I103" s="495">
        <v>2366.1465900000003</v>
      </c>
      <c r="J103" s="495">
        <v>266.90897000000001</v>
      </c>
      <c r="K103" s="500">
        <v>7481.860990000001</v>
      </c>
      <c r="L103" s="495">
        <v>0</v>
      </c>
      <c r="M103" s="498">
        <v>85</v>
      </c>
    </row>
    <row r="104" spans="1:13" x14ac:dyDescent="0.2">
      <c r="A104" s="513">
        <v>2717</v>
      </c>
      <c r="B104" s="494" t="s">
        <v>1341</v>
      </c>
      <c r="C104" s="495">
        <f t="shared" si="12"/>
        <v>38439.417959999999</v>
      </c>
      <c r="D104" s="495">
        <v>0</v>
      </c>
      <c r="E104" s="495">
        <v>0</v>
      </c>
      <c r="F104" s="495">
        <v>0</v>
      </c>
      <c r="G104" s="495">
        <v>0</v>
      </c>
      <c r="H104" s="495">
        <v>0</v>
      </c>
      <c r="I104" s="495">
        <v>19.11</v>
      </c>
      <c r="J104" s="495">
        <v>194.55200000000002</v>
      </c>
      <c r="K104" s="500">
        <v>38225.755960000002</v>
      </c>
      <c r="L104" s="495">
        <v>0</v>
      </c>
      <c r="M104" s="498">
        <v>100</v>
      </c>
    </row>
    <row r="105" spans="1:13" x14ac:dyDescent="0.2">
      <c r="A105" s="513">
        <v>3121</v>
      </c>
      <c r="B105" s="494" t="s">
        <v>1342</v>
      </c>
      <c r="C105" s="495">
        <f t="shared" si="12"/>
        <v>329.95892000000003</v>
      </c>
      <c r="D105" s="495">
        <v>0</v>
      </c>
      <c r="E105" s="495">
        <v>0</v>
      </c>
      <c r="F105" s="495">
        <v>0</v>
      </c>
      <c r="G105" s="495">
        <v>0</v>
      </c>
      <c r="H105" s="495">
        <v>0</v>
      </c>
      <c r="I105" s="495">
        <v>128.41</v>
      </c>
      <c r="J105" s="495">
        <v>98.06429</v>
      </c>
      <c r="K105" s="500">
        <v>103.48463000000001</v>
      </c>
      <c r="L105" s="495">
        <v>0</v>
      </c>
      <c r="M105" s="498">
        <v>100</v>
      </c>
    </row>
    <row r="106" spans="1:13" x14ac:dyDescent="0.2">
      <c r="A106" s="513">
        <v>2718</v>
      </c>
      <c r="B106" s="494" t="s">
        <v>1343</v>
      </c>
      <c r="C106" s="495">
        <f t="shared" si="12"/>
        <v>9619.6044499999989</v>
      </c>
      <c r="D106" s="495">
        <v>0</v>
      </c>
      <c r="E106" s="495">
        <v>0</v>
      </c>
      <c r="F106" s="495">
        <v>0</v>
      </c>
      <c r="G106" s="495">
        <v>0</v>
      </c>
      <c r="H106" s="495">
        <v>0</v>
      </c>
      <c r="I106" s="495">
        <v>25.67</v>
      </c>
      <c r="J106" s="495">
        <v>270.02846</v>
      </c>
      <c r="K106" s="500">
        <v>9323.9059899999993</v>
      </c>
      <c r="L106" s="495">
        <v>0</v>
      </c>
      <c r="M106" s="498">
        <v>100</v>
      </c>
    </row>
    <row r="107" spans="1:13" x14ac:dyDescent="0.2">
      <c r="A107" s="513">
        <v>2708</v>
      </c>
      <c r="B107" s="494" t="s">
        <v>1344</v>
      </c>
      <c r="C107" s="495">
        <f t="shared" si="12"/>
        <v>9606.0455199999997</v>
      </c>
      <c r="D107" s="495">
        <v>0</v>
      </c>
      <c r="E107" s="495">
        <v>0</v>
      </c>
      <c r="F107" s="495">
        <v>0</v>
      </c>
      <c r="G107" s="495">
        <v>0</v>
      </c>
      <c r="H107" s="495">
        <v>0</v>
      </c>
      <c r="I107" s="495">
        <v>0</v>
      </c>
      <c r="J107" s="495">
        <v>206.256</v>
      </c>
      <c r="K107" s="500">
        <v>9399.7895200000003</v>
      </c>
      <c r="L107" s="495">
        <v>0</v>
      </c>
      <c r="M107" s="498">
        <v>100</v>
      </c>
    </row>
    <row r="108" spans="1:13" ht="21" x14ac:dyDescent="0.2">
      <c r="A108" s="513">
        <v>2534</v>
      </c>
      <c r="B108" s="494" t="s">
        <v>1345</v>
      </c>
      <c r="C108" s="495">
        <f t="shared" si="12"/>
        <v>9979.7455000000045</v>
      </c>
      <c r="D108" s="495">
        <v>0</v>
      </c>
      <c r="E108" s="495">
        <v>0</v>
      </c>
      <c r="F108" s="495">
        <v>0</v>
      </c>
      <c r="G108" s="495">
        <v>0</v>
      </c>
      <c r="H108" s="495">
        <v>0</v>
      </c>
      <c r="I108" s="495">
        <v>0</v>
      </c>
      <c r="J108" s="495">
        <v>222.70600000000002</v>
      </c>
      <c r="K108" s="500">
        <v>9757.0395000000044</v>
      </c>
      <c r="L108" s="495">
        <v>0</v>
      </c>
      <c r="M108" s="498">
        <v>85</v>
      </c>
    </row>
    <row r="109" spans="1:13" ht="24" customHeight="1" x14ac:dyDescent="0.2">
      <c r="A109" s="513">
        <v>3012</v>
      </c>
      <c r="B109" s="494" t="s">
        <v>1346</v>
      </c>
      <c r="C109" s="495">
        <f t="shared" si="12"/>
        <v>5878.7719999999999</v>
      </c>
      <c r="D109" s="495">
        <v>0</v>
      </c>
      <c r="E109" s="495">
        <v>0</v>
      </c>
      <c r="F109" s="495">
        <v>0</v>
      </c>
      <c r="G109" s="495">
        <v>0</v>
      </c>
      <c r="H109" s="495">
        <v>0</v>
      </c>
      <c r="I109" s="495">
        <v>0</v>
      </c>
      <c r="J109" s="495">
        <f>4252.34+301.425</f>
        <v>4553.7650000000003</v>
      </c>
      <c r="K109" s="500">
        <v>1291.627</v>
      </c>
      <c r="L109" s="495">
        <v>33.380000000000003</v>
      </c>
      <c r="M109" s="498">
        <v>100</v>
      </c>
    </row>
    <row r="110" spans="1:13" ht="34.5" customHeight="1" x14ac:dyDescent="0.2">
      <c r="A110" s="513">
        <v>2859</v>
      </c>
      <c r="B110" s="494" t="s">
        <v>1347</v>
      </c>
      <c r="C110" s="495">
        <f t="shared" si="12"/>
        <v>33144.815300000002</v>
      </c>
      <c r="D110" s="495">
        <v>0</v>
      </c>
      <c r="E110" s="495">
        <v>0</v>
      </c>
      <c r="F110" s="495">
        <v>0</v>
      </c>
      <c r="G110" s="495">
        <v>0</v>
      </c>
      <c r="H110" s="495">
        <v>6805.6839999999993</v>
      </c>
      <c r="I110" s="495">
        <v>10526.092800000002</v>
      </c>
      <c r="J110" s="495">
        <v>7290.4059999999999</v>
      </c>
      <c r="K110" s="500">
        <v>5919.0424999999996</v>
      </c>
      <c r="L110" s="495">
        <v>2603.59</v>
      </c>
      <c r="M110" s="498">
        <v>100</v>
      </c>
    </row>
    <row r="111" spans="1:13" ht="34.5" customHeight="1" x14ac:dyDescent="0.2">
      <c r="A111" s="513">
        <v>2862</v>
      </c>
      <c r="B111" s="494" t="s">
        <v>1348</v>
      </c>
      <c r="C111" s="495">
        <f t="shared" si="12"/>
        <v>344.51300000000003</v>
      </c>
      <c r="D111" s="495">
        <v>0</v>
      </c>
      <c r="E111" s="495">
        <v>0</v>
      </c>
      <c r="F111" s="495">
        <v>0</v>
      </c>
      <c r="G111" s="495">
        <v>0</v>
      </c>
      <c r="H111" s="495">
        <v>42.078000000000003</v>
      </c>
      <c r="I111" s="495">
        <v>16.997</v>
      </c>
      <c r="J111" s="495">
        <v>38.897999999999996</v>
      </c>
      <c r="K111" s="500">
        <v>228.69</v>
      </c>
      <c r="L111" s="495">
        <v>17.850000000000001</v>
      </c>
      <c r="M111" s="498">
        <v>100</v>
      </c>
    </row>
    <row r="112" spans="1:13" ht="24" customHeight="1" x14ac:dyDescent="0.2">
      <c r="A112" s="513">
        <v>2860</v>
      </c>
      <c r="B112" s="494" t="s">
        <v>1349</v>
      </c>
      <c r="C112" s="495">
        <f t="shared" si="12"/>
        <v>475.56610000000001</v>
      </c>
      <c r="D112" s="495">
        <v>0</v>
      </c>
      <c r="E112" s="495">
        <v>0</v>
      </c>
      <c r="F112" s="495">
        <v>0</v>
      </c>
      <c r="G112" s="495">
        <v>0</v>
      </c>
      <c r="H112" s="495">
        <v>69.317099999999996</v>
      </c>
      <c r="I112" s="495">
        <v>0</v>
      </c>
      <c r="J112" s="495">
        <v>154.74699999999999</v>
      </c>
      <c r="K112" s="500">
        <v>151.71199999999999</v>
      </c>
      <c r="L112" s="495">
        <v>99.79</v>
      </c>
      <c r="M112" s="498">
        <v>100</v>
      </c>
    </row>
    <row r="113" spans="1:13" ht="24" customHeight="1" x14ac:dyDescent="0.2">
      <c r="A113" s="513">
        <v>3056</v>
      </c>
      <c r="B113" s="494" t="s">
        <v>1350</v>
      </c>
      <c r="C113" s="495">
        <f t="shared" si="12"/>
        <v>380.75585999999998</v>
      </c>
      <c r="D113" s="495">
        <v>0</v>
      </c>
      <c r="E113" s="495">
        <v>0</v>
      </c>
      <c r="F113" s="495">
        <v>0</v>
      </c>
      <c r="G113" s="495">
        <v>0</v>
      </c>
      <c r="H113" s="495">
        <v>0</v>
      </c>
      <c r="I113" s="495">
        <v>36.96</v>
      </c>
      <c r="J113" s="495">
        <v>223.97649000000001</v>
      </c>
      <c r="K113" s="500">
        <v>119.81936999999999</v>
      </c>
      <c r="L113" s="495">
        <v>0</v>
      </c>
      <c r="M113" s="498">
        <v>100</v>
      </c>
    </row>
    <row r="114" spans="1:13" ht="24" customHeight="1" x14ac:dyDescent="0.2">
      <c r="A114" s="513">
        <v>2719</v>
      </c>
      <c r="B114" s="494" t="s">
        <v>1351</v>
      </c>
      <c r="C114" s="495">
        <f t="shared" si="12"/>
        <v>11404.50857</v>
      </c>
      <c r="D114" s="495">
        <v>0</v>
      </c>
      <c r="E114" s="495">
        <v>0</v>
      </c>
      <c r="F114" s="495">
        <v>0</v>
      </c>
      <c r="G114" s="495">
        <v>0</v>
      </c>
      <c r="H114" s="495">
        <v>0</v>
      </c>
      <c r="I114" s="495">
        <v>0</v>
      </c>
      <c r="J114" s="495">
        <v>202.779</v>
      </c>
      <c r="K114" s="500">
        <v>11196.72957</v>
      </c>
      <c r="L114" s="495">
        <v>5</v>
      </c>
      <c r="M114" s="498">
        <v>100</v>
      </c>
    </row>
    <row r="115" spans="1:13" x14ac:dyDescent="0.2">
      <c r="A115" s="513">
        <v>2532</v>
      </c>
      <c r="B115" s="494" t="s">
        <v>1352</v>
      </c>
      <c r="C115" s="495">
        <f t="shared" si="12"/>
        <v>7058.1791599999997</v>
      </c>
      <c r="D115" s="495">
        <v>0</v>
      </c>
      <c r="E115" s="495">
        <v>0</v>
      </c>
      <c r="F115" s="495">
        <v>0</v>
      </c>
      <c r="G115" s="495">
        <v>0</v>
      </c>
      <c r="H115" s="495">
        <v>0</v>
      </c>
      <c r="I115" s="495">
        <v>0</v>
      </c>
      <c r="J115" s="495">
        <v>173.346</v>
      </c>
      <c r="K115" s="500">
        <v>6884.8331599999992</v>
      </c>
      <c r="L115" s="495">
        <v>0</v>
      </c>
      <c r="M115" s="498">
        <v>100</v>
      </c>
    </row>
    <row r="116" spans="1:13" s="520" customFormat="1" ht="34.5" customHeight="1" x14ac:dyDescent="0.2">
      <c r="A116" s="516">
        <v>2997</v>
      </c>
      <c r="B116" s="494" t="s">
        <v>1353</v>
      </c>
      <c r="C116" s="517">
        <f t="shared" si="12"/>
        <v>28702.431080000002</v>
      </c>
      <c r="D116" s="517">
        <v>0</v>
      </c>
      <c r="E116" s="517">
        <v>0</v>
      </c>
      <c r="F116" s="517">
        <v>0</v>
      </c>
      <c r="G116" s="517">
        <v>0</v>
      </c>
      <c r="H116" s="517">
        <v>0</v>
      </c>
      <c r="I116" s="517">
        <v>0</v>
      </c>
      <c r="J116" s="517">
        <f>193.6+403.535</f>
        <v>597.13499999999999</v>
      </c>
      <c r="K116" s="518">
        <v>28071.996080000004</v>
      </c>
      <c r="L116" s="517">
        <v>33.299999999999997</v>
      </c>
      <c r="M116" s="519">
        <v>90</v>
      </c>
    </row>
    <row r="117" spans="1:13" s="520" customFormat="1" ht="24" customHeight="1" x14ac:dyDescent="0.2">
      <c r="A117" s="516">
        <v>3008</v>
      </c>
      <c r="B117" s="494" t="s">
        <v>1354</v>
      </c>
      <c r="C117" s="517">
        <f t="shared" si="12"/>
        <v>3918.7780299999999</v>
      </c>
      <c r="D117" s="517">
        <v>0</v>
      </c>
      <c r="E117" s="517">
        <v>0</v>
      </c>
      <c r="F117" s="517">
        <v>0</v>
      </c>
      <c r="G117" s="517">
        <v>0</v>
      </c>
      <c r="H117" s="517">
        <v>0</v>
      </c>
      <c r="I117" s="517">
        <v>0</v>
      </c>
      <c r="J117" s="517">
        <f>2975.224+263.169</f>
        <v>3238.393</v>
      </c>
      <c r="K117" s="518">
        <v>647.13503000000003</v>
      </c>
      <c r="L117" s="517">
        <v>33.25</v>
      </c>
      <c r="M117" s="519">
        <v>90</v>
      </c>
    </row>
    <row r="118" spans="1:13" ht="24" customHeight="1" x14ac:dyDescent="0.2">
      <c r="A118" s="513">
        <v>3018</v>
      </c>
      <c r="B118" s="494" t="s">
        <v>1355</v>
      </c>
      <c r="C118" s="495">
        <f t="shared" si="12"/>
        <v>225258.69304000001</v>
      </c>
      <c r="D118" s="495">
        <v>0</v>
      </c>
      <c r="E118" s="495">
        <v>0</v>
      </c>
      <c r="F118" s="495">
        <v>0</v>
      </c>
      <c r="G118" s="495">
        <v>0</v>
      </c>
      <c r="H118" s="495">
        <v>0</v>
      </c>
      <c r="I118" s="495">
        <v>0</v>
      </c>
      <c r="J118" s="495">
        <v>221979</v>
      </c>
      <c r="K118" s="500">
        <v>3246.1930400000001</v>
      </c>
      <c r="L118" s="495">
        <v>33.5</v>
      </c>
      <c r="M118" s="498">
        <v>90</v>
      </c>
    </row>
    <row r="119" spans="1:13" x14ac:dyDescent="0.2">
      <c r="A119" s="513">
        <v>3003</v>
      </c>
      <c r="B119" s="494" t="s">
        <v>1356</v>
      </c>
      <c r="C119" s="495">
        <f t="shared" si="12"/>
        <v>12338.289929999999</v>
      </c>
      <c r="D119" s="495">
        <v>0</v>
      </c>
      <c r="E119" s="495">
        <v>0</v>
      </c>
      <c r="F119" s="495">
        <v>0</v>
      </c>
      <c r="G119" s="495">
        <v>0</v>
      </c>
      <c r="H119" s="495">
        <v>0</v>
      </c>
      <c r="I119" s="495">
        <v>0</v>
      </c>
      <c r="J119" s="495">
        <f>1353.57792+603.185</f>
        <v>1956.7629199999999</v>
      </c>
      <c r="K119" s="500">
        <v>10348.227010000001</v>
      </c>
      <c r="L119" s="495">
        <v>33.299999999999997</v>
      </c>
      <c r="M119" s="498">
        <v>90</v>
      </c>
    </row>
    <row r="120" spans="1:13" x14ac:dyDescent="0.2">
      <c r="A120" s="513">
        <v>3006</v>
      </c>
      <c r="B120" s="494" t="s">
        <v>1357</v>
      </c>
      <c r="C120" s="495">
        <f t="shared" si="12"/>
        <v>19826.55903</v>
      </c>
      <c r="D120" s="495"/>
      <c r="E120" s="495"/>
      <c r="F120" s="495"/>
      <c r="G120" s="495"/>
      <c r="H120" s="495"/>
      <c r="I120" s="495"/>
      <c r="J120" s="495">
        <v>459.62900000000002</v>
      </c>
      <c r="K120" s="500">
        <v>19333.63003</v>
      </c>
      <c r="L120" s="495">
        <v>33.299999999999997</v>
      </c>
      <c r="M120" s="498">
        <v>90</v>
      </c>
    </row>
    <row r="121" spans="1:13" x14ac:dyDescent="0.2">
      <c r="A121" s="513">
        <v>3005</v>
      </c>
      <c r="B121" s="494" t="s">
        <v>1358</v>
      </c>
      <c r="C121" s="495">
        <f t="shared" si="12"/>
        <v>11449.178489999998</v>
      </c>
      <c r="D121" s="495">
        <v>0</v>
      </c>
      <c r="E121" s="495">
        <v>0</v>
      </c>
      <c r="F121" s="495">
        <v>0</v>
      </c>
      <c r="G121" s="495">
        <v>0</v>
      </c>
      <c r="H121" s="495">
        <v>0</v>
      </c>
      <c r="I121" s="495">
        <v>0</v>
      </c>
      <c r="J121" s="495">
        <f>310.26966+338.679</f>
        <v>648.94866000000002</v>
      </c>
      <c r="K121" s="500">
        <v>10766.929829999999</v>
      </c>
      <c r="L121" s="495">
        <v>33.299999999999997</v>
      </c>
      <c r="M121" s="498">
        <v>90</v>
      </c>
    </row>
    <row r="122" spans="1:13" x14ac:dyDescent="0.2">
      <c r="A122" s="513">
        <v>3015</v>
      </c>
      <c r="B122" s="494" t="s">
        <v>1359</v>
      </c>
      <c r="C122" s="495">
        <f t="shared" si="12"/>
        <v>4005.56385</v>
      </c>
      <c r="D122" s="495">
        <v>0</v>
      </c>
      <c r="E122" s="495">
        <v>0</v>
      </c>
      <c r="F122" s="495">
        <v>0</v>
      </c>
      <c r="G122" s="495">
        <v>0</v>
      </c>
      <c r="H122" s="495">
        <v>0</v>
      </c>
      <c r="I122" s="495">
        <v>0</v>
      </c>
      <c r="J122" s="495">
        <f>2898.42544+220.22</f>
        <v>3118.6454399999998</v>
      </c>
      <c r="K122" s="500">
        <v>853.61840999999993</v>
      </c>
      <c r="L122" s="495">
        <v>33.299999999999997</v>
      </c>
      <c r="M122" s="498">
        <v>90</v>
      </c>
    </row>
    <row r="123" spans="1:13" x14ac:dyDescent="0.2">
      <c r="A123" s="513">
        <v>2999</v>
      </c>
      <c r="B123" s="494" t="s">
        <v>1360</v>
      </c>
      <c r="C123" s="495">
        <f t="shared" si="12"/>
        <v>23559.268870000004</v>
      </c>
      <c r="D123" s="495">
        <v>0</v>
      </c>
      <c r="E123" s="495">
        <v>0</v>
      </c>
      <c r="F123" s="495">
        <v>0</v>
      </c>
      <c r="G123" s="495">
        <v>0</v>
      </c>
      <c r="H123" s="495">
        <v>0</v>
      </c>
      <c r="I123" s="495">
        <v>0</v>
      </c>
      <c r="J123" s="495">
        <f>193.6+349.69</f>
        <v>543.29</v>
      </c>
      <c r="K123" s="500">
        <v>22982.678870000003</v>
      </c>
      <c r="L123" s="495">
        <v>33.299999999999997</v>
      </c>
      <c r="M123" s="498">
        <v>90</v>
      </c>
    </row>
    <row r="124" spans="1:13" x14ac:dyDescent="0.2">
      <c r="A124" s="513">
        <v>3007</v>
      </c>
      <c r="B124" s="494" t="s">
        <v>1361</v>
      </c>
      <c r="C124" s="495">
        <f t="shared" si="12"/>
        <v>12373.473579999998</v>
      </c>
      <c r="D124" s="495">
        <v>0</v>
      </c>
      <c r="E124" s="495">
        <v>0</v>
      </c>
      <c r="F124" s="495">
        <v>0</v>
      </c>
      <c r="G124" s="495">
        <v>0</v>
      </c>
      <c r="H124" s="495">
        <v>0</v>
      </c>
      <c r="I124" s="495">
        <v>0</v>
      </c>
      <c r="J124" s="495">
        <f>193.6+292.175</f>
        <v>485.77499999999998</v>
      </c>
      <c r="K124" s="500">
        <v>11854.398579999999</v>
      </c>
      <c r="L124" s="495">
        <v>33.299999999999997</v>
      </c>
      <c r="M124" s="498">
        <v>90</v>
      </c>
    </row>
    <row r="125" spans="1:13" x14ac:dyDescent="0.2">
      <c r="A125" s="513">
        <v>2995</v>
      </c>
      <c r="B125" s="494" t="s">
        <v>1362</v>
      </c>
      <c r="C125" s="495">
        <f t="shared" si="12"/>
        <v>5188.8942400000005</v>
      </c>
      <c r="D125" s="495">
        <v>0</v>
      </c>
      <c r="E125" s="495">
        <v>0</v>
      </c>
      <c r="F125" s="495">
        <v>0</v>
      </c>
      <c r="G125" s="495">
        <v>0</v>
      </c>
      <c r="H125" s="495">
        <v>0</v>
      </c>
      <c r="I125" s="495">
        <v>0</v>
      </c>
      <c r="J125" s="495">
        <f>1462.857+240.064</f>
        <v>1702.921</v>
      </c>
      <c r="K125" s="500">
        <v>3452.6032400000004</v>
      </c>
      <c r="L125" s="495">
        <v>33.369999999999997</v>
      </c>
      <c r="M125" s="498">
        <v>90</v>
      </c>
    </row>
    <row r="126" spans="1:13" s="520" customFormat="1" ht="24" customHeight="1" x14ac:dyDescent="0.2">
      <c r="A126" s="516">
        <v>3013</v>
      </c>
      <c r="B126" s="494" t="s">
        <v>1363</v>
      </c>
      <c r="C126" s="517">
        <f t="shared" si="12"/>
        <v>6231.5726399999994</v>
      </c>
      <c r="D126" s="517">
        <v>0</v>
      </c>
      <c r="E126" s="517">
        <v>0</v>
      </c>
      <c r="F126" s="517">
        <v>0</v>
      </c>
      <c r="G126" s="517">
        <v>0</v>
      </c>
      <c r="H126" s="517">
        <v>0</v>
      </c>
      <c r="I126" s="517">
        <v>0</v>
      </c>
      <c r="J126" s="517">
        <v>201.94900000000001</v>
      </c>
      <c r="K126" s="518">
        <v>5996.2436399999997</v>
      </c>
      <c r="L126" s="517">
        <v>33.380000000000003</v>
      </c>
      <c r="M126" s="519">
        <v>90</v>
      </c>
    </row>
    <row r="127" spans="1:13" s="520" customFormat="1" ht="24" customHeight="1" x14ac:dyDescent="0.2">
      <c r="A127" s="516">
        <v>3014</v>
      </c>
      <c r="B127" s="494" t="s">
        <v>1364</v>
      </c>
      <c r="C127" s="517">
        <f t="shared" si="12"/>
        <v>4218.9107399999994</v>
      </c>
      <c r="D127" s="517">
        <v>0</v>
      </c>
      <c r="E127" s="517">
        <v>0</v>
      </c>
      <c r="F127" s="517">
        <v>0</v>
      </c>
      <c r="G127" s="517">
        <v>0</v>
      </c>
      <c r="H127" s="517">
        <v>0</v>
      </c>
      <c r="I127" s="517">
        <v>0</v>
      </c>
      <c r="J127" s="517">
        <v>3576.7859999999996</v>
      </c>
      <c r="K127" s="518">
        <v>608.74473999999998</v>
      </c>
      <c r="L127" s="517">
        <v>33.380000000000003</v>
      </c>
      <c r="M127" s="519">
        <v>90</v>
      </c>
    </row>
    <row r="128" spans="1:13" s="520" customFormat="1" ht="24" customHeight="1" x14ac:dyDescent="0.2">
      <c r="A128" s="516">
        <v>3019</v>
      </c>
      <c r="B128" s="494" t="s">
        <v>1365</v>
      </c>
      <c r="C128" s="517">
        <f t="shared" si="12"/>
        <v>17030.479560000003</v>
      </c>
      <c r="D128" s="517">
        <v>0</v>
      </c>
      <c r="E128" s="517">
        <v>0</v>
      </c>
      <c r="F128" s="517">
        <v>0</v>
      </c>
      <c r="G128" s="517">
        <v>0</v>
      </c>
      <c r="H128" s="517">
        <v>0</v>
      </c>
      <c r="I128" s="517">
        <v>0</v>
      </c>
      <c r="J128" s="517">
        <v>582.61500000000001</v>
      </c>
      <c r="K128" s="518">
        <v>16414.614560000002</v>
      </c>
      <c r="L128" s="517">
        <v>33.25</v>
      </c>
      <c r="M128" s="519">
        <v>90</v>
      </c>
    </row>
    <row r="129" spans="1:13" ht="21" x14ac:dyDescent="0.2">
      <c r="A129" s="513">
        <v>3004</v>
      </c>
      <c r="B129" s="494" t="s">
        <v>1366</v>
      </c>
      <c r="C129" s="495">
        <f t="shared" si="12"/>
        <v>12742.692069999997</v>
      </c>
      <c r="D129" s="495">
        <v>0</v>
      </c>
      <c r="E129" s="495">
        <v>0</v>
      </c>
      <c r="F129" s="495">
        <v>0</v>
      </c>
      <c r="G129" s="495">
        <v>0</v>
      </c>
      <c r="H129" s="495">
        <v>0</v>
      </c>
      <c r="I129" s="495">
        <v>0</v>
      </c>
      <c r="J129" s="495">
        <v>266.964</v>
      </c>
      <c r="K129" s="500">
        <v>12442.428069999998</v>
      </c>
      <c r="L129" s="495">
        <v>33.299999999999997</v>
      </c>
      <c r="M129" s="498">
        <v>90</v>
      </c>
    </row>
    <row r="130" spans="1:13" x14ac:dyDescent="0.2">
      <c r="A130" s="513">
        <v>2996</v>
      </c>
      <c r="B130" s="494" t="s">
        <v>1367</v>
      </c>
      <c r="C130" s="495">
        <f t="shared" si="12"/>
        <v>48906.619829999989</v>
      </c>
      <c r="D130" s="495">
        <v>0</v>
      </c>
      <c r="E130" s="495">
        <v>0</v>
      </c>
      <c r="F130" s="495">
        <v>0</v>
      </c>
      <c r="G130" s="495">
        <v>0</v>
      </c>
      <c r="H130" s="495">
        <v>0</v>
      </c>
      <c r="I130" s="495">
        <v>0</v>
      </c>
      <c r="J130" s="495">
        <v>387.2</v>
      </c>
      <c r="K130" s="500">
        <v>48486.039829999994</v>
      </c>
      <c r="L130" s="495">
        <v>33.380000000000003</v>
      </c>
      <c r="M130" s="498">
        <v>90</v>
      </c>
    </row>
    <row r="131" spans="1:13" s="520" customFormat="1" ht="24" customHeight="1" x14ac:dyDescent="0.2">
      <c r="A131" s="516">
        <v>3000</v>
      </c>
      <c r="B131" s="494" t="s">
        <v>1368</v>
      </c>
      <c r="C131" s="517">
        <f t="shared" si="12"/>
        <v>50265.525399999999</v>
      </c>
      <c r="D131" s="517">
        <v>0</v>
      </c>
      <c r="E131" s="517">
        <v>0</v>
      </c>
      <c r="F131" s="517">
        <v>0</v>
      </c>
      <c r="G131" s="517">
        <v>0</v>
      </c>
      <c r="H131" s="517">
        <v>0</v>
      </c>
      <c r="I131" s="517">
        <v>0</v>
      </c>
      <c r="J131" s="517">
        <v>549.29300000000001</v>
      </c>
      <c r="K131" s="518">
        <v>49682.902399999999</v>
      </c>
      <c r="L131" s="517">
        <v>33.33</v>
      </c>
      <c r="M131" s="519">
        <v>90</v>
      </c>
    </row>
    <row r="132" spans="1:13" ht="24.75" customHeight="1" x14ac:dyDescent="0.2">
      <c r="A132" s="513">
        <v>2994</v>
      </c>
      <c r="B132" s="494" t="s">
        <v>1369</v>
      </c>
      <c r="C132" s="495">
        <f t="shared" si="12"/>
        <v>47257.458839999999</v>
      </c>
      <c r="D132" s="495">
        <v>0</v>
      </c>
      <c r="E132" s="495">
        <v>0</v>
      </c>
      <c r="F132" s="495">
        <v>0</v>
      </c>
      <c r="G132" s="495">
        <v>0</v>
      </c>
      <c r="H132" s="495">
        <v>0</v>
      </c>
      <c r="I132" s="495">
        <v>0</v>
      </c>
      <c r="J132" s="495">
        <v>368.98899999999998</v>
      </c>
      <c r="K132" s="500">
        <v>46855.099839999995</v>
      </c>
      <c r="L132" s="495">
        <v>33.369999999999997</v>
      </c>
      <c r="M132" s="498">
        <v>90</v>
      </c>
    </row>
    <row r="133" spans="1:13" x14ac:dyDescent="0.2">
      <c r="A133" s="513">
        <v>2993</v>
      </c>
      <c r="B133" s="494" t="s">
        <v>1370</v>
      </c>
      <c r="C133" s="495">
        <f t="shared" si="12"/>
        <v>26533.895529999994</v>
      </c>
      <c r="D133" s="495">
        <v>0</v>
      </c>
      <c r="E133" s="495">
        <v>0</v>
      </c>
      <c r="F133" s="495">
        <v>0</v>
      </c>
      <c r="G133" s="495">
        <v>0</v>
      </c>
      <c r="H133" s="495">
        <v>0</v>
      </c>
      <c r="I133" s="495">
        <v>0</v>
      </c>
      <c r="J133" s="495">
        <v>447.76</v>
      </c>
      <c r="K133" s="500">
        <v>26052.765529999997</v>
      </c>
      <c r="L133" s="495">
        <v>33.369999999999997</v>
      </c>
      <c r="M133" s="498">
        <v>90</v>
      </c>
    </row>
    <row r="134" spans="1:13" ht="24" customHeight="1" x14ac:dyDescent="0.2">
      <c r="A134" s="513">
        <v>3017</v>
      </c>
      <c r="B134" s="494" t="s">
        <v>1371</v>
      </c>
      <c r="C134" s="495">
        <f t="shared" si="12"/>
        <v>11680.18353</v>
      </c>
      <c r="D134" s="495">
        <v>0</v>
      </c>
      <c r="E134" s="495">
        <v>0</v>
      </c>
      <c r="F134" s="495">
        <v>0</v>
      </c>
      <c r="G134" s="495">
        <v>0</v>
      </c>
      <c r="H134" s="495">
        <v>0</v>
      </c>
      <c r="I134" s="495">
        <v>0</v>
      </c>
      <c r="J134" s="495">
        <v>432.39</v>
      </c>
      <c r="K134" s="500">
        <v>11214.453530000001</v>
      </c>
      <c r="L134" s="495">
        <v>33.340000000000003</v>
      </c>
      <c r="M134" s="498">
        <v>90</v>
      </c>
    </row>
    <row r="135" spans="1:13" s="520" customFormat="1" ht="24" customHeight="1" x14ac:dyDescent="0.2">
      <c r="A135" s="516">
        <v>2990</v>
      </c>
      <c r="B135" s="494" t="s">
        <v>1372</v>
      </c>
      <c r="C135" s="517">
        <f t="shared" si="12"/>
        <v>19595.449730000004</v>
      </c>
      <c r="D135" s="517">
        <v>0</v>
      </c>
      <c r="E135" s="517">
        <v>0</v>
      </c>
      <c r="F135" s="517">
        <v>0</v>
      </c>
      <c r="G135" s="517">
        <v>0</v>
      </c>
      <c r="H135" s="517">
        <v>0</v>
      </c>
      <c r="I135" s="517">
        <v>0</v>
      </c>
      <c r="J135" s="517">
        <f>260.2739+492.005</f>
        <v>752.27890000000002</v>
      </c>
      <c r="K135" s="518">
        <v>18809.840830000001</v>
      </c>
      <c r="L135" s="517">
        <v>33.33</v>
      </c>
      <c r="M135" s="519">
        <v>90</v>
      </c>
    </row>
    <row r="136" spans="1:13" x14ac:dyDescent="0.2">
      <c r="A136" s="513">
        <v>2998</v>
      </c>
      <c r="B136" s="494" t="s">
        <v>1373</v>
      </c>
      <c r="C136" s="495">
        <f t="shared" si="12"/>
        <v>3696.3323800000007</v>
      </c>
      <c r="D136" s="495">
        <v>0</v>
      </c>
      <c r="E136" s="495">
        <v>0</v>
      </c>
      <c r="F136" s="495">
        <v>0</v>
      </c>
      <c r="G136" s="495">
        <v>0</v>
      </c>
      <c r="H136" s="495">
        <v>0</v>
      </c>
      <c r="I136" s="495">
        <v>0</v>
      </c>
      <c r="J136" s="495">
        <v>227.17699999999999</v>
      </c>
      <c r="K136" s="500">
        <v>3435.8553800000004</v>
      </c>
      <c r="L136" s="495">
        <v>33.299999999999997</v>
      </c>
      <c r="M136" s="498">
        <v>90</v>
      </c>
    </row>
    <row r="137" spans="1:13" s="520" customFormat="1" ht="24" customHeight="1" x14ac:dyDescent="0.2">
      <c r="A137" s="516">
        <v>2992</v>
      </c>
      <c r="B137" s="494" t="s">
        <v>1374</v>
      </c>
      <c r="C137" s="517">
        <f t="shared" si="12"/>
        <v>12981.639090000001</v>
      </c>
      <c r="D137" s="517">
        <v>0</v>
      </c>
      <c r="E137" s="517">
        <v>0</v>
      </c>
      <c r="F137" s="517">
        <v>0</v>
      </c>
      <c r="G137" s="517">
        <v>0</v>
      </c>
      <c r="H137" s="517">
        <v>0</v>
      </c>
      <c r="I137" s="517">
        <v>0</v>
      </c>
      <c r="J137" s="517">
        <v>694.84</v>
      </c>
      <c r="K137" s="518">
        <v>12253.42909</v>
      </c>
      <c r="L137" s="517">
        <v>33.369999999999997</v>
      </c>
      <c r="M137" s="519">
        <v>90</v>
      </c>
    </row>
    <row r="138" spans="1:13" ht="24" customHeight="1" x14ac:dyDescent="0.2">
      <c r="A138" s="513">
        <v>3011</v>
      </c>
      <c r="B138" s="494" t="s">
        <v>1375</v>
      </c>
      <c r="C138" s="495">
        <f t="shared" si="12"/>
        <v>10741.61889</v>
      </c>
      <c r="D138" s="495">
        <v>0</v>
      </c>
      <c r="E138" s="495">
        <v>0</v>
      </c>
      <c r="F138" s="495">
        <v>0</v>
      </c>
      <c r="G138" s="495">
        <v>0</v>
      </c>
      <c r="H138" s="495">
        <v>0</v>
      </c>
      <c r="I138" s="495">
        <v>0</v>
      </c>
      <c r="J138" s="495">
        <f>157.3+311.36</f>
        <v>468.66</v>
      </c>
      <c r="K138" s="500">
        <v>10239.61889</v>
      </c>
      <c r="L138" s="495">
        <v>33.340000000000003</v>
      </c>
      <c r="M138" s="498">
        <v>90</v>
      </c>
    </row>
    <row r="139" spans="1:13" x14ac:dyDescent="0.2">
      <c r="A139" s="513">
        <v>3009</v>
      </c>
      <c r="B139" s="494" t="s">
        <v>1376</v>
      </c>
      <c r="C139" s="495">
        <f t="shared" si="12"/>
        <v>17888.464389999997</v>
      </c>
      <c r="D139" s="495">
        <v>0</v>
      </c>
      <c r="E139" s="495">
        <v>0</v>
      </c>
      <c r="F139" s="495">
        <v>0</v>
      </c>
      <c r="G139" s="495">
        <v>0</v>
      </c>
      <c r="H139" s="495">
        <v>0</v>
      </c>
      <c r="I139" s="495">
        <v>0</v>
      </c>
      <c r="J139" s="495">
        <f>193.6+337.36</f>
        <v>530.96</v>
      </c>
      <c r="K139" s="500">
        <v>17324.004389999998</v>
      </c>
      <c r="L139" s="495">
        <v>33.5</v>
      </c>
      <c r="M139" s="498">
        <v>90</v>
      </c>
    </row>
    <row r="140" spans="1:13" ht="24" customHeight="1" x14ac:dyDescent="0.2">
      <c r="A140" s="513">
        <v>3010</v>
      </c>
      <c r="B140" s="494" t="s">
        <v>1377</v>
      </c>
      <c r="C140" s="495">
        <f t="shared" si="12"/>
        <v>5859.0538400000005</v>
      </c>
      <c r="D140" s="495">
        <v>0</v>
      </c>
      <c r="E140" s="495">
        <v>0</v>
      </c>
      <c r="F140" s="495">
        <v>0</v>
      </c>
      <c r="G140" s="495">
        <v>0</v>
      </c>
      <c r="H140" s="495">
        <v>0</v>
      </c>
      <c r="I140" s="495">
        <v>0</v>
      </c>
      <c r="J140" s="495">
        <f>4638.81506+306.657</f>
        <v>4945.4720600000001</v>
      </c>
      <c r="K140" s="500">
        <v>880.33178000000009</v>
      </c>
      <c r="L140" s="495">
        <v>33.25</v>
      </c>
      <c r="M140" s="498">
        <v>90</v>
      </c>
    </row>
    <row r="141" spans="1:13" x14ac:dyDescent="0.2">
      <c r="A141" s="513">
        <v>3016</v>
      </c>
      <c r="B141" s="494" t="s">
        <v>1378</v>
      </c>
      <c r="C141" s="495">
        <f t="shared" si="12"/>
        <v>7771.0570900000002</v>
      </c>
      <c r="D141" s="495">
        <v>0</v>
      </c>
      <c r="E141" s="495">
        <v>0</v>
      </c>
      <c r="F141" s="495">
        <v>0</v>
      </c>
      <c r="G141" s="495">
        <v>0</v>
      </c>
      <c r="H141" s="495">
        <v>0</v>
      </c>
      <c r="I141" s="495">
        <v>0</v>
      </c>
      <c r="J141" s="495">
        <f>279.40656+397.742</f>
        <v>677.14856000000009</v>
      </c>
      <c r="K141" s="500">
        <v>7060.6585300000006</v>
      </c>
      <c r="L141" s="495">
        <v>33.25</v>
      </c>
      <c r="M141" s="498">
        <v>90</v>
      </c>
    </row>
    <row r="142" spans="1:13" ht="24" customHeight="1" x14ac:dyDescent="0.2">
      <c r="A142" s="513">
        <v>2713</v>
      </c>
      <c r="B142" s="494" t="s">
        <v>1379</v>
      </c>
      <c r="C142" s="495">
        <f t="shared" ref="C142" si="13">SUM(D142:L142)</f>
        <v>22081.907009999995</v>
      </c>
      <c r="D142" s="495">
        <v>0</v>
      </c>
      <c r="E142" s="495">
        <v>0</v>
      </c>
      <c r="F142" s="495">
        <v>0</v>
      </c>
      <c r="G142" s="495">
        <v>0</v>
      </c>
      <c r="H142" s="495">
        <v>424.86900000000003</v>
      </c>
      <c r="I142" s="495">
        <v>3759.9082800000001</v>
      </c>
      <c r="J142" s="495">
        <v>13537.232319999999</v>
      </c>
      <c r="K142" s="500">
        <v>4359.8974099999996</v>
      </c>
      <c r="L142" s="495">
        <v>0</v>
      </c>
      <c r="M142" s="498">
        <v>85</v>
      </c>
    </row>
    <row r="143" spans="1:13" s="856" customFormat="1" ht="12.75" customHeight="1" thickBot="1" x14ac:dyDescent="0.25">
      <c r="A143" s="861">
        <v>3230</v>
      </c>
      <c r="B143" s="852" t="s">
        <v>1328</v>
      </c>
      <c r="C143" s="853">
        <f>SUM(D143:L143)</f>
        <v>26499.994999999999</v>
      </c>
      <c r="D143" s="853">
        <v>0</v>
      </c>
      <c r="E143" s="853">
        <v>0</v>
      </c>
      <c r="F143" s="853">
        <v>0</v>
      </c>
      <c r="G143" s="853">
        <v>0</v>
      </c>
      <c r="H143" s="853">
        <v>0</v>
      </c>
      <c r="I143" s="853">
        <v>0</v>
      </c>
      <c r="J143" s="853">
        <v>0</v>
      </c>
      <c r="K143" s="854">
        <v>2.9950000000000001</v>
      </c>
      <c r="L143" s="853">
        <v>26497</v>
      </c>
      <c r="M143" s="855">
        <v>95</v>
      </c>
    </row>
    <row r="144" spans="1:13" ht="18" customHeight="1" x14ac:dyDescent="0.2">
      <c r="A144" s="489"/>
      <c r="B144" s="490" t="s">
        <v>1380</v>
      </c>
      <c r="C144" s="491">
        <f>SUM(C145:C158)</f>
        <v>1466574.8640400001</v>
      </c>
      <c r="D144" s="491">
        <f t="shared" ref="D144:L144" si="14">SUM(D145:D158)</f>
        <v>0</v>
      </c>
      <c r="E144" s="491">
        <f t="shared" si="14"/>
        <v>13751.941000000001</v>
      </c>
      <c r="F144" s="491">
        <f t="shared" si="14"/>
        <v>1292.24</v>
      </c>
      <c r="G144" s="491">
        <f t="shared" si="14"/>
        <v>53224.48000000001</v>
      </c>
      <c r="H144" s="491">
        <f t="shared" si="14"/>
        <v>188519.51551</v>
      </c>
      <c r="I144" s="491">
        <f t="shared" si="14"/>
        <v>251427.67125999997</v>
      </c>
      <c r="J144" s="491">
        <f t="shared" si="14"/>
        <v>317640.97004999995</v>
      </c>
      <c r="K144" s="491">
        <f t="shared" si="14"/>
        <v>631518.0462199999</v>
      </c>
      <c r="L144" s="491">
        <f t="shared" si="14"/>
        <v>9200</v>
      </c>
      <c r="M144" s="492" t="s">
        <v>279</v>
      </c>
    </row>
    <row r="145" spans="1:13" ht="24" customHeight="1" x14ac:dyDescent="0.2">
      <c r="A145" s="513">
        <v>2916</v>
      </c>
      <c r="B145" s="494" t="s">
        <v>1381</v>
      </c>
      <c r="C145" s="495">
        <f>SUM(D145:L145)</f>
        <v>149446.24776999999</v>
      </c>
      <c r="D145" s="495">
        <v>0</v>
      </c>
      <c r="E145" s="495">
        <v>13723.76</v>
      </c>
      <c r="F145" s="495">
        <v>0.35</v>
      </c>
      <c r="G145" s="495">
        <v>696.48</v>
      </c>
      <c r="H145" s="495">
        <v>61950.533170000002</v>
      </c>
      <c r="I145" s="495">
        <v>40982.644969999994</v>
      </c>
      <c r="J145" s="495">
        <v>26092.701370000006</v>
      </c>
      <c r="K145" s="500">
        <v>5999.77826</v>
      </c>
      <c r="L145" s="495">
        <v>0</v>
      </c>
      <c r="M145" s="521" t="s">
        <v>1382</v>
      </c>
    </row>
    <row r="146" spans="1:13" ht="24" customHeight="1" x14ac:dyDescent="0.2">
      <c r="A146" s="513">
        <v>2792</v>
      </c>
      <c r="B146" s="494" t="s">
        <v>1383</v>
      </c>
      <c r="C146" s="495">
        <f t="shared" ref="C146:C158" si="15">SUM(D146:L146)</f>
        <v>10620.032770000002</v>
      </c>
      <c r="D146" s="495">
        <v>0</v>
      </c>
      <c r="E146" s="495">
        <v>0</v>
      </c>
      <c r="F146" s="495">
        <v>0</v>
      </c>
      <c r="G146" s="495">
        <v>82.32</v>
      </c>
      <c r="H146" s="495">
        <v>35.28</v>
      </c>
      <c r="I146" s="495">
        <v>907.51</v>
      </c>
      <c r="J146" s="495">
        <v>0</v>
      </c>
      <c r="K146" s="500">
        <v>9594.922770000001</v>
      </c>
      <c r="L146" s="495">
        <v>0</v>
      </c>
      <c r="M146" s="498">
        <v>85</v>
      </c>
    </row>
    <row r="147" spans="1:13" ht="24" customHeight="1" x14ac:dyDescent="0.2">
      <c r="A147" s="513">
        <v>2529</v>
      </c>
      <c r="B147" s="494" t="s">
        <v>1384</v>
      </c>
      <c r="C147" s="495">
        <f t="shared" si="15"/>
        <v>45617.593999999997</v>
      </c>
      <c r="D147" s="495">
        <v>0</v>
      </c>
      <c r="E147" s="495">
        <v>0</v>
      </c>
      <c r="F147" s="495">
        <v>0</v>
      </c>
      <c r="G147" s="495">
        <v>0</v>
      </c>
      <c r="H147" s="495">
        <v>0</v>
      </c>
      <c r="I147" s="495">
        <v>0</v>
      </c>
      <c r="J147" s="495">
        <v>275.30700000000002</v>
      </c>
      <c r="K147" s="500">
        <v>45342.286999999997</v>
      </c>
      <c r="L147" s="495">
        <v>0</v>
      </c>
      <c r="M147" s="498">
        <v>100</v>
      </c>
    </row>
    <row r="148" spans="1:13" x14ac:dyDescent="0.2">
      <c r="A148" s="513">
        <v>2523</v>
      </c>
      <c r="B148" s="494" t="s">
        <v>1385</v>
      </c>
      <c r="C148" s="495">
        <f t="shared" si="15"/>
        <v>167974.14670000001</v>
      </c>
      <c r="D148" s="495">
        <v>0</v>
      </c>
      <c r="E148" s="495">
        <v>28.181000000000001</v>
      </c>
      <c r="F148" s="495">
        <v>382.25</v>
      </c>
      <c r="G148" s="495">
        <v>51847.62</v>
      </c>
      <c r="H148" s="495">
        <v>62003.73</v>
      </c>
      <c r="I148" s="495">
        <v>34664.639999999999</v>
      </c>
      <c r="J148" s="495">
        <v>18858.055700000001</v>
      </c>
      <c r="K148" s="500">
        <v>189.67</v>
      </c>
      <c r="L148" s="495">
        <v>0</v>
      </c>
      <c r="M148" s="498">
        <v>92.5</v>
      </c>
    </row>
    <row r="149" spans="1:13" x14ac:dyDescent="0.2">
      <c r="A149" s="513">
        <v>2527</v>
      </c>
      <c r="B149" s="494" t="s">
        <v>1386</v>
      </c>
      <c r="C149" s="495">
        <f t="shared" si="15"/>
        <v>458586.86597000004</v>
      </c>
      <c r="D149" s="495">
        <v>0</v>
      </c>
      <c r="E149" s="495">
        <v>0</v>
      </c>
      <c r="F149" s="495">
        <v>909.64</v>
      </c>
      <c r="G149" s="495">
        <v>348.16</v>
      </c>
      <c r="H149" s="495">
        <v>8762.1885000000002</v>
      </c>
      <c r="I149" s="495">
        <v>37753.223379999996</v>
      </c>
      <c r="J149" s="495">
        <v>107656.52423999998</v>
      </c>
      <c r="K149" s="500">
        <v>302957.12985000003</v>
      </c>
      <c r="L149" s="495">
        <v>200</v>
      </c>
      <c r="M149" s="498">
        <v>85</v>
      </c>
    </row>
    <row r="150" spans="1:13" ht="24" customHeight="1" x14ac:dyDescent="0.2">
      <c r="A150" s="513">
        <v>2793</v>
      </c>
      <c r="B150" s="494" t="s">
        <v>1387</v>
      </c>
      <c r="C150" s="495">
        <f t="shared" si="15"/>
        <v>20687.748680000001</v>
      </c>
      <c r="D150" s="495">
        <v>0</v>
      </c>
      <c r="E150" s="495">
        <v>0</v>
      </c>
      <c r="F150" s="495">
        <v>0</v>
      </c>
      <c r="G150" s="495">
        <v>0</v>
      </c>
      <c r="H150" s="495">
        <v>0</v>
      </c>
      <c r="I150" s="495">
        <v>0</v>
      </c>
      <c r="J150" s="495">
        <v>20104.84</v>
      </c>
      <c r="K150" s="500">
        <v>582.90868</v>
      </c>
      <c r="L150" s="495">
        <v>0</v>
      </c>
      <c r="M150" s="522">
        <v>85</v>
      </c>
    </row>
    <row r="151" spans="1:13" ht="24" customHeight="1" x14ac:dyDescent="0.2">
      <c r="A151" s="513">
        <v>2535</v>
      </c>
      <c r="B151" s="494" t="s">
        <v>1388</v>
      </c>
      <c r="C151" s="495">
        <f t="shared" si="15"/>
        <v>26048.360700000005</v>
      </c>
      <c r="D151" s="495">
        <v>0</v>
      </c>
      <c r="E151" s="495">
        <v>0</v>
      </c>
      <c r="F151" s="495">
        <v>0</v>
      </c>
      <c r="G151" s="495">
        <v>0</v>
      </c>
      <c r="H151" s="495">
        <v>0</v>
      </c>
      <c r="I151" s="495">
        <v>0</v>
      </c>
      <c r="J151" s="495">
        <v>165.50800000000004</v>
      </c>
      <c r="K151" s="500">
        <v>25882.852700000003</v>
      </c>
      <c r="L151" s="495">
        <v>0</v>
      </c>
      <c r="M151" s="498">
        <v>100</v>
      </c>
    </row>
    <row r="152" spans="1:13" ht="24" customHeight="1" x14ac:dyDescent="0.2">
      <c r="A152" s="513">
        <v>2528</v>
      </c>
      <c r="B152" s="494" t="s">
        <v>1389</v>
      </c>
      <c r="C152" s="495">
        <f t="shared" si="15"/>
        <v>41857.94354</v>
      </c>
      <c r="D152" s="495">
        <v>0</v>
      </c>
      <c r="E152" s="495">
        <v>0</v>
      </c>
      <c r="F152" s="495">
        <v>0</v>
      </c>
      <c r="G152" s="495">
        <v>0</v>
      </c>
      <c r="H152" s="495">
        <v>0</v>
      </c>
      <c r="I152" s="495">
        <v>319.88</v>
      </c>
      <c r="J152" s="495">
        <v>193.6</v>
      </c>
      <c r="K152" s="500">
        <v>41344.463539999997</v>
      </c>
      <c r="L152" s="495">
        <v>0</v>
      </c>
      <c r="M152" s="498">
        <v>100</v>
      </c>
    </row>
    <row r="153" spans="1:13" x14ac:dyDescent="0.2">
      <c r="A153" s="513">
        <v>2531</v>
      </c>
      <c r="B153" s="494" t="s">
        <v>1390</v>
      </c>
      <c r="C153" s="495">
        <f t="shared" si="15"/>
        <v>91320.742100000003</v>
      </c>
      <c r="D153" s="495">
        <v>0</v>
      </c>
      <c r="E153" s="495">
        <v>0</v>
      </c>
      <c r="F153" s="495">
        <v>0</v>
      </c>
      <c r="G153" s="495">
        <v>0</v>
      </c>
      <c r="H153" s="495">
        <v>0</v>
      </c>
      <c r="I153" s="495">
        <v>0</v>
      </c>
      <c r="J153" s="495">
        <v>223.85000000000002</v>
      </c>
      <c r="K153" s="500">
        <v>91096.892099999997</v>
      </c>
      <c r="L153" s="495">
        <v>0</v>
      </c>
      <c r="M153" s="498">
        <v>85</v>
      </c>
    </row>
    <row r="154" spans="1:13" ht="34.5" customHeight="1" x14ac:dyDescent="0.2">
      <c r="A154" s="513">
        <v>3260</v>
      </c>
      <c r="B154" s="494" t="s">
        <v>1391</v>
      </c>
      <c r="C154" s="495">
        <f t="shared" si="15"/>
        <v>9189.3783000000003</v>
      </c>
      <c r="D154" s="495">
        <v>0</v>
      </c>
      <c r="E154" s="495">
        <v>0</v>
      </c>
      <c r="F154" s="495">
        <v>0</v>
      </c>
      <c r="G154" s="495">
        <v>0</v>
      </c>
      <c r="H154" s="495">
        <v>0</v>
      </c>
      <c r="I154" s="495">
        <v>0</v>
      </c>
      <c r="J154" s="495">
        <v>0</v>
      </c>
      <c r="K154" s="500">
        <v>189.37830000000002</v>
      </c>
      <c r="L154" s="495">
        <v>9000</v>
      </c>
      <c r="M154" s="498">
        <v>85</v>
      </c>
    </row>
    <row r="155" spans="1:13" x14ac:dyDescent="0.2">
      <c r="A155" s="513">
        <v>2530</v>
      </c>
      <c r="B155" s="494" t="s">
        <v>1392</v>
      </c>
      <c r="C155" s="495">
        <f t="shared" si="15"/>
        <v>274811.97201999999</v>
      </c>
      <c r="D155" s="495">
        <v>0</v>
      </c>
      <c r="E155" s="495">
        <v>0</v>
      </c>
      <c r="F155" s="495">
        <v>0</v>
      </c>
      <c r="G155" s="495">
        <v>0</v>
      </c>
      <c r="H155" s="495">
        <v>0</v>
      </c>
      <c r="I155" s="495">
        <v>69166.080000000002</v>
      </c>
      <c r="J155" s="495">
        <v>97344.429000000004</v>
      </c>
      <c r="K155" s="500">
        <v>108301.46302</v>
      </c>
      <c r="L155" s="495">
        <v>0</v>
      </c>
      <c r="M155" s="498">
        <v>85</v>
      </c>
    </row>
    <row r="156" spans="1:13" x14ac:dyDescent="0.2">
      <c r="A156" s="513">
        <v>2919</v>
      </c>
      <c r="B156" s="514" t="s">
        <v>1393</v>
      </c>
      <c r="C156" s="495">
        <f t="shared" si="15"/>
        <v>61856.221799999992</v>
      </c>
      <c r="D156" s="495">
        <v>0</v>
      </c>
      <c r="E156" s="495">
        <v>0</v>
      </c>
      <c r="F156" s="495">
        <v>0</v>
      </c>
      <c r="G156" s="495">
        <v>249.9</v>
      </c>
      <c r="H156" s="495">
        <v>45429.153809999996</v>
      </c>
      <c r="I156" s="495">
        <v>13037.70325</v>
      </c>
      <c r="J156" s="495">
        <v>3127.36474</v>
      </c>
      <c r="K156" s="500">
        <v>12.1</v>
      </c>
      <c r="L156" s="495">
        <v>0</v>
      </c>
      <c r="M156" s="498">
        <v>60</v>
      </c>
    </row>
    <row r="157" spans="1:13" ht="21" x14ac:dyDescent="0.2">
      <c r="A157" s="511">
        <v>2927</v>
      </c>
      <c r="B157" s="494" t="s">
        <v>1394</v>
      </c>
      <c r="C157" s="495">
        <f t="shared" si="15"/>
        <v>49534.831670000007</v>
      </c>
      <c r="D157" s="495">
        <v>0</v>
      </c>
      <c r="E157" s="495">
        <v>0</v>
      </c>
      <c r="F157" s="495">
        <v>0</v>
      </c>
      <c r="G157" s="495">
        <v>0</v>
      </c>
      <c r="H157" s="495">
        <v>0</v>
      </c>
      <c r="I157" s="495">
        <v>26424.969659999999</v>
      </c>
      <c r="J157" s="495">
        <v>23097.762010000006</v>
      </c>
      <c r="K157" s="500">
        <v>12.1</v>
      </c>
      <c r="L157" s="495">
        <v>0</v>
      </c>
      <c r="M157" s="498">
        <v>60</v>
      </c>
    </row>
    <row r="158" spans="1:13" ht="13.5" thickBot="1" x14ac:dyDescent="0.25">
      <c r="A158" s="513">
        <v>2918</v>
      </c>
      <c r="B158" s="514" t="s">
        <v>1395</v>
      </c>
      <c r="C158" s="495">
        <f t="shared" si="15"/>
        <v>59022.778020000005</v>
      </c>
      <c r="D158" s="495">
        <v>0</v>
      </c>
      <c r="E158" s="495">
        <v>0</v>
      </c>
      <c r="F158" s="495">
        <v>0</v>
      </c>
      <c r="G158" s="495">
        <v>0</v>
      </c>
      <c r="H158" s="495">
        <v>10338.63003</v>
      </c>
      <c r="I158" s="495">
        <v>28171.02</v>
      </c>
      <c r="J158" s="495">
        <v>20501.027989999999</v>
      </c>
      <c r="K158" s="500">
        <v>12.1</v>
      </c>
      <c r="L158" s="495">
        <v>0</v>
      </c>
      <c r="M158" s="498">
        <v>60</v>
      </c>
    </row>
    <row r="159" spans="1:13" ht="18" customHeight="1" x14ac:dyDescent="0.2">
      <c r="A159" s="489"/>
      <c r="B159" s="490" t="s">
        <v>1396</v>
      </c>
      <c r="C159" s="491">
        <f>SUM(C160:C161)</f>
        <v>2700.04781</v>
      </c>
      <c r="D159" s="491">
        <f t="shared" ref="D159:L159" si="16">SUM(D160:D161)</f>
        <v>0</v>
      </c>
      <c r="E159" s="491">
        <f t="shared" si="16"/>
        <v>0</v>
      </c>
      <c r="F159" s="491">
        <f t="shared" si="16"/>
        <v>0</v>
      </c>
      <c r="G159" s="491">
        <f t="shared" si="16"/>
        <v>0</v>
      </c>
      <c r="H159" s="491">
        <f t="shared" si="16"/>
        <v>0</v>
      </c>
      <c r="I159" s="491">
        <f t="shared" si="16"/>
        <v>0</v>
      </c>
      <c r="J159" s="491">
        <f t="shared" si="16"/>
        <v>1036.7</v>
      </c>
      <c r="K159" s="491">
        <f t="shared" si="16"/>
        <v>1663.3478099999998</v>
      </c>
      <c r="L159" s="491">
        <f t="shared" si="16"/>
        <v>0</v>
      </c>
      <c r="M159" s="492" t="s">
        <v>279</v>
      </c>
    </row>
    <row r="160" spans="1:13" s="506" customFormat="1" ht="24" customHeight="1" x14ac:dyDescent="0.2">
      <c r="A160" s="513">
        <v>2900</v>
      </c>
      <c r="B160" s="494" t="s">
        <v>1397</v>
      </c>
      <c r="C160" s="495">
        <f>SUM(D160:L160)</f>
        <v>1888.6498099999999</v>
      </c>
      <c r="D160" s="495">
        <v>0</v>
      </c>
      <c r="E160" s="495">
        <v>0</v>
      </c>
      <c r="F160" s="505">
        <v>0</v>
      </c>
      <c r="G160" s="505">
        <v>0</v>
      </c>
      <c r="H160" s="505">
        <v>0</v>
      </c>
      <c r="I160" s="505">
        <v>0</v>
      </c>
      <c r="J160" s="505">
        <v>229.9</v>
      </c>
      <c r="K160" s="500">
        <v>1658.7498099999998</v>
      </c>
      <c r="L160" s="495">
        <v>0</v>
      </c>
      <c r="M160" s="498">
        <v>90</v>
      </c>
    </row>
    <row r="161" spans="1:13" ht="24" customHeight="1" thickBot="1" x14ac:dyDescent="0.25">
      <c r="A161" s="523">
        <v>2912</v>
      </c>
      <c r="B161" s="494" t="s">
        <v>1398</v>
      </c>
      <c r="C161" s="495">
        <f>SUM(D161:L161)</f>
        <v>811.39799999999991</v>
      </c>
      <c r="D161" s="495">
        <v>0</v>
      </c>
      <c r="E161" s="495">
        <v>0</v>
      </c>
      <c r="F161" s="505">
        <v>0</v>
      </c>
      <c r="G161" s="505">
        <v>0</v>
      </c>
      <c r="H161" s="505">
        <v>0</v>
      </c>
      <c r="I161" s="505">
        <v>0</v>
      </c>
      <c r="J161" s="505">
        <v>806.8</v>
      </c>
      <c r="K161" s="500">
        <v>4.5979999999999999</v>
      </c>
      <c r="L161" s="495">
        <v>0</v>
      </c>
      <c r="M161" s="498">
        <v>90</v>
      </c>
    </row>
    <row r="162" spans="1:13" ht="27" customHeight="1" x14ac:dyDescent="0.2">
      <c r="A162" s="489"/>
      <c r="B162" s="524" t="s">
        <v>1399</v>
      </c>
      <c r="C162" s="491">
        <f t="shared" ref="C162:L162" si="17">SUM(C163:C168)</f>
        <v>174069.34917999999</v>
      </c>
      <c r="D162" s="491">
        <f t="shared" si="17"/>
        <v>0</v>
      </c>
      <c r="E162" s="491">
        <f t="shared" si="17"/>
        <v>0</v>
      </c>
      <c r="F162" s="491">
        <f t="shared" si="17"/>
        <v>1123.25</v>
      </c>
      <c r="G162" s="491">
        <f t="shared" si="17"/>
        <v>3742.431</v>
      </c>
      <c r="H162" s="491">
        <f t="shared" si="17"/>
        <v>2838.14</v>
      </c>
      <c r="I162" s="491">
        <f t="shared" si="17"/>
        <v>50338.770820000005</v>
      </c>
      <c r="J162" s="491">
        <f t="shared" si="17"/>
        <v>61330.999509999994</v>
      </c>
      <c r="K162" s="491">
        <f t="shared" si="17"/>
        <v>54695.757849999995</v>
      </c>
      <c r="L162" s="491">
        <f t="shared" si="17"/>
        <v>0</v>
      </c>
      <c r="M162" s="492" t="s">
        <v>279</v>
      </c>
    </row>
    <row r="163" spans="1:13" x14ac:dyDescent="0.2">
      <c r="A163" s="513">
        <v>2808</v>
      </c>
      <c r="B163" s="502" t="s">
        <v>1400</v>
      </c>
      <c r="C163" s="495">
        <f>SUM(D163:L163)</f>
        <v>126195.89294999999</v>
      </c>
      <c r="D163" s="495">
        <v>0</v>
      </c>
      <c r="E163" s="495">
        <v>0</v>
      </c>
      <c r="F163" s="495">
        <v>627.98</v>
      </c>
      <c r="G163" s="495">
        <v>2615.5509999999999</v>
      </c>
      <c r="H163" s="495">
        <v>2025.76</v>
      </c>
      <c r="I163" s="495">
        <v>48757.23</v>
      </c>
      <c r="J163" s="495">
        <v>57182.793749999997</v>
      </c>
      <c r="K163" s="500">
        <v>14986.578199999998</v>
      </c>
      <c r="L163" s="495">
        <v>0</v>
      </c>
      <c r="M163" s="498">
        <v>85</v>
      </c>
    </row>
    <row r="164" spans="1:13" ht="24" customHeight="1" x14ac:dyDescent="0.2">
      <c r="A164" s="513">
        <v>2785</v>
      </c>
      <c r="B164" s="502" t="s">
        <v>1401</v>
      </c>
      <c r="C164" s="495">
        <f t="shared" ref="C164:C168" si="18">SUM(D164:L164)</f>
        <v>4257.80314</v>
      </c>
      <c r="D164" s="495">
        <v>0</v>
      </c>
      <c r="E164" s="495">
        <v>0</v>
      </c>
      <c r="F164" s="495">
        <v>0</v>
      </c>
      <c r="G164" s="495">
        <v>0</v>
      </c>
      <c r="H164" s="495">
        <v>0</v>
      </c>
      <c r="I164" s="495">
        <v>0</v>
      </c>
      <c r="J164" s="495">
        <v>709.9186000000002</v>
      </c>
      <c r="K164" s="500">
        <v>3547.8845399999996</v>
      </c>
      <c r="L164" s="495">
        <v>0</v>
      </c>
      <c r="M164" s="498">
        <v>85</v>
      </c>
    </row>
    <row r="165" spans="1:13" x14ac:dyDescent="0.2">
      <c r="A165" s="513">
        <v>2809</v>
      </c>
      <c r="B165" s="502" t="s">
        <v>1402</v>
      </c>
      <c r="C165" s="495">
        <f t="shared" si="18"/>
        <v>27151.694160000003</v>
      </c>
      <c r="D165" s="495">
        <v>0</v>
      </c>
      <c r="E165" s="495">
        <v>0</v>
      </c>
      <c r="F165" s="495">
        <v>0</v>
      </c>
      <c r="G165" s="495">
        <v>0</v>
      </c>
      <c r="H165" s="495">
        <v>0</v>
      </c>
      <c r="I165" s="495">
        <v>59.89</v>
      </c>
      <c r="J165" s="495">
        <v>0</v>
      </c>
      <c r="K165" s="500">
        <v>27091.804160000003</v>
      </c>
      <c r="L165" s="495">
        <v>0</v>
      </c>
      <c r="M165" s="498">
        <v>85</v>
      </c>
    </row>
    <row r="166" spans="1:13" x14ac:dyDescent="0.2">
      <c r="A166" s="513">
        <v>2787</v>
      </c>
      <c r="B166" s="510" t="s">
        <v>1403</v>
      </c>
      <c r="C166" s="495">
        <f t="shared" si="18"/>
        <v>5529.3263700000007</v>
      </c>
      <c r="D166" s="495">
        <v>0</v>
      </c>
      <c r="E166" s="495">
        <v>0</v>
      </c>
      <c r="F166" s="495">
        <v>0</v>
      </c>
      <c r="G166" s="495">
        <v>0</v>
      </c>
      <c r="H166" s="495">
        <v>0</v>
      </c>
      <c r="I166" s="495">
        <v>610.69082000000003</v>
      </c>
      <c r="J166" s="495">
        <v>2522.4969500000002</v>
      </c>
      <c r="K166" s="500">
        <v>2396.1386000000002</v>
      </c>
      <c r="L166" s="495">
        <v>0</v>
      </c>
      <c r="M166" s="498">
        <v>85</v>
      </c>
    </row>
    <row r="167" spans="1:13" ht="24" customHeight="1" x14ac:dyDescent="0.2">
      <c r="A167" s="513">
        <v>2885</v>
      </c>
      <c r="B167" s="510" t="s">
        <v>1404</v>
      </c>
      <c r="C167" s="495">
        <f t="shared" si="18"/>
        <v>4089.0079699999997</v>
      </c>
      <c r="D167" s="495">
        <v>0</v>
      </c>
      <c r="E167" s="495">
        <v>0</v>
      </c>
      <c r="F167" s="495">
        <v>495.27</v>
      </c>
      <c r="G167" s="495">
        <v>1126.8800000000001</v>
      </c>
      <c r="H167" s="495">
        <v>812.38</v>
      </c>
      <c r="I167" s="495">
        <v>826.26</v>
      </c>
      <c r="J167" s="495">
        <v>657.19020999999998</v>
      </c>
      <c r="K167" s="500">
        <v>171.02776</v>
      </c>
      <c r="L167" s="495">
        <v>0</v>
      </c>
      <c r="M167" s="498">
        <v>90</v>
      </c>
    </row>
    <row r="168" spans="1:13" ht="21.75" thickBot="1" x14ac:dyDescent="0.25">
      <c r="A168" s="513">
        <v>2928</v>
      </c>
      <c r="B168" s="507" t="s">
        <v>1405</v>
      </c>
      <c r="C168" s="495">
        <f t="shared" si="18"/>
        <v>6845.6245899999994</v>
      </c>
      <c r="D168" s="525">
        <v>0</v>
      </c>
      <c r="E168" s="525">
        <v>0</v>
      </c>
      <c r="F168" s="525">
        <v>0</v>
      </c>
      <c r="G168" s="525">
        <v>0</v>
      </c>
      <c r="H168" s="525">
        <v>0</v>
      </c>
      <c r="I168" s="525">
        <v>84.7</v>
      </c>
      <c r="J168" s="525">
        <v>258.60000000000002</v>
      </c>
      <c r="K168" s="526">
        <v>6502.3245899999993</v>
      </c>
      <c r="L168" s="525">
        <v>0</v>
      </c>
      <c r="M168" s="527">
        <v>90</v>
      </c>
    </row>
    <row r="169" spans="1:13" ht="27" customHeight="1" x14ac:dyDescent="0.2">
      <c r="A169" s="489"/>
      <c r="B169" s="524" t="s">
        <v>10</v>
      </c>
      <c r="C169" s="491">
        <f t="shared" ref="C169:L169" si="19">C5+C27+C36+C39+C44+C50+C77+C144+C159+C162</f>
        <v>9905244.7367899995</v>
      </c>
      <c r="D169" s="491">
        <f t="shared" si="19"/>
        <v>202.51999999999998</v>
      </c>
      <c r="E169" s="491">
        <f t="shared" si="19"/>
        <v>69369.831000000006</v>
      </c>
      <c r="F169" s="491">
        <f t="shared" si="19"/>
        <v>84623.349999999991</v>
      </c>
      <c r="G169" s="491">
        <f t="shared" si="19"/>
        <v>229118.45380000002</v>
      </c>
      <c r="H169" s="491">
        <f t="shared" si="19"/>
        <v>539395.44458000001</v>
      </c>
      <c r="I169" s="491">
        <f t="shared" si="19"/>
        <v>878766.35853999993</v>
      </c>
      <c r="J169" s="491">
        <f t="shared" si="19"/>
        <v>2299148.7106600003</v>
      </c>
      <c r="K169" s="491">
        <f t="shared" si="19"/>
        <v>4411148.7482099999</v>
      </c>
      <c r="L169" s="491">
        <f t="shared" si="19"/>
        <v>1393471.32</v>
      </c>
      <c r="M169" s="492" t="s">
        <v>279</v>
      </c>
    </row>
    <row r="170" spans="1:13" x14ac:dyDescent="0.2">
      <c r="B170" s="480"/>
      <c r="C170" s="480"/>
      <c r="D170" s="480"/>
      <c r="E170" s="480"/>
      <c r="F170" s="480"/>
      <c r="G170" s="480"/>
      <c r="H170" s="480"/>
      <c r="I170" s="480"/>
      <c r="J170" s="480"/>
      <c r="K170" s="480"/>
      <c r="L170" s="481"/>
      <c r="M170" s="480"/>
    </row>
    <row r="171" spans="1:13" x14ac:dyDescent="0.2">
      <c r="B171" s="858" t="s">
        <v>2517</v>
      </c>
      <c r="C171" s="529"/>
      <c r="D171" s="529"/>
      <c r="E171" s="529"/>
      <c r="F171" s="529"/>
      <c r="G171" s="529"/>
      <c r="H171" s="480"/>
      <c r="I171" s="480"/>
      <c r="J171" s="480"/>
      <c r="K171" s="480"/>
      <c r="L171" s="481"/>
      <c r="M171" s="480"/>
    </row>
    <row r="172" spans="1:13" x14ac:dyDescent="0.2">
      <c r="B172" s="858" t="s">
        <v>2518</v>
      </c>
      <c r="C172" s="529"/>
      <c r="D172" s="529"/>
      <c r="E172" s="529"/>
      <c r="F172" s="529"/>
      <c r="G172" s="529"/>
      <c r="H172" s="480"/>
      <c r="I172" s="480"/>
      <c r="J172" s="480"/>
      <c r="K172" s="480"/>
      <c r="L172" s="481"/>
      <c r="M172" s="480"/>
    </row>
    <row r="173" spans="1:13" s="528" customFormat="1" x14ac:dyDescent="0.2">
      <c r="B173" s="858" t="s">
        <v>1406</v>
      </c>
      <c r="C173" s="529"/>
      <c r="D173" s="530"/>
      <c r="E173" s="530"/>
      <c r="F173" s="530"/>
      <c r="G173" s="530"/>
      <c r="H173" s="530"/>
      <c r="I173" s="530"/>
      <c r="J173" s="530"/>
      <c r="K173" s="530"/>
      <c r="L173" s="531"/>
      <c r="M173" s="529"/>
    </row>
    <row r="174" spans="1:13" x14ac:dyDescent="0.2">
      <c r="D174" s="532"/>
    </row>
    <row r="175" spans="1:13" x14ac:dyDescent="0.2">
      <c r="D175" s="533"/>
      <c r="E175" s="533"/>
      <c r="F175" s="533"/>
      <c r="G175" s="533"/>
      <c r="H175" s="533"/>
      <c r="I175" s="533"/>
      <c r="J175" s="533"/>
      <c r="K175" s="533"/>
    </row>
  </sheetData>
  <mergeCells count="7">
    <mergeCell ref="B1:M1"/>
    <mergeCell ref="A3:A4"/>
    <mergeCell ref="B3:B4"/>
    <mergeCell ref="C3:C4"/>
    <mergeCell ref="D3:K3"/>
    <mergeCell ref="L3:L4"/>
    <mergeCell ref="M3:M4"/>
  </mergeCells>
  <printOptions horizontalCentered="1"/>
  <pageMargins left="0.39370078740157483" right="0.39370078740157483" top="0.59055118110236227" bottom="0.39370078740157483" header="0.31496062992125984" footer="0.11811023622047245"/>
  <pageSetup paperSize="9" scale="80" firstPageNumber="233" fitToHeight="0" orientation="landscape" useFirstPageNumber="1" r:id="rId1"/>
  <headerFooter>
    <oddHeader>&amp;L&amp;"Tahoma,Kurzíva"Závěrečný účet za rok 2015&amp;R&amp;"Tahoma,Kurzíva"Tabulka č. 6</oddHeader>
    <oddFooter>&amp;C&amp;"Tahoma,Obyčejné"&amp;P</oddFooter>
  </headerFooter>
  <ignoredErrors>
    <ignoredError sqref="C5:L5 D6:L26 D28:L169 C169" unlockedFormula="1"/>
    <ignoredError sqref="C6:C26 C28:C35 C37:C38 C40:C43 C45:C49 C51:C76 C78:C141 C145:C158 C143 C160:C161 C163:C168" formulaRange="1" unlockedFormula="1"/>
    <ignoredError sqref="D27:L27" formula="1" unlockedFormula="1"/>
    <ignoredError sqref="C27 C36 C39 C44 C50 C77 C144 C142 C159 C162" formula="1" formulaRange="1"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B89"/>
  <sheetViews>
    <sheetView zoomScaleNormal="100" zoomScaleSheetLayoutView="100" workbookViewId="0">
      <selection activeCell="M3" sqref="M3"/>
    </sheetView>
  </sheetViews>
  <sheetFormatPr defaultRowHeight="12.75" x14ac:dyDescent="0.2"/>
  <cols>
    <col min="1" max="1" width="20.7109375" style="534" customWidth="1"/>
    <col min="2" max="2" width="7.42578125" style="546" customWidth="1"/>
    <col min="3" max="3" width="42.85546875" style="224" customWidth="1"/>
    <col min="4" max="4" width="19.5703125" style="224" customWidth="1"/>
    <col min="5" max="5" width="20" style="224" customWidth="1"/>
    <col min="6" max="6" width="16.5703125" style="224" customWidth="1"/>
    <col min="7" max="7" width="15.140625" style="224" customWidth="1"/>
    <col min="8" max="8" width="14.140625" style="536" customWidth="1"/>
    <col min="9" max="9" width="14.7109375" style="536" customWidth="1"/>
    <col min="10" max="10" width="14.28515625" style="536" customWidth="1"/>
    <col min="11" max="11" width="12.85546875" style="536" customWidth="1"/>
    <col min="12" max="12" width="10.85546875" style="536" customWidth="1"/>
    <col min="13" max="235" width="9.140625" style="224"/>
    <col min="236" max="236" width="13.140625" style="224" bestFit="1" customWidth="1"/>
    <col min="237" max="16384" width="9.140625" style="224"/>
  </cols>
  <sheetData>
    <row r="1" spans="1:12" s="550" customFormat="1" ht="9.75" customHeight="1" x14ac:dyDescent="0.2">
      <c r="A1" s="549"/>
      <c r="B1" s="549"/>
      <c r="E1" s="539"/>
      <c r="I1" s="551"/>
      <c r="J1" s="551"/>
      <c r="K1" s="551"/>
      <c r="L1" s="551"/>
    </row>
    <row r="2" spans="1:12" s="550" customFormat="1" ht="21" customHeight="1" x14ac:dyDescent="0.2">
      <c r="A2" s="1434" t="s">
        <v>1407</v>
      </c>
      <c r="B2" s="1434"/>
      <c r="C2" s="1434"/>
      <c r="D2" s="1434"/>
      <c r="E2" s="1434"/>
      <c r="F2" s="1434"/>
      <c r="G2" s="1434"/>
      <c r="H2" s="1434"/>
      <c r="I2" s="1434"/>
      <c r="J2" s="1434"/>
      <c r="K2" s="1434"/>
      <c r="L2" s="1434"/>
    </row>
    <row r="3" spans="1:12" s="550" customFormat="1" ht="12" customHeight="1" thickBot="1" x14ac:dyDescent="0.25">
      <c r="A3" s="553"/>
      <c r="B3" s="553"/>
      <c r="C3" s="553"/>
      <c r="D3" s="553"/>
      <c r="E3" s="553"/>
      <c r="F3" s="553"/>
      <c r="G3" s="553"/>
      <c r="H3" s="553"/>
      <c r="I3" s="553"/>
      <c r="J3" s="553"/>
      <c r="K3" s="553"/>
      <c r="L3" s="552" t="s">
        <v>1408</v>
      </c>
    </row>
    <row r="4" spans="1:12" s="535" customFormat="1" ht="45.75" customHeight="1" thickBot="1" x14ac:dyDescent="0.25">
      <c r="A4" s="554" t="s">
        <v>1409</v>
      </c>
      <c r="B4" s="555" t="s">
        <v>1410</v>
      </c>
      <c r="C4" s="555" t="s">
        <v>1411</v>
      </c>
      <c r="D4" s="631" t="s">
        <v>1412</v>
      </c>
      <c r="E4" s="555" t="s">
        <v>1494</v>
      </c>
      <c r="F4" s="555" t="s">
        <v>1495</v>
      </c>
      <c r="G4" s="555" t="s">
        <v>1413</v>
      </c>
      <c r="H4" s="555" t="s">
        <v>1414</v>
      </c>
      <c r="I4" s="555" t="s">
        <v>1415</v>
      </c>
      <c r="J4" s="556" t="s">
        <v>1416</v>
      </c>
      <c r="K4" s="557" t="s">
        <v>1417</v>
      </c>
      <c r="L4" s="558" t="s">
        <v>1418</v>
      </c>
    </row>
    <row r="5" spans="1:12" s="648" customFormat="1" x14ac:dyDescent="0.2">
      <c r="A5" s="1423" t="s">
        <v>1443</v>
      </c>
      <c r="B5" s="559">
        <v>33024</v>
      </c>
      <c r="C5" s="602" t="s">
        <v>1444</v>
      </c>
      <c r="D5" s="638">
        <v>112764</v>
      </c>
      <c r="E5" s="576">
        <v>97615</v>
      </c>
      <c r="F5" s="576">
        <v>15149</v>
      </c>
      <c r="G5" s="576">
        <v>7189</v>
      </c>
      <c r="H5" s="576">
        <v>7960</v>
      </c>
      <c r="I5" s="560">
        <v>7960</v>
      </c>
      <c r="J5" s="561">
        <v>0</v>
      </c>
      <c r="K5" s="562">
        <v>0</v>
      </c>
      <c r="L5" s="563">
        <v>0</v>
      </c>
    </row>
    <row r="6" spans="1:12" s="648" customFormat="1" ht="24" customHeight="1" x14ac:dyDescent="0.2">
      <c r="A6" s="1423"/>
      <c r="B6" s="564">
        <v>33025</v>
      </c>
      <c r="C6" s="569" t="s">
        <v>1445</v>
      </c>
      <c r="D6" s="639">
        <v>537200</v>
      </c>
      <c r="E6" s="580">
        <v>536670</v>
      </c>
      <c r="F6" s="580">
        <v>530</v>
      </c>
      <c r="G6" s="580">
        <v>10</v>
      </c>
      <c r="H6" s="580">
        <v>520</v>
      </c>
      <c r="I6" s="565">
        <v>520</v>
      </c>
      <c r="J6" s="566">
        <v>0</v>
      </c>
      <c r="K6" s="567">
        <v>0</v>
      </c>
      <c r="L6" s="568">
        <v>0</v>
      </c>
    </row>
    <row r="7" spans="1:12" s="648" customFormat="1" ht="31.5" x14ac:dyDescent="0.2">
      <c r="A7" s="1423"/>
      <c r="B7" s="564">
        <v>33034</v>
      </c>
      <c r="C7" s="569" t="s">
        <v>1446</v>
      </c>
      <c r="D7" s="639">
        <v>1465686</v>
      </c>
      <c r="E7" s="580">
        <v>1437287</v>
      </c>
      <c r="F7" s="580">
        <v>28399</v>
      </c>
      <c r="G7" s="580">
        <v>28399</v>
      </c>
      <c r="H7" s="580">
        <v>0</v>
      </c>
      <c r="I7" s="565">
        <v>0</v>
      </c>
      <c r="J7" s="566">
        <v>0</v>
      </c>
      <c r="K7" s="567">
        <v>0</v>
      </c>
      <c r="L7" s="568">
        <v>0</v>
      </c>
    </row>
    <row r="8" spans="1:12" s="648" customFormat="1" x14ac:dyDescent="0.2">
      <c r="A8" s="1423"/>
      <c r="B8" s="564">
        <v>33038</v>
      </c>
      <c r="C8" s="569" t="s">
        <v>1447</v>
      </c>
      <c r="D8" s="639">
        <v>1764698</v>
      </c>
      <c r="E8" s="580">
        <v>1764698</v>
      </c>
      <c r="F8" s="580">
        <v>0</v>
      </c>
      <c r="G8" s="580">
        <v>0</v>
      </c>
      <c r="H8" s="580">
        <v>0</v>
      </c>
      <c r="I8" s="565">
        <v>0</v>
      </c>
      <c r="J8" s="566">
        <v>0</v>
      </c>
      <c r="K8" s="567">
        <v>0</v>
      </c>
      <c r="L8" s="568">
        <v>0</v>
      </c>
    </row>
    <row r="9" spans="1:12" s="657" customFormat="1" x14ac:dyDescent="0.2">
      <c r="A9" s="1423"/>
      <c r="B9" s="564">
        <v>33040</v>
      </c>
      <c r="C9" s="603" t="s">
        <v>1448</v>
      </c>
      <c r="D9" s="639">
        <v>156000</v>
      </c>
      <c r="E9" s="580">
        <v>156000</v>
      </c>
      <c r="F9" s="580">
        <v>0</v>
      </c>
      <c r="G9" s="580">
        <v>0</v>
      </c>
      <c r="H9" s="580">
        <v>0</v>
      </c>
      <c r="I9" s="565">
        <v>0</v>
      </c>
      <c r="J9" s="566">
        <v>0</v>
      </c>
      <c r="K9" s="567">
        <v>0</v>
      </c>
      <c r="L9" s="568">
        <v>0</v>
      </c>
    </row>
    <row r="10" spans="1:12" s="657" customFormat="1" x14ac:dyDescent="0.2">
      <c r="A10" s="1423"/>
      <c r="B10" s="564">
        <v>33043</v>
      </c>
      <c r="C10" s="604" t="s">
        <v>1449</v>
      </c>
      <c r="D10" s="639">
        <v>163730</v>
      </c>
      <c r="E10" s="580">
        <v>163730</v>
      </c>
      <c r="F10" s="580">
        <v>0</v>
      </c>
      <c r="G10" s="580">
        <v>0</v>
      </c>
      <c r="H10" s="580">
        <v>0</v>
      </c>
      <c r="I10" s="565">
        <v>0</v>
      </c>
      <c r="J10" s="566">
        <v>0</v>
      </c>
      <c r="K10" s="567">
        <v>0</v>
      </c>
      <c r="L10" s="568">
        <v>0</v>
      </c>
    </row>
    <row r="11" spans="1:12" s="657" customFormat="1" ht="24" customHeight="1" x14ac:dyDescent="0.2">
      <c r="A11" s="1423"/>
      <c r="B11" s="605">
        <v>33044</v>
      </c>
      <c r="C11" s="606" t="s">
        <v>1450</v>
      </c>
      <c r="D11" s="639">
        <v>1195361</v>
      </c>
      <c r="E11" s="580">
        <v>1195324</v>
      </c>
      <c r="F11" s="580">
        <v>37</v>
      </c>
      <c r="G11" s="580">
        <v>37</v>
      </c>
      <c r="H11" s="580">
        <v>0</v>
      </c>
      <c r="I11" s="565">
        <v>0</v>
      </c>
      <c r="J11" s="566">
        <v>0</v>
      </c>
      <c r="K11" s="567">
        <v>0</v>
      </c>
      <c r="L11" s="568">
        <v>0</v>
      </c>
    </row>
    <row r="12" spans="1:12" s="657" customFormat="1" x14ac:dyDescent="0.2">
      <c r="A12" s="1423"/>
      <c r="B12" s="564">
        <v>33049</v>
      </c>
      <c r="C12" s="603" t="s">
        <v>1451</v>
      </c>
      <c r="D12" s="639">
        <v>22986682</v>
      </c>
      <c r="E12" s="580">
        <v>22986682</v>
      </c>
      <c r="F12" s="580">
        <v>0</v>
      </c>
      <c r="G12" s="580">
        <v>0</v>
      </c>
      <c r="H12" s="580">
        <v>0</v>
      </c>
      <c r="I12" s="565">
        <v>0</v>
      </c>
      <c r="J12" s="566">
        <v>0</v>
      </c>
      <c r="K12" s="567">
        <v>0</v>
      </c>
      <c r="L12" s="568">
        <v>0</v>
      </c>
    </row>
    <row r="13" spans="1:12" s="657" customFormat="1" ht="24" customHeight="1" x14ac:dyDescent="0.2">
      <c r="A13" s="1423"/>
      <c r="B13" s="605">
        <v>33050</v>
      </c>
      <c r="C13" s="606" t="s">
        <v>1452</v>
      </c>
      <c r="D13" s="639">
        <v>9890775</v>
      </c>
      <c r="E13" s="580">
        <v>9661198.1500000004</v>
      </c>
      <c r="F13" s="580">
        <v>229576.84999999963</v>
      </c>
      <c r="G13" s="580">
        <v>192450.85</v>
      </c>
      <c r="H13" s="580">
        <v>37125.999999999622</v>
      </c>
      <c r="I13" s="565">
        <v>37126</v>
      </c>
      <c r="J13" s="566">
        <v>0</v>
      </c>
      <c r="K13" s="567">
        <v>0</v>
      </c>
      <c r="L13" s="568">
        <v>0</v>
      </c>
    </row>
    <row r="14" spans="1:12" s="657" customFormat="1" x14ac:dyDescent="0.2">
      <c r="A14" s="1423"/>
      <c r="B14" s="607">
        <v>33052</v>
      </c>
      <c r="C14" s="608" t="s">
        <v>1453</v>
      </c>
      <c r="D14" s="639">
        <v>263471393</v>
      </c>
      <c r="E14" s="580">
        <v>263471393</v>
      </c>
      <c r="F14" s="580">
        <v>0</v>
      </c>
      <c r="G14" s="580">
        <v>0</v>
      </c>
      <c r="H14" s="580">
        <v>0</v>
      </c>
      <c r="I14" s="565">
        <v>0</v>
      </c>
      <c r="J14" s="566">
        <v>0</v>
      </c>
      <c r="K14" s="567">
        <v>0</v>
      </c>
      <c r="L14" s="568">
        <v>0</v>
      </c>
    </row>
    <row r="15" spans="1:12" s="657" customFormat="1" x14ac:dyDescent="0.2">
      <c r="A15" s="1423"/>
      <c r="B15" s="595">
        <v>33059</v>
      </c>
      <c r="C15" s="606" t="s">
        <v>1454</v>
      </c>
      <c r="D15" s="639">
        <v>5810313</v>
      </c>
      <c r="E15" s="580">
        <v>5807970</v>
      </c>
      <c r="F15" s="580">
        <v>2343</v>
      </c>
      <c r="G15" s="580">
        <v>2316</v>
      </c>
      <c r="H15" s="580">
        <v>27</v>
      </c>
      <c r="I15" s="565">
        <v>27</v>
      </c>
      <c r="J15" s="566">
        <v>0</v>
      </c>
      <c r="K15" s="567">
        <v>0</v>
      </c>
      <c r="L15" s="568">
        <v>0</v>
      </c>
    </row>
    <row r="16" spans="1:12" s="657" customFormat="1" x14ac:dyDescent="0.2">
      <c r="A16" s="1423"/>
      <c r="B16" s="595">
        <v>33060</v>
      </c>
      <c r="C16" s="606" t="s">
        <v>1455</v>
      </c>
      <c r="D16" s="639">
        <v>329390</v>
      </c>
      <c r="E16" s="580">
        <v>329148</v>
      </c>
      <c r="F16" s="580">
        <v>242</v>
      </c>
      <c r="G16" s="580">
        <v>242</v>
      </c>
      <c r="H16" s="580">
        <v>0</v>
      </c>
      <c r="I16" s="565">
        <v>0</v>
      </c>
      <c r="J16" s="566">
        <v>0</v>
      </c>
      <c r="K16" s="567">
        <v>0</v>
      </c>
      <c r="L16" s="568">
        <v>0</v>
      </c>
    </row>
    <row r="17" spans="1:12" s="657" customFormat="1" ht="21" x14ac:dyDescent="0.2">
      <c r="A17" s="1423"/>
      <c r="B17" s="595">
        <v>33061</v>
      </c>
      <c r="C17" s="606" t="s">
        <v>1456</v>
      </c>
      <c r="D17" s="639">
        <v>45688338</v>
      </c>
      <c r="E17" s="580">
        <v>45688338</v>
      </c>
      <c r="F17" s="580">
        <v>0</v>
      </c>
      <c r="G17" s="580">
        <v>0</v>
      </c>
      <c r="H17" s="580">
        <v>0</v>
      </c>
      <c r="I17" s="565">
        <v>0</v>
      </c>
      <c r="J17" s="566">
        <v>0</v>
      </c>
      <c r="K17" s="567">
        <v>0</v>
      </c>
      <c r="L17" s="568">
        <v>0</v>
      </c>
    </row>
    <row r="18" spans="1:12" s="657" customFormat="1" x14ac:dyDescent="0.2">
      <c r="A18" s="1423"/>
      <c r="B18" s="559">
        <v>33122</v>
      </c>
      <c r="C18" s="602" t="s">
        <v>1457</v>
      </c>
      <c r="D18" s="639">
        <v>151900</v>
      </c>
      <c r="E18" s="580">
        <v>111900</v>
      </c>
      <c r="F18" s="580">
        <v>40000</v>
      </c>
      <c r="G18" s="580">
        <v>40000</v>
      </c>
      <c r="H18" s="580">
        <v>0</v>
      </c>
      <c r="I18" s="565">
        <v>0</v>
      </c>
      <c r="J18" s="566">
        <v>0</v>
      </c>
      <c r="K18" s="567">
        <v>0</v>
      </c>
      <c r="L18" s="568">
        <v>0</v>
      </c>
    </row>
    <row r="19" spans="1:12" s="657" customFormat="1" x14ac:dyDescent="0.2">
      <c r="A19" s="1423"/>
      <c r="B19" s="564">
        <v>33155</v>
      </c>
      <c r="C19" s="569" t="s">
        <v>1458</v>
      </c>
      <c r="D19" s="639">
        <v>603719000</v>
      </c>
      <c r="E19" s="580">
        <v>603292971</v>
      </c>
      <c r="F19" s="580">
        <v>426029</v>
      </c>
      <c r="G19" s="580">
        <v>0</v>
      </c>
      <c r="H19" s="580">
        <v>426029</v>
      </c>
      <c r="I19" s="565">
        <v>426029</v>
      </c>
      <c r="J19" s="566">
        <v>0</v>
      </c>
      <c r="K19" s="567">
        <v>0</v>
      </c>
      <c r="L19" s="568">
        <v>0</v>
      </c>
    </row>
    <row r="20" spans="1:12" s="657" customFormat="1" x14ac:dyDescent="0.2">
      <c r="A20" s="1423"/>
      <c r="B20" s="564">
        <v>33160</v>
      </c>
      <c r="C20" s="569" t="s">
        <v>1459</v>
      </c>
      <c r="D20" s="639">
        <v>329800</v>
      </c>
      <c r="E20" s="580">
        <v>210681</v>
      </c>
      <c r="F20" s="580">
        <v>119119</v>
      </c>
      <c r="G20" s="580">
        <v>73847</v>
      </c>
      <c r="H20" s="580">
        <v>45272</v>
      </c>
      <c r="I20" s="565">
        <v>44106</v>
      </c>
      <c r="J20" s="566">
        <v>1166</v>
      </c>
      <c r="K20" s="567">
        <v>0</v>
      </c>
      <c r="L20" s="568">
        <v>0</v>
      </c>
    </row>
    <row r="21" spans="1:12" s="657" customFormat="1" x14ac:dyDescent="0.2">
      <c r="A21" s="1423"/>
      <c r="B21" s="564">
        <v>33163</v>
      </c>
      <c r="C21" s="569" t="s">
        <v>1460</v>
      </c>
      <c r="D21" s="639">
        <v>103899</v>
      </c>
      <c r="E21" s="580">
        <v>103899</v>
      </c>
      <c r="F21" s="580">
        <v>0</v>
      </c>
      <c r="G21" s="580">
        <v>0</v>
      </c>
      <c r="H21" s="580">
        <v>0</v>
      </c>
      <c r="I21" s="565">
        <v>0</v>
      </c>
      <c r="J21" s="566">
        <v>0</v>
      </c>
      <c r="K21" s="567">
        <v>0</v>
      </c>
      <c r="L21" s="568">
        <v>0</v>
      </c>
    </row>
    <row r="22" spans="1:12" s="657" customFormat="1" x14ac:dyDescent="0.2">
      <c r="A22" s="1423"/>
      <c r="B22" s="564">
        <v>33166</v>
      </c>
      <c r="C22" s="569" t="s">
        <v>1461</v>
      </c>
      <c r="D22" s="639">
        <v>2049000</v>
      </c>
      <c r="E22" s="580">
        <v>2049000</v>
      </c>
      <c r="F22" s="580">
        <v>0</v>
      </c>
      <c r="G22" s="580">
        <v>0</v>
      </c>
      <c r="H22" s="580">
        <v>0</v>
      </c>
      <c r="I22" s="565">
        <v>0</v>
      </c>
      <c r="J22" s="566">
        <v>0</v>
      </c>
      <c r="K22" s="567">
        <v>0</v>
      </c>
      <c r="L22" s="568">
        <v>0</v>
      </c>
    </row>
    <row r="23" spans="1:12" s="657" customFormat="1" ht="21" x14ac:dyDescent="0.2">
      <c r="A23" s="1423"/>
      <c r="B23" s="564">
        <v>33192</v>
      </c>
      <c r="C23" s="569" t="s">
        <v>1462</v>
      </c>
      <c r="D23" s="639">
        <v>143334</v>
      </c>
      <c r="E23" s="580">
        <v>138626</v>
      </c>
      <c r="F23" s="580">
        <v>4708</v>
      </c>
      <c r="G23" s="580">
        <v>0</v>
      </c>
      <c r="H23" s="580">
        <v>4708</v>
      </c>
      <c r="I23" s="565">
        <v>4708</v>
      </c>
      <c r="J23" s="566">
        <v>0</v>
      </c>
      <c r="K23" s="567">
        <v>0</v>
      </c>
      <c r="L23" s="568">
        <v>0</v>
      </c>
    </row>
    <row r="24" spans="1:12" s="657" customFormat="1" ht="21" x14ac:dyDescent="0.2">
      <c r="A24" s="1423"/>
      <c r="B24" s="564">
        <v>33215</v>
      </c>
      <c r="C24" s="569" t="s">
        <v>1463</v>
      </c>
      <c r="D24" s="639">
        <v>1915299</v>
      </c>
      <c r="E24" s="580">
        <v>1781249.68</v>
      </c>
      <c r="F24" s="580">
        <v>134049.32000000007</v>
      </c>
      <c r="G24" s="580">
        <v>113881.32</v>
      </c>
      <c r="H24" s="580">
        <v>20168.000000000058</v>
      </c>
      <c r="I24" s="565">
        <v>20167</v>
      </c>
      <c r="J24" s="566">
        <v>1</v>
      </c>
      <c r="K24" s="567">
        <v>0</v>
      </c>
      <c r="L24" s="568">
        <v>0</v>
      </c>
    </row>
    <row r="25" spans="1:12" s="657" customFormat="1" x14ac:dyDescent="0.2">
      <c r="A25" s="1423"/>
      <c r="B25" s="564">
        <v>33244</v>
      </c>
      <c r="C25" s="569" t="s">
        <v>1451</v>
      </c>
      <c r="D25" s="639">
        <v>118672</v>
      </c>
      <c r="E25" s="580">
        <v>118672</v>
      </c>
      <c r="F25" s="580">
        <v>0</v>
      </c>
      <c r="G25" s="580">
        <v>0</v>
      </c>
      <c r="H25" s="580">
        <v>0</v>
      </c>
      <c r="I25" s="565">
        <v>0</v>
      </c>
      <c r="J25" s="566">
        <v>0</v>
      </c>
      <c r="K25" s="567">
        <v>0</v>
      </c>
      <c r="L25" s="568">
        <v>0</v>
      </c>
    </row>
    <row r="26" spans="1:12" s="657" customFormat="1" x14ac:dyDescent="0.2">
      <c r="A26" s="1423"/>
      <c r="B26" s="564">
        <v>33264</v>
      </c>
      <c r="C26" s="569" t="s">
        <v>1464</v>
      </c>
      <c r="D26" s="639">
        <v>200000</v>
      </c>
      <c r="E26" s="580">
        <v>200000</v>
      </c>
      <c r="F26" s="580">
        <v>0</v>
      </c>
      <c r="G26" s="580">
        <v>0</v>
      </c>
      <c r="H26" s="580">
        <v>0</v>
      </c>
      <c r="I26" s="565">
        <v>0</v>
      </c>
      <c r="J26" s="566">
        <v>0</v>
      </c>
      <c r="K26" s="567">
        <v>0</v>
      </c>
      <c r="L26" s="568">
        <v>0</v>
      </c>
    </row>
    <row r="27" spans="1:12" s="657" customFormat="1" x14ac:dyDescent="0.2">
      <c r="A27" s="1423"/>
      <c r="B27" s="564">
        <v>33353</v>
      </c>
      <c r="C27" s="569" t="s">
        <v>1465</v>
      </c>
      <c r="D27" s="639">
        <v>9079025000</v>
      </c>
      <c r="E27" s="580">
        <v>9079025000</v>
      </c>
      <c r="F27" s="580">
        <v>0</v>
      </c>
      <c r="G27" s="580">
        <v>0</v>
      </c>
      <c r="H27" s="580">
        <v>0</v>
      </c>
      <c r="I27" s="565">
        <v>0</v>
      </c>
      <c r="J27" s="566">
        <v>0</v>
      </c>
      <c r="K27" s="567">
        <v>0</v>
      </c>
      <c r="L27" s="568">
        <v>0</v>
      </c>
    </row>
    <row r="28" spans="1:12" s="657" customFormat="1" x14ac:dyDescent="0.2">
      <c r="A28" s="1423"/>
      <c r="B28" s="564">
        <v>33354</v>
      </c>
      <c r="C28" s="569" t="s">
        <v>1466</v>
      </c>
      <c r="D28" s="639">
        <v>12581500</v>
      </c>
      <c r="E28" s="580">
        <v>12581500</v>
      </c>
      <c r="F28" s="580">
        <v>0</v>
      </c>
      <c r="G28" s="580">
        <v>0</v>
      </c>
      <c r="H28" s="580">
        <v>0</v>
      </c>
      <c r="I28" s="565">
        <v>0</v>
      </c>
      <c r="J28" s="566">
        <v>0</v>
      </c>
      <c r="K28" s="567">
        <v>0</v>
      </c>
      <c r="L28" s="568">
        <v>0</v>
      </c>
    </row>
    <row r="29" spans="1:12" s="657" customFormat="1" ht="34.5" customHeight="1" x14ac:dyDescent="0.2">
      <c r="A29" s="1423"/>
      <c r="B29" s="570">
        <v>33435</v>
      </c>
      <c r="C29" s="609" t="s">
        <v>1467</v>
      </c>
      <c r="D29" s="640">
        <v>12390</v>
      </c>
      <c r="E29" s="610">
        <v>12390</v>
      </c>
      <c r="F29" s="610">
        <v>0</v>
      </c>
      <c r="G29" s="610">
        <v>0</v>
      </c>
      <c r="H29" s="610">
        <v>0</v>
      </c>
      <c r="I29" s="571">
        <v>0</v>
      </c>
      <c r="J29" s="572">
        <v>0</v>
      </c>
      <c r="K29" s="573">
        <v>0</v>
      </c>
      <c r="L29" s="574">
        <v>0</v>
      </c>
    </row>
    <row r="30" spans="1:12" s="657" customFormat="1" ht="24" customHeight="1" x14ac:dyDescent="0.2">
      <c r="A30" s="1423"/>
      <c r="B30" s="595">
        <v>33457</v>
      </c>
      <c r="C30" s="596" t="s">
        <v>1468</v>
      </c>
      <c r="D30" s="639">
        <v>11705395</v>
      </c>
      <c r="E30" s="580">
        <v>11611335</v>
      </c>
      <c r="F30" s="580">
        <v>94060</v>
      </c>
      <c r="G30" s="580">
        <v>94060</v>
      </c>
      <c r="H30" s="580">
        <v>0</v>
      </c>
      <c r="I30" s="586">
        <v>0</v>
      </c>
      <c r="J30" s="587">
        <v>0</v>
      </c>
      <c r="K30" s="586">
        <v>0</v>
      </c>
      <c r="L30" s="588">
        <v>0</v>
      </c>
    </row>
    <row r="31" spans="1:12" s="657" customFormat="1" ht="24" customHeight="1" x14ac:dyDescent="0.2">
      <c r="A31" s="1423"/>
      <c r="B31" s="595">
        <v>33019</v>
      </c>
      <c r="C31" s="596" t="s">
        <v>1469</v>
      </c>
      <c r="D31" s="639">
        <v>2117086.33</v>
      </c>
      <c r="E31" s="580">
        <v>2117086.33</v>
      </c>
      <c r="F31" s="580">
        <v>0</v>
      </c>
      <c r="G31" s="580">
        <v>0</v>
      </c>
      <c r="H31" s="580">
        <v>0</v>
      </c>
      <c r="I31" s="586">
        <v>0</v>
      </c>
      <c r="J31" s="587">
        <v>0</v>
      </c>
      <c r="K31" s="586">
        <v>0</v>
      </c>
      <c r="L31" s="588">
        <v>0</v>
      </c>
    </row>
    <row r="32" spans="1:12" s="657" customFormat="1" ht="24" customHeight="1" x14ac:dyDescent="0.2">
      <c r="A32" s="1423"/>
      <c r="B32" s="611" t="s">
        <v>1470</v>
      </c>
      <c r="C32" s="612" t="s">
        <v>1471</v>
      </c>
      <c r="D32" s="640">
        <v>25362192.390000001</v>
      </c>
      <c r="E32" s="610">
        <v>25362192.390000001</v>
      </c>
      <c r="F32" s="610">
        <v>0</v>
      </c>
      <c r="G32" s="610">
        <v>0</v>
      </c>
      <c r="H32" s="610">
        <v>0</v>
      </c>
      <c r="I32" s="613">
        <v>0</v>
      </c>
      <c r="J32" s="614">
        <v>0</v>
      </c>
      <c r="K32" s="613">
        <v>0</v>
      </c>
      <c r="L32" s="615">
        <v>0</v>
      </c>
    </row>
    <row r="33" spans="1:236" s="654" customFormat="1" ht="15.75" customHeight="1" x14ac:dyDescent="0.2">
      <c r="A33" s="675" t="s">
        <v>1499</v>
      </c>
      <c r="B33" s="661"/>
      <c r="C33" s="662"/>
      <c r="D33" s="647">
        <v>10093106797.719999</v>
      </c>
      <c r="E33" s="647">
        <v>10092012555.549999</v>
      </c>
      <c r="F33" s="647">
        <v>1094242.1699999997</v>
      </c>
      <c r="G33" s="647">
        <v>552432.16999999993</v>
      </c>
      <c r="H33" s="647">
        <v>541809.99999999977</v>
      </c>
      <c r="I33" s="647">
        <v>540643</v>
      </c>
      <c r="J33" s="647">
        <v>1167</v>
      </c>
      <c r="K33" s="647">
        <v>0</v>
      </c>
      <c r="L33" s="653">
        <v>0</v>
      </c>
    </row>
    <row r="34" spans="1:236" s="654" customFormat="1" x14ac:dyDescent="0.2">
      <c r="A34" s="1422" t="s">
        <v>1477</v>
      </c>
      <c r="B34" s="669">
        <v>91252</v>
      </c>
      <c r="C34" s="670" t="s">
        <v>1478</v>
      </c>
      <c r="D34" s="671">
        <v>662354</v>
      </c>
      <c r="E34" s="672">
        <v>662354</v>
      </c>
      <c r="F34" s="673">
        <v>0</v>
      </c>
      <c r="G34" s="673">
        <v>0</v>
      </c>
      <c r="H34" s="576">
        <v>0</v>
      </c>
      <c r="I34" s="599">
        <v>0</v>
      </c>
      <c r="J34" s="600">
        <v>0</v>
      </c>
      <c r="K34" s="599">
        <v>0</v>
      </c>
      <c r="L34" s="601">
        <v>0</v>
      </c>
    </row>
    <row r="35" spans="1:236" s="654" customFormat="1" x14ac:dyDescent="0.2">
      <c r="A35" s="1422"/>
      <c r="B35" s="617">
        <v>91628</v>
      </c>
      <c r="C35" s="618" t="s">
        <v>1479</v>
      </c>
      <c r="D35" s="641">
        <v>112653105.62</v>
      </c>
      <c r="E35" s="619">
        <v>112653105.62</v>
      </c>
      <c r="F35" s="591">
        <v>0</v>
      </c>
      <c r="G35" s="591">
        <v>0</v>
      </c>
      <c r="H35" s="677">
        <v>0</v>
      </c>
      <c r="I35" s="593">
        <v>0</v>
      </c>
      <c r="J35" s="620">
        <v>0</v>
      </c>
      <c r="K35" s="593">
        <v>0</v>
      </c>
      <c r="L35" s="621">
        <v>0</v>
      </c>
    </row>
    <row r="36" spans="1:236" s="654" customFormat="1" ht="15.75" customHeight="1" x14ac:dyDescent="0.2">
      <c r="A36" s="1424" t="s">
        <v>1502</v>
      </c>
      <c r="B36" s="1425"/>
      <c r="C36" s="1426"/>
      <c r="D36" s="647">
        <v>113315459.62</v>
      </c>
      <c r="E36" s="647">
        <v>113315459.62</v>
      </c>
      <c r="F36" s="647">
        <v>0</v>
      </c>
      <c r="G36" s="647">
        <v>0</v>
      </c>
      <c r="H36" s="647">
        <v>0</v>
      </c>
      <c r="I36" s="647">
        <v>0</v>
      </c>
      <c r="J36" s="647">
        <v>0</v>
      </c>
      <c r="K36" s="647">
        <v>0</v>
      </c>
      <c r="L36" s="653">
        <v>0</v>
      </c>
      <c r="IB36" s="658"/>
    </row>
    <row r="37" spans="1:236" s="654" customFormat="1" ht="24" customHeight="1" x14ac:dyDescent="0.2">
      <c r="A37" s="622" t="s">
        <v>1486</v>
      </c>
      <c r="B37" s="626">
        <v>27355</v>
      </c>
      <c r="C37" s="628" t="s">
        <v>1487</v>
      </c>
      <c r="D37" s="642">
        <v>207978937</v>
      </c>
      <c r="E37" s="591">
        <v>207978937</v>
      </c>
      <c r="F37" s="591">
        <v>0</v>
      </c>
      <c r="G37" s="591">
        <v>0</v>
      </c>
      <c r="H37" s="677">
        <v>0</v>
      </c>
      <c r="I37" s="591">
        <v>0</v>
      </c>
      <c r="J37" s="592">
        <v>0</v>
      </c>
      <c r="K37" s="593">
        <v>0</v>
      </c>
      <c r="L37" s="621">
        <v>0</v>
      </c>
    </row>
    <row r="38" spans="1:236" s="654" customFormat="1" ht="15.75" customHeight="1" x14ac:dyDescent="0.2">
      <c r="A38" s="1429" t="s">
        <v>1505</v>
      </c>
      <c r="B38" s="1430"/>
      <c r="C38" s="1430"/>
      <c r="D38" s="666">
        <v>207978937</v>
      </c>
      <c r="E38" s="666">
        <v>207978937</v>
      </c>
      <c r="F38" s="666">
        <v>0</v>
      </c>
      <c r="G38" s="666">
        <v>0</v>
      </c>
      <c r="H38" s="666">
        <v>0</v>
      </c>
      <c r="I38" s="666">
        <v>0</v>
      </c>
      <c r="J38" s="667">
        <v>0</v>
      </c>
      <c r="K38" s="668">
        <v>0</v>
      </c>
      <c r="L38" s="676">
        <v>0</v>
      </c>
    </row>
    <row r="39" spans="1:236" s="654" customFormat="1" ht="24" customHeight="1" x14ac:dyDescent="0.2">
      <c r="A39" s="1423" t="s">
        <v>1435</v>
      </c>
      <c r="B39" s="597">
        <v>13305</v>
      </c>
      <c r="C39" s="598" t="s">
        <v>1436</v>
      </c>
      <c r="D39" s="660">
        <v>1002364000</v>
      </c>
      <c r="E39" s="599">
        <v>1002364000</v>
      </c>
      <c r="F39" s="599">
        <v>0</v>
      </c>
      <c r="G39" s="599">
        <v>0</v>
      </c>
      <c r="H39" s="576">
        <v>0</v>
      </c>
      <c r="I39" s="599">
        <v>0</v>
      </c>
      <c r="J39" s="600">
        <v>0</v>
      </c>
      <c r="K39" s="599">
        <v>0</v>
      </c>
      <c r="L39" s="601">
        <v>0</v>
      </c>
    </row>
    <row r="40" spans="1:236" s="654" customFormat="1" ht="24" customHeight="1" x14ac:dyDescent="0.2">
      <c r="A40" s="1423"/>
      <c r="B40" s="590">
        <v>13307</v>
      </c>
      <c r="C40" s="629" t="s">
        <v>1437</v>
      </c>
      <c r="D40" s="634">
        <v>24300000</v>
      </c>
      <c r="E40" s="591">
        <v>22051400</v>
      </c>
      <c r="F40" s="591">
        <v>2248600</v>
      </c>
      <c r="G40" s="591">
        <v>0</v>
      </c>
      <c r="H40" s="610">
        <v>2248600</v>
      </c>
      <c r="I40" s="591">
        <v>0</v>
      </c>
      <c r="J40" s="592">
        <v>2248600</v>
      </c>
      <c r="K40" s="593">
        <v>0</v>
      </c>
      <c r="L40" s="594">
        <v>0</v>
      </c>
    </row>
    <row r="41" spans="1:236" s="648" customFormat="1" ht="24" customHeight="1" x14ac:dyDescent="0.2">
      <c r="A41" s="1423"/>
      <c r="B41" s="595">
        <v>13015</v>
      </c>
      <c r="C41" s="596" t="s">
        <v>1438</v>
      </c>
      <c r="D41" s="637">
        <v>2454000</v>
      </c>
      <c r="E41" s="586">
        <v>1313050.96</v>
      </c>
      <c r="F41" s="586">
        <v>1140949.04</v>
      </c>
      <c r="G41" s="586">
        <v>0</v>
      </c>
      <c r="H41" s="580">
        <v>1140949.04</v>
      </c>
      <c r="I41" s="586">
        <v>0</v>
      </c>
      <c r="J41" s="586">
        <v>1140949.04</v>
      </c>
      <c r="K41" s="586">
        <v>0</v>
      </c>
      <c r="L41" s="594">
        <v>0</v>
      </c>
    </row>
    <row r="42" spans="1:236" s="648" customFormat="1" ht="24" customHeight="1" x14ac:dyDescent="0.2">
      <c r="A42" s="1423"/>
      <c r="B42" s="589" t="s">
        <v>1439</v>
      </c>
      <c r="C42" s="596" t="s">
        <v>1440</v>
      </c>
      <c r="D42" s="637">
        <v>21162331.75</v>
      </c>
      <c r="E42" s="586">
        <v>21162331.75</v>
      </c>
      <c r="F42" s="586">
        <v>0</v>
      </c>
      <c r="G42" s="586">
        <v>0</v>
      </c>
      <c r="H42" s="580">
        <v>0</v>
      </c>
      <c r="I42" s="586">
        <v>0</v>
      </c>
      <c r="J42" s="586">
        <v>0</v>
      </c>
      <c r="K42" s="586">
        <v>0</v>
      </c>
      <c r="L42" s="594">
        <v>0</v>
      </c>
    </row>
    <row r="43" spans="1:236" s="657" customFormat="1" ht="24" customHeight="1" x14ac:dyDescent="0.2">
      <c r="A43" s="1423"/>
      <c r="B43" s="595">
        <v>13233</v>
      </c>
      <c r="C43" s="596" t="s">
        <v>1441</v>
      </c>
      <c r="D43" s="1307">
        <v>280833628.57999998</v>
      </c>
      <c r="E43" s="586">
        <v>255719982.94</v>
      </c>
      <c r="F43" s="1308">
        <v>25113645.640000001</v>
      </c>
      <c r="G43" s="580">
        <v>25113645.640000001</v>
      </c>
      <c r="H43" s="580">
        <v>0</v>
      </c>
      <c r="I43" s="586">
        <v>0</v>
      </c>
      <c r="J43" s="587">
        <v>0</v>
      </c>
      <c r="K43" s="586">
        <v>0</v>
      </c>
      <c r="L43" s="588">
        <v>0</v>
      </c>
    </row>
    <row r="44" spans="1:236" s="657" customFormat="1" ht="24" customHeight="1" x14ac:dyDescent="0.2">
      <c r="A44" s="1423"/>
      <c r="B44" s="597">
        <v>13233</v>
      </c>
      <c r="C44" s="612" t="s">
        <v>1442</v>
      </c>
      <c r="D44" s="640">
        <v>16804158.280000001</v>
      </c>
      <c r="E44" s="591">
        <v>16266299.710000001</v>
      </c>
      <c r="F44" s="610">
        <v>537858.56999999995</v>
      </c>
      <c r="G44" s="610">
        <v>535910.38</v>
      </c>
      <c r="H44" s="610">
        <v>1948.19</v>
      </c>
      <c r="I44" s="613">
        <v>1948.19</v>
      </c>
      <c r="J44" s="614">
        <v>0</v>
      </c>
      <c r="K44" s="613">
        <v>0</v>
      </c>
      <c r="L44" s="615">
        <v>0</v>
      </c>
    </row>
    <row r="45" spans="1:236" s="654" customFormat="1" ht="15.75" customHeight="1" x14ac:dyDescent="0.2">
      <c r="A45" s="675" t="s">
        <v>1498</v>
      </c>
      <c r="B45" s="661"/>
      <c r="C45" s="662"/>
      <c r="D45" s="647">
        <v>1347918118.6099999</v>
      </c>
      <c r="E45" s="647">
        <v>1318877065.3600001</v>
      </c>
      <c r="F45" s="647">
        <v>29041053.25</v>
      </c>
      <c r="G45" s="647">
        <v>25649556.02</v>
      </c>
      <c r="H45" s="647">
        <v>3391497.23</v>
      </c>
      <c r="I45" s="647">
        <v>1948.19</v>
      </c>
      <c r="J45" s="647">
        <v>3389549.04</v>
      </c>
      <c r="K45" s="647">
        <v>0</v>
      </c>
      <c r="L45" s="653">
        <v>0</v>
      </c>
    </row>
    <row r="46" spans="1:236" s="654" customFormat="1" ht="12.75" customHeight="1" x14ac:dyDescent="0.2">
      <c r="A46" s="1423" t="s">
        <v>1475</v>
      </c>
      <c r="B46" s="617">
        <v>15340</v>
      </c>
      <c r="C46" s="618" t="s">
        <v>1507</v>
      </c>
      <c r="D46" s="641">
        <v>180000</v>
      </c>
      <c r="E46" s="619">
        <v>180000</v>
      </c>
      <c r="F46" s="591">
        <v>0</v>
      </c>
      <c r="G46" s="591">
        <v>0</v>
      </c>
      <c r="H46" s="677">
        <v>0</v>
      </c>
      <c r="I46" s="593">
        <v>0</v>
      </c>
      <c r="J46" s="620">
        <v>0</v>
      </c>
      <c r="K46" s="593">
        <v>0</v>
      </c>
      <c r="L46" s="621">
        <v>0</v>
      </c>
    </row>
    <row r="47" spans="1:236" s="657" customFormat="1" ht="45" customHeight="1" x14ac:dyDescent="0.2">
      <c r="A47" s="1423"/>
      <c r="B47" s="659" t="s">
        <v>1476</v>
      </c>
      <c r="C47" s="612" t="s">
        <v>2520</v>
      </c>
      <c r="D47" s="640">
        <v>226509746.13999999</v>
      </c>
      <c r="E47" s="610">
        <v>226509746.13999999</v>
      </c>
      <c r="F47" s="610">
        <v>0</v>
      </c>
      <c r="G47" s="610">
        <v>0</v>
      </c>
      <c r="H47" s="610">
        <v>0</v>
      </c>
      <c r="I47" s="613">
        <v>0</v>
      </c>
      <c r="J47" s="614">
        <v>0</v>
      </c>
      <c r="K47" s="613">
        <v>0</v>
      </c>
      <c r="L47" s="615">
        <v>0</v>
      </c>
    </row>
    <row r="48" spans="1:236" s="654" customFormat="1" ht="15.75" customHeight="1" x14ac:dyDescent="0.2">
      <c r="A48" s="1424" t="s">
        <v>1501</v>
      </c>
      <c r="B48" s="1425"/>
      <c r="C48" s="1426"/>
      <c r="D48" s="647">
        <v>226689746.13999999</v>
      </c>
      <c r="E48" s="647">
        <v>226689746.13999999</v>
      </c>
      <c r="F48" s="647">
        <v>0</v>
      </c>
      <c r="G48" s="647">
        <v>0</v>
      </c>
      <c r="H48" s="647">
        <v>0</v>
      </c>
      <c r="I48" s="647">
        <v>0</v>
      </c>
      <c r="J48" s="647">
        <v>0</v>
      </c>
      <c r="K48" s="647">
        <v>0</v>
      </c>
      <c r="L48" s="676">
        <v>0</v>
      </c>
      <c r="IB48" s="658"/>
    </row>
    <row r="49" spans="1:12" s="654" customFormat="1" ht="24" customHeight="1" x14ac:dyDescent="0.2">
      <c r="A49" s="1431" t="s">
        <v>1482</v>
      </c>
      <c r="B49" s="590">
        <v>14004</v>
      </c>
      <c r="C49" s="629" t="s">
        <v>1483</v>
      </c>
      <c r="D49" s="642">
        <v>8475300</v>
      </c>
      <c r="E49" s="591">
        <v>8440775.3300000001</v>
      </c>
      <c r="F49" s="591">
        <v>34524.669999999925</v>
      </c>
      <c r="G49" s="591">
        <v>0</v>
      </c>
      <c r="H49" s="576">
        <v>34524.669999999925</v>
      </c>
      <c r="I49" s="591">
        <v>30224.67</v>
      </c>
      <c r="J49" s="592">
        <v>4300</v>
      </c>
      <c r="K49" s="593">
        <v>0</v>
      </c>
      <c r="L49" s="621">
        <v>0</v>
      </c>
    </row>
    <row r="50" spans="1:12" s="654" customFormat="1" ht="21" x14ac:dyDescent="0.2">
      <c r="A50" s="1423"/>
      <c r="B50" s="595">
        <v>14018</v>
      </c>
      <c r="C50" s="596" t="s">
        <v>1484</v>
      </c>
      <c r="D50" s="643">
        <v>308000</v>
      </c>
      <c r="E50" s="571">
        <v>219120.92</v>
      </c>
      <c r="F50" s="571">
        <v>88879.079999999987</v>
      </c>
      <c r="G50" s="571">
        <v>3800</v>
      </c>
      <c r="H50" s="610">
        <v>85079.079999999987</v>
      </c>
      <c r="I50" s="571">
        <v>0</v>
      </c>
      <c r="J50" s="572">
        <v>85079.08</v>
      </c>
      <c r="K50" s="573">
        <v>0</v>
      </c>
      <c r="L50" s="574">
        <v>0</v>
      </c>
    </row>
    <row r="51" spans="1:12" s="540" customFormat="1" x14ac:dyDescent="0.2">
      <c r="A51" s="1423"/>
      <c r="B51" s="595">
        <v>14931</v>
      </c>
      <c r="C51" s="596" t="s">
        <v>1485</v>
      </c>
      <c r="D51" s="644">
        <v>30000000</v>
      </c>
      <c r="E51" s="585">
        <v>30000000</v>
      </c>
      <c r="F51" s="585">
        <v>0</v>
      </c>
      <c r="G51" s="585">
        <v>0</v>
      </c>
      <c r="H51" s="580">
        <v>0</v>
      </c>
      <c r="I51" s="585">
        <v>0</v>
      </c>
      <c r="J51" s="623">
        <v>0</v>
      </c>
      <c r="K51" s="624">
        <v>0</v>
      </c>
      <c r="L51" s="625">
        <v>0</v>
      </c>
    </row>
    <row r="52" spans="1:12" s="540" customFormat="1" ht="21" x14ac:dyDescent="0.2">
      <c r="A52" s="1435"/>
      <c r="B52" s="595">
        <v>14013</v>
      </c>
      <c r="C52" s="618" t="s">
        <v>1508</v>
      </c>
      <c r="D52" s="642">
        <v>8297440.8200000003</v>
      </c>
      <c r="E52" s="591">
        <v>8297440.8200000003</v>
      </c>
      <c r="F52" s="591">
        <v>0</v>
      </c>
      <c r="G52" s="591">
        <v>0</v>
      </c>
      <c r="H52" s="678">
        <v>0</v>
      </c>
      <c r="I52" s="591">
        <v>0</v>
      </c>
      <c r="J52" s="592">
        <v>0</v>
      </c>
      <c r="K52" s="627">
        <v>0</v>
      </c>
      <c r="L52" s="621">
        <v>0</v>
      </c>
    </row>
    <row r="53" spans="1:12" s="654" customFormat="1" ht="15.75" customHeight="1" x14ac:dyDescent="0.2">
      <c r="A53" s="1424" t="s">
        <v>1504</v>
      </c>
      <c r="B53" s="1427"/>
      <c r="C53" s="1428"/>
      <c r="D53" s="647">
        <v>47080740.82</v>
      </c>
      <c r="E53" s="647">
        <v>46957337.07</v>
      </c>
      <c r="F53" s="647">
        <v>123403.74999999991</v>
      </c>
      <c r="G53" s="647">
        <v>3800</v>
      </c>
      <c r="H53" s="647">
        <v>119603.74999999991</v>
      </c>
      <c r="I53" s="647">
        <v>30224.67</v>
      </c>
      <c r="J53" s="647">
        <v>89379.08</v>
      </c>
      <c r="K53" s="647">
        <v>0</v>
      </c>
      <c r="L53" s="653">
        <v>0</v>
      </c>
    </row>
    <row r="54" spans="1:12" s="654" customFormat="1" ht="24" customHeight="1" x14ac:dyDescent="0.2">
      <c r="A54" s="1423" t="s">
        <v>1429</v>
      </c>
      <c r="B54" s="559">
        <v>35015</v>
      </c>
      <c r="C54" s="655" t="s">
        <v>1430</v>
      </c>
      <c r="D54" s="632">
        <v>3531473</v>
      </c>
      <c r="E54" s="575">
        <v>3303968</v>
      </c>
      <c r="F54" s="560">
        <v>227505</v>
      </c>
      <c r="G54" s="560">
        <v>192000</v>
      </c>
      <c r="H54" s="576">
        <v>35505</v>
      </c>
      <c r="I54" s="576">
        <v>35505</v>
      </c>
      <c r="J54" s="577">
        <v>0</v>
      </c>
      <c r="K54" s="576">
        <v>0</v>
      </c>
      <c r="L54" s="578">
        <v>0</v>
      </c>
    </row>
    <row r="55" spans="1:12" s="654" customFormat="1" ht="24" customHeight="1" x14ac:dyDescent="0.2">
      <c r="A55" s="1423"/>
      <c r="B55" s="564">
        <v>35018</v>
      </c>
      <c r="C55" s="656" t="s">
        <v>1431</v>
      </c>
      <c r="D55" s="633">
        <v>2416760</v>
      </c>
      <c r="E55" s="579">
        <v>2416760</v>
      </c>
      <c r="F55" s="565">
        <v>0</v>
      </c>
      <c r="G55" s="565">
        <v>0</v>
      </c>
      <c r="H55" s="580">
        <v>0</v>
      </c>
      <c r="I55" s="580">
        <v>0</v>
      </c>
      <c r="J55" s="581">
        <v>0</v>
      </c>
      <c r="K55" s="580">
        <v>0</v>
      </c>
      <c r="L55" s="582">
        <v>0</v>
      </c>
    </row>
    <row r="56" spans="1:12" s="537" customFormat="1" x14ac:dyDescent="0.2">
      <c r="A56" s="1423"/>
      <c r="B56" s="570">
        <v>35019</v>
      </c>
      <c r="C56" s="583" t="s">
        <v>1432</v>
      </c>
      <c r="D56" s="636">
        <v>1913280</v>
      </c>
      <c r="E56" s="584">
        <v>1620250</v>
      </c>
      <c r="F56" s="585">
        <v>293030</v>
      </c>
      <c r="G56" s="585">
        <v>0</v>
      </c>
      <c r="H56" s="580">
        <v>293030</v>
      </c>
      <c r="I56" s="586">
        <v>293030</v>
      </c>
      <c r="J56" s="587">
        <v>0</v>
      </c>
      <c r="K56" s="586">
        <v>0</v>
      </c>
      <c r="L56" s="588">
        <v>0</v>
      </c>
    </row>
    <row r="57" spans="1:12" s="654" customFormat="1" ht="24" customHeight="1" x14ac:dyDescent="0.2">
      <c r="A57" s="1423"/>
      <c r="B57" s="659" t="s">
        <v>1433</v>
      </c>
      <c r="C57" s="609" t="s">
        <v>1434</v>
      </c>
      <c r="D57" s="642">
        <v>17950142.870000001</v>
      </c>
      <c r="E57" s="591">
        <v>17950142.870000001</v>
      </c>
      <c r="F57" s="591">
        <v>0</v>
      </c>
      <c r="G57" s="591">
        <v>0</v>
      </c>
      <c r="H57" s="677">
        <v>0</v>
      </c>
      <c r="I57" s="591">
        <v>0</v>
      </c>
      <c r="J57" s="592">
        <v>0</v>
      </c>
      <c r="K57" s="593">
        <v>0</v>
      </c>
      <c r="L57" s="621">
        <v>0</v>
      </c>
    </row>
    <row r="58" spans="1:12" s="654" customFormat="1" ht="15.75" customHeight="1" x14ac:dyDescent="0.2">
      <c r="A58" s="1424" t="s">
        <v>1497</v>
      </c>
      <c r="B58" s="1427"/>
      <c r="C58" s="1428"/>
      <c r="D58" s="647">
        <v>25811655.870000001</v>
      </c>
      <c r="E58" s="647">
        <v>25291120.870000001</v>
      </c>
      <c r="F58" s="647">
        <v>520535</v>
      </c>
      <c r="G58" s="647">
        <v>192000</v>
      </c>
      <c r="H58" s="647">
        <v>328535</v>
      </c>
      <c r="I58" s="647">
        <v>328535</v>
      </c>
      <c r="J58" s="647">
        <v>0</v>
      </c>
      <c r="K58" s="647">
        <v>0</v>
      </c>
      <c r="L58" s="653">
        <v>0</v>
      </c>
    </row>
    <row r="59" spans="1:12" s="654" customFormat="1" ht="24" customHeight="1" x14ac:dyDescent="0.2">
      <c r="A59" s="1431" t="s">
        <v>1488</v>
      </c>
      <c r="B59" s="595">
        <v>98074</v>
      </c>
      <c r="C59" s="596" t="s">
        <v>1489</v>
      </c>
      <c r="D59" s="639">
        <v>15000</v>
      </c>
      <c r="E59" s="580">
        <v>7556.5</v>
      </c>
      <c r="F59" s="580">
        <v>7443.5</v>
      </c>
      <c r="G59" s="580">
        <v>0</v>
      </c>
      <c r="H59" s="679">
        <v>7443.5</v>
      </c>
      <c r="I59" s="586">
        <v>0</v>
      </c>
      <c r="J59" s="587">
        <v>7443.5</v>
      </c>
      <c r="K59" s="586">
        <v>0</v>
      </c>
      <c r="L59" s="588">
        <v>0</v>
      </c>
    </row>
    <row r="60" spans="1:12" s="654" customFormat="1" ht="24" customHeight="1" x14ac:dyDescent="0.2">
      <c r="A60" s="1432"/>
      <c r="B60" s="590">
        <v>98278</v>
      </c>
      <c r="C60" s="629" t="s">
        <v>1490</v>
      </c>
      <c r="D60" s="639">
        <v>353100</v>
      </c>
      <c r="E60" s="580">
        <v>353100</v>
      </c>
      <c r="F60" s="580">
        <v>0</v>
      </c>
      <c r="G60" s="580">
        <v>0</v>
      </c>
      <c r="H60" s="572">
        <v>0</v>
      </c>
      <c r="I60" s="586">
        <v>0</v>
      </c>
      <c r="J60" s="587">
        <v>0</v>
      </c>
      <c r="K60" s="586">
        <v>0</v>
      </c>
      <c r="L60" s="588">
        <v>0</v>
      </c>
    </row>
    <row r="61" spans="1:12" s="654" customFormat="1" x14ac:dyDescent="0.2">
      <c r="A61" s="1432"/>
      <c r="B61" s="570">
        <v>98297</v>
      </c>
      <c r="C61" s="609" t="s">
        <v>1491</v>
      </c>
      <c r="D61" s="639">
        <v>968500</v>
      </c>
      <c r="E61" s="580">
        <v>968500</v>
      </c>
      <c r="F61" s="580">
        <v>0</v>
      </c>
      <c r="G61" s="580">
        <v>0</v>
      </c>
      <c r="H61" s="572">
        <v>0</v>
      </c>
      <c r="I61" s="586">
        <v>0</v>
      </c>
      <c r="J61" s="587">
        <v>0</v>
      </c>
      <c r="K61" s="586">
        <v>0</v>
      </c>
      <c r="L61" s="588">
        <v>0</v>
      </c>
    </row>
    <row r="62" spans="1:12" s="654" customFormat="1" x14ac:dyDescent="0.2">
      <c r="A62" s="1432"/>
      <c r="B62" s="570">
        <v>98335</v>
      </c>
      <c r="C62" s="609" t="s">
        <v>1492</v>
      </c>
      <c r="D62" s="639">
        <v>4418670</v>
      </c>
      <c r="E62" s="580">
        <v>4418670</v>
      </c>
      <c r="F62" s="580">
        <v>0</v>
      </c>
      <c r="G62" s="580">
        <v>0</v>
      </c>
      <c r="H62" s="572">
        <v>0</v>
      </c>
      <c r="I62" s="586">
        <v>0</v>
      </c>
      <c r="J62" s="587">
        <v>0</v>
      </c>
      <c r="K62" s="586">
        <v>0</v>
      </c>
      <c r="L62" s="588">
        <v>0</v>
      </c>
    </row>
    <row r="63" spans="1:12" s="654" customFormat="1" x14ac:dyDescent="0.2">
      <c r="A63" s="1433"/>
      <c r="B63" s="646">
        <v>98861</v>
      </c>
      <c r="C63" s="649" t="s">
        <v>1493</v>
      </c>
      <c r="D63" s="639">
        <v>468930</v>
      </c>
      <c r="E63" s="580">
        <v>468930</v>
      </c>
      <c r="F63" s="580">
        <v>0</v>
      </c>
      <c r="G63" s="580">
        <v>0</v>
      </c>
      <c r="H63" s="623">
        <v>0</v>
      </c>
      <c r="I63" s="586">
        <v>0</v>
      </c>
      <c r="J63" s="587">
        <v>0</v>
      </c>
      <c r="K63" s="586">
        <v>0</v>
      </c>
      <c r="L63" s="588">
        <v>0</v>
      </c>
    </row>
    <row r="64" spans="1:12" s="654" customFormat="1" ht="16.5" customHeight="1" x14ac:dyDescent="0.2">
      <c r="A64" s="1424" t="s">
        <v>1506</v>
      </c>
      <c r="B64" s="1427"/>
      <c r="C64" s="1428"/>
      <c r="D64" s="647">
        <v>6224200</v>
      </c>
      <c r="E64" s="647">
        <v>6216756.5</v>
      </c>
      <c r="F64" s="647">
        <v>7443.5</v>
      </c>
      <c r="G64" s="647">
        <v>0</v>
      </c>
      <c r="H64" s="647">
        <v>7443.5</v>
      </c>
      <c r="I64" s="647">
        <v>0</v>
      </c>
      <c r="J64" s="674">
        <v>7443.5</v>
      </c>
      <c r="K64" s="668">
        <v>0</v>
      </c>
      <c r="L64" s="676">
        <v>0</v>
      </c>
    </row>
    <row r="65" spans="1:12" s="648" customFormat="1" ht="24.75" customHeight="1" x14ac:dyDescent="0.2">
      <c r="A65" s="1422" t="s">
        <v>1419</v>
      </c>
      <c r="B65" s="559">
        <v>34002</v>
      </c>
      <c r="C65" s="602" t="s">
        <v>1420</v>
      </c>
      <c r="D65" s="632">
        <v>125000</v>
      </c>
      <c r="E65" s="560">
        <v>125000</v>
      </c>
      <c r="F65" s="560">
        <v>0</v>
      </c>
      <c r="G65" s="560">
        <v>0</v>
      </c>
      <c r="H65" s="576">
        <v>0</v>
      </c>
      <c r="I65" s="560">
        <v>0</v>
      </c>
      <c r="J65" s="561">
        <v>0</v>
      </c>
      <c r="K65" s="562">
        <v>0</v>
      </c>
      <c r="L65" s="563">
        <v>0</v>
      </c>
    </row>
    <row r="66" spans="1:12" s="648" customFormat="1" ht="21" x14ac:dyDescent="0.2">
      <c r="A66" s="1422"/>
      <c r="B66" s="564">
        <v>34012</v>
      </c>
      <c r="C66" s="569" t="s">
        <v>1421</v>
      </c>
      <c r="D66" s="630">
        <v>245000</v>
      </c>
      <c r="E66" s="565">
        <v>245000</v>
      </c>
      <c r="F66" s="565">
        <v>0</v>
      </c>
      <c r="G66" s="565">
        <v>0</v>
      </c>
      <c r="H66" s="580">
        <v>0</v>
      </c>
      <c r="I66" s="565">
        <v>0</v>
      </c>
      <c r="J66" s="566">
        <v>0</v>
      </c>
      <c r="K66" s="567">
        <v>0</v>
      </c>
      <c r="L66" s="568">
        <v>0</v>
      </c>
    </row>
    <row r="67" spans="1:12" s="648" customFormat="1" ht="24" customHeight="1" x14ac:dyDescent="0.2">
      <c r="A67" s="1422"/>
      <c r="B67" s="564">
        <v>34013</v>
      </c>
      <c r="C67" s="569" t="s">
        <v>1422</v>
      </c>
      <c r="D67" s="633">
        <v>111000</v>
      </c>
      <c r="E67" s="565">
        <v>105000</v>
      </c>
      <c r="F67" s="565">
        <v>6000</v>
      </c>
      <c r="G67" s="565">
        <v>6000</v>
      </c>
      <c r="H67" s="580">
        <v>0</v>
      </c>
      <c r="I67" s="565">
        <v>0</v>
      </c>
      <c r="J67" s="566">
        <v>0</v>
      </c>
      <c r="K67" s="567">
        <v>0</v>
      </c>
      <c r="L67" s="568">
        <v>0</v>
      </c>
    </row>
    <row r="68" spans="1:12" s="648" customFormat="1" x14ac:dyDescent="0.2">
      <c r="A68" s="1422"/>
      <c r="B68" s="564">
        <v>34053</v>
      </c>
      <c r="C68" s="569" t="s">
        <v>1423</v>
      </c>
      <c r="D68" s="633">
        <v>183000</v>
      </c>
      <c r="E68" s="565">
        <v>183000</v>
      </c>
      <c r="F68" s="565">
        <v>0</v>
      </c>
      <c r="G68" s="565">
        <v>0</v>
      </c>
      <c r="H68" s="580">
        <v>0</v>
      </c>
      <c r="I68" s="565">
        <v>0</v>
      </c>
      <c r="J68" s="566">
        <v>0</v>
      </c>
      <c r="K68" s="567">
        <v>0</v>
      </c>
      <c r="L68" s="568">
        <v>0</v>
      </c>
    </row>
    <row r="69" spans="1:12" s="648" customFormat="1" x14ac:dyDescent="0.2">
      <c r="A69" s="1422"/>
      <c r="B69" s="564">
        <v>34070</v>
      </c>
      <c r="C69" s="569" t="s">
        <v>1424</v>
      </c>
      <c r="D69" s="633">
        <v>400000</v>
      </c>
      <c r="E69" s="565">
        <v>400000</v>
      </c>
      <c r="F69" s="565">
        <v>0</v>
      </c>
      <c r="G69" s="565">
        <v>0</v>
      </c>
      <c r="H69" s="580">
        <v>0</v>
      </c>
      <c r="I69" s="565">
        <v>0</v>
      </c>
      <c r="J69" s="566">
        <v>0</v>
      </c>
      <c r="K69" s="567">
        <v>0</v>
      </c>
      <c r="L69" s="568">
        <v>0</v>
      </c>
    </row>
    <row r="70" spans="1:12" s="648" customFormat="1" x14ac:dyDescent="0.2">
      <c r="A70" s="1422"/>
      <c r="B70" s="564">
        <v>34090</v>
      </c>
      <c r="C70" s="569" t="s">
        <v>1425</v>
      </c>
      <c r="D70" s="633">
        <v>120000</v>
      </c>
      <c r="E70" s="565">
        <v>120000</v>
      </c>
      <c r="F70" s="565">
        <v>0</v>
      </c>
      <c r="G70" s="565">
        <v>0</v>
      </c>
      <c r="H70" s="580">
        <v>0</v>
      </c>
      <c r="I70" s="565">
        <v>0</v>
      </c>
      <c r="J70" s="566">
        <v>0</v>
      </c>
      <c r="K70" s="567">
        <v>0</v>
      </c>
      <c r="L70" s="568">
        <v>0</v>
      </c>
    </row>
    <row r="71" spans="1:12" s="648" customFormat="1" ht="24" customHeight="1" x14ac:dyDescent="0.2">
      <c r="A71" s="1422"/>
      <c r="B71" s="564">
        <v>34341</v>
      </c>
      <c r="C71" s="569" t="s">
        <v>1426</v>
      </c>
      <c r="D71" s="633">
        <v>875000</v>
      </c>
      <c r="E71" s="565">
        <v>875000</v>
      </c>
      <c r="F71" s="565">
        <v>0</v>
      </c>
      <c r="G71" s="565">
        <v>0</v>
      </c>
      <c r="H71" s="580">
        <v>0</v>
      </c>
      <c r="I71" s="565">
        <v>0</v>
      </c>
      <c r="J71" s="566">
        <v>0</v>
      </c>
      <c r="K71" s="567">
        <v>0</v>
      </c>
      <c r="L71" s="568">
        <v>0</v>
      </c>
    </row>
    <row r="72" spans="1:12" s="648" customFormat="1" ht="24" customHeight="1" x14ac:dyDescent="0.2">
      <c r="A72" s="1432"/>
      <c r="B72" s="564">
        <v>34352</v>
      </c>
      <c r="C72" s="569" t="s">
        <v>1427</v>
      </c>
      <c r="D72" s="633">
        <v>2165000</v>
      </c>
      <c r="E72" s="565">
        <v>2165000</v>
      </c>
      <c r="F72" s="565">
        <v>0</v>
      </c>
      <c r="G72" s="565">
        <v>0</v>
      </c>
      <c r="H72" s="580">
        <v>0</v>
      </c>
      <c r="I72" s="565">
        <v>0</v>
      </c>
      <c r="J72" s="566">
        <v>0</v>
      </c>
      <c r="K72" s="567">
        <v>0</v>
      </c>
      <c r="L72" s="568">
        <v>0</v>
      </c>
    </row>
    <row r="73" spans="1:12" s="648" customFormat="1" ht="24" customHeight="1" x14ac:dyDescent="0.2">
      <c r="A73" s="1433"/>
      <c r="B73" s="646">
        <v>34941</v>
      </c>
      <c r="C73" s="649" t="s">
        <v>1428</v>
      </c>
      <c r="D73" s="636">
        <v>140000</v>
      </c>
      <c r="E73" s="585">
        <v>140000</v>
      </c>
      <c r="F73" s="585">
        <v>0</v>
      </c>
      <c r="G73" s="585">
        <v>0</v>
      </c>
      <c r="H73" s="580">
        <v>0</v>
      </c>
      <c r="I73" s="585">
        <v>0</v>
      </c>
      <c r="J73" s="623">
        <v>0</v>
      </c>
      <c r="K73" s="624">
        <v>0</v>
      </c>
      <c r="L73" s="625">
        <v>0</v>
      </c>
    </row>
    <row r="74" spans="1:12" s="654" customFormat="1" ht="15.75" customHeight="1" x14ac:dyDescent="0.2">
      <c r="A74" s="650" t="s">
        <v>1496</v>
      </c>
      <c r="B74" s="651"/>
      <c r="C74" s="652"/>
      <c r="D74" s="647">
        <v>4364000</v>
      </c>
      <c r="E74" s="647">
        <v>4358000</v>
      </c>
      <c r="F74" s="647">
        <v>6000</v>
      </c>
      <c r="G74" s="647">
        <v>6000</v>
      </c>
      <c r="H74" s="647">
        <v>0</v>
      </c>
      <c r="I74" s="647">
        <v>0</v>
      </c>
      <c r="J74" s="647">
        <v>0</v>
      </c>
      <c r="K74" s="647">
        <v>0</v>
      </c>
      <c r="L74" s="653">
        <v>0</v>
      </c>
    </row>
    <row r="75" spans="1:12" s="648" customFormat="1" ht="24" customHeight="1" x14ac:dyDescent="0.2">
      <c r="A75" s="1422" t="s">
        <v>1472</v>
      </c>
      <c r="B75" s="616">
        <v>29517</v>
      </c>
      <c r="C75" s="598" t="s">
        <v>1473</v>
      </c>
      <c r="D75" s="632">
        <v>3584000</v>
      </c>
      <c r="E75" s="560">
        <v>3578705.89</v>
      </c>
      <c r="F75" s="560">
        <v>5294.1099999998696</v>
      </c>
      <c r="G75" s="560">
        <v>5294.11</v>
      </c>
      <c r="H75" s="576">
        <v>-1.3005774235352874E-10</v>
      </c>
      <c r="I75" s="560">
        <v>0</v>
      </c>
      <c r="J75" s="561">
        <v>0</v>
      </c>
      <c r="K75" s="562">
        <v>0</v>
      </c>
      <c r="L75" s="563">
        <v>0</v>
      </c>
    </row>
    <row r="76" spans="1:12" s="648" customFormat="1" ht="24" customHeight="1" x14ac:dyDescent="0.2">
      <c r="A76" s="1422"/>
      <c r="B76" s="607">
        <v>29009</v>
      </c>
      <c r="C76" s="663" t="s">
        <v>1474</v>
      </c>
      <c r="D76" s="634">
        <v>637000</v>
      </c>
      <c r="E76" s="571">
        <v>635369.84</v>
      </c>
      <c r="F76" s="571">
        <v>1630.1600000000326</v>
      </c>
      <c r="G76" s="571">
        <v>0</v>
      </c>
      <c r="H76" s="610">
        <v>1630.1600000000326</v>
      </c>
      <c r="I76" s="571">
        <v>1630.16</v>
      </c>
      <c r="J76" s="572">
        <v>0</v>
      </c>
      <c r="K76" s="573">
        <v>0</v>
      </c>
      <c r="L76" s="574">
        <v>0</v>
      </c>
    </row>
    <row r="77" spans="1:12" s="654" customFormat="1" ht="15.75" customHeight="1" x14ac:dyDescent="0.2">
      <c r="A77" s="675" t="s">
        <v>1500</v>
      </c>
      <c r="B77" s="664"/>
      <c r="C77" s="665"/>
      <c r="D77" s="666">
        <v>4221000</v>
      </c>
      <c r="E77" s="666">
        <v>4214075.7300000004</v>
      </c>
      <c r="F77" s="666">
        <v>6924.2699999999022</v>
      </c>
      <c r="G77" s="666">
        <v>5294.11</v>
      </c>
      <c r="H77" s="666">
        <v>1630.1599999999025</v>
      </c>
      <c r="I77" s="666">
        <v>1630.16</v>
      </c>
      <c r="J77" s="667">
        <v>0</v>
      </c>
      <c r="K77" s="668">
        <v>0</v>
      </c>
      <c r="L77" s="676">
        <v>0</v>
      </c>
    </row>
    <row r="78" spans="1:12" s="648" customFormat="1" ht="15" customHeight="1" x14ac:dyDescent="0.2">
      <c r="A78" s="622" t="s">
        <v>1480</v>
      </c>
      <c r="B78" s="590">
        <v>4001</v>
      </c>
      <c r="C78" s="629" t="s">
        <v>1481</v>
      </c>
      <c r="D78" s="642">
        <v>450000</v>
      </c>
      <c r="E78" s="591">
        <v>83932.56</v>
      </c>
      <c r="F78" s="591">
        <v>366067.44</v>
      </c>
      <c r="G78" s="591">
        <v>0</v>
      </c>
      <c r="H78" s="677">
        <v>366067.44</v>
      </c>
      <c r="I78" s="591">
        <v>0</v>
      </c>
      <c r="J78" s="592">
        <v>366067.44</v>
      </c>
      <c r="K78" s="593">
        <v>0</v>
      </c>
      <c r="L78" s="621">
        <v>0</v>
      </c>
    </row>
    <row r="79" spans="1:12" s="654" customFormat="1" ht="15.75" customHeight="1" thickBot="1" x14ac:dyDescent="0.25">
      <c r="A79" s="1424" t="s">
        <v>1503</v>
      </c>
      <c r="B79" s="1427"/>
      <c r="C79" s="1428"/>
      <c r="D79" s="647">
        <v>450000</v>
      </c>
      <c r="E79" s="647">
        <v>83932.56</v>
      </c>
      <c r="F79" s="647">
        <v>366067.44</v>
      </c>
      <c r="G79" s="647">
        <v>0</v>
      </c>
      <c r="H79" s="647">
        <v>366067.44</v>
      </c>
      <c r="I79" s="647">
        <v>0</v>
      </c>
      <c r="J79" s="674">
        <v>366067.44</v>
      </c>
      <c r="K79" s="668">
        <v>0</v>
      </c>
      <c r="L79" s="676">
        <v>0</v>
      </c>
    </row>
    <row r="80" spans="1:12" s="648" customFormat="1" ht="18" customHeight="1" thickBot="1" x14ac:dyDescent="0.25">
      <c r="A80" s="1419" t="s">
        <v>10</v>
      </c>
      <c r="B80" s="1420"/>
      <c r="C80" s="1421"/>
      <c r="D80" s="635">
        <f t="shared" ref="D80:L80" si="0">D64+D38+D53+D79+D36+D48+D77+D33+D45+D58+D74</f>
        <v>12077160655.780001</v>
      </c>
      <c r="E80" s="635">
        <f t="shared" si="0"/>
        <v>12045994986.400002</v>
      </c>
      <c r="F80" s="635">
        <f t="shared" si="0"/>
        <v>31165669.379999999</v>
      </c>
      <c r="G80" s="635">
        <f t="shared" si="0"/>
        <v>26409082.300000001</v>
      </c>
      <c r="H80" s="635">
        <f t="shared" si="0"/>
        <v>4756587.08</v>
      </c>
      <c r="I80" s="635">
        <f t="shared" si="0"/>
        <v>902981.0199999999</v>
      </c>
      <c r="J80" s="635">
        <f t="shared" si="0"/>
        <v>3853606.06</v>
      </c>
      <c r="K80" s="635">
        <f t="shared" si="0"/>
        <v>0</v>
      </c>
      <c r="L80" s="645">
        <f t="shared" si="0"/>
        <v>0</v>
      </c>
    </row>
    <row r="81" spans="1:12" s="544" customFormat="1" x14ac:dyDescent="0.2">
      <c r="A81" s="541"/>
      <c r="B81" s="542"/>
      <c r="C81" s="543"/>
      <c r="H81" s="545"/>
      <c r="I81" s="545"/>
      <c r="J81" s="545"/>
      <c r="K81" s="545"/>
      <c r="L81" s="545"/>
    </row>
    <row r="82" spans="1:12" x14ac:dyDescent="0.2">
      <c r="E82" s="547"/>
      <c r="F82" s="547"/>
      <c r="G82" s="547"/>
      <c r="J82" s="538"/>
    </row>
    <row r="83" spans="1:12" x14ac:dyDescent="0.2">
      <c r="C83" s="548"/>
      <c r="J83" s="538"/>
    </row>
    <row r="89" spans="1:12" x14ac:dyDescent="0.2">
      <c r="C89" s="548"/>
    </row>
  </sheetData>
  <protectedRanges>
    <protectedRange sqref="C18" name="Oblast1_1"/>
  </protectedRanges>
  <mergeCells count="18">
    <mergeCell ref="A2:L2"/>
    <mergeCell ref="A49:A52"/>
    <mergeCell ref="A65:A73"/>
    <mergeCell ref="A54:A57"/>
    <mergeCell ref="A58:C58"/>
    <mergeCell ref="A39:A44"/>
    <mergeCell ref="A5:A32"/>
    <mergeCell ref="A80:C80"/>
    <mergeCell ref="A75:A76"/>
    <mergeCell ref="A46:A47"/>
    <mergeCell ref="A48:C48"/>
    <mergeCell ref="A34:A35"/>
    <mergeCell ref="A36:C36"/>
    <mergeCell ref="A79:C79"/>
    <mergeCell ref="A53:C53"/>
    <mergeCell ref="A38:C38"/>
    <mergeCell ref="A59:A63"/>
    <mergeCell ref="A64:C64"/>
  </mergeCells>
  <printOptions horizontalCentered="1"/>
  <pageMargins left="0.39370078740157483" right="0.39370078740157483" top="0.59055118110236227" bottom="0.39370078740157483" header="0.31496062992125984" footer="0.11811023622047245"/>
  <pageSetup paperSize="9" scale="67" firstPageNumber="238" fitToHeight="0" orientation="landscape" useFirstPageNumber="1" r:id="rId1"/>
  <headerFooter alignWithMargins="0">
    <oddHeader>&amp;L&amp;"Tahoma,Kurzíva"Závěrečný účet za rok 2015&amp;R&amp;"Tahoma,Kurzíva"Tabulka č. 7</oddHeader>
    <oddFooter>&amp;C&amp;"Tahoma,Obyčejné"&amp;P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3"/>
  <sheetViews>
    <sheetView topLeftCell="A25" zoomScaleNormal="100" zoomScaleSheetLayoutView="100" workbookViewId="0">
      <selection activeCell="K2" sqref="K2"/>
    </sheetView>
  </sheetViews>
  <sheetFormatPr defaultRowHeight="10.5" x14ac:dyDescent="0.2"/>
  <cols>
    <col min="1" max="1" width="6.42578125" style="976" customWidth="1"/>
    <col min="2" max="2" width="42.7109375" style="977" customWidth="1"/>
    <col min="3" max="4" width="13.140625" style="978" customWidth="1"/>
    <col min="5" max="5" width="12.140625" style="976" customWidth="1"/>
    <col min="6" max="6" width="9.28515625" style="979" customWidth="1"/>
    <col min="7" max="7" width="8.7109375" style="980" customWidth="1"/>
    <col min="8" max="8" width="42.7109375" style="981" customWidth="1"/>
    <col min="9" max="16384" width="9.140625" style="976"/>
  </cols>
  <sheetData>
    <row r="1" spans="1:8" s="975" customFormat="1" ht="18" customHeight="1" x14ac:dyDescent="0.2">
      <c r="A1" s="1325" t="s">
        <v>4183</v>
      </c>
      <c r="B1" s="1325"/>
      <c r="C1" s="1325"/>
      <c r="D1" s="1325"/>
      <c r="E1" s="1325"/>
      <c r="F1" s="1325"/>
      <c r="G1" s="1325"/>
      <c r="H1" s="1325"/>
    </row>
    <row r="2" spans="1:8" ht="12" customHeight="1" x14ac:dyDescent="0.2"/>
    <row r="3" spans="1:8" ht="12" customHeight="1" thickBot="1" x14ac:dyDescent="0.2">
      <c r="A3" s="982"/>
      <c r="F3" s="983" t="s">
        <v>4184</v>
      </c>
    </row>
    <row r="4" spans="1:8" ht="23.25" customHeight="1" x14ac:dyDescent="0.2">
      <c r="A4" s="1438"/>
      <c r="B4" s="1439"/>
      <c r="C4" s="984" t="s">
        <v>4185</v>
      </c>
      <c r="D4" s="984" t="s">
        <v>4186</v>
      </c>
      <c r="E4" s="984" t="s">
        <v>4187</v>
      </c>
      <c r="F4" s="985" t="s">
        <v>4188</v>
      </c>
      <c r="G4" s="986"/>
      <c r="H4" s="987"/>
    </row>
    <row r="5" spans="1:8" ht="12.75" customHeight="1" x14ac:dyDescent="0.2">
      <c r="A5" s="1436" t="s">
        <v>4189</v>
      </c>
      <c r="B5" s="1437"/>
      <c r="C5" s="988">
        <f>C31</f>
        <v>1588248</v>
      </c>
      <c r="D5" s="988">
        <f>D31</f>
        <v>1581761.0149999997</v>
      </c>
      <c r="E5" s="988">
        <f>E31</f>
        <v>1562764.5454700002</v>
      </c>
      <c r="F5" s="989">
        <f t="shared" ref="F5:F9" si="0">E5/D5*100</f>
        <v>98.79903036237117</v>
      </c>
      <c r="G5" s="990"/>
      <c r="H5" s="991"/>
    </row>
    <row r="6" spans="1:8" ht="12.75" customHeight="1" x14ac:dyDescent="0.2">
      <c r="A6" s="1436" t="s">
        <v>4190</v>
      </c>
      <c r="B6" s="1437"/>
      <c r="C6" s="992">
        <f>C36</f>
        <v>552554</v>
      </c>
      <c r="D6" s="992">
        <f>D36</f>
        <v>560554</v>
      </c>
      <c r="E6" s="992">
        <f>E36</f>
        <v>560546.9</v>
      </c>
      <c r="F6" s="989">
        <f t="shared" si="0"/>
        <v>99.998733395890497</v>
      </c>
      <c r="G6" s="990"/>
      <c r="H6" s="991"/>
    </row>
    <row r="7" spans="1:8" ht="12.75" customHeight="1" x14ac:dyDescent="0.2">
      <c r="A7" s="1436" t="s">
        <v>4191</v>
      </c>
      <c r="B7" s="1437"/>
      <c r="C7" s="992">
        <f>C45</f>
        <v>44250</v>
      </c>
      <c r="D7" s="992">
        <f>D45</f>
        <v>101058.23</v>
      </c>
      <c r="E7" s="992">
        <f>E45</f>
        <v>80428.124680000008</v>
      </c>
      <c r="F7" s="989">
        <f t="shared" si="0"/>
        <v>79.585922571570876</v>
      </c>
      <c r="G7" s="990"/>
      <c r="H7" s="991"/>
    </row>
    <row r="8" spans="1:8" ht="12.75" customHeight="1" x14ac:dyDescent="0.2">
      <c r="A8" s="1436" t="s">
        <v>4192</v>
      </c>
      <c r="B8" s="1437"/>
      <c r="C8" s="992">
        <f>C80</f>
        <v>2009867</v>
      </c>
      <c r="D8" s="992">
        <f>D80</f>
        <v>1614746.3599999996</v>
      </c>
      <c r="E8" s="992">
        <f>E80</f>
        <v>1499891.9692400002</v>
      </c>
      <c r="F8" s="989">
        <f t="shared" si="0"/>
        <v>92.887155927077032</v>
      </c>
      <c r="G8" s="990"/>
      <c r="H8" s="991"/>
    </row>
    <row r="9" spans="1:8" s="982" customFormat="1" ht="13.5" customHeight="1" thickBot="1" x14ac:dyDescent="0.25">
      <c r="A9" s="1440" t="s">
        <v>477</v>
      </c>
      <c r="B9" s="1441"/>
      <c r="C9" s="993">
        <f>SUM(C5:C8)</f>
        <v>4194919</v>
      </c>
      <c r="D9" s="994">
        <f>SUM(D5:D8)</f>
        <v>3858119.6049999995</v>
      </c>
      <c r="E9" s="993">
        <f>SUM(E5:E8)</f>
        <v>3703631.5393900005</v>
      </c>
      <c r="F9" s="995">
        <f t="shared" si="0"/>
        <v>95.995767849970562</v>
      </c>
      <c r="G9" s="990"/>
      <c r="H9" s="991"/>
    </row>
    <row r="10" spans="1:8" s="996" customFormat="1" ht="10.5" customHeight="1" x14ac:dyDescent="0.2">
      <c r="B10" s="997"/>
      <c r="C10" s="998"/>
      <c r="D10" s="998"/>
      <c r="E10" s="998"/>
      <c r="F10" s="999"/>
      <c r="G10" s="1000"/>
      <c r="H10" s="1001"/>
    </row>
    <row r="11" spans="1:8" s="996" customFormat="1" ht="10.5" customHeight="1" x14ac:dyDescent="0.2">
      <c r="B11" s="997"/>
      <c r="C11" s="998"/>
      <c r="D11" s="998"/>
      <c r="E11" s="998"/>
      <c r="F11" s="999"/>
      <c r="G11" s="1000"/>
      <c r="H11" s="1001"/>
    </row>
    <row r="12" spans="1:8" s="996" customFormat="1" ht="10.5" customHeight="1" thickBot="1" x14ac:dyDescent="0.2">
      <c r="B12" s="997"/>
      <c r="C12" s="998"/>
      <c r="D12" s="998"/>
      <c r="E12" s="998"/>
      <c r="F12" s="999"/>
      <c r="G12" s="1000"/>
      <c r="H12" s="983" t="s">
        <v>4184</v>
      </c>
    </row>
    <row r="13" spans="1:8" ht="28.5" customHeight="1" thickBot="1" x14ac:dyDescent="0.25">
      <c r="A13" s="1002" t="s">
        <v>4193</v>
      </c>
      <c r="B13" s="1003" t="s">
        <v>665</v>
      </c>
      <c r="C13" s="1004" t="s">
        <v>4185</v>
      </c>
      <c r="D13" s="1004" t="s">
        <v>4186</v>
      </c>
      <c r="E13" s="1004" t="s">
        <v>4187</v>
      </c>
      <c r="F13" s="1004" t="s">
        <v>4188</v>
      </c>
      <c r="G13" s="1004" t="s">
        <v>4194</v>
      </c>
      <c r="H13" s="1005" t="s">
        <v>4195</v>
      </c>
    </row>
    <row r="14" spans="1:8" ht="15" customHeight="1" thickBot="1" x14ac:dyDescent="0.2">
      <c r="A14" s="1006" t="s">
        <v>4196</v>
      </c>
      <c r="B14" s="1007"/>
      <c r="C14" s="1008"/>
      <c r="D14" s="1008"/>
      <c r="E14" s="1009"/>
      <c r="F14" s="1010"/>
      <c r="G14" s="1011"/>
      <c r="H14" s="1012"/>
    </row>
    <row r="15" spans="1:8" s="1019" customFormat="1" ht="13.5" customHeight="1" x14ac:dyDescent="0.2">
      <c r="A15" s="1013">
        <v>1</v>
      </c>
      <c r="B15" s="1014" t="s">
        <v>2970</v>
      </c>
      <c r="C15" s="1015">
        <v>902058</v>
      </c>
      <c r="D15" s="1015">
        <v>879866.98</v>
      </c>
      <c r="E15" s="1015">
        <v>879866.91700000002</v>
      </c>
      <c r="F15" s="1016">
        <f t="shared" ref="F15:F31" si="1">E15/D15*100</f>
        <v>99.999992839826774</v>
      </c>
      <c r="G15" s="1017" t="s">
        <v>4197</v>
      </c>
      <c r="H15" s="1018" t="s">
        <v>488</v>
      </c>
    </row>
    <row r="16" spans="1:8" s="1019" customFormat="1" ht="42" x14ac:dyDescent="0.2">
      <c r="A16" s="1020">
        <f>A15+1</f>
        <v>2</v>
      </c>
      <c r="B16" s="1021" t="s">
        <v>2901</v>
      </c>
      <c r="C16" s="1022">
        <v>594978</v>
      </c>
      <c r="D16" s="1022">
        <v>580155.59</v>
      </c>
      <c r="E16" s="1022">
        <v>577630.59199999995</v>
      </c>
      <c r="F16" s="1023">
        <f t="shared" si="1"/>
        <v>99.564772270831696</v>
      </c>
      <c r="G16" s="1024" t="s">
        <v>4197</v>
      </c>
      <c r="H16" s="1025" t="s">
        <v>4198</v>
      </c>
    </row>
    <row r="17" spans="1:8" s="1019" customFormat="1" ht="12.75" customHeight="1" x14ac:dyDescent="0.2">
      <c r="A17" s="1020">
        <f t="shared" ref="A17:A30" si="2">A16+1</f>
        <v>3</v>
      </c>
      <c r="B17" s="1021" t="s">
        <v>461</v>
      </c>
      <c r="C17" s="1022">
        <v>1000</v>
      </c>
      <c r="D17" s="1022">
        <v>1000</v>
      </c>
      <c r="E17" s="1022">
        <v>1000</v>
      </c>
      <c r="F17" s="1023">
        <f t="shared" si="1"/>
        <v>100</v>
      </c>
      <c r="G17" s="1026" t="s">
        <v>4197</v>
      </c>
      <c r="H17" s="1025" t="s">
        <v>488</v>
      </c>
    </row>
    <row r="18" spans="1:8" s="1019" customFormat="1" ht="12.75" customHeight="1" x14ac:dyDescent="0.2">
      <c r="A18" s="1020">
        <f t="shared" si="2"/>
        <v>4</v>
      </c>
      <c r="B18" s="1021" t="s">
        <v>719</v>
      </c>
      <c r="C18" s="1022">
        <v>300</v>
      </c>
      <c r="D18" s="1022">
        <v>200</v>
      </c>
      <c r="E18" s="1022">
        <v>189.71600000000001</v>
      </c>
      <c r="F18" s="1023">
        <f t="shared" si="1"/>
        <v>94.858000000000004</v>
      </c>
      <c r="G18" s="1026" t="s">
        <v>4199</v>
      </c>
      <c r="H18" s="1025" t="s">
        <v>488</v>
      </c>
    </row>
    <row r="19" spans="1:8" s="1019" customFormat="1" ht="68.25" customHeight="1" x14ac:dyDescent="0.2">
      <c r="A19" s="1020">
        <f t="shared" si="2"/>
        <v>5</v>
      </c>
      <c r="B19" s="1021" t="s">
        <v>3144</v>
      </c>
      <c r="C19" s="1022">
        <v>1000</v>
      </c>
      <c r="D19" s="1022">
        <v>5826.8600000000006</v>
      </c>
      <c r="E19" s="1022">
        <v>5335.7708000000002</v>
      </c>
      <c r="F19" s="1023">
        <f t="shared" si="1"/>
        <v>91.571975300590708</v>
      </c>
      <c r="G19" s="1026" t="s">
        <v>4199</v>
      </c>
      <c r="H19" s="1025" t="s">
        <v>4200</v>
      </c>
    </row>
    <row r="20" spans="1:8" s="1019" customFormat="1" ht="24" customHeight="1" x14ac:dyDescent="0.2">
      <c r="A20" s="1020">
        <f t="shared" si="2"/>
        <v>6</v>
      </c>
      <c r="B20" s="1021" t="s">
        <v>4201</v>
      </c>
      <c r="C20" s="1022">
        <v>17258</v>
      </c>
      <c r="D20" s="1022">
        <v>17258</v>
      </c>
      <c r="E20" s="1022">
        <v>17258</v>
      </c>
      <c r="F20" s="1023">
        <f t="shared" si="1"/>
        <v>100</v>
      </c>
      <c r="G20" s="1027" t="s">
        <v>4197</v>
      </c>
      <c r="H20" s="1025" t="s">
        <v>488</v>
      </c>
    </row>
    <row r="21" spans="1:8" s="1028" customFormat="1" ht="24" customHeight="1" x14ac:dyDescent="0.2">
      <c r="A21" s="1020">
        <f t="shared" si="2"/>
        <v>7</v>
      </c>
      <c r="B21" s="1021" t="s">
        <v>3167</v>
      </c>
      <c r="C21" s="1022">
        <v>42000</v>
      </c>
      <c r="D21" s="1022">
        <v>42000</v>
      </c>
      <c r="E21" s="1022">
        <v>42000</v>
      </c>
      <c r="F21" s="1023">
        <f t="shared" si="1"/>
        <v>100</v>
      </c>
      <c r="G21" s="1027" t="s">
        <v>4197</v>
      </c>
      <c r="H21" s="1025" t="s">
        <v>488</v>
      </c>
    </row>
    <row r="22" spans="1:8" s="1028" customFormat="1" ht="24" customHeight="1" x14ac:dyDescent="0.2">
      <c r="A22" s="1020">
        <f t="shared" si="2"/>
        <v>8</v>
      </c>
      <c r="B22" s="1021" t="s">
        <v>4202</v>
      </c>
      <c r="C22" s="1022">
        <v>1000</v>
      </c>
      <c r="D22" s="1022">
        <v>477.95</v>
      </c>
      <c r="E22" s="1022">
        <v>477.95</v>
      </c>
      <c r="F22" s="1023">
        <f t="shared" si="1"/>
        <v>100</v>
      </c>
      <c r="G22" s="1029" t="s">
        <v>4199</v>
      </c>
      <c r="H22" s="1025" t="s">
        <v>597</v>
      </c>
    </row>
    <row r="23" spans="1:8" s="1028" customFormat="1" ht="262.5" x14ac:dyDescent="0.2">
      <c r="A23" s="1020">
        <f t="shared" si="2"/>
        <v>9</v>
      </c>
      <c r="B23" s="1021" t="s">
        <v>722</v>
      </c>
      <c r="C23" s="1022">
        <v>4500</v>
      </c>
      <c r="D23" s="1022">
        <v>19668.68</v>
      </c>
      <c r="E23" s="1022">
        <v>15098.133880000001</v>
      </c>
      <c r="F23" s="1023">
        <f t="shared" si="1"/>
        <v>76.762313891933772</v>
      </c>
      <c r="G23" s="1029" t="s">
        <v>4203</v>
      </c>
      <c r="H23" s="1025" t="s">
        <v>4204</v>
      </c>
    </row>
    <row r="24" spans="1:8" s="1028" customFormat="1" ht="252" x14ac:dyDescent="0.2">
      <c r="A24" s="1020">
        <f t="shared" si="2"/>
        <v>10</v>
      </c>
      <c r="B24" s="1021" t="s">
        <v>4205</v>
      </c>
      <c r="C24" s="1022">
        <v>1201</v>
      </c>
      <c r="D24" s="1022">
        <v>3069.4</v>
      </c>
      <c r="E24" s="1022">
        <v>1785.52</v>
      </c>
      <c r="F24" s="1023">
        <f t="shared" si="1"/>
        <v>58.171629634456245</v>
      </c>
      <c r="G24" s="1029" t="s">
        <v>4197</v>
      </c>
      <c r="H24" s="1025" t="s">
        <v>4206</v>
      </c>
    </row>
    <row r="25" spans="1:8" s="1028" customFormat="1" ht="147" x14ac:dyDescent="0.2">
      <c r="A25" s="1020">
        <f t="shared" si="2"/>
        <v>11</v>
      </c>
      <c r="B25" s="1021" t="s">
        <v>4207</v>
      </c>
      <c r="C25" s="1022">
        <v>14750</v>
      </c>
      <c r="D25" s="1022">
        <v>30620.160000000003</v>
      </c>
      <c r="E25" s="1022">
        <v>20746.554789999998</v>
      </c>
      <c r="F25" s="1023">
        <f t="shared" si="1"/>
        <v>67.754560361539575</v>
      </c>
      <c r="G25" s="1029" t="s">
        <v>4203</v>
      </c>
      <c r="H25" s="1030" t="s">
        <v>4208</v>
      </c>
    </row>
    <row r="26" spans="1:8" s="1028" customFormat="1" ht="94.5" x14ac:dyDescent="0.2">
      <c r="A26" s="1020">
        <f t="shared" si="2"/>
        <v>12</v>
      </c>
      <c r="B26" s="1031" t="s">
        <v>4209</v>
      </c>
      <c r="C26" s="1022">
        <v>8200</v>
      </c>
      <c r="D26" s="1022">
        <v>1052.42</v>
      </c>
      <c r="E26" s="1022">
        <v>1052.4159999999999</v>
      </c>
      <c r="F26" s="1023">
        <f t="shared" si="1"/>
        <v>99.999619923604627</v>
      </c>
      <c r="G26" s="1027" t="s">
        <v>4203</v>
      </c>
      <c r="H26" s="1025" t="s">
        <v>4210</v>
      </c>
    </row>
    <row r="27" spans="1:8" s="1019" customFormat="1" ht="105" x14ac:dyDescent="0.2">
      <c r="A27" s="1020">
        <f t="shared" si="2"/>
        <v>13</v>
      </c>
      <c r="B27" s="1032" t="s">
        <v>4211</v>
      </c>
      <c r="C27" s="1033">
        <v>0</v>
      </c>
      <c r="D27" s="1033">
        <v>242</v>
      </c>
      <c r="E27" s="1033">
        <v>0</v>
      </c>
      <c r="F27" s="1034">
        <f t="shared" si="1"/>
        <v>0</v>
      </c>
      <c r="G27" s="1035" t="s">
        <v>4203</v>
      </c>
      <c r="H27" s="1036" t="s">
        <v>4212</v>
      </c>
    </row>
    <row r="28" spans="1:8" s="1019" customFormat="1" ht="21" x14ac:dyDescent="0.2">
      <c r="A28" s="1020">
        <f t="shared" si="2"/>
        <v>14</v>
      </c>
      <c r="B28" s="1031" t="s">
        <v>4213</v>
      </c>
      <c r="C28" s="1022">
        <v>3</v>
      </c>
      <c r="D28" s="1022">
        <v>3</v>
      </c>
      <c r="E28" s="1022">
        <v>3</v>
      </c>
      <c r="F28" s="1023">
        <f>E28/D28*100</f>
        <v>100</v>
      </c>
      <c r="G28" s="1029" t="s">
        <v>4203</v>
      </c>
      <c r="H28" s="1025" t="s">
        <v>488</v>
      </c>
    </row>
    <row r="29" spans="1:8" s="1019" customFormat="1" ht="42" x14ac:dyDescent="0.2">
      <c r="A29" s="1020">
        <f t="shared" si="2"/>
        <v>15</v>
      </c>
      <c r="B29" s="1031" t="s">
        <v>4214</v>
      </c>
      <c r="C29" s="1022">
        <v>0</v>
      </c>
      <c r="D29" s="1022">
        <v>146.97499999999999</v>
      </c>
      <c r="E29" s="1022">
        <v>146.97499999999999</v>
      </c>
      <c r="F29" s="1023">
        <f t="shared" si="1"/>
        <v>100</v>
      </c>
      <c r="G29" s="1029" t="s">
        <v>4199</v>
      </c>
      <c r="H29" s="1025" t="s">
        <v>488</v>
      </c>
    </row>
    <row r="30" spans="1:8" s="1028" customFormat="1" ht="31.5" x14ac:dyDescent="0.2">
      <c r="A30" s="1020">
        <f t="shared" si="2"/>
        <v>16</v>
      </c>
      <c r="B30" s="1037" t="s">
        <v>4215</v>
      </c>
      <c r="C30" s="1038">
        <v>0</v>
      </c>
      <c r="D30" s="1038">
        <v>173</v>
      </c>
      <c r="E30" s="1038">
        <v>173</v>
      </c>
      <c r="F30" s="1023">
        <f t="shared" si="1"/>
        <v>100</v>
      </c>
      <c r="G30" s="1029" t="s">
        <v>4199</v>
      </c>
      <c r="H30" s="1025" t="s">
        <v>488</v>
      </c>
    </row>
    <row r="31" spans="1:8" s="1044" customFormat="1" ht="13.5" customHeight="1" thickBot="1" x14ac:dyDescent="0.25">
      <c r="A31" s="1442" t="s">
        <v>477</v>
      </c>
      <c r="B31" s="1443"/>
      <c r="C31" s="1039">
        <f>SUM(C15:C30)</f>
        <v>1588248</v>
      </c>
      <c r="D31" s="1040">
        <f>SUM(D15:D30)</f>
        <v>1581761.0149999997</v>
      </c>
      <c r="E31" s="1040">
        <f>SUM(E15:E30)</f>
        <v>1562764.5454700002</v>
      </c>
      <c r="F31" s="1041">
        <f t="shared" si="1"/>
        <v>98.79903036237117</v>
      </c>
      <c r="G31" s="1042"/>
      <c r="H31" s="1043"/>
    </row>
    <row r="32" spans="1:8" s="982" customFormat="1" ht="18" customHeight="1" thickBot="1" x14ac:dyDescent="0.2">
      <c r="A32" s="1045" t="s">
        <v>4190</v>
      </c>
      <c r="B32" s="1046"/>
      <c r="C32" s="1047"/>
      <c r="D32" s="1047"/>
      <c r="E32" s="1048"/>
      <c r="F32" s="1049"/>
      <c r="G32" s="1050"/>
      <c r="H32" s="1051"/>
    </row>
    <row r="33" spans="1:8" s="977" customFormat="1" ht="35.25" customHeight="1" x14ac:dyDescent="0.2">
      <c r="A33" s="1013">
        <f>A30+1</f>
        <v>17</v>
      </c>
      <c r="B33" s="1014" t="s">
        <v>4216</v>
      </c>
      <c r="C33" s="1015">
        <v>362544</v>
      </c>
      <c r="D33" s="1015">
        <v>370544</v>
      </c>
      <c r="E33" s="1015">
        <v>370544</v>
      </c>
      <c r="F33" s="1016">
        <f t="shared" ref="F33:F36" si="3">E33/D33*100</f>
        <v>100</v>
      </c>
      <c r="G33" s="1052" t="s">
        <v>4197</v>
      </c>
      <c r="H33" s="1018" t="s">
        <v>488</v>
      </c>
    </row>
    <row r="34" spans="1:8" s="977" customFormat="1" ht="42" x14ac:dyDescent="0.2">
      <c r="A34" s="1020">
        <f>A33+1</f>
        <v>18</v>
      </c>
      <c r="B34" s="1021" t="s">
        <v>4217</v>
      </c>
      <c r="C34" s="1022">
        <v>190000</v>
      </c>
      <c r="D34" s="1022">
        <v>190000</v>
      </c>
      <c r="E34" s="1022">
        <v>190000</v>
      </c>
      <c r="F34" s="1023">
        <f t="shared" si="3"/>
        <v>100</v>
      </c>
      <c r="G34" s="1053" t="s">
        <v>4197</v>
      </c>
      <c r="H34" s="1025" t="s">
        <v>488</v>
      </c>
    </row>
    <row r="35" spans="1:8" s="1019" customFormat="1" ht="52.5" x14ac:dyDescent="0.2">
      <c r="A35" s="1020">
        <f>A34+1</f>
        <v>19</v>
      </c>
      <c r="B35" s="1031" t="s">
        <v>4218</v>
      </c>
      <c r="C35" s="1022">
        <v>10</v>
      </c>
      <c r="D35" s="1022">
        <v>10</v>
      </c>
      <c r="E35" s="1022">
        <v>2.9</v>
      </c>
      <c r="F35" s="1023">
        <f t="shared" si="3"/>
        <v>28.999999999999996</v>
      </c>
      <c r="G35" s="1027" t="s">
        <v>4197</v>
      </c>
      <c r="H35" s="1025" t="s">
        <v>4219</v>
      </c>
    </row>
    <row r="36" spans="1:8" s="977" customFormat="1" ht="13.5" customHeight="1" thickBot="1" x14ac:dyDescent="0.25">
      <c r="A36" s="1442" t="s">
        <v>477</v>
      </c>
      <c r="B36" s="1443"/>
      <c r="C36" s="1039">
        <f>SUM(C33:C35)</f>
        <v>552554</v>
      </c>
      <c r="D36" s="1039">
        <f>SUM(D33:D35)</f>
        <v>560554</v>
      </c>
      <c r="E36" s="1039">
        <f>SUM(E33:E35)</f>
        <v>560546.9</v>
      </c>
      <c r="F36" s="1041">
        <f t="shared" si="3"/>
        <v>99.998733395890497</v>
      </c>
      <c r="G36" s="1054"/>
      <c r="H36" s="1043"/>
    </row>
    <row r="37" spans="1:8" ht="18" customHeight="1" thickBot="1" x14ac:dyDescent="0.2">
      <c r="A37" s="1006" t="s">
        <v>4220</v>
      </c>
      <c r="B37" s="1055"/>
      <c r="C37" s="1056"/>
      <c r="D37" s="1056"/>
      <c r="E37" s="1057"/>
      <c r="F37" s="1010"/>
      <c r="G37" s="1058"/>
      <c r="H37" s="1059"/>
    </row>
    <row r="38" spans="1:8" s="977" customFormat="1" ht="31.5" x14ac:dyDescent="0.2">
      <c r="A38" s="1013">
        <f>A35+1</f>
        <v>20</v>
      </c>
      <c r="B38" s="1014" t="s">
        <v>652</v>
      </c>
      <c r="C38" s="1015">
        <v>30000</v>
      </c>
      <c r="D38" s="1015">
        <v>47600</v>
      </c>
      <c r="E38" s="1015">
        <v>47600</v>
      </c>
      <c r="F38" s="1016">
        <f t="shared" ref="F38:F45" si="4">E38/D38*100</f>
        <v>100</v>
      </c>
      <c r="G38" s="1060" t="s">
        <v>4197</v>
      </c>
      <c r="H38" s="1061" t="s">
        <v>597</v>
      </c>
    </row>
    <row r="39" spans="1:8" s="977" customFormat="1" ht="100.5" customHeight="1" x14ac:dyDescent="0.2">
      <c r="A39" s="1020">
        <f>A38+1</f>
        <v>21</v>
      </c>
      <c r="B39" s="1031" t="s">
        <v>4221</v>
      </c>
      <c r="C39" s="1022">
        <v>250</v>
      </c>
      <c r="D39" s="1022">
        <v>250</v>
      </c>
      <c r="E39" s="1022">
        <v>0</v>
      </c>
      <c r="F39" s="1023">
        <f t="shared" si="4"/>
        <v>0</v>
      </c>
      <c r="G39" s="1029" t="s">
        <v>4203</v>
      </c>
      <c r="H39" s="1025" t="s">
        <v>4222</v>
      </c>
    </row>
    <row r="40" spans="1:8" s="977" customFormat="1" ht="31.5" x14ac:dyDescent="0.2">
      <c r="A40" s="1020">
        <f t="shared" ref="A40:A44" si="5">A39+1</f>
        <v>22</v>
      </c>
      <c r="B40" s="1031" t="s">
        <v>650</v>
      </c>
      <c r="C40" s="1022">
        <v>14000</v>
      </c>
      <c r="D40" s="1022">
        <v>14000</v>
      </c>
      <c r="E40" s="1022">
        <v>14000</v>
      </c>
      <c r="F40" s="1023">
        <f t="shared" si="4"/>
        <v>100</v>
      </c>
      <c r="G40" s="1053" t="s">
        <v>4197</v>
      </c>
      <c r="H40" s="1025" t="s">
        <v>597</v>
      </c>
    </row>
    <row r="41" spans="1:8" s="977" customFormat="1" ht="145.5" customHeight="1" x14ac:dyDescent="0.2">
      <c r="A41" s="1020">
        <f t="shared" si="5"/>
        <v>23</v>
      </c>
      <c r="B41" s="1021" t="s">
        <v>4223</v>
      </c>
      <c r="C41" s="1022">
        <v>0</v>
      </c>
      <c r="D41" s="1022">
        <v>20000</v>
      </c>
      <c r="E41" s="1022">
        <v>0</v>
      </c>
      <c r="F41" s="1023">
        <f t="shared" si="4"/>
        <v>0</v>
      </c>
      <c r="G41" s="1053" t="s">
        <v>4203</v>
      </c>
      <c r="H41" s="1062" t="s">
        <v>4224</v>
      </c>
    </row>
    <row r="42" spans="1:8" s="977" customFormat="1" ht="21" x14ac:dyDescent="0.2">
      <c r="A42" s="1020">
        <f t="shared" si="5"/>
        <v>24</v>
      </c>
      <c r="B42" s="1021" t="s">
        <v>648</v>
      </c>
      <c r="C42" s="1022">
        <v>0</v>
      </c>
      <c r="D42" s="1022">
        <v>9.93</v>
      </c>
      <c r="E42" s="1022">
        <v>9.9241399999999995</v>
      </c>
      <c r="F42" s="1023">
        <f t="shared" si="4"/>
        <v>99.940986908358511</v>
      </c>
      <c r="G42" s="1053" t="s">
        <v>4199</v>
      </c>
      <c r="H42" s="1062" t="s">
        <v>488</v>
      </c>
    </row>
    <row r="43" spans="1:8" s="977" customFormat="1" ht="42" x14ac:dyDescent="0.2">
      <c r="A43" s="1020">
        <f t="shared" si="5"/>
        <v>25</v>
      </c>
      <c r="B43" s="1021" t="s">
        <v>647</v>
      </c>
      <c r="C43" s="1022">
        <v>0</v>
      </c>
      <c r="D43" s="1022">
        <v>11000</v>
      </c>
      <c r="E43" s="1022">
        <v>10620</v>
      </c>
      <c r="F43" s="1023">
        <f t="shared" si="4"/>
        <v>96.545454545454547</v>
      </c>
      <c r="G43" s="1053" t="s">
        <v>4225</v>
      </c>
      <c r="H43" s="1025" t="s">
        <v>4226</v>
      </c>
    </row>
    <row r="44" spans="1:8" s="977" customFormat="1" ht="24" customHeight="1" x14ac:dyDescent="0.2">
      <c r="A44" s="1020">
        <f t="shared" si="5"/>
        <v>26</v>
      </c>
      <c r="B44" s="1031" t="s">
        <v>4227</v>
      </c>
      <c r="C44" s="1022">
        <v>0</v>
      </c>
      <c r="D44" s="1022">
        <v>8198.2999999999993</v>
      </c>
      <c r="E44" s="1022">
        <v>8198.2005399999998</v>
      </c>
      <c r="F44" s="1023">
        <f t="shared" si="4"/>
        <v>99.998786821658157</v>
      </c>
      <c r="G44" s="1053" t="s">
        <v>4199</v>
      </c>
      <c r="H44" s="1025" t="s">
        <v>597</v>
      </c>
    </row>
    <row r="45" spans="1:8" s="977" customFormat="1" ht="13.5" customHeight="1" thickBot="1" x14ac:dyDescent="0.25">
      <c r="A45" s="1442" t="s">
        <v>477</v>
      </c>
      <c r="B45" s="1443"/>
      <c r="C45" s="1039">
        <f>SUM(C38:C44)</f>
        <v>44250</v>
      </c>
      <c r="D45" s="1063">
        <f>SUM(D38:D44)</f>
        <v>101058.23</v>
      </c>
      <c r="E45" s="1063">
        <f>SUM(E38:E44)</f>
        <v>80428.124680000008</v>
      </c>
      <c r="F45" s="1064">
        <f t="shared" si="4"/>
        <v>79.585922571570876</v>
      </c>
      <c r="G45" s="1042"/>
      <c r="H45" s="1065"/>
    </row>
    <row r="46" spans="1:8" ht="18" customHeight="1" thickBot="1" x14ac:dyDescent="0.2">
      <c r="A46" s="1006" t="s">
        <v>4192</v>
      </c>
      <c r="B46" s="1007"/>
      <c r="C46" s="1008"/>
      <c r="D46" s="1008"/>
      <c r="E46" s="1009"/>
      <c r="F46" s="1010"/>
      <c r="G46" s="1011"/>
      <c r="H46" s="1059"/>
    </row>
    <row r="47" spans="1:8" s="977" customFormat="1" ht="33.75" customHeight="1" x14ac:dyDescent="0.2">
      <c r="A47" s="1013">
        <f>A44+1</f>
        <v>27</v>
      </c>
      <c r="B47" s="1014" t="s">
        <v>1242</v>
      </c>
      <c r="C47" s="1015">
        <v>87660</v>
      </c>
      <c r="D47" s="1015">
        <v>90774.279999999984</v>
      </c>
      <c r="E47" s="1015">
        <v>86725.136620000005</v>
      </c>
      <c r="F47" s="1016">
        <f t="shared" ref="F47:F80" si="6">E47/D47*100</f>
        <v>95.539327461479189</v>
      </c>
      <c r="G47" s="1052" t="s">
        <v>4199</v>
      </c>
      <c r="H47" s="1018" t="s">
        <v>4228</v>
      </c>
    </row>
    <row r="48" spans="1:8" s="977" customFormat="1" ht="66.75" customHeight="1" x14ac:dyDescent="0.2">
      <c r="A48" s="1020">
        <f t="shared" ref="A48:A79" si="7">A47+1</f>
        <v>28</v>
      </c>
      <c r="B48" s="1021" t="s">
        <v>1243</v>
      </c>
      <c r="C48" s="1022">
        <v>259500</v>
      </c>
      <c r="D48" s="1022">
        <v>250712.77999999997</v>
      </c>
      <c r="E48" s="1022">
        <v>249819.88661000002</v>
      </c>
      <c r="F48" s="1023">
        <f t="shared" si="6"/>
        <v>99.643858047443786</v>
      </c>
      <c r="G48" s="1053" t="s">
        <v>4203</v>
      </c>
      <c r="H48" s="1062" t="s">
        <v>4229</v>
      </c>
    </row>
    <row r="49" spans="1:8" s="977" customFormat="1" ht="12.75" customHeight="1" x14ac:dyDescent="0.2">
      <c r="A49" s="1020">
        <f t="shared" si="7"/>
        <v>29</v>
      </c>
      <c r="B49" s="1021" t="s">
        <v>4230</v>
      </c>
      <c r="C49" s="1022">
        <v>0</v>
      </c>
      <c r="D49" s="1066">
        <f>16293.06-13.1</f>
        <v>16279.96</v>
      </c>
      <c r="E49" s="1066">
        <f>16293.05054-13.1</f>
        <v>16279.95054</v>
      </c>
      <c r="F49" s="1023">
        <f t="shared" si="6"/>
        <v>99.999941891749117</v>
      </c>
      <c r="G49" s="1053" t="s">
        <v>4199</v>
      </c>
      <c r="H49" s="1062" t="s">
        <v>133</v>
      </c>
    </row>
    <row r="50" spans="1:8" s="977" customFormat="1" ht="12.75" customHeight="1" x14ac:dyDescent="0.2">
      <c r="A50" s="1020">
        <f t="shared" si="7"/>
        <v>30</v>
      </c>
      <c r="B50" s="1021" t="s">
        <v>4231</v>
      </c>
      <c r="C50" s="1022">
        <v>0</v>
      </c>
      <c r="D50" s="1066">
        <f>53102.05-4303.45-48772.43</f>
        <v>26.17000000000553</v>
      </c>
      <c r="E50" s="1066">
        <f>53102.02329-4303.45-48772.42</f>
        <v>26.153290000002016</v>
      </c>
      <c r="F50" s="1023">
        <f t="shared" si="6"/>
        <v>99.93614826135456</v>
      </c>
      <c r="G50" s="1053" t="s">
        <v>4199</v>
      </c>
      <c r="H50" s="1025" t="s">
        <v>133</v>
      </c>
    </row>
    <row r="51" spans="1:8" s="977" customFormat="1" ht="24" customHeight="1" x14ac:dyDescent="0.2">
      <c r="A51" s="1020">
        <f t="shared" si="7"/>
        <v>31</v>
      </c>
      <c r="B51" s="1021" t="s">
        <v>4232</v>
      </c>
      <c r="C51" s="1022">
        <v>0</v>
      </c>
      <c r="D51" s="1066">
        <f>4995.97-48.25</f>
        <v>4947.72</v>
      </c>
      <c r="E51" s="1066">
        <f>4995.94254-48.23</f>
        <v>4947.7125400000004</v>
      </c>
      <c r="F51" s="1023">
        <f t="shared" si="6"/>
        <v>99.999849223480723</v>
      </c>
      <c r="G51" s="1053" t="s">
        <v>4199</v>
      </c>
      <c r="H51" s="1025" t="s">
        <v>133</v>
      </c>
    </row>
    <row r="52" spans="1:8" s="977" customFormat="1" ht="12.75" customHeight="1" x14ac:dyDescent="0.2">
      <c r="A52" s="1020">
        <f t="shared" si="7"/>
        <v>32</v>
      </c>
      <c r="B52" s="1021" t="s">
        <v>4233</v>
      </c>
      <c r="C52" s="1022">
        <v>0</v>
      </c>
      <c r="D52" s="1066">
        <v>26700.080000000002</v>
      </c>
      <c r="E52" s="1066">
        <v>26700.064999999999</v>
      </c>
      <c r="F52" s="1023">
        <f t="shared" si="6"/>
        <v>99.999943820393028</v>
      </c>
      <c r="G52" s="1053" t="s">
        <v>4199</v>
      </c>
      <c r="H52" s="1025" t="s">
        <v>133</v>
      </c>
    </row>
    <row r="53" spans="1:8" s="977" customFormat="1" ht="12.75" customHeight="1" x14ac:dyDescent="0.2">
      <c r="A53" s="1020">
        <f t="shared" si="7"/>
        <v>33</v>
      </c>
      <c r="B53" s="1021" t="s">
        <v>4234</v>
      </c>
      <c r="C53" s="1022">
        <v>0</v>
      </c>
      <c r="D53" s="1066">
        <f>20953.96-13191.01</f>
        <v>7762.9499999999989</v>
      </c>
      <c r="E53" s="1066">
        <f>20953.94684-13191</f>
        <v>7762.9468400000005</v>
      </c>
      <c r="F53" s="1023">
        <f t="shared" si="6"/>
        <v>99.999959293825185</v>
      </c>
      <c r="G53" s="1053" t="s">
        <v>4199</v>
      </c>
      <c r="H53" s="1025" t="s">
        <v>133</v>
      </c>
    </row>
    <row r="54" spans="1:8" s="977" customFormat="1" ht="31.5" x14ac:dyDescent="0.2">
      <c r="A54" s="1020">
        <f t="shared" si="7"/>
        <v>34</v>
      </c>
      <c r="B54" s="1021" t="s">
        <v>1248</v>
      </c>
      <c r="C54" s="1022">
        <v>30377</v>
      </c>
      <c r="D54" s="1022">
        <v>51712.989999999991</v>
      </c>
      <c r="E54" s="1022">
        <v>48753.531110000004</v>
      </c>
      <c r="F54" s="1023">
        <f t="shared" si="6"/>
        <v>94.277146051698054</v>
      </c>
      <c r="G54" s="1053" t="s">
        <v>4199</v>
      </c>
      <c r="H54" s="1025" t="s">
        <v>4228</v>
      </c>
    </row>
    <row r="55" spans="1:8" s="977" customFormat="1" ht="113.25" customHeight="1" x14ac:dyDescent="0.2">
      <c r="A55" s="1020">
        <f t="shared" si="7"/>
        <v>35</v>
      </c>
      <c r="B55" s="1021" t="s">
        <v>1249</v>
      </c>
      <c r="C55" s="1022">
        <v>30859</v>
      </c>
      <c r="D55" s="1022">
        <v>35153.159999999996</v>
      </c>
      <c r="E55" s="1022">
        <v>34606.107449999996</v>
      </c>
      <c r="F55" s="1023">
        <f t="shared" si="6"/>
        <v>98.443802633959507</v>
      </c>
      <c r="G55" s="1053" t="s">
        <v>4203</v>
      </c>
      <c r="H55" s="1025" t="s">
        <v>4235</v>
      </c>
    </row>
    <row r="56" spans="1:8" s="977" customFormat="1" ht="12.75" customHeight="1" x14ac:dyDescent="0.2">
      <c r="A56" s="1020">
        <f t="shared" si="7"/>
        <v>36</v>
      </c>
      <c r="B56" s="1021" t="s">
        <v>4236</v>
      </c>
      <c r="C56" s="1022">
        <v>0</v>
      </c>
      <c r="D56" s="1022">
        <v>1316.04</v>
      </c>
      <c r="E56" s="1022">
        <v>1316.0360000000001</v>
      </c>
      <c r="F56" s="1023">
        <f t="shared" si="6"/>
        <v>99.999696057870594</v>
      </c>
      <c r="G56" s="1053" t="s">
        <v>4199</v>
      </c>
      <c r="H56" s="1025" t="s">
        <v>133</v>
      </c>
    </row>
    <row r="57" spans="1:8" s="977" customFormat="1" ht="121.5" customHeight="1" x14ac:dyDescent="0.2">
      <c r="A57" s="1020">
        <f t="shared" si="7"/>
        <v>37</v>
      </c>
      <c r="B57" s="1021" t="s">
        <v>1250</v>
      </c>
      <c r="C57" s="1022">
        <v>59803</v>
      </c>
      <c r="D57" s="1022">
        <v>76940.7</v>
      </c>
      <c r="E57" s="1022">
        <v>70712.279949999982</v>
      </c>
      <c r="F57" s="1023">
        <f t="shared" si="6"/>
        <v>91.904908520457937</v>
      </c>
      <c r="G57" s="1053" t="s">
        <v>4203</v>
      </c>
      <c r="H57" s="1025" t="s">
        <v>4237</v>
      </c>
    </row>
    <row r="58" spans="1:8" s="977" customFormat="1" ht="12.75" customHeight="1" x14ac:dyDescent="0.2">
      <c r="A58" s="1020">
        <f t="shared" si="7"/>
        <v>38</v>
      </c>
      <c r="B58" s="1021" t="s">
        <v>1251</v>
      </c>
      <c r="C58" s="1022">
        <v>61793</v>
      </c>
      <c r="D58" s="1022">
        <v>66892.439999999973</v>
      </c>
      <c r="E58" s="1022">
        <v>66795.371159999995</v>
      </c>
      <c r="F58" s="1023">
        <f t="shared" si="6"/>
        <v>99.85488817570419</v>
      </c>
      <c r="G58" s="1053" t="s">
        <v>4199</v>
      </c>
      <c r="H58" s="1025" t="s">
        <v>133</v>
      </c>
    </row>
    <row r="59" spans="1:8" s="977" customFormat="1" ht="12.75" customHeight="1" x14ac:dyDescent="0.2">
      <c r="A59" s="1020">
        <f t="shared" si="7"/>
        <v>39</v>
      </c>
      <c r="B59" s="1021" t="s">
        <v>1252</v>
      </c>
      <c r="C59" s="1022">
        <v>0</v>
      </c>
      <c r="D59" s="1022">
        <v>19507.459999999995</v>
      </c>
      <c r="E59" s="1022">
        <v>19419.167109999995</v>
      </c>
      <c r="F59" s="1023">
        <f t="shared" si="6"/>
        <v>99.547389101400171</v>
      </c>
      <c r="G59" s="1053" t="s">
        <v>4199</v>
      </c>
      <c r="H59" s="1025" t="s">
        <v>133</v>
      </c>
    </row>
    <row r="60" spans="1:8" s="977" customFormat="1" ht="94.5" x14ac:dyDescent="0.2">
      <c r="A60" s="1020">
        <f t="shared" si="7"/>
        <v>40</v>
      </c>
      <c r="B60" s="1021" t="s">
        <v>1253</v>
      </c>
      <c r="C60" s="1022">
        <v>58100</v>
      </c>
      <c r="D60" s="1022">
        <v>81468.059999999983</v>
      </c>
      <c r="E60" s="1022">
        <v>81359.881500000018</v>
      </c>
      <c r="F60" s="1023">
        <f t="shared" si="6"/>
        <v>99.867213604939209</v>
      </c>
      <c r="G60" s="1053" t="s">
        <v>4203</v>
      </c>
      <c r="H60" s="1025" t="s">
        <v>4238</v>
      </c>
    </row>
    <row r="61" spans="1:8" s="977" customFormat="1" ht="12.75" customHeight="1" x14ac:dyDescent="0.2">
      <c r="A61" s="1020">
        <f t="shared" si="7"/>
        <v>41</v>
      </c>
      <c r="B61" s="1021" t="s">
        <v>1254</v>
      </c>
      <c r="C61" s="1022">
        <v>39095</v>
      </c>
      <c r="D61" s="1022">
        <v>53429.270000000004</v>
      </c>
      <c r="E61" s="1022">
        <v>53396.458620000005</v>
      </c>
      <c r="F61" s="1023">
        <f t="shared" si="6"/>
        <v>99.938589129142144</v>
      </c>
      <c r="G61" s="1053" t="s">
        <v>4199</v>
      </c>
      <c r="H61" s="1025" t="s">
        <v>133</v>
      </c>
    </row>
    <row r="62" spans="1:8" s="977" customFormat="1" ht="24" customHeight="1" x14ac:dyDescent="0.2">
      <c r="A62" s="1020">
        <f t="shared" si="7"/>
        <v>42</v>
      </c>
      <c r="B62" s="1021" t="s">
        <v>4239</v>
      </c>
      <c r="C62" s="1022">
        <v>79880</v>
      </c>
      <c r="D62" s="1022">
        <v>76195.75</v>
      </c>
      <c r="E62" s="1022">
        <v>76072.07084</v>
      </c>
      <c r="F62" s="1023">
        <f t="shared" si="6"/>
        <v>99.837682337925671</v>
      </c>
      <c r="G62" s="1053" t="s">
        <v>4199</v>
      </c>
      <c r="H62" s="1025" t="s">
        <v>133</v>
      </c>
    </row>
    <row r="63" spans="1:8" s="977" customFormat="1" ht="12.75" customHeight="1" x14ac:dyDescent="0.2">
      <c r="A63" s="1020">
        <f t="shared" si="7"/>
        <v>43</v>
      </c>
      <c r="B63" s="1021" t="s">
        <v>1255</v>
      </c>
      <c r="C63" s="1022">
        <v>401150</v>
      </c>
      <c r="D63" s="1022">
        <v>77875.010000000009</v>
      </c>
      <c r="E63" s="1022">
        <v>77853.996190000034</v>
      </c>
      <c r="F63" s="1023">
        <f t="shared" si="6"/>
        <v>99.973015977782893</v>
      </c>
      <c r="G63" s="1053" t="s">
        <v>4199</v>
      </c>
      <c r="H63" s="1025" t="s">
        <v>133</v>
      </c>
    </row>
    <row r="64" spans="1:8" s="977" customFormat="1" ht="31.5" x14ac:dyDescent="0.2">
      <c r="A64" s="1020">
        <f t="shared" si="7"/>
        <v>44</v>
      </c>
      <c r="B64" s="1021" t="s">
        <v>1256</v>
      </c>
      <c r="C64" s="1022">
        <v>69973</v>
      </c>
      <c r="D64" s="1022">
        <v>86045.15</v>
      </c>
      <c r="E64" s="1022">
        <v>79294.051080000019</v>
      </c>
      <c r="F64" s="1023">
        <f t="shared" si="6"/>
        <v>92.154004124578819</v>
      </c>
      <c r="G64" s="1053" t="s">
        <v>4199</v>
      </c>
      <c r="H64" s="1025" t="s">
        <v>4228</v>
      </c>
    </row>
    <row r="65" spans="1:8" s="977" customFormat="1" ht="12.75" customHeight="1" x14ac:dyDescent="0.2">
      <c r="A65" s="1020">
        <f t="shared" si="7"/>
        <v>45</v>
      </c>
      <c r="B65" s="1021" t="s">
        <v>1257</v>
      </c>
      <c r="C65" s="1022">
        <v>69833</v>
      </c>
      <c r="D65" s="1022">
        <v>65000.24</v>
      </c>
      <c r="E65" s="1022">
        <v>64922.79952</v>
      </c>
      <c r="F65" s="1023">
        <f t="shared" si="6"/>
        <v>99.880861239896973</v>
      </c>
      <c r="G65" s="1053" t="s">
        <v>4199</v>
      </c>
      <c r="H65" s="1025" t="s">
        <v>133</v>
      </c>
    </row>
    <row r="66" spans="1:8" s="977" customFormat="1" ht="31.5" x14ac:dyDescent="0.2">
      <c r="A66" s="1020">
        <f t="shared" si="7"/>
        <v>46</v>
      </c>
      <c r="B66" s="1021" t="s">
        <v>1258</v>
      </c>
      <c r="C66" s="1022">
        <v>128971</v>
      </c>
      <c r="D66" s="1022">
        <v>113581.09</v>
      </c>
      <c r="E66" s="1022">
        <v>109837.71656000003</v>
      </c>
      <c r="F66" s="1023">
        <f t="shared" si="6"/>
        <v>96.704228283070734</v>
      </c>
      <c r="G66" s="1053" t="s">
        <v>4199</v>
      </c>
      <c r="H66" s="1025" t="s">
        <v>4228</v>
      </c>
    </row>
    <row r="67" spans="1:8" s="977" customFormat="1" ht="12.75" customHeight="1" x14ac:dyDescent="0.2">
      <c r="A67" s="1020">
        <f t="shared" si="7"/>
        <v>47</v>
      </c>
      <c r="B67" s="1021" t="s">
        <v>1259</v>
      </c>
      <c r="C67" s="1022">
        <v>81200</v>
      </c>
      <c r="D67" s="1022">
        <v>63006.71</v>
      </c>
      <c r="E67" s="1022">
        <v>62945.703110000002</v>
      </c>
      <c r="F67" s="1023">
        <f t="shared" si="6"/>
        <v>99.903173979406318</v>
      </c>
      <c r="G67" s="1053" t="s">
        <v>4199</v>
      </c>
      <c r="H67" s="1025" t="s">
        <v>133</v>
      </c>
    </row>
    <row r="68" spans="1:8" s="977" customFormat="1" ht="105" x14ac:dyDescent="0.2">
      <c r="A68" s="1020">
        <f t="shared" si="7"/>
        <v>48</v>
      </c>
      <c r="B68" s="1021" t="s">
        <v>1260</v>
      </c>
      <c r="C68" s="1022">
        <v>189000</v>
      </c>
      <c r="D68" s="1022">
        <v>172870.33999999997</v>
      </c>
      <c r="E68" s="1022">
        <v>154472.57799999998</v>
      </c>
      <c r="F68" s="1023">
        <f t="shared" si="6"/>
        <v>89.357479137253975</v>
      </c>
      <c r="G68" s="1053" t="s">
        <v>4203</v>
      </c>
      <c r="H68" s="1025" t="s">
        <v>4240</v>
      </c>
    </row>
    <row r="69" spans="1:8" s="977" customFormat="1" ht="12.75" customHeight="1" x14ac:dyDescent="0.2">
      <c r="A69" s="1020">
        <f t="shared" si="7"/>
        <v>49</v>
      </c>
      <c r="B69" s="1021" t="s">
        <v>1261</v>
      </c>
      <c r="C69" s="1022">
        <v>59000</v>
      </c>
      <c r="D69" s="1022">
        <v>45690.23000000001</v>
      </c>
      <c r="E69" s="1022">
        <v>45641.372759999991</v>
      </c>
      <c r="F69" s="1023">
        <f t="shared" si="6"/>
        <v>99.893068518149235</v>
      </c>
      <c r="G69" s="1053" t="s">
        <v>4199</v>
      </c>
      <c r="H69" s="1025" t="s">
        <v>133</v>
      </c>
    </row>
    <row r="70" spans="1:8" s="977" customFormat="1" ht="24" customHeight="1" x14ac:dyDescent="0.2">
      <c r="A70" s="1020">
        <f t="shared" si="7"/>
        <v>50</v>
      </c>
      <c r="B70" s="1021" t="s">
        <v>1245</v>
      </c>
      <c r="C70" s="1022">
        <v>0</v>
      </c>
      <c r="D70" s="1022">
        <v>9950.9600000000009</v>
      </c>
      <c r="E70" s="1022">
        <v>9866.7168800000018</v>
      </c>
      <c r="F70" s="1023">
        <f t="shared" si="6"/>
        <v>99.153417157741572</v>
      </c>
      <c r="G70" s="1053" t="s">
        <v>4199</v>
      </c>
      <c r="H70" s="1025" t="s">
        <v>133</v>
      </c>
    </row>
    <row r="71" spans="1:8" s="977" customFormat="1" ht="24" customHeight="1" x14ac:dyDescent="0.2">
      <c r="A71" s="1020">
        <f t="shared" si="7"/>
        <v>51</v>
      </c>
      <c r="B71" s="1021" t="s">
        <v>1246</v>
      </c>
      <c r="C71" s="1022">
        <v>0</v>
      </c>
      <c r="D71" s="1022">
        <v>3755.2100000000005</v>
      </c>
      <c r="E71" s="1022">
        <v>3431.1969399999998</v>
      </c>
      <c r="F71" s="1023">
        <f t="shared" si="6"/>
        <v>91.371639402323694</v>
      </c>
      <c r="G71" s="1053" t="s">
        <v>4199</v>
      </c>
      <c r="H71" s="1025" t="s">
        <v>133</v>
      </c>
    </row>
    <row r="72" spans="1:8" s="977" customFormat="1" ht="24" customHeight="1" x14ac:dyDescent="0.2">
      <c r="A72" s="1020">
        <f t="shared" si="7"/>
        <v>52</v>
      </c>
      <c r="B72" s="1021" t="s">
        <v>1262</v>
      </c>
      <c r="C72" s="1022">
        <v>0</v>
      </c>
      <c r="D72" s="1022">
        <v>441.61</v>
      </c>
      <c r="E72" s="1022">
        <v>441.60602</v>
      </c>
      <c r="F72" s="1023">
        <f t="shared" si="6"/>
        <v>99.999098752292753</v>
      </c>
      <c r="G72" s="1053" t="s">
        <v>4199</v>
      </c>
      <c r="H72" s="1025" t="s">
        <v>133</v>
      </c>
    </row>
    <row r="73" spans="1:8" s="977" customFormat="1" ht="84" x14ac:dyDescent="0.2">
      <c r="A73" s="1020">
        <f t="shared" si="7"/>
        <v>53</v>
      </c>
      <c r="B73" s="1021" t="s">
        <v>4241</v>
      </c>
      <c r="C73" s="1022">
        <v>0</v>
      </c>
      <c r="D73" s="1022">
        <v>350</v>
      </c>
      <c r="E73" s="1022">
        <v>0</v>
      </c>
      <c r="F73" s="1023">
        <f t="shared" si="6"/>
        <v>0</v>
      </c>
      <c r="G73" s="1053" t="s">
        <v>4203</v>
      </c>
      <c r="H73" s="1025" t="s">
        <v>4242</v>
      </c>
    </row>
    <row r="74" spans="1:8" s="977" customFormat="1" ht="84" x14ac:dyDescent="0.2">
      <c r="A74" s="1020">
        <f t="shared" si="7"/>
        <v>54</v>
      </c>
      <c r="B74" s="1021" t="s">
        <v>4243</v>
      </c>
      <c r="C74" s="1022">
        <v>0</v>
      </c>
      <c r="D74" s="1022">
        <v>350</v>
      </c>
      <c r="E74" s="1022">
        <v>0</v>
      </c>
      <c r="F74" s="1023">
        <f t="shared" si="6"/>
        <v>0</v>
      </c>
      <c r="G74" s="1053" t="s">
        <v>4203</v>
      </c>
      <c r="H74" s="1025" t="s">
        <v>4242</v>
      </c>
    </row>
    <row r="75" spans="1:8" s="977" customFormat="1" ht="84" x14ac:dyDescent="0.2">
      <c r="A75" s="1020">
        <f t="shared" si="7"/>
        <v>55</v>
      </c>
      <c r="B75" s="1021" t="s">
        <v>4244</v>
      </c>
      <c r="C75" s="1022">
        <v>0</v>
      </c>
      <c r="D75" s="1022">
        <v>350</v>
      </c>
      <c r="E75" s="1022">
        <v>0</v>
      </c>
      <c r="F75" s="1023">
        <f t="shared" si="6"/>
        <v>0</v>
      </c>
      <c r="G75" s="1053" t="s">
        <v>4203</v>
      </c>
      <c r="H75" s="1025" t="s">
        <v>4242</v>
      </c>
    </row>
    <row r="76" spans="1:8" s="977" customFormat="1" ht="84" x14ac:dyDescent="0.2">
      <c r="A76" s="1020">
        <f t="shared" si="7"/>
        <v>56</v>
      </c>
      <c r="B76" s="1021" t="s">
        <v>1247</v>
      </c>
      <c r="C76" s="1022">
        <v>0</v>
      </c>
      <c r="D76" s="1022">
        <v>500</v>
      </c>
      <c r="E76" s="1022">
        <v>184.477</v>
      </c>
      <c r="F76" s="1023">
        <f t="shared" si="6"/>
        <v>36.895400000000002</v>
      </c>
      <c r="G76" s="1053" t="s">
        <v>4203</v>
      </c>
      <c r="H76" s="1062" t="s">
        <v>4245</v>
      </c>
    </row>
    <row r="77" spans="1:8" s="977" customFormat="1" ht="94.5" x14ac:dyDescent="0.2">
      <c r="A77" s="1020">
        <f t="shared" si="7"/>
        <v>57</v>
      </c>
      <c r="B77" s="1021" t="s">
        <v>4246</v>
      </c>
      <c r="C77" s="1022">
        <v>0</v>
      </c>
      <c r="D77" s="1022">
        <v>500</v>
      </c>
      <c r="E77" s="1022">
        <v>0</v>
      </c>
      <c r="F77" s="1023">
        <f t="shared" si="6"/>
        <v>0</v>
      </c>
      <c r="G77" s="1053" t="s">
        <v>4203</v>
      </c>
      <c r="H77" s="1062" t="s">
        <v>4247</v>
      </c>
    </row>
    <row r="78" spans="1:8" s="977" customFormat="1" ht="58.5" customHeight="1" x14ac:dyDescent="0.2">
      <c r="A78" s="1020">
        <f t="shared" si="7"/>
        <v>58</v>
      </c>
      <c r="B78" s="1021" t="s">
        <v>4248</v>
      </c>
      <c r="C78" s="1022">
        <v>80000</v>
      </c>
      <c r="D78" s="1022">
        <v>51300</v>
      </c>
      <c r="E78" s="1022">
        <v>46307</v>
      </c>
      <c r="F78" s="1023">
        <f t="shared" si="6"/>
        <v>90.267056530214433</v>
      </c>
      <c r="G78" s="1053" t="s">
        <v>4197</v>
      </c>
      <c r="H78" s="1062" t="s">
        <v>4249</v>
      </c>
    </row>
    <row r="79" spans="1:8" s="977" customFormat="1" ht="147" x14ac:dyDescent="0.2">
      <c r="A79" s="1020">
        <f t="shared" si="7"/>
        <v>59</v>
      </c>
      <c r="B79" s="1021" t="s">
        <v>4250</v>
      </c>
      <c r="C79" s="1022">
        <v>223673</v>
      </c>
      <c r="D79" s="1022">
        <v>63360</v>
      </c>
      <c r="E79" s="1022">
        <v>0</v>
      </c>
      <c r="F79" s="1023">
        <f>E79/D79*100</f>
        <v>0</v>
      </c>
      <c r="G79" s="1053" t="s">
        <v>4203</v>
      </c>
      <c r="H79" s="1067" t="s">
        <v>4251</v>
      </c>
    </row>
    <row r="80" spans="1:8" s="977" customFormat="1" ht="13.5" customHeight="1" thickBot="1" x14ac:dyDescent="0.25">
      <c r="A80" s="1442" t="s">
        <v>477</v>
      </c>
      <c r="B80" s="1443"/>
      <c r="C80" s="1039">
        <f>SUM(C47:C79)</f>
        <v>2009867</v>
      </c>
      <c r="D80" s="1039">
        <f>SUM(D47:D79)</f>
        <v>1614746.3599999996</v>
      </c>
      <c r="E80" s="1039">
        <f>SUM(E47:E79)</f>
        <v>1499891.9692400002</v>
      </c>
      <c r="F80" s="1064">
        <f t="shared" si="6"/>
        <v>92.887155927077032</v>
      </c>
      <c r="G80" s="1042"/>
      <c r="H80" s="1068"/>
    </row>
    <row r="81" spans="1:8" s="998" customFormat="1" x14ac:dyDescent="0.2">
      <c r="A81" s="1069"/>
      <c r="B81" s="1070"/>
      <c r="C81" s="1069"/>
      <c r="D81" s="1069"/>
      <c r="E81" s="1069"/>
      <c r="F81" s="1071"/>
      <c r="G81" s="1072"/>
      <c r="H81" s="1073"/>
    </row>
    <row r="83" spans="1:8" x14ac:dyDescent="0.2">
      <c r="E83" s="978"/>
    </row>
  </sheetData>
  <mergeCells count="11">
    <mergeCell ref="A9:B9"/>
    <mergeCell ref="A31:B31"/>
    <mergeCell ref="A36:B36"/>
    <mergeCell ref="A45:B45"/>
    <mergeCell ref="A80:B80"/>
    <mergeCell ref="A8:B8"/>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7" firstPageNumber="240" fitToHeight="0" orientation="landscape" useFirstPageNumber="1" r:id="rId1"/>
  <headerFooter alignWithMargins="0">
    <oddHeader>&amp;L&amp;"Tahoma,Kurzíva"&amp;9Závěrečný účet za rok 2015&amp;R&amp;"Tahoma,Kurzíva"&amp;9Tabulka č. 8</oddHeader>
    <oddFooter>&amp;C&amp;"Tahoma,Obyčejné"&amp;P</oddFooter>
  </headerFooter>
  <rowBreaks count="2" manualBreakCount="2">
    <brk id="43" max="7" man="1"/>
    <brk id="57" max="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topLeftCell="A28" zoomScaleNormal="100" zoomScaleSheetLayoutView="100" workbookViewId="0">
      <selection activeCell="K2" sqref="K2"/>
    </sheetView>
  </sheetViews>
  <sheetFormatPr defaultRowHeight="10.5" x14ac:dyDescent="0.2"/>
  <cols>
    <col min="1" max="1" width="6.42578125" style="976" customWidth="1"/>
    <col min="2" max="2" width="42.7109375" style="977" customWidth="1"/>
    <col min="3" max="4" width="13.140625" style="978" customWidth="1"/>
    <col min="5" max="5" width="12.140625" style="976" customWidth="1"/>
    <col min="6" max="6" width="8" style="979" customWidth="1"/>
    <col min="7" max="7" width="8.7109375" style="980" customWidth="1"/>
    <col min="8" max="8" width="42.7109375" style="981" customWidth="1"/>
    <col min="9" max="9" width="11.28515625" style="976" bestFit="1" customWidth="1"/>
    <col min="10" max="10" width="8.28515625" style="976" bestFit="1" customWidth="1"/>
    <col min="11" max="11" width="11.85546875" style="976" bestFit="1" customWidth="1"/>
    <col min="12" max="12" width="12" style="976" bestFit="1" customWidth="1"/>
    <col min="13" max="16384" width="9.140625" style="976"/>
  </cols>
  <sheetData>
    <row r="1" spans="1:15" s="975" customFormat="1" ht="18" customHeight="1" x14ac:dyDescent="0.2">
      <c r="A1" s="1325" t="s">
        <v>4252</v>
      </c>
      <c r="B1" s="1325"/>
      <c r="C1" s="1325"/>
      <c r="D1" s="1325"/>
      <c r="E1" s="1325"/>
      <c r="F1" s="1325"/>
      <c r="G1" s="1325"/>
      <c r="H1" s="1325"/>
    </row>
    <row r="2" spans="1:15" ht="12" customHeight="1" x14ac:dyDescent="0.2"/>
    <row r="3" spans="1:15" ht="12" customHeight="1" thickBot="1" x14ac:dyDescent="0.2">
      <c r="A3" s="982"/>
      <c r="F3" s="983" t="s">
        <v>4184</v>
      </c>
    </row>
    <row r="4" spans="1:15" ht="23.25" customHeight="1" x14ac:dyDescent="0.2">
      <c r="A4" s="1438"/>
      <c r="B4" s="1439"/>
      <c r="C4" s="984" t="s">
        <v>4185</v>
      </c>
      <c r="D4" s="984" t="s">
        <v>4186</v>
      </c>
      <c r="E4" s="984" t="s">
        <v>4187</v>
      </c>
      <c r="F4" s="985" t="s">
        <v>4188</v>
      </c>
      <c r="G4" s="986"/>
      <c r="H4" s="987"/>
    </row>
    <row r="5" spans="1:15" ht="12.75" customHeight="1" x14ac:dyDescent="0.2">
      <c r="A5" s="1436" t="s">
        <v>4189</v>
      </c>
      <c r="B5" s="1437"/>
      <c r="C5" s="988">
        <f>C37</f>
        <v>72464</v>
      </c>
      <c r="D5" s="988">
        <f>D37</f>
        <v>107933.80000000002</v>
      </c>
      <c r="E5" s="988">
        <f>E37</f>
        <v>61242.535450000018</v>
      </c>
      <c r="F5" s="989">
        <f>E5/D5*100</f>
        <v>56.740831370710573</v>
      </c>
      <c r="G5" s="990"/>
      <c r="H5" s="991"/>
    </row>
    <row r="6" spans="1:15" ht="12.75" customHeight="1" x14ac:dyDescent="0.2">
      <c r="A6" s="1436" t="s">
        <v>4191</v>
      </c>
      <c r="B6" s="1437"/>
      <c r="C6" s="992">
        <f>C40</f>
        <v>0</v>
      </c>
      <c r="D6" s="992">
        <f>D40</f>
        <v>951.06</v>
      </c>
      <c r="E6" s="992">
        <f>E40</f>
        <v>951.06</v>
      </c>
      <c r="F6" s="989">
        <f>E6/D6*100</f>
        <v>100</v>
      </c>
      <c r="G6" s="990"/>
      <c r="H6" s="991"/>
    </row>
    <row r="7" spans="1:15" ht="12.75" customHeight="1" x14ac:dyDescent="0.2">
      <c r="A7" s="1436" t="s">
        <v>4192</v>
      </c>
      <c r="B7" s="1437"/>
      <c r="C7" s="992">
        <f>C50</f>
        <v>828700</v>
      </c>
      <c r="D7" s="992">
        <f>D50</f>
        <v>1095281.49</v>
      </c>
      <c r="E7" s="992">
        <f>E50</f>
        <v>1061001.3293600001</v>
      </c>
      <c r="F7" s="989">
        <f>E7/D7*100</f>
        <v>96.870196296296413</v>
      </c>
      <c r="G7" s="990"/>
      <c r="H7" s="991"/>
    </row>
    <row r="8" spans="1:15" s="982" customFormat="1" ht="13.5" customHeight="1" thickBot="1" x14ac:dyDescent="0.25">
      <c r="A8" s="1440" t="s">
        <v>477</v>
      </c>
      <c r="B8" s="1441"/>
      <c r="C8" s="993">
        <f>SUM(C5:C7)</f>
        <v>901164</v>
      </c>
      <c r="D8" s="994">
        <f>SUM(D5:D7)</f>
        <v>1204166.3500000001</v>
      </c>
      <c r="E8" s="993">
        <f>SUM(E5:E7)</f>
        <v>1123194.92481</v>
      </c>
      <c r="F8" s="995">
        <f>E8/D8*100</f>
        <v>93.27572762766539</v>
      </c>
      <c r="G8" s="990"/>
      <c r="H8" s="991"/>
    </row>
    <row r="9" spans="1:15" s="996" customFormat="1" ht="10.5" customHeight="1" x14ac:dyDescent="0.2">
      <c r="B9" s="997"/>
      <c r="C9" s="998"/>
      <c r="D9" s="998"/>
      <c r="E9" s="998"/>
      <c r="F9" s="999"/>
      <c r="G9" s="1000"/>
      <c r="H9" s="1001"/>
    </row>
    <row r="10" spans="1:15" s="996" customFormat="1" ht="10.5" customHeight="1" x14ac:dyDescent="0.2">
      <c r="B10" s="997"/>
      <c r="C10" s="998"/>
      <c r="D10" s="998"/>
      <c r="E10" s="998"/>
      <c r="F10" s="999"/>
      <c r="G10" s="1000"/>
      <c r="H10" s="1001"/>
    </row>
    <row r="11" spans="1:15" s="996" customFormat="1" ht="10.5" customHeight="1" thickBot="1" x14ac:dyDescent="0.2">
      <c r="B11" s="997"/>
      <c r="C11" s="998"/>
      <c r="D11" s="998"/>
      <c r="E11" s="998"/>
      <c r="F11" s="999"/>
      <c r="G11" s="1000"/>
      <c r="H11" s="983" t="s">
        <v>4184</v>
      </c>
      <c r="I11" s="1074"/>
      <c r="J11" s="1074"/>
    </row>
    <row r="12" spans="1:15" ht="28.5" customHeight="1" thickBot="1" x14ac:dyDescent="0.25">
      <c r="A12" s="1002" t="s">
        <v>4193</v>
      </c>
      <c r="B12" s="1003" t="s">
        <v>665</v>
      </c>
      <c r="C12" s="1004" t="s">
        <v>4185</v>
      </c>
      <c r="D12" s="1004" t="s">
        <v>4186</v>
      </c>
      <c r="E12" s="1004" t="s">
        <v>4187</v>
      </c>
      <c r="F12" s="1004" t="s">
        <v>4188</v>
      </c>
      <c r="G12" s="1004" t="s">
        <v>4194</v>
      </c>
      <c r="H12" s="1005" t="s">
        <v>4195</v>
      </c>
      <c r="I12" s="1075"/>
      <c r="J12" s="1075"/>
    </row>
    <row r="13" spans="1:15" ht="15" customHeight="1" thickBot="1" x14ac:dyDescent="0.2">
      <c r="A13" s="1006" t="s">
        <v>4196</v>
      </c>
      <c r="B13" s="1007"/>
      <c r="C13" s="1008"/>
      <c r="D13" s="1008"/>
      <c r="E13" s="1009"/>
      <c r="F13" s="1010"/>
      <c r="G13" s="1011"/>
      <c r="H13" s="1012"/>
      <c r="I13" s="1075"/>
      <c r="J13" s="1075"/>
    </row>
    <row r="14" spans="1:15" s="1019" customFormat="1" ht="147" x14ac:dyDescent="0.2">
      <c r="A14" s="1013">
        <v>1</v>
      </c>
      <c r="B14" s="1014" t="s">
        <v>749</v>
      </c>
      <c r="C14" s="1076">
        <v>6000</v>
      </c>
      <c r="D14" s="1076">
        <v>15994</v>
      </c>
      <c r="E14" s="1076">
        <v>606.56409999999994</v>
      </c>
      <c r="F14" s="1077">
        <f t="shared" ref="F14:F23" si="0">E14/D14*100</f>
        <v>3.7924477929223452</v>
      </c>
      <c r="G14" s="1052" t="s">
        <v>4197</v>
      </c>
      <c r="H14" s="1018" t="s">
        <v>4253</v>
      </c>
      <c r="I14" s="1078"/>
      <c r="J14" s="1079"/>
      <c r="M14" s="1080"/>
      <c r="N14" s="1080"/>
      <c r="O14" s="1080"/>
    </row>
    <row r="15" spans="1:15" s="1019" customFormat="1" ht="34.5" customHeight="1" x14ac:dyDescent="0.2">
      <c r="A15" s="1020">
        <f>A14+1</f>
        <v>2</v>
      </c>
      <c r="B15" s="1021" t="s">
        <v>4254</v>
      </c>
      <c r="C15" s="1081">
        <v>6500</v>
      </c>
      <c r="D15" s="1081">
        <v>12309.310000000001</v>
      </c>
      <c r="E15" s="1081">
        <v>11898.855</v>
      </c>
      <c r="F15" s="1082">
        <f t="shared" si="0"/>
        <v>96.665491404473514</v>
      </c>
      <c r="G15" s="1026" t="s">
        <v>4197</v>
      </c>
      <c r="H15" s="1025" t="s">
        <v>4255</v>
      </c>
      <c r="I15" s="1083"/>
      <c r="M15" s="1080"/>
      <c r="N15" s="1080"/>
      <c r="O15" s="1080"/>
    </row>
    <row r="16" spans="1:15" s="1019" customFormat="1" ht="34.5" customHeight="1" x14ac:dyDescent="0.2">
      <c r="A16" s="1020">
        <f t="shared" ref="A16:A36" si="1">A15+1</f>
        <v>3</v>
      </c>
      <c r="B16" s="1021" t="s">
        <v>4256</v>
      </c>
      <c r="C16" s="1081">
        <v>120</v>
      </c>
      <c r="D16" s="1081">
        <v>93.9</v>
      </c>
      <c r="E16" s="1081">
        <v>72.341999999999999</v>
      </c>
      <c r="F16" s="1082">
        <f t="shared" si="0"/>
        <v>77.041533546325866</v>
      </c>
      <c r="G16" s="1026" t="s">
        <v>4197</v>
      </c>
      <c r="H16" s="1025" t="s">
        <v>4257</v>
      </c>
      <c r="I16" s="1084"/>
      <c r="M16" s="1080"/>
      <c r="N16" s="1080"/>
      <c r="O16" s="1080"/>
    </row>
    <row r="17" spans="1:15" s="1019" customFormat="1" ht="59.25" customHeight="1" x14ac:dyDescent="0.2">
      <c r="A17" s="1020">
        <f t="shared" si="1"/>
        <v>4</v>
      </c>
      <c r="B17" s="1021" t="s">
        <v>4258</v>
      </c>
      <c r="C17" s="1081">
        <v>120</v>
      </c>
      <c r="D17" s="1081">
        <v>169</v>
      </c>
      <c r="E17" s="1081">
        <v>110.328</v>
      </c>
      <c r="F17" s="1082">
        <f t="shared" si="0"/>
        <v>65.282840236686397</v>
      </c>
      <c r="G17" s="1026" t="s">
        <v>4197</v>
      </c>
      <c r="H17" s="1025" t="s">
        <v>4259</v>
      </c>
      <c r="I17" s="1085"/>
      <c r="J17" s="1086"/>
      <c r="M17" s="1080"/>
      <c r="N17" s="1080"/>
      <c r="O17" s="1080"/>
    </row>
    <row r="18" spans="1:15" s="1019" customFormat="1" ht="189" x14ac:dyDescent="0.2">
      <c r="A18" s="1020">
        <f t="shared" si="1"/>
        <v>5</v>
      </c>
      <c r="B18" s="1021" t="s">
        <v>735</v>
      </c>
      <c r="C18" s="1081">
        <v>7000</v>
      </c>
      <c r="D18" s="1081">
        <v>9715</v>
      </c>
      <c r="E18" s="1081">
        <v>2515</v>
      </c>
      <c r="F18" s="1082">
        <f t="shared" si="0"/>
        <v>25.887802367472979</v>
      </c>
      <c r="G18" s="1026" t="s">
        <v>4197</v>
      </c>
      <c r="H18" s="1025" t="s">
        <v>4260</v>
      </c>
      <c r="I18" s="1087"/>
      <c r="J18" s="1088"/>
      <c r="M18" s="1080"/>
      <c r="N18" s="1080"/>
      <c r="O18" s="1080"/>
    </row>
    <row r="19" spans="1:15" s="1019" customFormat="1" ht="105" x14ac:dyDescent="0.2">
      <c r="A19" s="1020">
        <f t="shared" si="1"/>
        <v>6</v>
      </c>
      <c r="B19" s="1021" t="s">
        <v>733</v>
      </c>
      <c r="C19" s="1081">
        <v>6500</v>
      </c>
      <c r="D19" s="1081">
        <v>8100</v>
      </c>
      <c r="E19" s="1081">
        <v>7566.3593500000006</v>
      </c>
      <c r="F19" s="1082">
        <f t="shared" si="0"/>
        <v>93.411843827160496</v>
      </c>
      <c r="G19" s="1026" t="s">
        <v>4197</v>
      </c>
      <c r="H19" s="1025" t="s">
        <v>4261</v>
      </c>
      <c r="I19" s="1089"/>
      <c r="M19" s="1080"/>
      <c r="N19" s="1080"/>
      <c r="O19" s="1080"/>
    </row>
    <row r="20" spans="1:15" s="1019" customFormat="1" ht="115.5" x14ac:dyDescent="0.15">
      <c r="A20" s="1020">
        <f t="shared" si="1"/>
        <v>7</v>
      </c>
      <c r="B20" s="1021" t="s">
        <v>4262</v>
      </c>
      <c r="C20" s="1081">
        <v>6263</v>
      </c>
      <c r="D20" s="1081">
        <v>9797.26</v>
      </c>
      <c r="E20" s="1081">
        <v>4261.1746000000003</v>
      </c>
      <c r="F20" s="1082">
        <f t="shared" si="0"/>
        <v>43.493533906418733</v>
      </c>
      <c r="G20" s="1027" t="s">
        <v>4197</v>
      </c>
      <c r="H20" s="1025" t="s">
        <v>4263</v>
      </c>
      <c r="I20" s="1090"/>
      <c r="M20" s="1080"/>
      <c r="N20" s="1080"/>
      <c r="O20" s="1080"/>
    </row>
    <row r="21" spans="1:15" s="1028" customFormat="1" ht="115.5" x14ac:dyDescent="0.2">
      <c r="A21" s="1020">
        <f t="shared" si="1"/>
        <v>8</v>
      </c>
      <c r="B21" s="1021" t="s">
        <v>2844</v>
      </c>
      <c r="C21" s="1081">
        <v>19080</v>
      </c>
      <c r="D21" s="1081">
        <v>19080</v>
      </c>
      <c r="E21" s="1081">
        <v>3584.4049300000001</v>
      </c>
      <c r="F21" s="1082">
        <f t="shared" si="0"/>
        <v>18.786189360587002</v>
      </c>
      <c r="G21" s="1029" t="s">
        <v>4197</v>
      </c>
      <c r="H21" s="1025" t="s">
        <v>4264</v>
      </c>
      <c r="I21" s="1091"/>
      <c r="M21" s="1080"/>
      <c r="N21" s="1080"/>
      <c r="O21" s="1080"/>
    </row>
    <row r="22" spans="1:15" s="1028" customFormat="1" ht="73.5" x14ac:dyDescent="0.2">
      <c r="A22" s="1020">
        <f t="shared" si="1"/>
        <v>9</v>
      </c>
      <c r="B22" s="1021" t="s">
        <v>751</v>
      </c>
      <c r="C22" s="1081">
        <v>15000</v>
      </c>
      <c r="D22" s="1081">
        <v>25720.780000000017</v>
      </c>
      <c r="E22" s="1081">
        <v>24819.678050000017</v>
      </c>
      <c r="F22" s="1082">
        <f t="shared" si="0"/>
        <v>96.496599442163117</v>
      </c>
      <c r="G22" s="1029" t="s">
        <v>4197</v>
      </c>
      <c r="H22" s="1092" t="s">
        <v>4265</v>
      </c>
      <c r="I22" s="1093"/>
      <c r="M22" s="1080"/>
      <c r="N22" s="1080"/>
      <c r="O22" s="1080"/>
    </row>
    <row r="23" spans="1:15" s="1028" customFormat="1" ht="12.75" customHeight="1" x14ac:dyDescent="0.2">
      <c r="A23" s="1020">
        <f t="shared" si="1"/>
        <v>10</v>
      </c>
      <c r="B23" s="1021" t="s">
        <v>731</v>
      </c>
      <c r="C23" s="1081">
        <v>1500</v>
      </c>
      <c r="D23" s="1081">
        <v>1500</v>
      </c>
      <c r="E23" s="1081">
        <v>1500</v>
      </c>
      <c r="F23" s="1082">
        <f t="shared" si="0"/>
        <v>100</v>
      </c>
      <c r="G23" s="1029" t="s">
        <v>4197</v>
      </c>
      <c r="H23" s="1025" t="s">
        <v>133</v>
      </c>
      <c r="I23" s="1093"/>
      <c r="J23" s="1094"/>
      <c r="M23" s="1080"/>
      <c r="N23" s="1080"/>
      <c r="O23" s="1080"/>
    </row>
    <row r="24" spans="1:15" s="1028" customFormat="1" ht="63" x14ac:dyDescent="0.2">
      <c r="A24" s="1020">
        <f t="shared" si="1"/>
        <v>11</v>
      </c>
      <c r="B24" s="1021" t="s">
        <v>4266</v>
      </c>
      <c r="C24" s="1081">
        <v>100</v>
      </c>
      <c r="D24" s="1081">
        <v>0</v>
      </c>
      <c r="E24" s="1081">
        <v>0</v>
      </c>
      <c r="F24" s="1082" t="s">
        <v>279</v>
      </c>
      <c r="G24" s="1029" t="s">
        <v>4197</v>
      </c>
      <c r="H24" s="1025" t="s">
        <v>4267</v>
      </c>
      <c r="I24" s="1093"/>
      <c r="J24" s="1094"/>
      <c r="M24" s="1080"/>
      <c r="N24" s="1080"/>
      <c r="O24" s="1080"/>
    </row>
    <row r="25" spans="1:15" s="1028" customFormat="1" ht="69.75" customHeight="1" x14ac:dyDescent="0.15">
      <c r="A25" s="1020">
        <f t="shared" si="1"/>
        <v>12</v>
      </c>
      <c r="B25" s="1021" t="s">
        <v>4268</v>
      </c>
      <c r="C25" s="1081">
        <v>450</v>
      </c>
      <c r="D25" s="1081">
        <v>412.71</v>
      </c>
      <c r="E25" s="1081">
        <v>188.06253999999998</v>
      </c>
      <c r="F25" s="1082">
        <f t="shared" ref="F25:F37" si="2">E25/D25*100</f>
        <v>45.567720675534879</v>
      </c>
      <c r="G25" s="1029" t="s">
        <v>4197</v>
      </c>
      <c r="H25" s="1092" t="s">
        <v>4269</v>
      </c>
      <c r="I25" s="1095"/>
      <c r="J25" s="1096"/>
      <c r="M25" s="1080"/>
      <c r="N25" s="1080"/>
      <c r="O25" s="1080"/>
    </row>
    <row r="26" spans="1:15" s="1028" customFormat="1" ht="115.5" x14ac:dyDescent="0.2">
      <c r="A26" s="1020">
        <f t="shared" si="1"/>
        <v>13</v>
      </c>
      <c r="B26" s="1021" t="s">
        <v>4270</v>
      </c>
      <c r="C26" s="1081">
        <v>0</v>
      </c>
      <c r="D26" s="1081">
        <v>310</v>
      </c>
      <c r="E26" s="1081">
        <v>0</v>
      </c>
      <c r="F26" s="1082">
        <f t="shared" si="2"/>
        <v>0</v>
      </c>
      <c r="G26" s="1027" t="s">
        <v>4203</v>
      </c>
      <c r="H26" s="1025" t="s">
        <v>4271</v>
      </c>
      <c r="M26" s="1080"/>
      <c r="N26" s="1080"/>
      <c r="O26" s="1080"/>
    </row>
    <row r="27" spans="1:15" s="1019" customFormat="1" ht="24" customHeight="1" x14ac:dyDescent="0.2">
      <c r="A27" s="1020">
        <f t="shared" si="1"/>
        <v>14</v>
      </c>
      <c r="B27" s="1021" t="s">
        <v>2819</v>
      </c>
      <c r="C27" s="1081">
        <v>2573</v>
      </c>
      <c r="D27" s="1081">
        <v>2573</v>
      </c>
      <c r="E27" s="1081">
        <v>2573</v>
      </c>
      <c r="F27" s="1082">
        <f t="shared" si="2"/>
        <v>100</v>
      </c>
      <c r="G27" s="1029" t="s">
        <v>4197</v>
      </c>
      <c r="H27" s="1025" t="s">
        <v>133</v>
      </c>
      <c r="I27" s="1093"/>
      <c r="J27" s="1094"/>
      <c r="K27" s="1028"/>
      <c r="L27" s="1028"/>
      <c r="M27" s="1080"/>
      <c r="N27" s="1080"/>
      <c r="O27" s="1080"/>
    </row>
    <row r="28" spans="1:15" s="1019" customFormat="1" ht="147" x14ac:dyDescent="0.2">
      <c r="A28" s="1020">
        <f t="shared" si="1"/>
        <v>15</v>
      </c>
      <c r="B28" s="1031" t="s">
        <v>4272</v>
      </c>
      <c r="C28" s="1081">
        <v>0</v>
      </c>
      <c r="D28" s="1081">
        <v>561</v>
      </c>
      <c r="E28" s="1081">
        <v>0</v>
      </c>
      <c r="F28" s="1082">
        <f t="shared" si="2"/>
        <v>0</v>
      </c>
      <c r="G28" s="1029" t="s">
        <v>4203</v>
      </c>
      <c r="H28" s="1025" t="s">
        <v>4273</v>
      </c>
    </row>
    <row r="29" spans="1:15" s="1028" customFormat="1" ht="34.5" customHeight="1" x14ac:dyDescent="0.2">
      <c r="A29" s="1020">
        <f t="shared" si="1"/>
        <v>16</v>
      </c>
      <c r="B29" s="1021" t="s">
        <v>4274</v>
      </c>
      <c r="C29" s="1081">
        <v>25</v>
      </c>
      <c r="D29" s="1081">
        <v>91</v>
      </c>
      <c r="E29" s="1081">
        <v>43.593000000000004</v>
      </c>
      <c r="F29" s="1082">
        <f t="shared" si="2"/>
        <v>47.90439560439561</v>
      </c>
      <c r="G29" s="1029" t="s">
        <v>4197</v>
      </c>
      <c r="H29" s="1025" t="s">
        <v>4275</v>
      </c>
      <c r="I29" s="1083"/>
      <c r="J29" s="1086"/>
      <c r="K29" s="1019"/>
      <c r="L29" s="1019"/>
      <c r="M29" s="1080"/>
      <c r="N29" s="1080"/>
      <c r="O29" s="1080"/>
    </row>
    <row r="30" spans="1:15" s="1019" customFormat="1" ht="12.75" customHeight="1" x14ac:dyDescent="0.2">
      <c r="A30" s="1020">
        <f t="shared" si="1"/>
        <v>17</v>
      </c>
      <c r="B30" s="1021" t="s">
        <v>934</v>
      </c>
      <c r="C30" s="1081">
        <v>600</v>
      </c>
      <c r="D30" s="1081">
        <v>590</v>
      </c>
      <c r="E30" s="1081">
        <v>586.33600000000001</v>
      </c>
      <c r="F30" s="1082">
        <f t="shared" si="2"/>
        <v>99.378983050847452</v>
      </c>
      <c r="G30" s="1029" t="s">
        <v>4197</v>
      </c>
      <c r="H30" s="1025" t="s">
        <v>133</v>
      </c>
      <c r="I30" s="1083"/>
      <c r="J30" s="1086"/>
      <c r="M30" s="1080"/>
      <c r="N30" s="1080"/>
      <c r="O30" s="1080"/>
    </row>
    <row r="31" spans="1:15" s="1019" customFormat="1" ht="24" customHeight="1" x14ac:dyDescent="0.2">
      <c r="A31" s="1020">
        <f t="shared" si="1"/>
        <v>18</v>
      </c>
      <c r="B31" s="1031" t="s">
        <v>4276</v>
      </c>
      <c r="C31" s="1081">
        <v>633</v>
      </c>
      <c r="D31" s="1081">
        <v>626.84</v>
      </c>
      <c r="E31" s="1081">
        <v>626.83788000000004</v>
      </c>
      <c r="F31" s="1082">
        <f t="shared" si="2"/>
        <v>99.999661795673532</v>
      </c>
      <c r="G31" s="1029" t="s">
        <v>4197</v>
      </c>
      <c r="H31" s="1025" t="s">
        <v>133</v>
      </c>
      <c r="I31" s="1083"/>
      <c r="M31" s="1080"/>
      <c r="N31" s="1080"/>
      <c r="O31" s="1080"/>
    </row>
    <row r="32" spans="1:15" s="1019" customFormat="1" ht="24" customHeight="1" x14ac:dyDescent="0.2">
      <c r="A32" s="1020">
        <f t="shared" si="1"/>
        <v>19</v>
      </c>
      <c r="B32" s="1031" t="s">
        <v>4277</v>
      </c>
      <c r="C32" s="1081">
        <v>0</v>
      </c>
      <c r="D32" s="1081">
        <v>50</v>
      </c>
      <c r="E32" s="1081">
        <v>50</v>
      </c>
      <c r="F32" s="1082">
        <f t="shared" si="2"/>
        <v>100</v>
      </c>
      <c r="G32" s="1029" t="s">
        <v>4199</v>
      </c>
      <c r="H32" s="1025" t="s">
        <v>133</v>
      </c>
      <c r="I32" s="1083"/>
      <c r="M32" s="1080"/>
      <c r="N32" s="1080"/>
      <c r="O32" s="1080"/>
    </row>
    <row r="33" spans="1:15" s="1019" customFormat="1" ht="42" x14ac:dyDescent="0.2">
      <c r="A33" s="1020">
        <f t="shared" si="1"/>
        <v>20</v>
      </c>
      <c r="B33" s="1031" t="s">
        <v>4278</v>
      </c>
      <c r="C33" s="1081">
        <v>0</v>
      </c>
      <c r="D33" s="1081">
        <v>160</v>
      </c>
      <c r="E33" s="1081">
        <v>160</v>
      </c>
      <c r="F33" s="1082">
        <f t="shared" si="2"/>
        <v>100</v>
      </c>
      <c r="G33" s="1029" t="s">
        <v>4199</v>
      </c>
      <c r="H33" s="1025" t="s">
        <v>133</v>
      </c>
      <c r="I33" s="1083"/>
      <c r="M33" s="1080"/>
      <c r="N33" s="1080"/>
      <c r="O33" s="1080"/>
    </row>
    <row r="34" spans="1:15" s="1019" customFormat="1" ht="24" customHeight="1" x14ac:dyDescent="0.2">
      <c r="A34" s="1020">
        <f t="shared" si="1"/>
        <v>21</v>
      </c>
      <c r="B34" s="1031" t="s">
        <v>4279</v>
      </c>
      <c r="C34" s="1081">
        <v>0</v>
      </c>
      <c r="D34" s="1081">
        <v>10</v>
      </c>
      <c r="E34" s="1081">
        <v>10</v>
      </c>
      <c r="F34" s="1082">
        <f t="shared" si="2"/>
        <v>100</v>
      </c>
      <c r="G34" s="1029" t="s">
        <v>4199</v>
      </c>
      <c r="H34" s="1025" t="s">
        <v>133</v>
      </c>
      <c r="I34" s="1083"/>
      <c r="M34" s="1080"/>
      <c r="N34" s="1080"/>
      <c r="O34" s="1080"/>
    </row>
    <row r="35" spans="1:15" s="1019" customFormat="1" ht="24" customHeight="1" x14ac:dyDescent="0.2">
      <c r="A35" s="1020">
        <f t="shared" si="1"/>
        <v>22</v>
      </c>
      <c r="B35" s="1031" t="s">
        <v>4280</v>
      </c>
      <c r="C35" s="1081">
        <v>0</v>
      </c>
      <c r="D35" s="1081">
        <v>20</v>
      </c>
      <c r="E35" s="1081">
        <v>20</v>
      </c>
      <c r="F35" s="1082">
        <f t="shared" si="2"/>
        <v>100</v>
      </c>
      <c r="G35" s="1029" t="s">
        <v>4199</v>
      </c>
      <c r="H35" s="1025" t="s">
        <v>133</v>
      </c>
      <c r="I35" s="1083"/>
      <c r="M35" s="1080"/>
      <c r="N35" s="1080"/>
      <c r="O35" s="1080"/>
    </row>
    <row r="36" spans="1:15" s="1019" customFormat="1" ht="24" customHeight="1" x14ac:dyDescent="0.2">
      <c r="A36" s="1020">
        <f t="shared" si="1"/>
        <v>23</v>
      </c>
      <c r="B36" s="1037" t="s">
        <v>4281</v>
      </c>
      <c r="C36" s="1097">
        <v>0</v>
      </c>
      <c r="D36" s="1097">
        <v>50</v>
      </c>
      <c r="E36" s="1097">
        <v>50</v>
      </c>
      <c r="F36" s="1082">
        <f t="shared" si="2"/>
        <v>100</v>
      </c>
      <c r="G36" s="1029" t="s">
        <v>4199</v>
      </c>
      <c r="H36" s="1025" t="s">
        <v>133</v>
      </c>
      <c r="I36" s="1098"/>
      <c r="J36" s="1099"/>
      <c r="K36" s="1099"/>
      <c r="L36" s="1100"/>
      <c r="M36" s="1080"/>
      <c r="N36" s="1080"/>
      <c r="O36" s="1080"/>
    </row>
    <row r="37" spans="1:15" s="1044" customFormat="1" ht="13.5" customHeight="1" thickBot="1" x14ac:dyDescent="0.25">
      <c r="A37" s="1442" t="s">
        <v>477</v>
      </c>
      <c r="B37" s="1443"/>
      <c r="C37" s="1039">
        <f>SUM(C14:C36)</f>
        <v>72464</v>
      </c>
      <c r="D37" s="1039">
        <f>SUM(D14:D36)</f>
        <v>107933.80000000002</v>
      </c>
      <c r="E37" s="1039">
        <f>SUM(E14:E36)</f>
        <v>61242.535450000018</v>
      </c>
      <c r="F37" s="1041">
        <f t="shared" si="2"/>
        <v>56.740831370710573</v>
      </c>
      <c r="G37" s="1042"/>
      <c r="H37" s="1043"/>
      <c r="M37" s="1080"/>
      <c r="N37" s="1080"/>
      <c r="O37" s="1080"/>
    </row>
    <row r="38" spans="1:15" ht="18" customHeight="1" thickBot="1" x14ac:dyDescent="0.2">
      <c r="A38" s="1006" t="s">
        <v>4220</v>
      </c>
      <c r="B38" s="1055"/>
      <c r="C38" s="1056"/>
      <c r="D38" s="1056"/>
      <c r="E38" s="1057"/>
      <c r="F38" s="1010"/>
      <c r="G38" s="1058"/>
      <c r="H38" s="1059"/>
      <c r="M38" s="1080"/>
      <c r="N38" s="1080"/>
      <c r="O38" s="1080"/>
    </row>
    <row r="39" spans="1:15" s="977" customFormat="1" ht="24.75" customHeight="1" x14ac:dyDescent="0.2">
      <c r="A39" s="1013">
        <f>A36+1</f>
        <v>24</v>
      </c>
      <c r="B39" s="1014" t="s">
        <v>636</v>
      </c>
      <c r="C39" s="1076">
        <v>0</v>
      </c>
      <c r="D39" s="1076">
        <v>951.06</v>
      </c>
      <c r="E39" s="1076">
        <v>951.06</v>
      </c>
      <c r="F39" s="1077">
        <f>E39/D39*100</f>
        <v>100</v>
      </c>
      <c r="G39" s="1101" t="s">
        <v>4199</v>
      </c>
      <c r="H39" s="1061" t="s">
        <v>133</v>
      </c>
    </row>
    <row r="40" spans="1:15" s="977" customFormat="1" ht="13.5" customHeight="1" thickBot="1" x14ac:dyDescent="0.25">
      <c r="A40" s="1442" t="s">
        <v>477</v>
      </c>
      <c r="B40" s="1443"/>
      <c r="C40" s="1039">
        <f>SUM(C39:C39)</f>
        <v>0</v>
      </c>
      <c r="D40" s="1063">
        <f>SUM(D39:D39)</f>
        <v>951.06</v>
      </c>
      <c r="E40" s="1063">
        <f>SUM(E39:E39)</f>
        <v>951.06</v>
      </c>
      <c r="F40" s="1064">
        <f>E40/D40*100</f>
        <v>100</v>
      </c>
      <c r="G40" s="1042"/>
      <c r="H40" s="1065"/>
    </row>
    <row r="41" spans="1:15" ht="18" customHeight="1" thickBot="1" x14ac:dyDescent="0.2">
      <c r="A41" s="1006" t="s">
        <v>4192</v>
      </c>
      <c r="B41" s="1007"/>
      <c r="C41" s="1008"/>
      <c r="D41" s="1008"/>
      <c r="E41" s="1009"/>
      <c r="F41" s="1010"/>
      <c r="G41" s="1011"/>
      <c r="H41" s="1059"/>
    </row>
    <row r="42" spans="1:15" s="977" customFormat="1" ht="21" x14ac:dyDescent="0.2">
      <c r="A42" s="1013">
        <f>A39+1</f>
        <v>25</v>
      </c>
      <c r="B42" s="1014" t="s">
        <v>1267</v>
      </c>
      <c r="C42" s="1076">
        <v>120000</v>
      </c>
      <c r="D42" s="1076">
        <v>110768.52</v>
      </c>
      <c r="E42" s="1076">
        <v>110605.984</v>
      </c>
      <c r="F42" s="1077">
        <f t="shared" ref="F42:F50" si="3">E42/D42*100</f>
        <v>99.853265169562604</v>
      </c>
      <c r="G42" s="1076" t="s">
        <v>4199</v>
      </c>
      <c r="H42" s="1018" t="s">
        <v>133</v>
      </c>
      <c r="M42" s="976"/>
      <c r="N42" s="976"/>
      <c r="O42" s="976"/>
    </row>
    <row r="43" spans="1:15" s="977" customFormat="1" ht="84" x14ac:dyDescent="0.2">
      <c r="A43" s="1020">
        <f t="shared" ref="A43:A49" si="4">A42+1</f>
        <v>26</v>
      </c>
      <c r="B43" s="1021" t="s">
        <v>1266</v>
      </c>
      <c r="C43" s="1081">
        <v>0</v>
      </c>
      <c r="D43" s="1081">
        <v>193052.5</v>
      </c>
      <c r="E43" s="1081">
        <v>192153.20300000001</v>
      </c>
      <c r="F43" s="1082">
        <f t="shared" si="3"/>
        <v>99.534169720671841</v>
      </c>
      <c r="G43" s="1053" t="s">
        <v>4203</v>
      </c>
      <c r="H43" s="1062" t="s">
        <v>4282</v>
      </c>
    </row>
    <row r="44" spans="1:15" s="977" customFormat="1" ht="24" customHeight="1" x14ac:dyDescent="0.2">
      <c r="A44" s="1020">
        <f t="shared" si="4"/>
        <v>27</v>
      </c>
      <c r="B44" s="1021" t="s">
        <v>1268</v>
      </c>
      <c r="C44" s="1081">
        <v>107900</v>
      </c>
      <c r="D44" s="1081">
        <v>105346.07</v>
      </c>
      <c r="E44" s="1081">
        <v>105128.0445</v>
      </c>
      <c r="F44" s="1082">
        <f t="shared" si="3"/>
        <v>99.793038791100614</v>
      </c>
      <c r="G44" s="1053" t="s">
        <v>4199</v>
      </c>
      <c r="H44" s="1062" t="s">
        <v>133</v>
      </c>
    </row>
    <row r="45" spans="1:15" s="977" customFormat="1" ht="105" x14ac:dyDescent="0.2">
      <c r="A45" s="1020">
        <f t="shared" si="4"/>
        <v>28</v>
      </c>
      <c r="B45" s="1021" t="s">
        <v>1265</v>
      </c>
      <c r="C45" s="1081">
        <v>200000</v>
      </c>
      <c r="D45" s="1081">
        <v>251140.35000000003</v>
      </c>
      <c r="E45" s="1081">
        <v>246616.08705</v>
      </c>
      <c r="F45" s="1082">
        <f t="shared" si="3"/>
        <v>98.198512126784877</v>
      </c>
      <c r="G45" s="1053" t="s">
        <v>4203</v>
      </c>
      <c r="H45" s="1062" t="s">
        <v>4283</v>
      </c>
    </row>
    <row r="46" spans="1:15" s="977" customFormat="1" ht="31.5" x14ac:dyDescent="0.2">
      <c r="A46" s="1020">
        <f t="shared" si="4"/>
        <v>29</v>
      </c>
      <c r="B46" s="1021" t="s">
        <v>1270</v>
      </c>
      <c r="C46" s="1081">
        <v>25500</v>
      </c>
      <c r="D46" s="1081">
        <v>30042.110000000004</v>
      </c>
      <c r="E46" s="1081">
        <v>27525.196889999996</v>
      </c>
      <c r="F46" s="1082">
        <f t="shared" si="3"/>
        <v>91.622049483208713</v>
      </c>
      <c r="G46" s="1053" t="s">
        <v>4199</v>
      </c>
      <c r="H46" s="1025" t="s">
        <v>4228</v>
      </c>
    </row>
    <row r="47" spans="1:15" s="977" customFormat="1" ht="105" x14ac:dyDescent="0.2">
      <c r="A47" s="1020">
        <f t="shared" si="4"/>
        <v>30</v>
      </c>
      <c r="B47" s="1021" t="s">
        <v>1271</v>
      </c>
      <c r="C47" s="1081">
        <v>232300</v>
      </c>
      <c r="D47" s="1081">
        <v>273580.18</v>
      </c>
      <c r="E47" s="1081">
        <v>247898.25748999996</v>
      </c>
      <c r="F47" s="1082">
        <f t="shared" si="3"/>
        <v>90.612652382201063</v>
      </c>
      <c r="G47" s="1053" t="s">
        <v>4203</v>
      </c>
      <c r="H47" s="1025" t="s">
        <v>4284</v>
      </c>
    </row>
    <row r="48" spans="1:15" s="977" customFormat="1" ht="12.75" customHeight="1" x14ac:dyDescent="0.2">
      <c r="A48" s="1020">
        <f t="shared" si="4"/>
        <v>31</v>
      </c>
      <c r="B48" s="1021" t="s">
        <v>1269</v>
      </c>
      <c r="C48" s="1081">
        <v>143000</v>
      </c>
      <c r="D48" s="1081">
        <v>122998.99999999999</v>
      </c>
      <c r="E48" s="1081">
        <v>122748.80150000002</v>
      </c>
      <c r="F48" s="1082">
        <f t="shared" si="3"/>
        <v>99.796584931584832</v>
      </c>
      <c r="G48" s="1053" t="s">
        <v>4199</v>
      </c>
      <c r="H48" s="1025" t="s">
        <v>133</v>
      </c>
    </row>
    <row r="49" spans="1:8" s="977" customFormat="1" ht="12.75" customHeight="1" x14ac:dyDescent="0.2">
      <c r="A49" s="1020">
        <f t="shared" si="4"/>
        <v>32</v>
      </c>
      <c r="B49" s="1021" t="s">
        <v>1264</v>
      </c>
      <c r="C49" s="1081">
        <v>0</v>
      </c>
      <c r="D49" s="1081">
        <v>8352.7599999999984</v>
      </c>
      <c r="E49" s="1081">
        <v>8325.7549299999919</v>
      </c>
      <c r="F49" s="1082">
        <f t="shared" si="3"/>
        <v>99.676692853619571</v>
      </c>
      <c r="G49" s="1053" t="s">
        <v>4199</v>
      </c>
      <c r="H49" s="1025" t="s">
        <v>133</v>
      </c>
    </row>
    <row r="50" spans="1:8" s="977" customFormat="1" ht="13.5" customHeight="1" thickBot="1" x14ac:dyDescent="0.25">
      <c r="A50" s="1442" t="s">
        <v>477</v>
      </c>
      <c r="B50" s="1443"/>
      <c r="C50" s="1039">
        <f>SUM(C42:C49)</f>
        <v>828700</v>
      </c>
      <c r="D50" s="1039">
        <f>SUM(D42:D49)</f>
        <v>1095281.49</v>
      </c>
      <c r="E50" s="1039">
        <f>SUM(E42:E49)</f>
        <v>1061001.3293600001</v>
      </c>
      <c r="F50" s="1064">
        <f t="shared" si="3"/>
        <v>96.870196296296413</v>
      </c>
      <c r="G50" s="1042"/>
      <c r="H50" s="1068"/>
    </row>
    <row r="51" spans="1:8" s="998" customFormat="1" x14ac:dyDescent="0.2">
      <c r="A51" s="1069"/>
      <c r="B51" s="1070"/>
      <c r="C51" s="1069"/>
      <c r="D51" s="1069"/>
      <c r="E51" s="1069"/>
      <c r="F51" s="1071"/>
      <c r="G51" s="1072"/>
      <c r="H51" s="1073"/>
    </row>
  </sheetData>
  <mergeCells count="9">
    <mergeCell ref="A37:B37"/>
    <mergeCell ref="A40:B40"/>
    <mergeCell ref="A50:B50"/>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8" firstPageNumber="248" fitToHeight="0" orientation="landscape" useFirstPageNumber="1" r:id="rId1"/>
  <headerFooter alignWithMargins="0">
    <oddHeader>&amp;L&amp;"Tahoma,Kurzíva"&amp;9Závěrečný účet za rok 2015&amp;R&amp;"Tahoma,Kurzíva"&amp;9Tabulka č. 9</oddHeader>
    <oddFooter>&amp;C&amp;"Tahoma,Obyčejné"&amp;P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topLeftCell="A25" zoomScaleNormal="100" zoomScaleSheetLayoutView="100" workbookViewId="0">
      <selection activeCell="K2" sqref="K2"/>
    </sheetView>
  </sheetViews>
  <sheetFormatPr defaultRowHeight="10.5" x14ac:dyDescent="0.2"/>
  <cols>
    <col min="1" max="1" width="6.42578125" style="976" customWidth="1"/>
    <col min="2" max="2" width="42.7109375" style="977" customWidth="1"/>
    <col min="3" max="4" width="13.140625" style="978" customWidth="1"/>
    <col min="5" max="5" width="12.140625" style="976" customWidth="1"/>
    <col min="6" max="6" width="8" style="979" customWidth="1"/>
    <col min="7" max="7" width="8.7109375" style="980" customWidth="1"/>
    <col min="8" max="8" width="42.7109375" style="981" customWidth="1"/>
    <col min="9" max="16384" width="9.140625" style="976"/>
  </cols>
  <sheetData>
    <row r="1" spans="1:8" s="975" customFormat="1" ht="18" customHeight="1" x14ac:dyDescent="0.2">
      <c r="A1" s="1325" t="s">
        <v>4285</v>
      </c>
      <c r="B1" s="1325"/>
      <c r="C1" s="1325"/>
      <c r="D1" s="1325"/>
      <c r="E1" s="1325"/>
      <c r="F1" s="1325"/>
      <c r="G1" s="1325"/>
      <c r="H1" s="1325"/>
    </row>
    <row r="2" spans="1:8" ht="11.25" customHeight="1" x14ac:dyDescent="0.2"/>
    <row r="3" spans="1:8" ht="12" customHeight="1" thickBot="1" x14ac:dyDescent="0.2">
      <c r="A3" s="982"/>
      <c r="F3" s="983" t="s">
        <v>4184</v>
      </c>
    </row>
    <row r="4" spans="1:8" ht="23.25" customHeight="1" x14ac:dyDescent="0.2">
      <c r="A4" s="1438"/>
      <c r="B4" s="1439"/>
      <c r="C4" s="984" t="s">
        <v>4185</v>
      </c>
      <c r="D4" s="984" t="s">
        <v>4186</v>
      </c>
      <c r="E4" s="984" t="s">
        <v>4187</v>
      </c>
      <c r="F4" s="985" t="s">
        <v>4188</v>
      </c>
      <c r="G4" s="986"/>
      <c r="H4" s="987"/>
    </row>
    <row r="5" spans="1:8" ht="12.75" customHeight="1" x14ac:dyDescent="0.2">
      <c r="A5" s="1436" t="s">
        <v>4189</v>
      </c>
      <c r="B5" s="1437"/>
      <c r="C5" s="988">
        <f>C31</f>
        <v>36831</v>
      </c>
      <c r="D5" s="988">
        <f>D31</f>
        <v>42381.96</v>
      </c>
      <c r="E5" s="988">
        <f>E31</f>
        <v>38628.362800000003</v>
      </c>
      <c r="F5" s="989">
        <f>E5/D5*100</f>
        <v>91.143408185935726</v>
      </c>
      <c r="G5" s="990"/>
      <c r="H5" s="991"/>
    </row>
    <row r="6" spans="1:8" ht="12.75" customHeight="1" x14ac:dyDescent="0.2">
      <c r="A6" s="1436" t="s">
        <v>4190</v>
      </c>
      <c r="B6" s="1437"/>
      <c r="C6" s="992">
        <f>C52</f>
        <v>193498</v>
      </c>
      <c r="D6" s="992">
        <f>D52</f>
        <v>193982.50699999998</v>
      </c>
      <c r="E6" s="992">
        <f>E52</f>
        <v>193965.49999999997</v>
      </c>
      <c r="F6" s="989">
        <f>E6/D6*100</f>
        <v>99.991232714607605</v>
      </c>
      <c r="G6" s="990"/>
      <c r="H6" s="991"/>
    </row>
    <row r="7" spans="1:8" ht="12.75" customHeight="1" x14ac:dyDescent="0.2">
      <c r="A7" s="1436" t="s">
        <v>4191</v>
      </c>
      <c r="B7" s="1437"/>
      <c r="C7" s="992">
        <f>C67</f>
        <v>2500</v>
      </c>
      <c r="D7" s="992">
        <f>D67</f>
        <v>35968.82</v>
      </c>
      <c r="E7" s="992">
        <f>E67</f>
        <v>8826</v>
      </c>
      <c r="F7" s="989">
        <f>E7/D7*100</f>
        <v>24.537919231156319</v>
      </c>
      <c r="G7" s="990"/>
      <c r="H7" s="991"/>
    </row>
    <row r="8" spans="1:8" ht="12.75" customHeight="1" x14ac:dyDescent="0.2">
      <c r="A8" s="1436" t="s">
        <v>4192</v>
      </c>
      <c r="B8" s="1437"/>
      <c r="C8" s="992">
        <f>C72</f>
        <v>44177</v>
      </c>
      <c r="D8" s="992">
        <f>D72</f>
        <v>53520.12000000001</v>
      </c>
      <c r="E8" s="992">
        <f>E72</f>
        <v>52377.153040000012</v>
      </c>
      <c r="F8" s="989">
        <f>E8/D8*100</f>
        <v>97.864416298020259</v>
      </c>
      <c r="G8" s="990"/>
      <c r="H8" s="991"/>
    </row>
    <row r="9" spans="1:8" s="982" customFormat="1" ht="13.5" customHeight="1" thickBot="1" x14ac:dyDescent="0.25">
      <c r="A9" s="1440" t="s">
        <v>477</v>
      </c>
      <c r="B9" s="1441"/>
      <c r="C9" s="993">
        <f>SUM(C5:C8)</f>
        <v>277006</v>
      </c>
      <c r="D9" s="994">
        <f>SUM(D5:D8)</f>
        <v>325853.40699999995</v>
      </c>
      <c r="E9" s="993">
        <f>SUM(E5:E8)</f>
        <v>293797.01584000001</v>
      </c>
      <c r="F9" s="995">
        <f>E9/D9*100</f>
        <v>90.16232745419785</v>
      </c>
      <c r="G9" s="990"/>
      <c r="H9" s="991"/>
    </row>
    <row r="10" spans="1:8" s="996" customFormat="1" ht="10.5" customHeight="1" x14ac:dyDescent="0.2">
      <c r="B10" s="1102"/>
      <c r="C10" s="998"/>
      <c r="D10" s="998"/>
      <c r="E10" s="998"/>
      <c r="F10" s="999"/>
      <c r="G10" s="1000"/>
      <c r="H10" s="1001"/>
    </row>
    <row r="11" spans="1:8" s="996" customFormat="1" ht="10.5" customHeight="1" x14ac:dyDescent="0.2">
      <c r="B11" s="997"/>
      <c r="C11" s="998"/>
      <c r="D11" s="998"/>
      <c r="E11" s="998"/>
      <c r="F11" s="999"/>
      <c r="G11" s="1000"/>
      <c r="H11" s="1001"/>
    </row>
    <row r="12" spans="1:8" s="996" customFormat="1" ht="10.5" customHeight="1" thickBot="1" x14ac:dyDescent="0.2">
      <c r="B12" s="997"/>
      <c r="C12" s="998"/>
      <c r="D12" s="998"/>
      <c r="E12" s="998"/>
      <c r="F12" s="999"/>
      <c r="G12" s="1000"/>
      <c r="H12" s="983" t="s">
        <v>4184</v>
      </c>
    </row>
    <row r="13" spans="1:8" ht="28.5" customHeight="1" thickBot="1" x14ac:dyDescent="0.25">
      <c r="A13" s="1002" t="s">
        <v>4193</v>
      </c>
      <c r="B13" s="1003" t="s">
        <v>665</v>
      </c>
      <c r="C13" s="1004" t="s">
        <v>4185</v>
      </c>
      <c r="D13" s="1004" t="s">
        <v>4186</v>
      </c>
      <c r="E13" s="1004" t="s">
        <v>4187</v>
      </c>
      <c r="F13" s="1004" t="s">
        <v>4188</v>
      </c>
      <c r="G13" s="1004" t="s">
        <v>4194</v>
      </c>
      <c r="H13" s="1005" t="s">
        <v>4195</v>
      </c>
    </row>
    <row r="14" spans="1:8" ht="15" customHeight="1" thickBot="1" x14ac:dyDescent="0.2">
      <c r="A14" s="1006" t="s">
        <v>4196</v>
      </c>
      <c r="B14" s="1007"/>
      <c r="C14" s="1008"/>
      <c r="D14" s="1008"/>
      <c r="E14" s="1009"/>
      <c r="F14" s="1010"/>
      <c r="G14" s="1011"/>
      <c r="H14" s="1012"/>
    </row>
    <row r="15" spans="1:8" s="1019" customFormat="1" ht="31.5" x14ac:dyDescent="0.2">
      <c r="A15" s="1013">
        <v>1</v>
      </c>
      <c r="B15" s="1103" t="s">
        <v>2741</v>
      </c>
      <c r="C15" s="1104">
        <v>1000</v>
      </c>
      <c r="D15" s="1104">
        <v>1000</v>
      </c>
      <c r="E15" s="1104">
        <v>992.45400000000006</v>
      </c>
      <c r="F15" s="1105">
        <f t="shared" ref="F15:F31" si="0">E15/D15*100</f>
        <v>99.245400000000004</v>
      </c>
      <c r="G15" s="1060" t="s">
        <v>4197</v>
      </c>
      <c r="H15" s="1018" t="s">
        <v>133</v>
      </c>
    </row>
    <row r="16" spans="1:8" s="1019" customFormat="1" ht="31.5" x14ac:dyDescent="0.2">
      <c r="A16" s="1020">
        <f>A15+1</f>
        <v>2</v>
      </c>
      <c r="B16" s="1031" t="s">
        <v>2743</v>
      </c>
      <c r="C16" s="1106">
        <v>5000</v>
      </c>
      <c r="D16" s="1106">
        <v>5000</v>
      </c>
      <c r="E16" s="1106">
        <v>4979.5619999999999</v>
      </c>
      <c r="F16" s="1107">
        <f t="shared" si="0"/>
        <v>99.591239999999999</v>
      </c>
      <c r="G16" s="1027" t="s">
        <v>4197</v>
      </c>
      <c r="H16" s="1025" t="s">
        <v>133</v>
      </c>
    </row>
    <row r="17" spans="1:8" s="1019" customFormat="1" ht="12.75" customHeight="1" x14ac:dyDescent="0.2">
      <c r="A17" s="1020">
        <f t="shared" ref="A17:A30" si="1">A16+1</f>
        <v>3</v>
      </c>
      <c r="B17" s="1031" t="s">
        <v>2738</v>
      </c>
      <c r="C17" s="1106">
        <v>3500</v>
      </c>
      <c r="D17" s="1106">
        <v>3500</v>
      </c>
      <c r="E17" s="1106">
        <v>3451.0329999999999</v>
      </c>
      <c r="F17" s="1107">
        <f t="shared" si="0"/>
        <v>98.600942857142854</v>
      </c>
      <c r="G17" s="1027" t="s">
        <v>4197</v>
      </c>
      <c r="H17" s="1025" t="s">
        <v>133</v>
      </c>
    </row>
    <row r="18" spans="1:8" s="1019" customFormat="1" ht="34.5" customHeight="1" x14ac:dyDescent="0.2">
      <c r="A18" s="1020">
        <f t="shared" si="1"/>
        <v>4</v>
      </c>
      <c r="B18" s="1031" t="s">
        <v>951</v>
      </c>
      <c r="C18" s="1106">
        <v>7000</v>
      </c>
      <c r="D18" s="1106">
        <v>7979</v>
      </c>
      <c r="E18" s="1106">
        <v>6960</v>
      </c>
      <c r="F18" s="1107">
        <f t="shared" si="0"/>
        <v>87.228976062163184</v>
      </c>
      <c r="G18" s="1027" t="s">
        <v>4197</v>
      </c>
      <c r="H18" s="1025" t="s">
        <v>4286</v>
      </c>
    </row>
    <row r="19" spans="1:8" s="1019" customFormat="1" ht="105" x14ac:dyDescent="0.2">
      <c r="A19" s="1020">
        <f t="shared" si="1"/>
        <v>5</v>
      </c>
      <c r="B19" s="1031" t="s">
        <v>978</v>
      </c>
      <c r="C19" s="1106">
        <v>1500</v>
      </c>
      <c r="D19" s="1106">
        <v>3655</v>
      </c>
      <c r="E19" s="1106">
        <v>3255</v>
      </c>
      <c r="F19" s="1107">
        <f t="shared" si="0"/>
        <v>89.056087551299584</v>
      </c>
      <c r="G19" s="1027" t="s">
        <v>4197</v>
      </c>
      <c r="H19" s="1025" t="s">
        <v>4287</v>
      </c>
    </row>
    <row r="20" spans="1:8" s="1019" customFormat="1" ht="12.75" customHeight="1" x14ac:dyDescent="0.2">
      <c r="A20" s="1020">
        <f t="shared" si="1"/>
        <v>6</v>
      </c>
      <c r="B20" s="1031" t="s">
        <v>4288</v>
      </c>
      <c r="C20" s="1106">
        <v>0</v>
      </c>
      <c r="D20" s="1106">
        <v>51.96</v>
      </c>
      <c r="E20" s="1106">
        <v>48.674999999999997</v>
      </c>
      <c r="F20" s="1107">
        <f t="shared" si="0"/>
        <v>93.677829099307147</v>
      </c>
      <c r="G20" s="1027" t="s">
        <v>4197</v>
      </c>
      <c r="H20" s="1025" t="s">
        <v>133</v>
      </c>
    </row>
    <row r="21" spans="1:8" s="1028" customFormat="1" ht="12.75" customHeight="1" x14ac:dyDescent="0.2">
      <c r="A21" s="1020">
        <f t="shared" si="1"/>
        <v>7</v>
      </c>
      <c r="B21" s="1031" t="s">
        <v>2742</v>
      </c>
      <c r="C21" s="1106">
        <v>13460</v>
      </c>
      <c r="D21" s="1106">
        <v>13460</v>
      </c>
      <c r="E21" s="1106">
        <v>13460</v>
      </c>
      <c r="F21" s="1107">
        <f t="shared" si="0"/>
        <v>100</v>
      </c>
      <c r="G21" s="1029" t="s">
        <v>4197</v>
      </c>
      <c r="H21" s="1025" t="s">
        <v>133</v>
      </c>
    </row>
    <row r="22" spans="1:8" s="1028" customFormat="1" ht="24" customHeight="1" x14ac:dyDescent="0.2">
      <c r="A22" s="1020">
        <f t="shared" si="1"/>
        <v>8</v>
      </c>
      <c r="B22" s="1031" t="s">
        <v>976</v>
      </c>
      <c r="C22" s="1106">
        <v>5000</v>
      </c>
      <c r="D22" s="1106">
        <v>5000</v>
      </c>
      <c r="E22" s="1106">
        <v>5000</v>
      </c>
      <c r="F22" s="1107">
        <f t="shared" si="0"/>
        <v>100</v>
      </c>
      <c r="G22" s="1029" t="s">
        <v>4197</v>
      </c>
      <c r="H22" s="1025" t="s">
        <v>133</v>
      </c>
    </row>
    <row r="23" spans="1:8" s="1028" customFormat="1" ht="105" x14ac:dyDescent="0.2">
      <c r="A23" s="1020">
        <f t="shared" si="1"/>
        <v>9</v>
      </c>
      <c r="B23" s="1031" t="s">
        <v>969</v>
      </c>
      <c r="C23" s="1106">
        <v>150</v>
      </c>
      <c r="D23" s="1106">
        <v>150</v>
      </c>
      <c r="E23" s="1106">
        <v>100</v>
      </c>
      <c r="F23" s="1107">
        <f t="shared" si="0"/>
        <v>66.666666666666657</v>
      </c>
      <c r="G23" s="1029" t="s">
        <v>4197</v>
      </c>
      <c r="H23" s="1025" t="s">
        <v>4289</v>
      </c>
    </row>
    <row r="24" spans="1:8" s="1028" customFormat="1" ht="68.25" customHeight="1" x14ac:dyDescent="0.2">
      <c r="A24" s="1020">
        <f t="shared" si="1"/>
        <v>10</v>
      </c>
      <c r="B24" s="1031" t="s">
        <v>4290</v>
      </c>
      <c r="C24" s="1106">
        <v>3</v>
      </c>
      <c r="D24" s="1106">
        <v>303</v>
      </c>
      <c r="E24" s="1106">
        <v>0</v>
      </c>
      <c r="F24" s="1107">
        <f t="shared" si="0"/>
        <v>0</v>
      </c>
      <c r="G24" s="1029" t="s">
        <v>4197</v>
      </c>
      <c r="H24" s="1025" t="s">
        <v>4291</v>
      </c>
    </row>
    <row r="25" spans="1:8" s="1028" customFormat="1" ht="24" customHeight="1" x14ac:dyDescent="0.2">
      <c r="A25" s="1020">
        <f t="shared" si="1"/>
        <v>11</v>
      </c>
      <c r="B25" s="1031" t="s">
        <v>970</v>
      </c>
      <c r="C25" s="1106">
        <v>0</v>
      </c>
      <c r="D25" s="1106">
        <v>120</v>
      </c>
      <c r="E25" s="1106">
        <v>120</v>
      </c>
      <c r="F25" s="1107">
        <f t="shared" si="0"/>
        <v>100</v>
      </c>
      <c r="G25" s="1029" t="s">
        <v>4197</v>
      </c>
      <c r="H25" s="1025" t="s">
        <v>133</v>
      </c>
    </row>
    <row r="26" spans="1:8" s="1028" customFormat="1" ht="12.75" customHeight="1" x14ac:dyDescent="0.2">
      <c r="A26" s="1020">
        <f t="shared" si="1"/>
        <v>12</v>
      </c>
      <c r="B26" s="1031" t="s">
        <v>972</v>
      </c>
      <c r="C26" s="1106">
        <v>200</v>
      </c>
      <c r="D26" s="1106">
        <v>95</v>
      </c>
      <c r="E26" s="1106">
        <v>95</v>
      </c>
      <c r="F26" s="1107">
        <f t="shared" si="0"/>
        <v>100</v>
      </c>
      <c r="G26" s="1027" t="s">
        <v>4203</v>
      </c>
      <c r="H26" s="1025" t="s">
        <v>133</v>
      </c>
    </row>
    <row r="27" spans="1:8" s="1019" customFormat="1" ht="21" x14ac:dyDescent="0.2">
      <c r="A27" s="1020">
        <f t="shared" si="1"/>
        <v>13</v>
      </c>
      <c r="B27" s="1031" t="s">
        <v>4292</v>
      </c>
      <c r="C27" s="1106">
        <v>18</v>
      </c>
      <c r="D27" s="1106">
        <v>18</v>
      </c>
      <c r="E27" s="1106">
        <v>16.6388</v>
      </c>
      <c r="F27" s="1107">
        <f t="shared" si="0"/>
        <v>92.437777777777768</v>
      </c>
      <c r="G27" s="1027" t="s">
        <v>4203</v>
      </c>
      <c r="H27" s="1025" t="s">
        <v>133</v>
      </c>
    </row>
    <row r="28" spans="1:8" s="1019" customFormat="1" ht="105" x14ac:dyDescent="0.2">
      <c r="A28" s="1020">
        <f t="shared" si="1"/>
        <v>14</v>
      </c>
      <c r="B28" s="1031" t="s">
        <v>4293</v>
      </c>
      <c r="C28" s="1106">
        <v>0</v>
      </c>
      <c r="D28" s="1106">
        <v>2000</v>
      </c>
      <c r="E28" s="1106">
        <v>100</v>
      </c>
      <c r="F28" s="1107">
        <f t="shared" si="0"/>
        <v>5</v>
      </c>
      <c r="G28" s="1029" t="s">
        <v>4203</v>
      </c>
      <c r="H28" s="1025" t="s">
        <v>4294</v>
      </c>
    </row>
    <row r="29" spans="1:8" s="1019" customFormat="1" ht="24" customHeight="1" x14ac:dyDescent="0.15">
      <c r="A29" s="1020">
        <f t="shared" si="1"/>
        <v>15</v>
      </c>
      <c r="B29" s="1032" t="s">
        <v>4295</v>
      </c>
      <c r="C29" s="1108">
        <v>0</v>
      </c>
      <c r="D29" s="1108">
        <v>30</v>
      </c>
      <c r="E29" s="1108">
        <v>30</v>
      </c>
      <c r="F29" s="1107">
        <f t="shared" si="0"/>
        <v>100</v>
      </c>
      <c r="G29" s="1029" t="s">
        <v>4199</v>
      </c>
      <c r="H29" s="1109"/>
    </row>
    <row r="30" spans="1:8" s="1019" customFormat="1" ht="24" customHeight="1" x14ac:dyDescent="0.15">
      <c r="A30" s="1020">
        <f t="shared" si="1"/>
        <v>16</v>
      </c>
      <c r="B30" s="1032" t="s">
        <v>4296</v>
      </c>
      <c r="C30" s="1108">
        <v>0</v>
      </c>
      <c r="D30" s="1108">
        <v>20</v>
      </c>
      <c r="E30" s="1108">
        <v>20</v>
      </c>
      <c r="F30" s="1107">
        <f t="shared" si="0"/>
        <v>100</v>
      </c>
      <c r="G30" s="1029" t="s">
        <v>4199</v>
      </c>
      <c r="H30" s="1109"/>
    </row>
    <row r="31" spans="1:8" s="1111" customFormat="1" ht="13.5" customHeight="1" thickBot="1" x14ac:dyDescent="0.25">
      <c r="A31" s="1444" t="s">
        <v>477</v>
      </c>
      <c r="B31" s="1445"/>
      <c r="C31" s="1040">
        <f>SUM(C15:C30)</f>
        <v>36831</v>
      </c>
      <c r="D31" s="1040">
        <f>SUM(D15:D30)</f>
        <v>42381.96</v>
      </c>
      <c r="E31" s="1040">
        <f>SUM(E15:E30)</f>
        <v>38628.362800000003</v>
      </c>
      <c r="F31" s="1110">
        <f t="shared" si="0"/>
        <v>91.143408185935726</v>
      </c>
      <c r="G31" s="1054"/>
      <c r="H31" s="1043"/>
    </row>
    <row r="32" spans="1:8" s="1118" customFormat="1" ht="18" customHeight="1" thickBot="1" x14ac:dyDescent="0.2">
      <c r="A32" s="1112" t="s">
        <v>4190</v>
      </c>
      <c r="B32" s="1113"/>
      <c r="C32" s="1114"/>
      <c r="D32" s="1114"/>
      <c r="E32" s="1115"/>
      <c r="F32" s="1116"/>
      <c r="G32" s="1117"/>
      <c r="H32" s="1051"/>
    </row>
    <row r="33" spans="1:8" s="1019" customFormat="1" ht="24.75" customHeight="1" x14ac:dyDescent="0.2">
      <c r="A33" s="1013">
        <f>A30+1</f>
        <v>17</v>
      </c>
      <c r="B33" s="1119" t="s">
        <v>4297</v>
      </c>
      <c r="C33" s="1104">
        <v>28556</v>
      </c>
      <c r="D33" s="1104">
        <v>27846.102999999999</v>
      </c>
      <c r="E33" s="1120">
        <f t="shared" ref="E33:E39" si="2">D33</f>
        <v>27846.102999999999</v>
      </c>
      <c r="F33" s="1121">
        <f t="shared" ref="F33:F52" si="3">E33/D33*100</f>
        <v>100</v>
      </c>
      <c r="G33" s="1101" t="s">
        <v>4197</v>
      </c>
      <c r="H33" s="1018" t="s">
        <v>133</v>
      </c>
    </row>
    <row r="34" spans="1:8" s="1019" customFormat="1" ht="21" x14ac:dyDescent="0.2">
      <c r="A34" s="1020">
        <f t="shared" ref="A34:A51" si="4">A33+1</f>
        <v>18</v>
      </c>
      <c r="B34" s="965" t="s">
        <v>4298</v>
      </c>
      <c r="C34" s="1122">
        <v>19243</v>
      </c>
      <c r="D34" s="1122">
        <v>18431.694</v>
      </c>
      <c r="E34" s="1106">
        <f t="shared" si="2"/>
        <v>18431.694</v>
      </c>
      <c r="F34" s="1107">
        <f t="shared" si="3"/>
        <v>100</v>
      </c>
      <c r="G34" s="1123" t="s">
        <v>4197</v>
      </c>
      <c r="H34" s="1067" t="s">
        <v>133</v>
      </c>
    </row>
    <row r="35" spans="1:8" s="1019" customFormat="1" ht="12.75" customHeight="1" x14ac:dyDescent="0.2">
      <c r="A35" s="1020">
        <f t="shared" si="4"/>
        <v>19</v>
      </c>
      <c r="B35" s="965" t="s">
        <v>4299</v>
      </c>
      <c r="C35" s="1122">
        <v>44384</v>
      </c>
      <c r="D35" s="1122">
        <v>42861.656999999999</v>
      </c>
      <c r="E35" s="1106">
        <f t="shared" si="2"/>
        <v>42861.656999999999</v>
      </c>
      <c r="F35" s="1107">
        <f t="shared" si="3"/>
        <v>100</v>
      </c>
      <c r="G35" s="1123" t="s">
        <v>4197</v>
      </c>
      <c r="H35" s="1067" t="s">
        <v>133</v>
      </c>
    </row>
    <row r="36" spans="1:8" s="1019" customFormat="1" ht="12.75" customHeight="1" x14ac:dyDescent="0.2">
      <c r="A36" s="1020">
        <f t="shared" si="4"/>
        <v>20</v>
      </c>
      <c r="B36" s="965" t="s">
        <v>4300</v>
      </c>
      <c r="C36" s="1122">
        <v>26840</v>
      </c>
      <c r="D36" s="1122">
        <v>24140</v>
      </c>
      <c r="E36" s="1106">
        <f t="shared" si="2"/>
        <v>24140</v>
      </c>
      <c r="F36" s="1107">
        <f t="shared" si="3"/>
        <v>100</v>
      </c>
      <c r="G36" s="1123" t="s">
        <v>4197</v>
      </c>
      <c r="H36" s="1067" t="s">
        <v>133</v>
      </c>
    </row>
    <row r="37" spans="1:8" s="1019" customFormat="1" ht="12.75" customHeight="1" x14ac:dyDescent="0.2">
      <c r="A37" s="1020">
        <f t="shared" si="4"/>
        <v>21</v>
      </c>
      <c r="B37" s="965" t="s">
        <v>4301</v>
      </c>
      <c r="C37" s="1122">
        <v>21400</v>
      </c>
      <c r="D37" s="1122">
        <v>20867.428</v>
      </c>
      <c r="E37" s="1106">
        <f t="shared" si="2"/>
        <v>20867.428</v>
      </c>
      <c r="F37" s="1107">
        <f t="shared" si="3"/>
        <v>100</v>
      </c>
      <c r="G37" s="1123" t="s">
        <v>4197</v>
      </c>
      <c r="H37" s="1067" t="s">
        <v>133</v>
      </c>
    </row>
    <row r="38" spans="1:8" s="1019" customFormat="1" ht="12.75" customHeight="1" x14ac:dyDescent="0.2">
      <c r="A38" s="1020">
        <f t="shared" si="4"/>
        <v>22</v>
      </c>
      <c r="B38" s="965" t="s">
        <v>4302</v>
      </c>
      <c r="C38" s="1122">
        <v>16103</v>
      </c>
      <c r="D38" s="1122">
        <v>14479.922</v>
      </c>
      <c r="E38" s="1106">
        <f t="shared" si="2"/>
        <v>14479.922</v>
      </c>
      <c r="F38" s="1107">
        <f t="shared" si="3"/>
        <v>100</v>
      </c>
      <c r="G38" s="1123" t="s">
        <v>4197</v>
      </c>
      <c r="H38" s="1067" t="s">
        <v>133</v>
      </c>
    </row>
    <row r="39" spans="1:8" s="1019" customFormat="1" ht="12.75" customHeight="1" x14ac:dyDescent="0.2">
      <c r="A39" s="1020">
        <f t="shared" si="4"/>
        <v>23</v>
      </c>
      <c r="B39" s="965" t="s">
        <v>4303</v>
      </c>
      <c r="C39" s="1122">
        <v>25200</v>
      </c>
      <c r="D39" s="1122">
        <v>24153.812999999998</v>
      </c>
      <c r="E39" s="1122">
        <f t="shared" si="2"/>
        <v>24153.812999999998</v>
      </c>
      <c r="F39" s="1124">
        <f t="shared" si="3"/>
        <v>100</v>
      </c>
      <c r="G39" s="1123" t="s">
        <v>4197</v>
      </c>
      <c r="H39" s="1067" t="s">
        <v>133</v>
      </c>
    </row>
    <row r="40" spans="1:8" s="1019" customFormat="1" ht="84" x14ac:dyDescent="0.2">
      <c r="A40" s="1020">
        <f t="shared" si="4"/>
        <v>24</v>
      </c>
      <c r="B40" s="1031" t="s">
        <v>4304</v>
      </c>
      <c r="C40" s="1122">
        <v>1430</v>
      </c>
      <c r="D40" s="1122">
        <v>17</v>
      </c>
      <c r="E40" s="1122">
        <v>0</v>
      </c>
      <c r="F40" s="1124">
        <f t="shared" si="3"/>
        <v>0</v>
      </c>
      <c r="G40" s="1123" t="s">
        <v>4199</v>
      </c>
      <c r="H40" s="1067" t="s">
        <v>4798</v>
      </c>
    </row>
    <row r="41" spans="1:8" s="1019" customFormat="1" ht="24" customHeight="1" x14ac:dyDescent="0.2">
      <c r="A41" s="1020">
        <f t="shared" si="4"/>
        <v>25</v>
      </c>
      <c r="B41" s="1031" t="s">
        <v>2702</v>
      </c>
      <c r="C41" s="1106">
        <v>0</v>
      </c>
      <c r="D41" s="1106">
        <v>9271.89</v>
      </c>
      <c r="E41" s="1106">
        <v>9271.8829999999998</v>
      </c>
      <c r="F41" s="1107">
        <f t="shared" si="3"/>
        <v>99.999924502986985</v>
      </c>
      <c r="G41" s="1123" t="s">
        <v>4197</v>
      </c>
      <c r="H41" s="1025" t="s">
        <v>133</v>
      </c>
    </row>
    <row r="42" spans="1:8" s="1019" customFormat="1" ht="24" customHeight="1" x14ac:dyDescent="0.2">
      <c r="A42" s="1020">
        <f t="shared" si="4"/>
        <v>26</v>
      </c>
      <c r="B42" s="1031" t="s">
        <v>2639</v>
      </c>
      <c r="C42" s="1106">
        <v>2007</v>
      </c>
      <c r="D42" s="1106">
        <v>987</v>
      </c>
      <c r="E42" s="1106">
        <v>987</v>
      </c>
      <c r="F42" s="1107">
        <f t="shared" si="3"/>
        <v>100</v>
      </c>
      <c r="G42" s="1029" t="s">
        <v>4199</v>
      </c>
      <c r="H42" s="1025" t="s">
        <v>133</v>
      </c>
    </row>
    <row r="43" spans="1:8" s="1019" customFormat="1" ht="21" x14ac:dyDescent="0.2">
      <c r="A43" s="1020">
        <f t="shared" si="4"/>
        <v>27</v>
      </c>
      <c r="B43" s="1031" t="s">
        <v>2712</v>
      </c>
      <c r="C43" s="1106">
        <v>410</v>
      </c>
      <c r="D43" s="1106">
        <v>410</v>
      </c>
      <c r="E43" s="1106">
        <v>410</v>
      </c>
      <c r="F43" s="1107">
        <f t="shared" si="3"/>
        <v>100</v>
      </c>
      <c r="G43" s="1123" t="s">
        <v>4197</v>
      </c>
      <c r="H43" s="1025" t="s">
        <v>133</v>
      </c>
    </row>
    <row r="44" spans="1:8" s="1019" customFormat="1" ht="34.5" customHeight="1" x14ac:dyDescent="0.2">
      <c r="A44" s="1020">
        <f t="shared" si="4"/>
        <v>28</v>
      </c>
      <c r="B44" s="1031" t="s">
        <v>4305</v>
      </c>
      <c r="C44" s="1106">
        <v>6000</v>
      </c>
      <c r="D44" s="1106">
        <v>6000</v>
      </c>
      <c r="E44" s="1106">
        <v>6000</v>
      </c>
      <c r="F44" s="1107">
        <f t="shared" si="3"/>
        <v>100</v>
      </c>
      <c r="G44" s="1123" t="s">
        <v>4197</v>
      </c>
      <c r="H44" s="1025" t="s">
        <v>133</v>
      </c>
    </row>
    <row r="45" spans="1:8" s="1019" customFormat="1" ht="24" customHeight="1" x14ac:dyDescent="0.2">
      <c r="A45" s="1020">
        <f t="shared" si="4"/>
        <v>29</v>
      </c>
      <c r="B45" s="1031" t="s">
        <v>2704</v>
      </c>
      <c r="C45" s="1106">
        <v>300</v>
      </c>
      <c r="D45" s="1106">
        <v>500</v>
      </c>
      <c r="E45" s="1106">
        <v>500</v>
      </c>
      <c r="F45" s="1107">
        <f t="shared" si="3"/>
        <v>100</v>
      </c>
      <c r="G45" s="1123" t="s">
        <v>4197</v>
      </c>
      <c r="H45" s="1025" t="s">
        <v>133</v>
      </c>
    </row>
    <row r="46" spans="1:8" s="1019" customFormat="1" ht="24" customHeight="1" x14ac:dyDescent="0.2">
      <c r="A46" s="1020">
        <f t="shared" si="4"/>
        <v>30</v>
      </c>
      <c r="B46" s="1031" t="s">
        <v>2707</v>
      </c>
      <c r="C46" s="1106">
        <v>585</v>
      </c>
      <c r="D46" s="1106">
        <v>578</v>
      </c>
      <c r="E46" s="1106">
        <v>578</v>
      </c>
      <c r="F46" s="1107">
        <f t="shared" si="3"/>
        <v>100</v>
      </c>
      <c r="G46" s="1123" t="s">
        <v>4197</v>
      </c>
      <c r="H46" s="1025" t="s">
        <v>133</v>
      </c>
    </row>
    <row r="47" spans="1:8" s="1019" customFormat="1" ht="12.75" customHeight="1" x14ac:dyDescent="0.2">
      <c r="A47" s="1020">
        <f t="shared" si="4"/>
        <v>31</v>
      </c>
      <c r="B47" s="1031" t="s">
        <v>4306</v>
      </c>
      <c r="C47" s="1106">
        <v>940</v>
      </c>
      <c r="D47" s="1106">
        <v>940</v>
      </c>
      <c r="E47" s="1106">
        <v>940</v>
      </c>
      <c r="F47" s="1107">
        <f t="shared" si="3"/>
        <v>100</v>
      </c>
      <c r="G47" s="1125" t="s">
        <v>4197</v>
      </c>
      <c r="H47" s="1025" t="s">
        <v>133</v>
      </c>
    </row>
    <row r="48" spans="1:8" s="1019" customFormat="1" ht="24" customHeight="1" x14ac:dyDescent="0.2">
      <c r="A48" s="1020">
        <f t="shared" si="4"/>
        <v>32</v>
      </c>
      <c r="B48" s="1031" t="s">
        <v>2708</v>
      </c>
      <c r="C48" s="1106">
        <v>100</v>
      </c>
      <c r="D48" s="1106">
        <v>100</v>
      </c>
      <c r="E48" s="1106">
        <v>100</v>
      </c>
      <c r="F48" s="1107">
        <f t="shared" si="3"/>
        <v>100</v>
      </c>
      <c r="G48" s="1125" t="s">
        <v>4199</v>
      </c>
      <c r="H48" s="1025" t="s">
        <v>133</v>
      </c>
    </row>
    <row r="49" spans="1:8" s="1019" customFormat="1" ht="34.5" customHeight="1" x14ac:dyDescent="0.2">
      <c r="A49" s="1020">
        <f t="shared" si="4"/>
        <v>33</v>
      </c>
      <c r="B49" s="1031" t="s">
        <v>4307</v>
      </c>
      <c r="C49" s="1106">
        <v>0</v>
      </c>
      <c r="D49" s="1106">
        <v>183</v>
      </c>
      <c r="E49" s="1106">
        <v>183</v>
      </c>
      <c r="F49" s="1107">
        <f t="shared" si="3"/>
        <v>100</v>
      </c>
      <c r="G49" s="1029" t="s">
        <v>4197</v>
      </c>
      <c r="H49" s="1025" t="s">
        <v>133</v>
      </c>
    </row>
    <row r="50" spans="1:8" s="1019" customFormat="1" ht="24" customHeight="1" x14ac:dyDescent="0.2">
      <c r="A50" s="1020">
        <f t="shared" si="4"/>
        <v>34</v>
      </c>
      <c r="B50" s="1031" t="s">
        <v>4308</v>
      </c>
      <c r="C50" s="1106">
        <v>0</v>
      </c>
      <c r="D50" s="1106">
        <v>50</v>
      </c>
      <c r="E50" s="1106">
        <v>50</v>
      </c>
      <c r="F50" s="1107">
        <f t="shared" si="3"/>
        <v>100</v>
      </c>
      <c r="G50" s="1029" t="s">
        <v>4197</v>
      </c>
      <c r="H50" s="1025" t="s">
        <v>133</v>
      </c>
    </row>
    <row r="51" spans="1:8" s="1019" customFormat="1" ht="40.5" customHeight="1" x14ac:dyDescent="0.2">
      <c r="A51" s="1020">
        <f t="shared" si="4"/>
        <v>35</v>
      </c>
      <c r="B51" s="1031" t="s">
        <v>4309</v>
      </c>
      <c r="C51" s="1106">
        <v>0</v>
      </c>
      <c r="D51" s="1106">
        <v>2165</v>
      </c>
      <c r="E51" s="1106">
        <v>2165</v>
      </c>
      <c r="F51" s="1107">
        <f t="shared" si="3"/>
        <v>100</v>
      </c>
      <c r="G51" s="1029" t="s">
        <v>4197</v>
      </c>
      <c r="H51" s="1025" t="s">
        <v>133</v>
      </c>
    </row>
    <row r="52" spans="1:8" s="1019" customFormat="1" ht="13.5" customHeight="1" thickBot="1" x14ac:dyDescent="0.25">
      <c r="A52" s="1444" t="s">
        <v>477</v>
      </c>
      <c r="B52" s="1445"/>
      <c r="C52" s="1040">
        <f>SUM(C33:C51)</f>
        <v>193498</v>
      </c>
      <c r="D52" s="1040">
        <f>SUM(D33:D51)</f>
        <v>193982.50699999998</v>
      </c>
      <c r="E52" s="1040">
        <f>SUM(E33:E51)</f>
        <v>193965.49999999997</v>
      </c>
      <c r="F52" s="1110">
        <f t="shared" si="3"/>
        <v>99.991232714607605</v>
      </c>
      <c r="G52" s="1054"/>
      <c r="H52" s="1043"/>
    </row>
    <row r="53" spans="1:8" s="1132" customFormat="1" ht="18" customHeight="1" thickBot="1" x14ac:dyDescent="0.2">
      <c r="A53" s="1126" t="s">
        <v>4220</v>
      </c>
      <c r="B53" s="1127"/>
      <c r="C53" s="1128"/>
      <c r="D53" s="1128"/>
      <c r="E53" s="1129"/>
      <c r="F53" s="1130"/>
      <c r="G53" s="1058"/>
      <c r="H53" s="1131"/>
    </row>
    <row r="54" spans="1:8" s="1019" customFormat="1" ht="24.75" customHeight="1" x14ac:dyDescent="0.2">
      <c r="A54" s="1013">
        <f>A51+1</f>
        <v>36</v>
      </c>
      <c r="B54" s="1103" t="s">
        <v>632</v>
      </c>
      <c r="C54" s="1104">
        <v>0</v>
      </c>
      <c r="D54" s="1104">
        <v>673</v>
      </c>
      <c r="E54" s="1104">
        <v>673</v>
      </c>
      <c r="F54" s="1105">
        <f t="shared" ref="F54:F67" si="5">E54/D54*100</f>
        <v>100</v>
      </c>
      <c r="G54" s="1101" t="s">
        <v>4199</v>
      </c>
      <c r="H54" s="1061" t="s">
        <v>133</v>
      </c>
    </row>
    <row r="55" spans="1:8" s="1019" customFormat="1" ht="157.5" x14ac:dyDescent="0.2">
      <c r="A55" s="1020">
        <f t="shared" ref="A55:A66" si="6">A54+1</f>
        <v>37</v>
      </c>
      <c r="B55" s="1031" t="s">
        <v>631</v>
      </c>
      <c r="C55" s="1106">
        <v>500</v>
      </c>
      <c r="D55" s="1106">
        <v>4498.7299999999996</v>
      </c>
      <c r="E55" s="1106">
        <v>242</v>
      </c>
      <c r="F55" s="1107">
        <f t="shared" si="5"/>
        <v>5.3792959346304414</v>
      </c>
      <c r="G55" s="1125" t="s">
        <v>4203</v>
      </c>
      <c r="H55" s="1025" t="s">
        <v>4310</v>
      </c>
    </row>
    <row r="56" spans="1:8" s="1019" customFormat="1" ht="147" x14ac:dyDescent="0.2">
      <c r="A56" s="1020">
        <f t="shared" si="6"/>
        <v>38</v>
      </c>
      <c r="B56" s="1031" t="s">
        <v>629</v>
      </c>
      <c r="C56" s="1106">
        <v>0</v>
      </c>
      <c r="D56" s="1106">
        <v>22918.09</v>
      </c>
      <c r="E56" s="1106">
        <v>32</v>
      </c>
      <c r="F56" s="1107">
        <f t="shared" si="5"/>
        <v>0.13962769148737961</v>
      </c>
      <c r="G56" s="1125" t="s">
        <v>4203</v>
      </c>
      <c r="H56" s="1025" t="s">
        <v>4311</v>
      </c>
    </row>
    <row r="57" spans="1:8" s="1019" customFormat="1" ht="24" customHeight="1" x14ac:dyDescent="0.2">
      <c r="A57" s="1020">
        <f t="shared" si="6"/>
        <v>39</v>
      </c>
      <c r="B57" s="1031" t="s">
        <v>2707</v>
      </c>
      <c r="C57" s="1106">
        <v>0</v>
      </c>
      <c r="D57" s="1106">
        <v>1243</v>
      </c>
      <c r="E57" s="1106">
        <v>1243</v>
      </c>
      <c r="F57" s="1107">
        <f t="shared" si="5"/>
        <v>100</v>
      </c>
      <c r="G57" s="1125" t="s">
        <v>4197</v>
      </c>
      <c r="H57" s="1062" t="s">
        <v>133</v>
      </c>
    </row>
    <row r="58" spans="1:8" s="1019" customFormat="1" ht="24" customHeight="1" x14ac:dyDescent="0.2">
      <c r="A58" s="1020">
        <f t="shared" si="6"/>
        <v>40</v>
      </c>
      <c r="B58" s="1031" t="s">
        <v>619</v>
      </c>
      <c r="C58" s="1106">
        <v>2000</v>
      </c>
      <c r="D58" s="1106">
        <v>2000</v>
      </c>
      <c r="E58" s="1106">
        <v>2000</v>
      </c>
      <c r="F58" s="1107">
        <f t="shared" si="5"/>
        <v>100</v>
      </c>
      <c r="G58" s="1125" t="s">
        <v>4199</v>
      </c>
      <c r="H58" s="1025" t="s">
        <v>133</v>
      </c>
    </row>
    <row r="59" spans="1:8" s="1019" customFormat="1" ht="34.5" customHeight="1" x14ac:dyDescent="0.2">
      <c r="A59" s="1020">
        <f t="shared" si="6"/>
        <v>41</v>
      </c>
      <c r="B59" s="1031" t="s">
        <v>618</v>
      </c>
      <c r="C59" s="1106">
        <v>0</v>
      </c>
      <c r="D59" s="1106">
        <v>1050</v>
      </c>
      <c r="E59" s="1106">
        <v>1050</v>
      </c>
      <c r="F59" s="1107">
        <f t="shared" si="5"/>
        <v>100</v>
      </c>
      <c r="G59" s="1125" t="s">
        <v>4199</v>
      </c>
      <c r="H59" s="1025" t="s">
        <v>133</v>
      </c>
    </row>
    <row r="60" spans="1:8" s="1019" customFormat="1" ht="24" customHeight="1" x14ac:dyDescent="0.2">
      <c r="A60" s="1020">
        <f t="shared" si="6"/>
        <v>42</v>
      </c>
      <c r="B60" s="1031" t="s">
        <v>617</v>
      </c>
      <c r="C60" s="1106">
        <v>0</v>
      </c>
      <c r="D60" s="1106">
        <v>1901</v>
      </c>
      <c r="E60" s="1106">
        <v>1901</v>
      </c>
      <c r="F60" s="1107">
        <f t="shared" si="5"/>
        <v>100</v>
      </c>
      <c r="G60" s="1125" t="s">
        <v>4203</v>
      </c>
      <c r="H60" s="1062" t="s">
        <v>133</v>
      </c>
    </row>
    <row r="61" spans="1:8" s="1019" customFormat="1" ht="24" customHeight="1" x14ac:dyDescent="0.2">
      <c r="A61" s="1020">
        <f t="shared" si="6"/>
        <v>43</v>
      </c>
      <c r="B61" s="1031" t="s">
        <v>4312</v>
      </c>
      <c r="C61" s="1106">
        <v>0</v>
      </c>
      <c r="D61" s="1106">
        <v>200</v>
      </c>
      <c r="E61" s="1106">
        <v>200</v>
      </c>
      <c r="F61" s="1107">
        <f t="shared" si="5"/>
        <v>100</v>
      </c>
      <c r="G61" s="1125" t="s">
        <v>4199</v>
      </c>
      <c r="H61" s="1025" t="s">
        <v>133</v>
      </c>
    </row>
    <row r="62" spans="1:8" s="1019" customFormat="1" ht="42" x14ac:dyDescent="0.2">
      <c r="A62" s="1020">
        <f t="shared" si="6"/>
        <v>44</v>
      </c>
      <c r="B62" s="1031" t="s">
        <v>4313</v>
      </c>
      <c r="C62" s="1106">
        <v>0</v>
      </c>
      <c r="D62" s="1106">
        <v>245</v>
      </c>
      <c r="E62" s="1106">
        <v>245</v>
      </c>
      <c r="F62" s="1107">
        <f t="shared" si="5"/>
        <v>100</v>
      </c>
      <c r="G62" s="1029" t="s">
        <v>4199</v>
      </c>
      <c r="H62" s="1025" t="s">
        <v>133</v>
      </c>
    </row>
    <row r="63" spans="1:8" s="1019" customFormat="1" ht="42" x14ac:dyDescent="0.2">
      <c r="A63" s="1020">
        <f t="shared" si="6"/>
        <v>45</v>
      </c>
      <c r="B63" s="1031" t="s">
        <v>4314</v>
      </c>
      <c r="C63" s="1106">
        <v>0</v>
      </c>
      <c r="D63" s="1106">
        <v>105</v>
      </c>
      <c r="E63" s="1106">
        <v>105</v>
      </c>
      <c r="F63" s="1107">
        <f t="shared" si="5"/>
        <v>100</v>
      </c>
      <c r="G63" s="1029" t="s">
        <v>4199</v>
      </c>
      <c r="H63" s="1025" t="s">
        <v>133</v>
      </c>
    </row>
    <row r="64" spans="1:8" s="1019" customFormat="1" ht="34.5" customHeight="1" x14ac:dyDescent="0.2">
      <c r="A64" s="1020">
        <f t="shared" si="6"/>
        <v>46</v>
      </c>
      <c r="B64" s="1031" t="s">
        <v>4315</v>
      </c>
      <c r="C64" s="1106">
        <v>0</v>
      </c>
      <c r="D64" s="1106">
        <v>120</v>
      </c>
      <c r="E64" s="1106">
        <v>120</v>
      </c>
      <c r="F64" s="1107">
        <f t="shared" si="5"/>
        <v>100</v>
      </c>
      <c r="G64" s="1029" t="s">
        <v>4199</v>
      </c>
      <c r="H64" s="1025" t="s">
        <v>133</v>
      </c>
    </row>
    <row r="65" spans="1:8" s="1019" customFormat="1" ht="42" x14ac:dyDescent="0.2">
      <c r="A65" s="1020">
        <f t="shared" si="6"/>
        <v>47</v>
      </c>
      <c r="B65" s="1031" t="s">
        <v>4316</v>
      </c>
      <c r="C65" s="1106">
        <v>0</v>
      </c>
      <c r="D65" s="1106">
        <v>875</v>
      </c>
      <c r="E65" s="1106">
        <v>875</v>
      </c>
      <c r="F65" s="1107">
        <f t="shared" si="5"/>
        <v>100</v>
      </c>
      <c r="G65" s="1029" t="s">
        <v>4199</v>
      </c>
      <c r="H65" s="1025" t="s">
        <v>133</v>
      </c>
    </row>
    <row r="66" spans="1:8" s="1019" customFormat="1" ht="42" x14ac:dyDescent="0.2">
      <c r="A66" s="1020">
        <f t="shared" si="6"/>
        <v>48</v>
      </c>
      <c r="B66" s="1031" t="s">
        <v>4317</v>
      </c>
      <c r="C66" s="1106">
        <v>0</v>
      </c>
      <c r="D66" s="1106">
        <v>140</v>
      </c>
      <c r="E66" s="1106">
        <v>140</v>
      </c>
      <c r="F66" s="1107">
        <f t="shared" si="5"/>
        <v>100</v>
      </c>
      <c r="G66" s="1029" t="s">
        <v>4199</v>
      </c>
      <c r="H66" s="1025" t="s">
        <v>133</v>
      </c>
    </row>
    <row r="67" spans="1:8" s="977" customFormat="1" ht="13.5" customHeight="1" thickBot="1" x14ac:dyDescent="0.25">
      <c r="A67" s="1442" t="s">
        <v>477</v>
      </c>
      <c r="B67" s="1443"/>
      <c r="C67" s="1039">
        <f>SUM(C54:C66)</f>
        <v>2500</v>
      </c>
      <c r="D67" s="1063">
        <f>SUM(D54:D66)</f>
        <v>35968.82</v>
      </c>
      <c r="E67" s="1063">
        <f>SUM(E54:E66)</f>
        <v>8826</v>
      </c>
      <c r="F67" s="1064">
        <f t="shared" si="5"/>
        <v>24.537919231156319</v>
      </c>
      <c r="G67" s="1042"/>
      <c r="H67" s="1065"/>
    </row>
    <row r="68" spans="1:8" ht="18" customHeight="1" thickBot="1" x14ac:dyDescent="0.2">
      <c r="A68" s="1006" t="s">
        <v>4192</v>
      </c>
      <c r="B68" s="1007"/>
      <c r="C68" s="1008"/>
      <c r="D68" s="1008"/>
      <c r="E68" s="1009"/>
      <c r="F68" s="1010"/>
      <c r="G68" s="1011"/>
      <c r="H68" s="1059"/>
    </row>
    <row r="69" spans="1:8" s="977" customFormat="1" ht="13.5" customHeight="1" x14ac:dyDescent="0.2">
      <c r="A69" s="1013">
        <f>A66+1</f>
        <v>49</v>
      </c>
      <c r="B69" s="1014" t="s">
        <v>1273</v>
      </c>
      <c r="C69" s="1076">
        <v>40045</v>
      </c>
      <c r="D69" s="1076">
        <v>47755.330000000009</v>
      </c>
      <c r="E69" s="1076">
        <v>47155.662880000011</v>
      </c>
      <c r="F69" s="1077">
        <f>E69/D69*100</f>
        <v>98.744292794123723</v>
      </c>
      <c r="G69" s="1017" t="s">
        <v>4199</v>
      </c>
      <c r="H69" s="1018"/>
    </row>
    <row r="70" spans="1:8" s="977" customFormat="1" ht="12.75" customHeight="1" x14ac:dyDescent="0.2">
      <c r="A70" s="1020">
        <f t="shared" ref="A70:A71" si="7">A69+1</f>
        <v>50</v>
      </c>
      <c r="B70" s="1021" t="s">
        <v>4318</v>
      </c>
      <c r="C70" s="1081">
        <v>0</v>
      </c>
      <c r="D70" s="1081">
        <v>53.8</v>
      </c>
      <c r="E70" s="1081">
        <v>53.76</v>
      </c>
      <c r="F70" s="1082">
        <f>E70/D70*100</f>
        <v>99.925650557620813</v>
      </c>
      <c r="G70" s="1133" t="s">
        <v>4199</v>
      </c>
      <c r="H70" s="1062"/>
    </row>
    <row r="71" spans="1:8" s="977" customFormat="1" ht="34.5" customHeight="1" x14ac:dyDescent="0.2">
      <c r="A71" s="1020">
        <f t="shared" si="7"/>
        <v>51</v>
      </c>
      <c r="B71" s="1021" t="s">
        <v>1274</v>
      </c>
      <c r="C71" s="1081">
        <v>4132</v>
      </c>
      <c r="D71" s="1081">
        <v>5710.9899999999989</v>
      </c>
      <c r="E71" s="1081">
        <v>5167.7301599999992</v>
      </c>
      <c r="F71" s="1082">
        <f>E71/D71*100</f>
        <v>90.48746644627289</v>
      </c>
      <c r="G71" s="1133" t="s">
        <v>4199</v>
      </c>
      <c r="H71" s="1062" t="s">
        <v>4319</v>
      </c>
    </row>
    <row r="72" spans="1:8" s="977" customFormat="1" ht="13.5" customHeight="1" thickBot="1" x14ac:dyDescent="0.25">
      <c r="A72" s="1442" t="s">
        <v>477</v>
      </c>
      <c r="B72" s="1443"/>
      <c r="C72" s="1039">
        <f>SUM(C69:C71)</f>
        <v>44177</v>
      </c>
      <c r="D72" s="1039">
        <f>SUM(D69:D71)</f>
        <v>53520.12000000001</v>
      </c>
      <c r="E72" s="1039">
        <f>SUM(E69:E71)</f>
        <v>52377.153040000012</v>
      </c>
      <c r="F72" s="1064">
        <f>E72/D72*100</f>
        <v>97.864416298020259</v>
      </c>
      <c r="G72" s="1042"/>
      <c r="H72" s="1068"/>
    </row>
    <row r="73" spans="1:8" s="998" customFormat="1" x14ac:dyDescent="0.2">
      <c r="A73" s="1069"/>
      <c r="B73" s="1070"/>
      <c r="C73" s="1069"/>
      <c r="D73" s="1069"/>
      <c r="E73" s="1069"/>
      <c r="F73" s="1071"/>
      <c r="G73" s="1072"/>
      <c r="H73" s="1073"/>
    </row>
  </sheetData>
  <mergeCells count="11">
    <mergeCell ref="A9:B9"/>
    <mergeCell ref="A31:B31"/>
    <mergeCell ref="A52:B52"/>
    <mergeCell ref="A67:B67"/>
    <mergeCell ref="A72:B72"/>
    <mergeCell ref="A8:B8"/>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8" firstPageNumber="253" fitToHeight="0" orientation="landscape" useFirstPageNumber="1" r:id="rId1"/>
  <headerFooter alignWithMargins="0">
    <oddHeader>&amp;L&amp;"Tahoma,Kurzíva"&amp;9Závěrečný účet za rok 2015&amp;R&amp;"Tahoma,Kurzíva"&amp;9Tabulka č. 10</oddHeader>
    <oddFooter>&amp;C&amp;"Tahoma,Obyčejné"&amp;P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zoomScaleNormal="100" zoomScaleSheetLayoutView="100" workbookViewId="0">
      <selection activeCell="K2" sqref="K2"/>
    </sheetView>
  </sheetViews>
  <sheetFormatPr defaultRowHeight="10.5" x14ac:dyDescent="0.2"/>
  <cols>
    <col min="1" max="1" width="6.42578125" style="976" customWidth="1"/>
    <col min="2" max="2" width="42.7109375" style="977" customWidth="1"/>
    <col min="3" max="4" width="13.140625" style="978" customWidth="1"/>
    <col min="5" max="5" width="12.140625" style="976" customWidth="1"/>
    <col min="6" max="6" width="8" style="979" customWidth="1"/>
    <col min="7" max="7" width="8.7109375" style="980" customWidth="1"/>
    <col min="8" max="8" width="42.7109375" style="981" customWidth="1"/>
    <col min="9" max="9" width="46.5703125" style="976" bestFit="1" customWidth="1"/>
    <col min="10" max="10" width="7.140625" style="976" bestFit="1" customWidth="1"/>
    <col min="11" max="11" width="8" style="976" bestFit="1" customWidth="1"/>
    <col min="12" max="12" width="7.7109375" style="976" bestFit="1" customWidth="1"/>
    <col min="13" max="16384" width="9.140625" style="976"/>
  </cols>
  <sheetData>
    <row r="1" spans="1:12" s="975" customFormat="1" ht="18" customHeight="1" x14ac:dyDescent="0.2">
      <c r="A1" s="1325" t="s">
        <v>4320</v>
      </c>
      <c r="B1" s="1325"/>
      <c r="C1" s="1325"/>
      <c r="D1" s="1325"/>
      <c r="E1" s="1325"/>
      <c r="F1" s="1325"/>
      <c r="G1" s="1325"/>
      <c r="H1" s="1325"/>
    </row>
    <row r="2" spans="1:12" ht="12" customHeight="1" x14ac:dyDescent="0.2"/>
    <row r="3" spans="1:12" ht="12" customHeight="1" thickBot="1" x14ac:dyDescent="0.2">
      <c r="A3" s="982"/>
      <c r="F3" s="983" t="s">
        <v>4184</v>
      </c>
    </row>
    <row r="4" spans="1:12" ht="23.25" customHeight="1" x14ac:dyDescent="0.2">
      <c r="A4" s="1438"/>
      <c r="B4" s="1439"/>
      <c r="C4" s="984" t="s">
        <v>4185</v>
      </c>
      <c r="D4" s="984" t="s">
        <v>4186</v>
      </c>
      <c r="E4" s="984" t="s">
        <v>4187</v>
      </c>
      <c r="F4" s="985" t="s">
        <v>4188</v>
      </c>
      <c r="G4" s="986"/>
      <c r="H4" s="987"/>
    </row>
    <row r="5" spans="1:12" ht="12.75" customHeight="1" x14ac:dyDescent="0.2">
      <c r="A5" s="1436" t="s">
        <v>4189</v>
      </c>
      <c r="B5" s="1437"/>
      <c r="C5" s="988">
        <f>C33</f>
        <v>19298</v>
      </c>
      <c r="D5" s="988">
        <f>D33</f>
        <v>36726.83</v>
      </c>
      <c r="E5" s="988">
        <f>E33</f>
        <v>25700.012699999999</v>
      </c>
      <c r="F5" s="989">
        <f>E5/D5*100</f>
        <v>69.976125628049019</v>
      </c>
      <c r="G5" s="990"/>
      <c r="H5" s="991"/>
    </row>
    <row r="6" spans="1:12" s="982" customFormat="1" ht="13.5" customHeight="1" thickBot="1" x14ac:dyDescent="0.25">
      <c r="A6" s="1440" t="s">
        <v>477</v>
      </c>
      <c r="B6" s="1441"/>
      <c r="C6" s="993">
        <f>SUM(C5:C5)</f>
        <v>19298</v>
      </c>
      <c r="D6" s="994">
        <f>SUM(D5:D5)</f>
        <v>36726.83</v>
      </c>
      <c r="E6" s="993">
        <f>SUM(E5:E5)</f>
        <v>25700.012699999999</v>
      </c>
      <c r="F6" s="995">
        <f>E6/D6*100</f>
        <v>69.976125628049019</v>
      </c>
      <c r="G6" s="990"/>
      <c r="H6" s="991"/>
    </row>
    <row r="7" spans="1:12" s="996" customFormat="1" ht="10.5" customHeight="1" x14ac:dyDescent="0.2">
      <c r="B7" s="997"/>
      <c r="C7" s="998"/>
      <c r="D7" s="998"/>
      <c r="E7" s="998"/>
      <c r="F7" s="999"/>
      <c r="G7" s="1000"/>
      <c r="H7" s="1001"/>
    </row>
    <row r="8" spans="1:12" s="996" customFormat="1" ht="10.5" customHeight="1" x14ac:dyDescent="0.2">
      <c r="B8" s="997"/>
      <c r="C8" s="998"/>
      <c r="D8" s="998"/>
      <c r="E8" s="998"/>
      <c r="F8" s="999"/>
      <c r="G8" s="1000"/>
      <c r="H8" s="1001"/>
    </row>
    <row r="9" spans="1:12" s="996" customFormat="1" ht="10.5" customHeight="1" thickBot="1" x14ac:dyDescent="0.2">
      <c r="B9" s="997"/>
      <c r="C9" s="998"/>
      <c r="D9" s="998"/>
      <c r="E9" s="998"/>
      <c r="F9" s="999"/>
      <c r="G9" s="1000"/>
      <c r="H9" s="983" t="s">
        <v>4184</v>
      </c>
    </row>
    <row r="10" spans="1:12" ht="28.5" customHeight="1" thickBot="1" x14ac:dyDescent="0.25">
      <c r="A10" s="1002" t="s">
        <v>4193</v>
      </c>
      <c r="B10" s="1003" t="s">
        <v>665</v>
      </c>
      <c r="C10" s="1004" t="s">
        <v>4185</v>
      </c>
      <c r="D10" s="1004" t="s">
        <v>4186</v>
      </c>
      <c r="E10" s="1004" t="s">
        <v>4187</v>
      </c>
      <c r="F10" s="1004" t="s">
        <v>4188</v>
      </c>
      <c r="G10" s="1004" t="s">
        <v>4194</v>
      </c>
      <c r="H10" s="1005" t="s">
        <v>4195</v>
      </c>
      <c r="I10" s="1134"/>
      <c r="J10" s="1075"/>
      <c r="K10" s="1075"/>
      <c r="L10" s="1075"/>
    </row>
    <row r="11" spans="1:12" ht="15" customHeight="1" thickBot="1" x14ac:dyDescent="0.2">
      <c r="A11" s="1006" t="s">
        <v>4196</v>
      </c>
      <c r="B11" s="1007"/>
      <c r="C11" s="1008"/>
      <c r="D11" s="1008"/>
      <c r="E11" s="1009"/>
      <c r="F11" s="1010"/>
      <c r="G11" s="1011"/>
      <c r="H11" s="1012"/>
      <c r="I11" s="1134"/>
      <c r="J11" s="1075"/>
      <c r="K11" s="1075"/>
      <c r="L11" s="1075"/>
    </row>
    <row r="12" spans="1:12" s="1019" customFormat="1" ht="42" x14ac:dyDescent="0.2">
      <c r="A12" s="1013">
        <v>1</v>
      </c>
      <c r="B12" s="1014" t="s">
        <v>4321</v>
      </c>
      <c r="C12" s="1076">
        <v>700</v>
      </c>
      <c r="D12" s="1076">
        <v>700</v>
      </c>
      <c r="E12" s="1076">
        <v>483.56450000000001</v>
      </c>
      <c r="F12" s="1077">
        <f t="shared" ref="F12:F33" si="0">E12/D12*100</f>
        <v>69.080642857142863</v>
      </c>
      <c r="G12" s="1052" t="s">
        <v>4197</v>
      </c>
      <c r="H12" s="1018" t="s">
        <v>4322</v>
      </c>
      <c r="I12" s="1135"/>
      <c r="J12" s="1136"/>
      <c r="K12" s="1136"/>
      <c r="L12" s="1137"/>
    </row>
    <row r="13" spans="1:12" s="1019" customFormat="1" ht="31.5" x14ac:dyDescent="0.2">
      <c r="A13" s="1020">
        <f>A12+1</f>
        <v>2</v>
      </c>
      <c r="B13" s="1021" t="s">
        <v>4323</v>
      </c>
      <c r="C13" s="1081">
        <v>3500</v>
      </c>
      <c r="D13" s="1081">
        <v>7502.4900000000007</v>
      </c>
      <c r="E13" s="1081">
        <v>7452.4982399999999</v>
      </c>
      <c r="F13" s="1082">
        <f t="shared" si="0"/>
        <v>99.33366442341142</v>
      </c>
      <c r="G13" s="1026" t="s">
        <v>4197</v>
      </c>
      <c r="H13" s="1025" t="s">
        <v>4324</v>
      </c>
      <c r="I13" s="1135"/>
      <c r="J13" s="1136"/>
      <c r="K13" s="1136"/>
      <c r="L13" s="1137"/>
    </row>
    <row r="14" spans="1:12" s="1019" customFormat="1" ht="105" x14ac:dyDescent="0.2">
      <c r="A14" s="1020">
        <f t="shared" ref="A14:A32" si="1">A13+1</f>
        <v>3</v>
      </c>
      <c r="B14" s="1021" t="s">
        <v>4325</v>
      </c>
      <c r="C14" s="1081">
        <v>9100</v>
      </c>
      <c r="D14" s="1081">
        <v>22329.690000000002</v>
      </c>
      <c r="E14" s="1081">
        <v>12623.64753</v>
      </c>
      <c r="F14" s="1082">
        <f t="shared" si="0"/>
        <v>56.533017386269123</v>
      </c>
      <c r="G14" s="1026" t="s">
        <v>4197</v>
      </c>
      <c r="H14" s="1025" t="s">
        <v>4326</v>
      </c>
      <c r="I14" s="1135"/>
      <c r="J14" s="1136"/>
      <c r="K14" s="1136"/>
      <c r="L14" s="1137"/>
    </row>
    <row r="15" spans="1:12" s="1019" customFormat="1" ht="115.5" x14ac:dyDescent="0.2">
      <c r="A15" s="1020">
        <f t="shared" si="1"/>
        <v>4</v>
      </c>
      <c r="B15" s="1021" t="s">
        <v>1007</v>
      </c>
      <c r="C15" s="1081">
        <v>2280</v>
      </c>
      <c r="D15" s="1081">
        <v>2542.08</v>
      </c>
      <c r="E15" s="1081">
        <v>2395.2109600000003</v>
      </c>
      <c r="F15" s="1082">
        <f t="shared" si="0"/>
        <v>94.222485523665682</v>
      </c>
      <c r="G15" s="1026" t="s">
        <v>4197</v>
      </c>
      <c r="H15" s="1025" t="s">
        <v>4327</v>
      </c>
      <c r="I15" s="1135"/>
      <c r="J15" s="1136"/>
      <c r="K15" s="1136"/>
      <c r="L15" s="1137"/>
    </row>
    <row r="16" spans="1:12" s="1019" customFormat="1" ht="57.75" customHeight="1" x14ac:dyDescent="0.2">
      <c r="A16" s="1020">
        <f t="shared" si="1"/>
        <v>5</v>
      </c>
      <c r="B16" s="1021" t="s">
        <v>1006</v>
      </c>
      <c r="C16" s="1081">
        <v>900</v>
      </c>
      <c r="D16" s="1081">
        <v>1370</v>
      </c>
      <c r="E16" s="1081">
        <v>1040.70147</v>
      </c>
      <c r="F16" s="1082">
        <f t="shared" si="0"/>
        <v>75.963610948905099</v>
      </c>
      <c r="G16" s="1026" t="s">
        <v>4197</v>
      </c>
      <c r="H16" s="1025" t="s">
        <v>4328</v>
      </c>
      <c r="I16" s="1093"/>
      <c r="J16" s="1028"/>
      <c r="K16" s="1028"/>
      <c r="L16" s="1137"/>
    </row>
    <row r="17" spans="1:12" s="1019" customFormat="1" ht="105" x14ac:dyDescent="0.2">
      <c r="A17" s="1020">
        <f t="shared" si="1"/>
        <v>6</v>
      </c>
      <c r="B17" s="1021" t="s">
        <v>4329</v>
      </c>
      <c r="C17" s="1081">
        <v>2000</v>
      </c>
      <c r="D17" s="1081">
        <v>610</v>
      </c>
      <c r="E17" s="1081">
        <v>31.82</v>
      </c>
      <c r="F17" s="1082">
        <f t="shared" si="0"/>
        <v>5.2163934426229508</v>
      </c>
      <c r="G17" s="1026" t="s">
        <v>4197</v>
      </c>
      <c r="H17" s="1025" t="s">
        <v>4330</v>
      </c>
      <c r="I17" s="1093"/>
      <c r="J17" s="1028"/>
      <c r="K17" s="1028"/>
      <c r="L17" s="1137"/>
    </row>
    <row r="18" spans="1:12" s="1019" customFormat="1" ht="12.75" customHeight="1" x14ac:dyDescent="0.2">
      <c r="A18" s="1020">
        <f t="shared" si="1"/>
        <v>7</v>
      </c>
      <c r="B18" s="1021" t="s">
        <v>4331</v>
      </c>
      <c r="C18" s="1081">
        <v>818</v>
      </c>
      <c r="D18" s="1081">
        <v>809.57</v>
      </c>
      <c r="E18" s="1081">
        <v>809.57</v>
      </c>
      <c r="F18" s="1082">
        <f t="shared" si="0"/>
        <v>100</v>
      </c>
      <c r="G18" s="1027" t="s">
        <v>4197</v>
      </c>
      <c r="H18" s="1025" t="s">
        <v>133</v>
      </c>
      <c r="I18" s="1028"/>
      <c r="J18" s="1028"/>
      <c r="K18" s="1028"/>
      <c r="L18" s="1137"/>
    </row>
    <row r="19" spans="1:12" s="1028" customFormat="1" ht="12.75" customHeight="1" x14ac:dyDescent="0.2">
      <c r="A19" s="1020">
        <f t="shared" si="1"/>
        <v>8</v>
      </c>
      <c r="B19" s="1021" t="s">
        <v>4332</v>
      </c>
      <c r="C19" s="1081">
        <v>0</v>
      </c>
      <c r="D19" s="1081">
        <v>90</v>
      </c>
      <c r="E19" s="1081">
        <v>90</v>
      </c>
      <c r="F19" s="1082">
        <f t="shared" si="0"/>
        <v>100</v>
      </c>
      <c r="G19" s="1029" t="s">
        <v>4197</v>
      </c>
      <c r="H19" s="1025" t="s">
        <v>133</v>
      </c>
      <c r="L19" s="1137"/>
    </row>
    <row r="20" spans="1:12" s="1028" customFormat="1" ht="24" customHeight="1" x14ac:dyDescent="0.2">
      <c r="A20" s="1020">
        <f t="shared" si="1"/>
        <v>9</v>
      </c>
      <c r="B20" s="1031" t="s">
        <v>4333</v>
      </c>
      <c r="C20" s="1081">
        <v>0</v>
      </c>
      <c r="D20" s="1081">
        <v>10</v>
      </c>
      <c r="E20" s="1081">
        <v>10</v>
      </c>
      <c r="F20" s="1082">
        <f t="shared" si="0"/>
        <v>100</v>
      </c>
      <c r="G20" s="1029" t="s">
        <v>4199</v>
      </c>
      <c r="H20" s="1025" t="s">
        <v>133</v>
      </c>
      <c r="I20" s="1138"/>
      <c r="J20" s="1139"/>
      <c r="K20" s="1139"/>
      <c r="L20" s="1137"/>
    </row>
    <row r="21" spans="1:12" s="1028" customFormat="1" ht="24" customHeight="1" x14ac:dyDescent="0.2">
      <c r="A21" s="1020">
        <f t="shared" si="1"/>
        <v>10</v>
      </c>
      <c r="B21" s="1031" t="s">
        <v>4334</v>
      </c>
      <c r="C21" s="1081">
        <v>0</v>
      </c>
      <c r="D21" s="1081">
        <v>10</v>
      </c>
      <c r="E21" s="1081">
        <v>10</v>
      </c>
      <c r="F21" s="1082">
        <f t="shared" si="0"/>
        <v>100</v>
      </c>
      <c r="G21" s="1029" t="s">
        <v>4199</v>
      </c>
      <c r="H21" s="1025" t="s">
        <v>133</v>
      </c>
      <c r="I21" s="1093"/>
      <c r="L21" s="1080"/>
    </row>
    <row r="22" spans="1:12" s="1028" customFormat="1" ht="21" x14ac:dyDescent="0.2">
      <c r="A22" s="1020">
        <f t="shared" si="1"/>
        <v>11</v>
      </c>
      <c r="B22" s="1031" t="s">
        <v>4335</v>
      </c>
      <c r="C22" s="1081">
        <v>0</v>
      </c>
      <c r="D22" s="1081">
        <v>180</v>
      </c>
      <c r="E22" s="1081">
        <v>180</v>
      </c>
      <c r="F22" s="1082">
        <f t="shared" si="0"/>
        <v>100</v>
      </c>
      <c r="G22" s="1029" t="s">
        <v>4199</v>
      </c>
      <c r="H22" s="1025" t="s">
        <v>133</v>
      </c>
      <c r="I22" s="1093"/>
      <c r="L22" s="1080"/>
    </row>
    <row r="23" spans="1:12" s="1028" customFormat="1" ht="42" x14ac:dyDescent="0.2">
      <c r="A23" s="1020">
        <f t="shared" si="1"/>
        <v>12</v>
      </c>
      <c r="B23" s="1031" t="s">
        <v>4336</v>
      </c>
      <c r="C23" s="1081">
        <v>0</v>
      </c>
      <c r="D23" s="1081">
        <v>200</v>
      </c>
      <c r="E23" s="1081">
        <v>200</v>
      </c>
      <c r="F23" s="1082">
        <f t="shared" si="0"/>
        <v>100</v>
      </c>
      <c r="G23" s="1029" t="s">
        <v>4199</v>
      </c>
      <c r="H23" s="1025" t="s">
        <v>133</v>
      </c>
      <c r="L23" s="1080"/>
    </row>
    <row r="24" spans="1:12" s="1028" customFormat="1" ht="24" customHeight="1" x14ac:dyDescent="0.2">
      <c r="A24" s="1020">
        <f t="shared" si="1"/>
        <v>13</v>
      </c>
      <c r="B24" s="1031" t="s">
        <v>4337</v>
      </c>
      <c r="C24" s="1081">
        <v>0</v>
      </c>
      <c r="D24" s="1081">
        <v>40</v>
      </c>
      <c r="E24" s="1081">
        <v>40</v>
      </c>
      <c r="F24" s="1082">
        <f t="shared" si="0"/>
        <v>100</v>
      </c>
      <c r="G24" s="1029" t="s">
        <v>4199</v>
      </c>
      <c r="H24" s="1025" t="s">
        <v>133</v>
      </c>
      <c r="L24" s="1080"/>
    </row>
    <row r="25" spans="1:12" s="1028" customFormat="1" ht="34.5" customHeight="1" x14ac:dyDescent="0.2">
      <c r="A25" s="1020">
        <f t="shared" si="1"/>
        <v>14</v>
      </c>
      <c r="B25" s="1031" t="s">
        <v>4338</v>
      </c>
      <c r="C25" s="1081">
        <v>0</v>
      </c>
      <c r="D25" s="1081">
        <v>50</v>
      </c>
      <c r="E25" s="1081">
        <v>50</v>
      </c>
      <c r="F25" s="1082">
        <f t="shared" si="0"/>
        <v>100</v>
      </c>
      <c r="G25" s="1029" t="s">
        <v>4199</v>
      </c>
      <c r="H25" s="1025" t="s">
        <v>133</v>
      </c>
      <c r="L25" s="1080"/>
    </row>
    <row r="26" spans="1:12" s="1028" customFormat="1" ht="42" x14ac:dyDescent="0.2">
      <c r="A26" s="1020">
        <f t="shared" si="1"/>
        <v>15</v>
      </c>
      <c r="B26" s="1031" t="s">
        <v>4339</v>
      </c>
      <c r="C26" s="1081">
        <v>0</v>
      </c>
      <c r="D26" s="1081">
        <v>10</v>
      </c>
      <c r="E26" s="1081">
        <v>10</v>
      </c>
      <c r="F26" s="1082">
        <f t="shared" si="0"/>
        <v>100</v>
      </c>
      <c r="G26" s="1029" t="s">
        <v>4199</v>
      </c>
      <c r="H26" s="1025" t="s">
        <v>133</v>
      </c>
      <c r="L26" s="1080"/>
    </row>
    <row r="27" spans="1:12" s="1028" customFormat="1" ht="45" customHeight="1" x14ac:dyDescent="0.2">
      <c r="A27" s="1020">
        <f t="shared" si="1"/>
        <v>16</v>
      </c>
      <c r="B27" s="1031" t="s">
        <v>4340</v>
      </c>
      <c r="C27" s="1081">
        <v>0</v>
      </c>
      <c r="D27" s="1081">
        <v>55</v>
      </c>
      <c r="E27" s="1081">
        <v>55</v>
      </c>
      <c r="F27" s="1082">
        <f t="shared" si="0"/>
        <v>100</v>
      </c>
      <c r="G27" s="1029" t="s">
        <v>4199</v>
      </c>
      <c r="H27" s="1025" t="s">
        <v>133</v>
      </c>
      <c r="L27" s="1080"/>
    </row>
    <row r="28" spans="1:12" s="1028" customFormat="1" ht="24" customHeight="1" x14ac:dyDescent="0.2">
      <c r="A28" s="1020">
        <f t="shared" si="1"/>
        <v>17</v>
      </c>
      <c r="B28" s="1031" t="s">
        <v>4341</v>
      </c>
      <c r="C28" s="1081">
        <v>0</v>
      </c>
      <c r="D28" s="1081">
        <v>50</v>
      </c>
      <c r="E28" s="1081">
        <v>50</v>
      </c>
      <c r="F28" s="1082">
        <f t="shared" si="0"/>
        <v>100</v>
      </c>
      <c r="G28" s="1029" t="s">
        <v>4199</v>
      </c>
      <c r="H28" s="1025" t="s">
        <v>133</v>
      </c>
      <c r="L28" s="1080"/>
    </row>
    <row r="29" spans="1:12" s="1028" customFormat="1" ht="24" customHeight="1" x14ac:dyDescent="0.2">
      <c r="A29" s="1020">
        <f t="shared" si="1"/>
        <v>18</v>
      </c>
      <c r="B29" s="1031" t="s">
        <v>4342</v>
      </c>
      <c r="C29" s="1081">
        <v>0</v>
      </c>
      <c r="D29" s="1081">
        <v>50</v>
      </c>
      <c r="E29" s="1081">
        <v>50</v>
      </c>
      <c r="F29" s="1082">
        <f t="shared" si="0"/>
        <v>100</v>
      </c>
      <c r="G29" s="1029" t="s">
        <v>4199</v>
      </c>
      <c r="H29" s="1025" t="s">
        <v>133</v>
      </c>
      <c r="L29" s="1080"/>
    </row>
    <row r="30" spans="1:12" s="1028" customFormat="1" ht="31.5" x14ac:dyDescent="0.2">
      <c r="A30" s="1020">
        <f t="shared" si="1"/>
        <v>19</v>
      </c>
      <c r="B30" s="1031" t="s">
        <v>4343</v>
      </c>
      <c r="C30" s="1081">
        <v>0</v>
      </c>
      <c r="D30" s="1081">
        <v>30</v>
      </c>
      <c r="E30" s="1081">
        <v>30</v>
      </c>
      <c r="F30" s="1082">
        <f t="shared" si="0"/>
        <v>100</v>
      </c>
      <c r="G30" s="1029" t="s">
        <v>4199</v>
      </c>
      <c r="H30" s="1025" t="s">
        <v>133</v>
      </c>
      <c r="L30" s="1080"/>
    </row>
    <row r="31" spans="1:12" s="1028" customFormat="1" ht="24" customHeight="1" x14ac:dyDescent="0.2">
      <c r="A31" s="1020">
        <f t="shared" si="1"/>
        <v>20</v>
      </c>
      <c r="B31" s="1031" t="s">
        <v>4344</v>
      </c>
      <c r="C31" s="1081">
        <v>0</v>
      </c>
      <c r="D31" s="1081">
        <v>70</v>
      </c>
      <c r="E31" s="1081">
        <v>70</v>
      </c>
      <c r="F31" s="1082">
        <f t="shared" si="0"/>
        <v>100</v>
      </c>
      <c r="G31" s="1029" t="s">
        <v>4199</v>
      </c>
      <c r="H31" s="1025" t="s">
        <v>133</v>
      </c>
      <c r="L31" s="1080"/>
    </row>
    <row r="32" spans="1:12" s="1028" customFormat="1" ht="34.5" customHeight="1" x14ac:dyDescent="0.2">
      <c r="A32" s="1020">
        <f t="shared" si="1"/>
        <v>21</v>
      </c>
      <c r="B32" s="1031" t="s">
        <v>4345</v>
      </c>
      <c r="C32" s="1081">
        <v>0</v>
      </c>
      <c r="D32" s="1081">
        <v>18</v>
      </c>
      <c r="E32" s="1081">
        <v>18</v>
      </c>
      <c r="F32" s="1082">
        <f t="shared" si="0"/>
        <v>100</v>
      </c>
      <c r="G32" s="1029" t="s">
        <v>4199</v>
      </c>
      <c r="H32" s="1025" t="s">
        <v>133</v>
      </c>
      <c r="L32" s="1080"/>
    </row>
    <row r="33" spans="1:12" s="1044" customFormat="1" ht="13.5" customHeight="1" thickBot="1" x14ac:dyDescent="0.25">
      <c r="A33" s="1442" t="s">
        <v>477</v>
      </c>
      <c r="B33" s="1443"/>
      <c r="C33" s="1039">
        <f>SUM(C12:C32)</f>
        <v>19298</v>
      </c>
      <c r="D33" s="1039">
        <f>SUM(D12:D32)</f>
        <v>36726.83</v>
      </c>
      <c r="E33" s="1039">
        <f>SUM(E12:E32)</f>
        <v>25700.012699999999</v>
      </c>
      <c r="F33" s="1041">
        <f t="shared" si="0"/>
        <v>69.976125628049019</v>
      </c>
      <c r="G33" s="1042"/>
      <c r="H33" s="1043"/>
      <c r="I33" s="1111"/>
      <c r="J33" s="1111"/>
      <c r="K33" s="1111"/>
      <c r="L33" s="1111"/>
    </row>
    <row r="40" spans="1:12" ht="14.25" x14ac:dyDescent="0.2">
      <c r="B40" s="1099"/>
      <c r="C40" s="1099"/>
      <c r="D40" s="1100"/>
      <c r="E40" s="1100"/>
    </row>
    <row r="41" spans="1:12" ht="14.25" x14ac:dyDescent="0.2">
      <c r="B41" s="1099"/>
      <c r="C41" s="1099"/>
      <c r="D41" s="1100"/>
      <c r="E41" s="1100"/>
    </row>
    <row r="42" spans="1:12" ht="14.25" x14ac:dyDescent="0.2">
      <c r="B42" s="1099"/>
      <c r="C42" s="1099"/>
      <c r="D42" s="1100"/>
      <c r="E42" s="1100"/>
    </row>
    <row r="43" spans="1:12" ht="14.25" x14ac:dyDescent="0.2">
      <c r="B43" s="1099"/>
      <c r="C43" s="1099"/>
      <c r="D43" s="1100"/>
      <c r="E43" s="1100"/>
    </row>
    <row r="44" spans="1:12" ht="14.25" x14ac:dyDescent="0.2">
      <c r="B44" s="1099"/>
      <c r="C44" s="1099"/>
      <c r="D44" s="1100"/>
      <c r="E44" s="1100"/>
    </row>
    <row r="45" spans="1:12" ht="14.25" x14ac:dyDescent="0.2">
      <c r="B45" s="1099"/>
      <c r="C45" s="1099"/>
      <c r="D45" s="1100"/>
      <c r="E45" s="1100"/>
    </row>
    <row r="46" spans="1:12" ht="14.25" x14ac:dyDescent="0.2">
      <c r="B46" s="1099"/>
      <c r="C46" s="1099"/>
      <c r="D46" s="1100"/>
      <c r="E46" s="1100"/>
    </row>
    <row r="47" spans="1:12" ht="14.25" x14ac:dyDescent="0.2">
      <c r="B47" s="1099"/>
      <c r="C47" s="1099"/>
      <c r="D47" s="1100"/>
      <c r="E47" s="1100"/>
    </row>
    <row r="48" spans="1:12" ht="14.25" x14ac:dyDescent="0.2">
      <c r="B48" s="1099"/>
      <c r="C48" s="1099"/>
      <c r="D48" s="1100"/>
      <c r="E48" s="1100"/>
    </row>
    <row r="49" spans="2:5" ht="14.25" x14ac:dyDescent="0.2">
      <c r="B49" s="1099"/>
      <c r="C49" s="1099"/>
      <c r="D49" s="1100"/>
      <c r="E49" s="1100"/>
    </row>
    <row r="50" spans="2:5" ht="14.25" x14ac:dyDescent="0.2">
      <c r="B50" s="1099"/>
      <c r="C50" s="1099"/>
      <c r="D50" s="1100"/>
      <c r="E50" s="1100"/>
    </row>
    <row r="51" spans="2:5" ht="14.25" x14ac:dyDescent="0.2">
      <c r="B51" s="1099"/>
      <c r="C51" s="1099"/>
      <c r="D51" s="1100"/>
      <c r="E51" s="1100"/>
    </row>
    <row r="52" spans="2:5" ht="14.25" x14ac:dyDescent="0.2">
      <c r="B52" s="1099"/>
      <c r="C52" s="1099"/>
      <c r="D52" s="1100"/>
      <c r="E52" s="1100"/>
    </row>
    <row r="53" spans="2:5" ht="14.25" x14ac:dyDescent="0.2">
      <c r="B53" s="1099"/>
      <c r="C53" s="1099"/>
      <c r="D53" s="1100"/>
      <c r="E53" s="1100"/>
    </row>
  </sheetData>
  <mergeCells count="5">
    <mergeCell ref="A1:H1"/>
    <mergeCell ref="A4:B4"/>
    <mergeCell ref="A5:B5"/>
    <mergeCell ref="A6:B6"/>
    <mergeCell ref="A33:B33"/>
  </mergeCells>
  <printOptions horizontalCentered="1"/>
  <pageMargins left="0.31496062992125984" right="0.31496062992125984" top="0.51181102362204722" bottom="0.43307086614173229" header="0.31496062992125984" footer="0.23622047244094491"/>
  <pageSetup paperSize="9" scale="98" firstPageNumber="258" fitToHeight="0" orientation="landscape" useFirstPageNumber="1" r:id="rId1"/>
  <headerFooter alignWithMargins="0">
    <oddHeader>&amp;L&amp;"Tahoma,Kurzíva"&amp;9Závěrečný účet za rok 2015&amp;R&amp;"Tahoma,Kurzíva"&amp;9Tabulka č. 11</oddHeader>
    <oddFooter>&amp;C&amp;"Tahoma,Obyčejné"&amp;P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zoomScaleSheetLayoutView="100" workbookViewId="0">
      <selection activeCell="K2" sqref="K2"/>
    </sheetView>
  </sheetViews>
  <sheetFormatPr defaultRowHeight="10.5" x14ac:dyDescent="0.2"/>
  <cols>
    <col min="1" max="1" width="6.42578125" style="976" customWidth="1"/>
    <col min="2" max="2" width="42.7109375" style="977" customWidth="1"/>
    <col min="3" max="4" width="13.140625" style="978" customWidth="1"/>
    <col min="5" max="5" width="12.140625" style="976" customWidth="1"/>
    <col min="6" max="6" width="8" style="979" customWidth="1"/>
    <col min="7" max="7" width="8.7109375" style="980" customWidth="1"/>
    <col min="8" max="8" width="42.7109375" style="981" customWidth="1"/>
    <col min="9" max="16384" width="9.140625" style="976"/>
  </cols>
  <sheetData>
    <row r="1" spans="1:8" s="975" customFormat="1" ht="18" customHeight="1" x14ac:dyDescent="0.2">
      <c r="A1" s="1325" t="s">
        <v>4346</v>
      </c>
      <c r="B1" s="1325"/>
      <c r="C1" s="1325"/>
      <c r="D1" s="1325"/>
      <c r="E1" s="1325"/>
      <c r="F1" s="1325"/>
      <c r="G1" s="1325"/>
      <c r="H1" s="1325"/>
    </row>
    <row r="2" spans="1:8" ht="12" customHeight="1" x14ac:dyDescent="0.2"/>
    <row r="3" spans="1:8" ht="12" customHeight="1" thickBot="1" x14ac:dyDescent="0.2">
      <c r="A3" s="982"/>
      <c r="F3" s="983" t="s">
        <v>4184</v>
      </c>
    </row>
    <row r="4" spans="1:8" ht="23.25" customHeight="1" x14ac:dyDescent="0.2">
      <c r="A4" s="1438"/>
      <c r="B4" s="1439"/>
      <c r="C4" s="984" t="s">
        <v>4185</v>
      </c>
      <c r="D4" s="984" t="s">
        <v>4186</v>
      </c>
      <c r="E4" s="984" t="s">
        <v>4187</v>
      </c>
      <c r="F4" s="985" t="s">
        <v>4188</v>
      </c>
      <c r="G4" s="986"/>
      <c r="H4" s="987"/>
    </row>
    <row r="5" spans="1:8" ht="12.75" customHeight="1" x14ac:dyDescent="0.2">
      <c r="A5" s="1436" t="s">
        <v>4189</v>
      </c>
      <c r="B5" s="1437"/>
      <c r="C5" s="988">
        <f>C37</f>
        <v>346800</v>
      </c>
      <c r="D5" s="988">
        <f>D37</f>
        <v>425961.45</v>
      </c>
      <c r="E5" s="988">
        <f>E37</f>
        <v>94186.918720000001</v>
      </c>
      <c r="F5" s="989">
        <f>E5/D5*100</f>
        <v>22.111606277985953</v>
      </c>
      <c r="G5" s="990"/>
      <c r="H5" s="991"/>
    </row>
    <row r="6" spans="1:8" ht="12.75" customHeight="1" x14ac:dyDescent="0.2">
      <c r="A6" s="1436" t="s">
        <v>4191</v>
      </c>
      <c r="B6" s="1437"/>
      <c r="C6" s="992">
        <f>C40</f>
        <v>0</v>
      </c>
      <c r="D6" s="992">
        <f>D40</f>
        <v>399.65</v>
      </c>
      <c r="E6" s="992">
        <f>E40</f>
        <v>199.65</v>
      </c>
      <c r="F6" s="989">
        <f>E6/D6*100</f>
        <v>49.956211685224581</v>
      </c>
      <c r="G6" s="990"/>
      <c r="H6" s="991"/>
    </row>
    <row r="7" spans="1:8" ht="12.75" customHeight="1" x14ac:dyDescent="0.2">
      <c r="A7" s="1436" t="s">
        <v>4192</v>
      </c>
      <c r="B7" s="1437"/>
      <c r="C7" s="992">
        <f>C50</f>
        <v>41540</v>
      </c>
      <c r="D7" s="992">
        <f>D50</f>
        <v>51200.11</v>
      </c>
      <c r="E7" s="992">
        <f>E50</f>
        <v>8134.0694000000012</v>
      </c>
      <c r="F7" s="989">
        <f>E7/D7*100</f>
        <v>15.886820165034804</v>
      </c>
      <c r="G7" s="990"/>
      <c r="H7" s="991"/>
    </row>
    <row r="8" spans="1:8" s="982" customFormat="1" ht="13.5" customHeight="1" thickBot="1" x14ac:dyDescent="0.25">
      <c r="A8" s="1440" t="s">
        <v>477</v>
      </c>
      <c r="B8" s="1441"/>
      <c r="C8" s="993">
        <f>SUM(C5:C7)</f>
        <v>388340</v>
      </c>
      <c r="D8" s="994">
        <f>SUM(D5:D7)</f>
        <v>477561.21</v>
      </c>
      <c r="E8" s="993">
        <f>SUM(E5:E7)</f>
        <v>102520.63812</v>
      </c>
      <c r="F8" s="995">
        <f>E8/D8*100</f>
        <v>21.467538814553215</v>
      </c>
      <c r="G8" s="990"/>
      <c r="H8" s="991"/>
    </row>
    <row r="9" spans="1:8" s="996" customFormat="1" ht="10.5" customHeight="1" x14ac:dyDescent="0.2">
      <c r="B9" s="1102"/>
      <c r="C9" s="998"/>
      <c r="D9" s="998"/>
      <c r="E9" s="998"/>
      <c r="F9" s="999"/>
      <c r="G9" s="1000"/>
      <c r="H9" s="1001"/>
    </row>
    <row r="10" spans="1:8" s="996" customFormat="1" ht="10.5" customHeight="1" x14ac:dyDescent="0.2">
      <c r="B10" s="997"/>
      <c r="C10" s="998"/>
      <c r="D10" s="998"/>
      <c r="E10" s="998"/>
      <c r="F10" s="999"/>
      <c r="G10" s="1000"/>
      <c r="H10" s="1001"/>
    </row>
    <row r="11" spans="1:8" s="996" customFormat="1" ht="10.5" customHeight="1" thickBot="1" x14ac:dyDescent="0.2">
      <c r="B11" s="997"/>
      <c r="C11" s="998"/>
      <c r="D11" s="998"/>
      <c r="E11" s="998"/>
      <c r="F11" s="999"/>
      <c r="G11" s="1000"/>
      <c r="H11" s="983" t="s">
        <v>4184</v>
      </c>
    </row>
    <row r="12" spans="1:8" ht="28.5" customHeight="1" thickBot="1" x14ac:dyDescent="0.25">
      <c r="A12" s="1002" t="s">
        <v>4193</v>
      </c>
      <c r="B12" s="1003" t="s">
        <v>665</v>
      </c>
      <c r="C12" s="1004" t="s">
        <v>4185</v>
      </c>
      <c r="D12" s="1004" t="s">
        <v>4186</v>
      </c>
      <c r="E12" s="1004" t="s">
        <v>4187</v>
      </c>
      <c r="F12" s="1004" t="s">
        <v>4188</v>
      </c>
      <c r="G12" s="1004" t="s">
        <v>4194</v>
      </c>
      <c r="H12" s="1005" t="s">
        <v>4195</v>
      </c>
    </row>
    <row r="13" spans="1:8" ht="15" customHeight="1" thickBot="1" x14ac:dyDescent="0.2">
      <c r="A13" s="1006" t="s">
        <v>4196</v>
      </c>
      <c r="B13" s="1007"/>
      <c r="C13" s="1008"/>
      <c r="D13" s="1008"/>
      <c r="E13" s="1009"/>
      <c r="F13" s="1010"/>
      <c r="G13" s="1011"/>
      <c r="H13" s="1012"/>
    </row>
    <row r="14" spans="1:8" s="1019" customFormat="1" ht="63" x14ac:dyDescent="0.2">
      <c r="A14" s="1013">
        <v>1</v>
      </c>
      <c r="B14" s="1014" t="s">
        <v>2752</v>
      </c>
      <c r="C14" s="1076">
        <v>8000</v>
      </c>
      <c r="D14" s="1076">
        <v>14982.699999999999</v>
      </c>
      <c r="E14" s="1076">
        <v>12319.218410000005</v>
      </c>
      <c r="F14" s="1077">
        <f t="shared" ref="F14:F37" si="0">E14/D14*100</f>
        <v>82.222953206030994</v>
      </c>
      <c r="G14" s="1052" t="s">
        <v>4197</v>
      </c>
      <c r="H14" s="1140" t="s">
        <v>4347</v>
      </c>
    </row>
    <row r="15" spans="1:8" s="1019" customFormat="1" ht="55.5" customHeight="1" x14ac:dyDescent="0.2">
      <c r="A15" s="1020">
        <f>A14+1</f>
        <v>2</v>
      </c>
      <c r="B15" s="1021" t="s">
        <v>2736</v>
      </c>
      <c r="C15" s="1081">
        <v>11000</v>
      </c>
      <c r="D15" s="1081">
        <v>26588.76</v>
      </c>
      <c r="E15" s="1081">
        <v>777.48900000000003</v>
      </c>
      <c r="F15" s="1082">
        <f t="shared" si="0"/>
        <v>2.924126585820475</v>
      </c>
      <c r="G15" s="1125" t="s">
        <v>4197</v>
      </c>
      <c r="H15" s="1141" t="s">
        <v>4348</v>
      </c>
    </row>
    <row r="16" spans="1:8" s="1019" customFormat="1" ht="24" customHeight="1" x14ac:dyDescent="0.2">
      <c r="A16" s="1020">
        <f t="shared" ref="A16:A36" si="1">A15+1</f>
        <v>3</v>
      </c>
      <c r="B16" s="1021" t="s">
        <v>2751</v>
      </c>
      <c r="C16" s="1081">
        <v>0</v>
      </c>
      <c r="D16" s="1081">
        <v>335.8</v>
      </c>
      <c r="E16" s="1081">
        <v>125.65</v>
      </c>
      <c r="F16" s="1082">
        <f t="shared" si="0"/>
        <v>37.418106015485407</v>
      </c>
      <c r="G16" s="1026" t="s">
        <v>4203</v>
      </c>
      <c r="H16" s="1141" t="s">
        <v>4349</v>
      </c>
    </row>
    <row r="17" spans="1:9" s="1019" customFormat="1" ht="54.75" customHeight="1" x14ac:dyDescent="0.2">
      <c r="A17" s="1020">
        <f t="shared" si="1"/>
        <v>4</v>
      </c>
      <c r="B17" s="1021" t="s">
        <v>2842</v>
      </c>
      <c r="C17" s="1081">
        <v>10000</v>
      </c>
      <c r="D17" s="1081">
        <v>35947.42</v>
      </c>
      <c r="E17" s="1081">
        <v>11373.167810000001</v>
      </c>
      <c r="F17" s="1082">
        <f t="shared" si="0"/>
        <v>31.63834236226133</v>
      </c>
      <c r="G17" s="1026" t="s">
        <v>4197</v>
      </c>
      <c r="H17" s="1141" t="s">
        <v>4350</v>
      </c>
    </row>
    <row r="18" spans="1:9" s="1019" customFormat="1" ht="34.5" customHeight="1" x14ac:dyDescent="0.2">
      <c r="A18" s="1020">
        <f t="shared" si="1"/>
        <v>5</v>
      </c>
      <c r="B18" s="1021" t="s">
        <v>3176</v>
      </c>
      <c r="C18" s="1081">
        <v>0</v>
      </c>
      <c r="D18" s="1081">
        <v>3600</v>
      </c>
      <c r="E18" s="1081">
        <v>0</v>
      </c>
      <c r="F18" s="1082">
        <f t="shared" si="0"/>
        <v>0</v>
      </c>
      <c r="G18" s="1026" t="s">
        <v>4203</v>
      </c>
      <c r="H18" s="1141" t="s">
        <v>4351</v>
      </c>
    </row>
    <row r="19" spans="1:9" s="1019" customFormat="1" ht="52.5" x14ac:dyDescent="0.2">
      <c r="A19" s="1020">
        <f t="shared" si="1"/>
        <v>6</v>
      </c>
      <c r="B19" s="1021" t="s">
        <v>2862</v>
      </c>
      <c r="C19" s="1081">
        <v>10000</v>
      </c>
      <c r="D19" s="1081">
        <v>19168.680000000004</v>
      </c>
      <c r="E19" s="1081">
        <v>8764.472499999998</v>
      </c>
      <c r="F19" s="1082">
        <f t="shared" si="0"/>
        <v>45.72287971837391</v>
      </c>
      <c r="G19" s="1026" t="s">
        <v>4197</v>
      </c>
      <c r="H19" s="1141" t="s">
        <v>4352</v>
      </c>
    </row>
    <row r="20" spans="1:9" s="1019" customFormat="1" ht="24" customHeight="1" x14ac:dyDescent="0.2">
      <c r="A20" s="1020">
        <f t="shared" si="1"/>
        <v>7</v>
      </c>
      <c r="B20" s="1021" t="s">
        <v>2870</v>
      </c>
      <c r="C20" s="1081">
        <v>0</v>
      </c>
      <c r="D20" s="1081">
        <v>1832.3500000000001</v>
      </c>
      <c r="E20" s="1081">
        <v>1709.6362600000002</v>
      </c>
      <c r="F20" s="1082">
        <f t="shared" si="0"/>
        <v>93.302931208557325</v>
      </c>
      <c r="G20" s="1026" t="s">
        <v>4197</v>
      </c>
      <c r="H20" s="1141" t="s">
        <v>4353</v>
      </c>
    </row>
    <row r="21" spans="1:9" s="1028" customFormat="1" ht="24" customHeight="1" x14ac:dyDescent="0.2">
      <c r="A21" s="1020">
        <f t="shared" si="1"/>
        <v>8</v>
      </c>
      <c r="B21" s="1021" t="s">
        <v>4354</v>
      </c>
      <c r="C21" s="1081">
        <v>20000</v>
      </c>
      <c r="D21" s="1081">
        <v>684</v>
      </c>
      <c r="E21" s="1081">
        <v>0</v>
      </c>
      <c r="F21" s="1082">
        <f t="shared" si="0"/>
        <v>0</v>
      </c>
      <c r="G21" s="1026" t="s">
        <v>4197</v>
      </c>
      <c r="H21" s="1141" t="s">
        <v>4355</v>
      </c>
      <c r="I21" s="1142"/>
    </row>
    <row r="22" spans="1:9" s="1028" customFormat="1" ht="73.5" x14ac:dyDescent="0.2">
      <c r="A22" s="1020">
        <f t="shared" si="1"/>
        <v>9</v>
      </c>
      <c r="B22" s="1021" t="s">
        <v>1030</v>
      </c>
      <c r="C22" s="1081">
        <v>11875</v>
      </c>
      <c r="D22" s="1081">
        <v>30406.500000000004</v>
      </c>
      <c r="E22" s="1081">
        <v>10128.865040000001</v>
      </c>
      <c r="F22" s="1082">
        <f t="shared" si="0"/>
        <v>33.311512472662095</v>
      </c>
      <c r="G22" s="1029" t="s">
        <v>4197</v>
      </c>
      <c r="H22" s="1143" t="s">
        <v>4356</v>
      </c>
    </row>
    <row r="23" spans="1:9" s="1019" customFormat="1" ht="42" x14ac:dyDescent="0.2">
      <c r="A23" s="1020">
        <f t="shared" si="1"/>
        <v>10</v>
      </c>
      <c r="B23" s="1021" t="s">
        <v>2875</v>
      </c>
      <c r="C23" s="1081">
        <v>11500</v>
      </c>
      <c r="D23" s="1081">
        <v>14510.6</v>
      </c>
      <c r="E23" s="1081">
        <v>12314.079399999999</v>
      </c>
      <c r="F23" s="1082">
        <f t="shared" si="0"/>
        <v>84.862647995258627</v>
      </c>
      <c r="G23" s="1029" t="s">
        <v>4197</v>
      </c>
      <c r="H23" s="1143" t="s">
        <v>4357</v>
      </c>
    </row>
    <row r="24" spans="1:9" s="1019" customFormat="1" ht="12.75" customHeight="1" x14ac:dyDescent="0.2">
      <c r="A24" s="1020">
        <f t="shared" si="1"/>
        <v>11</v>
      </c>
      <c r="B24" s="1021" t="s">
        <v>2765</v>
      </c>
      <c r="C24" s="1081">
        <v>525</v>
      </c>
      <c r="D24" s="1081">
        <v>525</v>
      </c>
      <c r="E24" s="1081">
        <v>525</v>
      </c>
      <c r="F24" s="1082">
        <f t="shared" si="0"/>
        <v>100</v>
      </c>
      <c r="G24" s="1029" t="s">
        <v>4197</v>
      </c>
      <c r="H24" s="1025" t="s">
        <v>133</v>
      </c>
    </row>
    <row r="25" spans="1:9" s="1028" customFormat="1" ht="24" customHeight="1" x14ac:dyDescent="0.2">
      <c r="A25" s="1020">
        <f t="shared" si="1"/>
        <v>12</v>
      </c>
      <c r="B25" s="1021" t="s">
        <v>4358</v>
      </c>
      <c r="C25" s="1081">
        <v>5000</v>
      </c>
      <c r="D25" s="1081">
        <v>5000</v>
      </c>
      <c r="E25" s="1081">
        <v>5000</v>
      </c>
      <c r="F25" s="1082">
        <f t="shared" si="0"/>
        <v>100</v>
      </c>
      <c r="G25" s="1029" t="s">
        <v>4197</v>
      </c>
      <c r="H25" s="1025" t="s">
        <v>133</v>
      </c>
    </row>
    <row r="26" spans="1:9" s="1019" customFormat="1" ht="34.5" customHeight="1" x14ac:dyDescent="0.2">
      <c r="A26" s="1020">
        <f t="shared" si="1"/>
        <v>13</v>
      </c>
      <c r="B26" s="1021" t="s">
        <v>4359</v>
      </c>
      <c r="C26" s="1081">
        <v>0</v>
      </c>
      <c r="D26" s="1081">
        <v>1058</v>
      </c>
      <c r="E26" s="1081">
        <v>1007.5</v>
      </c>
      <c r="F26" s="1082">
        <f t="shared" si="0"/>
        <v>95.226843100189043</v>
      </c>
      <c r="G26" s="1026" t="s">
        <v>4203</v>
      </c>
      <c r="H26" s="1141" t="s">
        <v>4360</v>
      </c>
    </row>
    <row r="27" spans="1:9" s="1019" customFormat="1" ht="12.75" customHeight="1" x14ac:dyDescent="0.2">
      <c r="A27" s="1020">
        <f t="shared" si="1"/>
        <v>14</v>
      </c>
      <c r="B27" s="1021" t="s">
        <v>1027</v>
      </c>
      <c r="C27" s="1081">
        <v>6000</v>
      </c>
      <c r="D27" s="1081">
        <v>6000</v>
      </c>
      <c r="E27" s="1081">
        <v>6000</v>
      </c>
      <c r="F27" s="1082">
        <f t="shared" si="0"/>
        <v>100</v>
      </c>
      <c r="G27" s="1029" t="s">
        <v>4197</v>
      </c>
      <c r="H27" s="1025" t="s">
        <v>133</v>
      </c>
    </row>
    <row r="28" spans="1:9" s="1028" customFormat="1" ht="12.75" customHeight="1" x14ac:dyDescent="0.2">
      <c r="A28" s="1020">
        <f t="shared" si="1"/>
        <v>15</v>
      </c>
      <c r="B28" s="1021" t="s">
        <v>4361</v>
      </c>
      <c r="C28" s="1081">
        <v>300</v>
      </c>
      <c r="D28" s="1081">
        <v>295.49</v>
      </c>
      <c r="E28" s="1081">
        <v>295.48200000000003</v>
      </c>
      <c r="F28" s="1082">
        <f t="shared" si="0"/>
        <v>99.997292632576404</v>
      </c>
      <c r="G28" s="1029" t="s">
        <v>4197</v>
      </c>
      <c r="H28" s="1025" t="s">
        <v>133</v>
      </c>
    </row>
    <row r="29" spans="1:9" s="1028" customFormat="1" ht="52.5" x14ac:dyDescent="0.2">
      <c r="A29" s="1020">
        <f t="shared" si="1"/>
        <v>16</v>
      </c>
      <c r="B29" s="1021" t="s">
        <v>4362</v>
      </c>
      <c r="C29" s="1081">
        <v>0</v>
      </c>
      <c r="D29" s="1081">
        <v>2401.1</v>
      </c>
      <c r="E29" s="1081">
        <v>1088.0925</v>
      </c>
      <c r="F29" s="1082">
        <f t="shared" si="0"/>
        <v>45.31641747532381</v>
      </c>
      <c r="G29" s="1029" t="s">
        <v>4197</v>
      </c>
      <c r="H29" s="1025" t="s">
        <v>4363</v>
      </c>
    </row>
    <row r="30" spans="1:9" s="1028" customFormat="1" ht="115.5" x14ac:dyDescent="0.2">
      <c r="A30" s="1020">
        <f t="shared" si="1"/>
        <v>17</v>
      </c>
      <c r="B30" s="1021" t="s">
        <v>4364</v>
      </c>
      <c r="C30" s="1081">
        <v>10600</v>
      </c>
      <c r="D30" s="1081">
        <v>14800</v>
      </c>
      <c r="E30" s="1081">
        <v>13374.5735</v>
      </c>
      <c r="F30" s="1082">
        <f t="shared" si="0"/>
        <v>90.368739864864864</v>
      </c>
      <c r="G30" s="1029" t="s">
        <v>4203</v>
      </c>
      <c r="H30" s="1025" t="s">
        <v>4365</v>
      </c>
    </row>
    <row r="31" spans="1:9" s="1028" customFormat="1" ht="73.5" x14ac:dyDescent="0.2">
      <c r="A31" s="1020">
        <f t="shared" si="1"/>
        <v>18</v>
      </c>
      <c r="B31" s="1021" t="s">
        <v>475</v>
      </c>
      <c r="C31" s="1081">
        <v>242000</v>
      </c>
      <c r="D31" s="1081">
        <v>244655.05</v>
      </c>
      <c r="E31" s="1081">
        <v>6263.6922999999997</v>
      </c>
      <c r="F31" s="1082">
        <f t="shared" si="0"/>
        <v>2.5602137785424826</v>
      </c>
      <c r="G31" s="1027" t="s">
        <v>4203</v>
      </c>
      <c r="H31" s="1025" t="s">
        <v>4366</v>
      </c>
    </row>
    <row r="32" spans="1:9" s="1019" customFormat="1" ht="24" customHeight="1" x14ac:dyDescent="0.2">
      <c r="A32" s="1020">
        <f t="shared" si="1"/>
        <v>19</v>
      </c>
      <c r="B32" s="1037" t="s">
        <v>4367</v>
      </c>
      <c r="C32" s="1081">
        <v>0</v>
      </c>
      <c r="D32" s="1081">
        <v>30</v>
      </c>
      <c r="E32" s="1081">
        <v>30</v>
      </c>
      <c r="F32" s="1082">
        <f t="shared" si="0"/>
        <v>100</v>
      </c>
      <c r="G32" s="1144" t="s">
        <v>4199</v>
      </c>
      <c r="H32" s="1025" t="s">
        <v>133</v>
      </c>
    </row>
    <row r="33" spans="1:8" s="1019" customFormat="1" ht="24" customHeight="1" x14ac:dyDescent="0.2">
      <c r="A33" s="1020">
        <f t="shared" si="1"/>
        <v>20</v>
      </c>
      <c r="B33" s="965" t="s">
        <v>4368</v>
      </c>
      <c r="C33" s="1081">
        <v>0</v>
      </c>
      <c r="D33" s="1081">
        <v>20</v>
      </c>
      <c r="E33" s="1081">
        <v>20</v>
      </c>
      <c r="F33" s="1082">
        <f t="shared" si="0"/>
        <v>100</v>
      </c>
      <c r="G33" s="1144" t="s">
        <v>4199</v>
      </c>
      <c r="H33" s="1025" t="s">
        <v>133</v>
      </c>
    </row>
    <row r="34" spans="1:8" s="1019" customFormat="1" ht="37.5" customHeight="1" x14ac:dyDescent="0.2">
      <c r="A34" s="1020">
        <f t="shared" si="1"/>
        <v>21</v>
      </c>
      <c r="B34" s="965" t="s">
        <v>4369</v>
      </c>
      <c r="C34" s="1081">
        <v>0</v>
      </c>
      <c r="D34" s="1081">
        <v>50</v>
      </c>
      <c r="E34" s="1081">
        <v>0</v>
      </c>
      <c r="F34" s="1082">
        <f t="shared" si="0"/>
        <v>0</v>
      </c>
      <c r="G34" s="1144" t="s">
        <v>4203</v>
      </c>
      <c r="H34" s="1141" t="s">
        <v>4370</v>
      </c>
    </row>
    <row r="35" spans="1:8" s="1019" customFormat="1" ht="24" customHeight="1" x14ac:dyDescent="0.2">
      <c r="A35" s="1020">
        <f t="shared" si="1"/>
        <v>22</v>
      </c>
      <c r="B35" s="1037" t="s">
        <v>4371</v>
      </c>
      <c r="C35" s="1081">
        <v>0</v>
      </c>
      <c r="D35" s="1081">
        <v>70</v>
      </c>
      <c r="E35" s="1081">
        <v>70</v>
      </c>
      <c r="F35" s="1082">
        <f t="shared" si="0"/>
        <v>100</v>
      </c>
      <c r="G35" s="1144" t="s">
        <v>4199</v>
      </c>
      <c r="H35" s="1025" t="s">
        <v>133</v>
      </c>
    </row>
    <row r="36" spans="1:8" s="1019" customFormat="1" ht="24" customHeight="1" x14ac:dyDescent="0.2">
      <c r="A36" s="1020">
        <f t="shared" si="1"/>
        <v>23</v>
      </c>
      <c r="B36" s="1037" t="s">
        <v>4372</v>
      </c>
      <c r="C36" s="1081">
        <v>0</v>
      </c>
      <c r="D36" s="1081">
        <v>3000</v>
      </c>
      <c r="E36" s="1081">
        <v>3000</v>
      </c>
      <c r="F36" s="1082">
        <f t="shared" si="0"/>
        <v>100</v>
      </c>
      <c r="G36" s="1144" t="s">
        <v>4199</v>
      </c>
      <c r="H36" s="1025" t="s">
        <v>133</v>
      </c>
    </row>
    <row r="37" spans="1:8" s="1044" customFormat="1" ht="13.5" customHeight="1" thickBot="1" x14ac:dyDescent="0.25">
      <c r="A37" s="1442" t="s">
        <v>477</v>
      </c>
      <c r="B37" s="1443"/>
      <c r="C37" s="1039">
        <f>SUM(C14:C36)</f>
        <v>346800</v>
      </c>
      <c r="D37" s="1039">
        <f>SUM(D14:D36)</f>
        <v>425961.45</v>
      </c>
      <c r="E37" s="1039">
        <f>SUM(E14:E36)</f>
        <v>94186.918720000001</v>
      </c>
      <c r="F37" s="1041">
        <f t="shared" si="0"/>
        <v>22.111606277985953</v>
      </c>
      <c r="G37" s="1042"/>
      <c r="H37" s="1043"/>
    </row>
    <row r="38" spans="1:8" ht="18" customHeight="1" thickBot="1" x14ac:dyDescent="0.2">
      <c r="A38" s="1006" t="s">
        <v>4220</v>
      </c>
      <c r="B38" s="1055"/>
      <c r="C38" s="1056"/>
      <c r="D38" s="1056"/>
      <c r="E38" s="1057"/>
      <c r="F38" s="1010"/>
      <c r="G38" s="1058"/>
      <c r="H38" s="1059"/>
    </row>
    <row r="39" spans="1:8" s="977" customFormat="1" ht="37.5" customHeight="1" x14ac:dyDescent="0.2">
      <c r="A39" s="1013">
        <f>A36+1</f>
        <v>24</v>
      </c>
      <c r="B39" s="1014" t="s">
        <v>613</v>
      </c>
      <c r="C39" s="1076">
        <v>0</v>
      </c>
      <c r="D39" s="1076">
        <v>399.65</v>
      </c>
      <c r="E39" s="1076">
        <v>199.65</v>
      </c>
      <c r="F39" s="1077">
        <f>E39/D39*100</f>
        <v>49.956211685224581</v>
      </c>
      <c r="G39" s="1101" t="s">
        <v>4197</v>
      </c>
      <c r="H39" s="1140" t="s">
        <v>4373</v>
      </c>
    </row>
    <row r="40" spans="1:8" s="977" customFormat="1" ht="13.5" customHeight="1" thickBot="1" x14ac:dyDescent="0.25">
      <c r="A40" s="1442" t="s">
        <v>477</v>
      </c>
      <c r="B40" s="1443"/>
      <c r="C40" s="1039">
        <f>SUM(C39:C39)</f>
        <v>0</v>
      </c>
      <c r="D40" s="1063">
        <f>SUM(D39:D39)</f>
        <v>399.65</v>
      </c>
      <c r="E40" s="1063">
        <f>SUM(E39:E39)</f>
        <v>199.65</v>
      </c>
      <c r="F40" s="1064">
        <f>E40/D40*100</f>
        <v>49.956211685224581</v>
      </c>
      <c r="G40" s="1042"/>
      <c r="H40" s="1065"/>
    </row>
    <row r="41" spans="1:8" ht="18" customHeight="1" thickBot="1" x14ac:dyDescent="0.2">
      <c r="A41" s="1006" t="s">
        <v>4192</v>
      </c>
      <c r="B41" s="1007"/>
      <c r="C41" s="1008"/>
      <c r="D41" s="1008"/>
      <c r="E41" s="1009"/>
      <c r="F41" s="1010"/>
      <c r="G41" s="1011"/>
      <c r="H41" s="1059"/>
    </row>
    <row r="42" spans="1:8" s="977" customFormat="1" ht="105" x14ac:dyDescent="0.2">
      <c r="A42" s="1013">
        <f>A39+1</f>
        <v>25</v>
      </c>
      <c r="B42" s="1014" t="s">
        <v>1277</v>
      </c>
      <c r="C42" s="1076">
        <v>0</v>
      </c>
      <c r="D42" s="1076">
        <v>5930.829999999999</v>
      </c>
      <c r="E42" s="1076">
        <v>4916.7713100000001</v>
      </c>
      <c r="F42" s="1077">
        <f t="shared" ref="F42:F50" si="2">E42/D42*100</f>
        <v>82.901909344897774</v>
      </c>
      <c r="G42" s="1145" t="s">
        <v>4199</v>
      </c>
      <c r="H42" s="1018" t="s">
        <v>4374</v>
      </c>
    </row>
    <row r="43" spans="1:8" s="977" customFormat="1" ht="57" customHeight="1" x14ac:dyDescent="0.2">
      <c r="A43" s="1020">
        <f t="shared" ref="A43:A49" si="3">A42+1</f>
        <v>26</v>
      </c>
      <c r="B43" s="1021" t="s">
        <v>1276</v>
      </c>
      <c r="C43" s="1081">
        <v>0</v>
      </c>
      <c r="D43" s="1081">
        <v>2577.6999999999998</v>
      </c>
      <c r="E43" s="1081">
        <v>1377.6852900000001</v>
      </c>
      <c r="F43" s="1082">
        <f t="shared" si="2"/>
        <v>53.446300578034688</v>
      </c>
      <c r="G43" s="1144" t="s">
        <v>4199</v>
      </c>
      <c r="H43" s="1062" t="s">
        <v>4375</v>
      </c>
    </row>
    <row r="44" spans="1:8" s="977" customFormat="1" ht="57" customHeight="1" x14ac:dyDescent="0.2">
      <c r="A44" s="1020">
        <f t="shared" si="3"/>
        <v>27</v>
      </c>
      <c r="B44" s="1021" t="s">
        <v>1278</v>
      </c>
      <c r="C44" s="1081">
        <v>500</v>
      </c>
      <c r="D44" s="1081">
        <v>1773.7499999999995</v>
      </c>
      <c r="E44" s="1081">
        <v>1403.3560700000003</v>
      </c>
      <c r="F44" s="1082">
        <f t="shared" si="2"/>
        <v>79.118030725863321</v>
      </c>
      <c r="G44" s="1144" t="s">
        <v>4199</v>
      </c>
      <c r="H44" s="1062" t="s">
        <v>4376</v>
      </c>
    </row>
    <row r="45" spans="1:8" s="977" customFormat="1" ht="84" x14ac:dyDescent="0.2">
      <c r="A45" s="1020">
        <f t="shared" si="3"/>
        <v>28</v>
      </c>
      <c r="B45" s="1021" t="s">
        <v>4377</v>
      </c>
      <c r="C45" s="1081">
        <v>0</v>
      </c>
      <c r="D45" s="1081">
        <v>2200</v>
      </c>
      <c r="E45" s="1081">
        <v>0</v>
      </c>
      <c r="F45" s="1082">
        <f t="shared" si="2"/>
        <v>0</v>
      </c>
      <c r="G45" s="1133" t="s">
        <v>4203</v>
      </c>
      <c r="H45" s="1025" t="s">
        <v>4378</v>
      </c>
    </row>
    <row r="46" spans="1:8" s="977" customFormat="1" ht="84" x14ac:dyDescent="0.2">
      <c r="A46" s="1020">
        <f t="shared" si="3"/>
        <v>29</v>
      </c>
      <c r="B46" s="1021" t="s">
        <v>4379</v>
      </c>
      <c r="C46" s="1081">
        <v>40000</v>
      </c>
      <c r="D46" s="1081">
        <v>37029</v>
      </c>
      <c r="E46" s="1081">
        <v>189.36500000000001</v>
      </c>
      <c r="F46" s="1082">
        <f t="shared" si="2"/>
        <v>0.51139647303464852</v>
      </c>
      <c r="G46" s="1133" t="s">
        <v>4197</v>
      </c>
      <c r="H46" s="1025" t="s">
        <v>4380</v>
      </c>
    </row>
    <row r="47" spans="1:8" s="977" customFormat="1" ht="24.75" customHeight="1" x14ac:dyDescent="0.2">
      <c r="A47" s="1020">
        <f t="shared" si="3"/>
        <v>30</v>
      </c>
      <c r="B47" s="1021" t="s">
        <v>1279</v>
      </c>
      <c r="C47" s="1081">
        <v>0</v>
      </c>
      <c r="D47" s="1081">
        <v>148.82999999999998</v>
      </c>
      <c r="E47" s="1081">
        <v>148.76194000000001</v>
      </c>
      <c r="F47" s="1082">
        <f t="shared" si="2"/>
        <v>99.954269972451797</v>
      </c>
      <c r="G47" s="1146" t="s">
        <v>4203</v>
      </c>
      <c r="H47" s="1062" t="s">
        <v>133</v>
      </c>
    </row>
    <row r="48" spans="1:8" s="977" customFormat="1" ht="52.5" x14ac:dyDescent="0.2">
      <c r="A48" s="1020">
        <f t="shared" si="3"/>
        <v>31</v>
      </c>
      <c r="B48" s="1021" t="s">
        <v>4381</v>
      </c>
      <c r="C48" s="1081">
        <v>0</v>
      </c>
      <c r="D48" s="1081">
        <v>129</v>
      </c>
      <c r="E48" s="1081">
        <v>0</v>
      </c>
      <c r="F48" s="1082">
        <f t="shared" si="2"/>
        <v>0</v>
      </c>
      <c r="G48" s="1146" t="s">
        <v>4203</v>
      </c>
      <c r="H48" s="1141" t="s">
        <v>4382</v>
      </c>
    </row>
    <row r="49" spans="1:8" s="977" customFormat="1" ht="52.5" x14ac:dyDescent="0.2">
      <c r="A49" s="1020">
        <f t="shared" si="3"/>
        <v>32</v>
      </c>
      <c r="B49" s="1021" t="s">
        <v>4383</v>
      </c>
      <c r="C49" s="1081">
        <v>1040</v>
      </c>
      <c r="D49" s="1081">
        <v>1411</v>
      </c>
      <c r="E49" s="1081">
        <v>98.12979</v>
      </c>
      <c r="F49" s="1082">
        <f t="shared" si="2"/>
        <v>6.9546272147413184</v>
      </c>
      <c r="G49" s="1146" t="s">
        <v>4203</v>
      </c>
      <c r="H49" s="1141" t="s">
        <v>4384</v>
      </c>
    </row>
    <row r="50" spans="1:8" s="977" customFormat="1" ht="13.5" customHeight="1" thickBot="1" x14ac:dyDescent="0.25">
      <c r="A50" s="1442" t="s">
        <v>477</v>
      </c>
      <c r="B50" s="1443"/>
      <c r="C50" s="1039">
        <f>SUM(C42:C49)</f>
        <v>41540</v>
      </c>
      <c r="D50" s="1039">
        <f>SUM(D42:D49)</f>
        <v>51200.11</v>
      </c>
      <c r="E50" s="1039">
        <f>SUM(E42:E49)</f>
        <v>8134.0694000000012</v>
      </c>
      <c r="F50" s="1064">
        <f t="shared" si="2"/>
        <v>15.886820165034804</v>
      </c>
      <c r="G50" s="1042"/>
      <c r="H50" s="1068"/>
    </row>
    <row r="51" spans="1:8" s="998" customFormat="1" x14ac:dyDescent="0.2">
      <c r="A51" s="1069"/>
      <c r="B51" s="1070"/>
      <c r="C51" s="1069"/>
      <c r="D51" s="1069"/>
      <c r="E51" s="1069"/>
      <c r="F51" s="1071"/>
      <c r="G51" s="1072"/>
      <c r="H51" s="1073"/>
    </row>
  </sheetData>
  <mergeCells count="9">
    <mergeCell ref="A37:B37"/>
    <mergeCell ref="A40:B40"/>
    <mergeCell ref="A50:B50"/>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8" firstPageNumber="261" fitToHeight="0" orientation="landscape" useFirstPageNumber="1" r:id="rId1"/>
  <headerFooter alignWithMargins="0">
    <oddHeader>&amp;L&amp;"Tahoma,Kurzíva"&amp;9Závěrečný účet za rok 2015&amp;R&amp;"Tahoma,Kurzíva"&amp;9Tabulka č. 12</oddHeader>
    <oddFooter>&amp;C&amp;"Tahoma,Obyčejné"&amp;P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showGridLines="0" topLeftCell="B1" zoomScaleNormal="100" zoomScaleSheetLayoutView="100" workbookViewId="0">
      <selection activeCell="J41" sqref="J41"/>
    </sheetView>
  </sheetViews>
  <sheetFormatPr defaultRowHeight="12.75" x14ac:dyDescent="0.2"/>
  <cols>
    <col min="1" max="1" width="2.85546875" style="17" hidden="1" customWidth="1"/>
    <col min="2" max="2" width="10.28515625" style="17" customWidth="1"/>
    <col min="3" max="3" width="16.85546875" style="17" customWidth="1"/>
    <col min="4" max="11" width="11.7109375" style="17" customWidth="1"/>
    <col min="12" max="16384" width="9.140625" style="17"/>
  </cols>
  <sheetData>
    <row r="1" spans="2:10" x14ac:dyDescent="0.2">
      <c r="B1" s="4"/>
      <c r="C1" s="4"/>
      <c r="D1" s="4"/>
      <c r="E1" s="4"/>
      <c r="F1" s="4"/>
      <c r="G1" s="4"/>
      <c r="H1" s="4"/>
      <c r="I1" s="4"/>
      <c r="J1" s="4"/>
    </row>
    <row r="2" spans="2:10" x14ac:dyDescent="0.2">
      <c r="B2" s="4"/>
      <c r="C2" s="4"/>
      <c r="D2" s="4"/>
      <c r="E2" s="4"/>
      <c r="F2" s="4"/>
      <c r="G2" s="4"/>
      <c r="H2" s="4"/>
      <c r="I2" s="4"/>
      <c r="J2" s="4"/>
    </row>
    <row r="3" spans="2:10" x14ac:dyDescent="0.2">
      <c r="B3" s="4"/>
      <c r="C3" s="4"/>
      <c r="D3" s="4"/>
      <c r="E3" s="4"/>
      <c r="F3" s="4"/>
      <c r="G3" s="4"/>
      <c r="H3" s="4"/>
      <c r="I3" s="4"/>
      <c r="J3" s="4"/>
    </row>
    <row r="4" spans="2:10" x14ac:dyDescent="0.2">
      <c r="B4" s="4"/>
      <c r="C4" s="4"/>
      <c r="D4" s="4"/>
      <c r="E4" s="4"/>
      <c r="F4" s="4"/>
      <c r="G4" s="4"/>
      <c r="H4" s="4"/>
      <c r="I4" s="4"/>
      <c r="J4" s="4"/>
    </row>
    <row r="5" spans="2:10" x14ac:dyDescent="0.2">
      <c r="B5" s="4"/>
      <c r="C5" s="4"/>
      <c r="D5" s="4"/>
      <c r="E5" s="4"/>
      <c r="F5" s="4"/>
      <c r="G5" s="4"/>
      <c r="H5" s="4"/>
      <c r="I5" s="4"/>
      <c r="J5" s="4"/>
    </row>
    <row r="6" spans="2:10" x14ac:dyDescent="0.2">
      <c r="B6" s="4"/>
      <c r="C6" s="4"/>
      <c r="D6" s="4"/>
      <c r="E6" s="4"/>
      <c r="F6" s="4"/>
      <c r="G6" s="4"/>
      <c r="H6" s="4"/>
      <c r="I6" s="4"/>
      <c r="J6" s="4"/>
    </row>
    <row r="7" spans="2:10" x14ac:dyDescent="0.2">
      <c r="B7" s="4"/>
      <c r="C7" s="4"/>
      <c r="D7" s="4"/>
      <c r="E7" s="4"/>
      <c r="F7" s="4"/>
      <c r="G7" s="4"/>
      <c r="H7" s="4"/>
      <c r="I7" s="4"/>
      <c r="J7" s="4"/>
    </row>
    <row r="8" spans="2:10" x14ac:dyDescent="0.2">
      <c r="B8" s="4"/>
      <c r="C8" s="4"/>
      <c r="D8" s="4"/>
      <c r="E8" s="4"/>
      <c r="F8" s="4"/>
      <c r="G8" s="4"/>
      <c r="H8" s="4"/>
      <c r="I8" s="4"/>
      <c r="J8" s="4"/>
    </row>
    <row r="9" spans="2:10" x14ac:dyDescent="0.2">
      <c r="B9" s="4"/>
      <c r="C9" s="4"/>
      <c r="D9" s="4"/>
      <c r="E9" s="4"/>
      <c r="F9" s="4"/>
      <c r="G9" s="4"/>
      <c r="H9" s="4"/>
      <c r="I9" s="4"/>
      <c r="J9" s="4"/>
    </row>
    <row r="10" spans="2:10" x14ac:dyDescent="0.2">
      <c r="B10" s="4"/>
      <c r="C10" s="4"/>
      <c r="D10" s="4"/>
      <c r="E10" s="4"/>
      <c r="F10" s="4"/>
      <c r="G10" s="4"/>
      <c r="H10" s="4"/>
      <c r="I10" s="4"/>
      <c r="J10" s="4"/>
    </row>
    <row r="11" spans="2:10" x14ac:dyDescent="0.2">
      <c r="B11" s="4"/>
      <c r="C11" s="4"/>
      <c r="D11" s="4"/>
      <c r="E11" s="4"/>
      <c r="F11" s="4"/>
      <c r="G11" s="4"/>
      <c r="H11" s="4"/>
      <c r="I11" s="4"/>
      <c r="J11" s="4"/>
    </row>
    <row r="12" spans="2:10" x14ac:dyDescent="0.2">
      <c r="B12" s="4"/>
      <c r="C12" s="4"/>
      <c r="D12" s="4"/>
      <c r="E12" s="4"/>
      <c r="F12" s="4"/>
      <c r="G12" s="4"/>
      <c r="H12" s="4"/>
      <c r="I12" s="4"/>
      <c r="J12" s="4"/>
    </row>
    <row r="13" spans="2:10" x14ac:dyDescent="0.2">
      <c r="B13" s="4"/>
      <c r="C13" s="4"/>
      <c r="D13" s="4"/>
      <c r="E13" s="4"/>
      <c r="F13" s="4"/>
      <c r="G13" s="4"/>
      <c r="H13" s="4"/>
      <c r="I13" s="4"/>
      <c r="J13" s="4"/>
    </row>
    <row r="19" spans="2:10" x14ac:dyDescent="0.2">
      <c r="B19" s="4"/>
      <c r="C19" s="4"/>
      <c r="D19" s="4"/>
      <c r="E19" s="4"/>
      <c r="F19" s="4"/>
      <c r="G19" s="4"/>
      <c r="H19" s="4"/>
      <c r="I19" s="4"/>
      <c r="J19" s="4"/>
    </row>
    <row r="20" spans="2:10" x14ac:dyDescent="0.2">
      <c r="B20" s="4"/>
      <c r="C20" s="4"/>
      <c r="D20" s="4"/>
      <c r="E20" s="4"/>
      <c r="F20" s="4"/>
      <c r="G20" s="4"/>
      <c r="H20" s="4"/>
      <c r="I20" s="4"/>
      <c r="J20" s="4"/>
    </row>
    <row r="21" spans="2:10" x14ac:dyDescent="0.2">
      <c r="B21" s="4"/>
      <c r="C21" s="4"/>
      <c r="D21" s="4"/>
      <c r="E21" s="4"/>
      <c r="F21" s="4"/>
      <c r="G21" s="4"/>
      <c r="H21" s="4"/>
      <c r="I21" s="4"/>
      <c r="J21" s="4"/>
    </row>
    <row r="22" spans="2:10" x14ac:dyDescent="0.2">
      <c r="B22" s="4"/>
      <c r="C22" s="4"/>
      <c r="D22" s="4"/>
      <c r="E22" s="4"/>
      <c r="F22" s="4"/>
      <c r="G22" s="4"/>
      <c r="H22" s="4"/>
      <c r="I22" s="4"/>
      <c r="J22" s="4"/>
    </row>
    <row r="23" spans="2:10" x14ac:dyDescent="0.2">
      <c r="B23" s="4"/>
      <c r="C23" s="4"/>
      <c r="D23" s="4"/>
      <c r="E23" s="4"/>
      <c r="F23" s="4"/>
      <c r="G23" s="4"/>
      <c r="H23" s="4"/>
      <c r="I23" s="4"/>
      <c r="J23" s="4"/>
    </row>
    <row r="24" spans="2:10" x14ac:dyDescent="0.2">
      <c r="B24" s="4"/>
      <c r="C24" s="4"/>
      <c r="D24" s="4"/>
      <c r="E24" s="4"/>
      <c r="F24" s="4"/>
      <c r="G24" s="4"/>
      <c r="H24" s="4"/>
      <c r="I24" s="4"/>
      <c r="J24" s="4"/>
    </row>
    <row r="25" spans="2:10" x14ac:dyDescent="0.2">
      <c r="B25" s="4"/>
      <c r="C25" s="4"/>
      <c r="D25" s="4"/>
      <c r="E25" s="4"/>
      <c r="F25" s="4"/>
      <c r="G25" s="4"/>
      <c r="H25" s="4"/>
      <c r="I25" s="4"/>
      <c r="J25" s="4"/>
    </row>
    <row r="26" spans="2:10" x14ac:dyDescent="0.2">
      <c r="B26" s="4"/>
      <c r="C26" s="4"/>
      <c r="D26" s="4"/>
      <c r="E26" s="4"/>
      <c r="F26" s="4"/>
      <c r="G26" s="4"/>
      <c r="H26" s="4"/>
      <c r="I26" s="4"/>
      <c r="J26" s="4"/>
    </row>
    <row r="27" spans="2:10" x14ac:dyDescent="0.2">
      <c r="B27" s="4"/>
      <c r="C27" s="4"/>
      <c r="D27" s="4"/>
      <c r="E27" s="4"/>
      <c r="F27" s="4"/>
      <c r="G27" s="4"/>
      <c r="H27" s="4"/>
      <c r="I27" s="4"/>
      <c r="J27" s="4"/>
    </row>
    <row r="28" spans="2:10" x14ac:dyDescent="0.2">
      <c r="B28" s="4"/>
      <c r="C28" s="4"/>
      <c r="D28" s="4"/>
      <c r="E28" s="4"/>
      <c r="F28" s="4"/>
      <c r="G28" s="4"/>
      <c r="H28" s="4"/>
      <c r="I28" s="4"/>
      <c r="J28" s="4"/>
    </row>
    <row r="29" spans="2:10" x14ac:dyDescent="0.2">
      <c r="B29" s="4"/>
      <c r="C29" s="4"/>
      <c r="D29" s="4"/>
      <c r="E29" s="4"/>
      <c r="F29" s="4"/>
      <c r="G29" s="4"/>
      <c r="H29" s="4"/>
      <c r="I29" s="4"/>
      <c r="J29" s="4"/>
    </row>
    <row r="30" spans="2:10" x14ac:dyDescent="0.2">
      <c r="B30" s="4"/>
      <c r="C30" s="4"/>
      <c r="D30" s="4"/>
      <c r="E30" s="4"/>
      <c r="F30" s="4"/>
      <c r="G30" s="4"/>
      <c r="H30" s="4"/>
      <c r="I30" s="4"/>
      <c r="J30" s="4"/>
    </row>
    <row r="31" spans="2:10" x14ac:dyDescent="0.2">
      <c r="B31" s="4"/>
      <c r="C31" s="4"/>
      <c r="D31" s="4"/>
      <c r="E31" s="4"/>
      <c r="F31" s="4"/>
      <c r="G31" s="4"/>
      <c r="H31" s="4"/>
      <c r="I31" s="4"/>
      <c r="J31" s="4"/>
    </row>
    <row r="32" spans="2:10" ht="15" customHeight="1" thickBot="1" x14ac:dyDescent="0.25">
      <c r="C32" s="4"/>
      <c r="D32" s="18"/>
      <c r="E32" s="18"/>
      <c r="F32" s="6"/>
      <c r="G32" s="6"/>
      <c r="H32" s="6"/>
      <c r="I32" s="6"/>
      <c r="J32" s="6" t="s">
        <v>12</v>
      </c>
    </row>
    <row r="33" spans="2:10" ht="15.75" customHeight="1" x14ac:dyDescent="0.2">
      <c r="C33" s="7"/>
      <c r="D33" s="8" t="s">
        <v>13</v>
      </c>
      <c r="E33" s="8" t="s">
        <v>14</v>
      </c>
      <c r="F33" s="8" t="s">
        <v>15</v>
      </c>
      <c r="G33" s="8" t="s">
        <v>16</v>
      </c>
      <c r="H33" s="8" t="s">
        <v>17</v>
      </c>
      <c r="I33" s="8" t="s">
        <v>18</v>
      </c>
      <c r="J33" s="9" t="s">
        <v>62</v>
      </c>
    </row>
    <row r="34" spans="2:10" ht="15.75" customHeight="1" x14ac:dyDescent="0.2">
      <c r="C34" s="10" t="s">
        <v>4</v>
      </c>
      <c r="D34" s="12">
        <v>14927.606</v>
      </c>
      <c r="E34" s="12">
        <v>14619.688</v>
      </c>
      <c r="F34" s="12">
        <v>14769.003000000001</v>
      </c>
      <c r="G34" s="12">
        <v>14909.261</v>
      </c>
      <c r="H34" s="12">
        <v>14904.712</v>
      </c>
      <c r="I34" s="12">
        <v>15138.14</v>
      </c>
      <c r="J34" s="13">
        <v>16356.737999999999</v>
      </c>
    </row>
    <row r="35" spans="2:10" ht="15.75" customHeight="1" x14ac:dyDescent="0.2">
      <c r="C35" s="10" t="s">
        <v>3</v>
      </c>
      <c r="D35" s="12">
        <v>2177.3580000000002</v>
      </c>
      <c r="E35" s="12">
        <v>2091.1819999999998</v>
      </c>
      <c r="F35" s="12">
        <v>2062.2800000000002</v>
      </c>
      <c r="G35" s="12">
        <v>1912.375</v>
      </c>
      <c r="H35" s="12">
        <v>2009.296</v>
      </c>
      <c r="I35" s="12">
        <v>2299.4070000000002</v>
      </c>
      <c r="J35" s="13">
        <v>4409.991</v>
      </c>
    </row>
    <row r="36" spans="2:10" ht="15.75" customHeight="1" thickBot="1" x14ac:dyDescent="0.25">
      <c r="C36" s="14" t="s">
        <v>11</v>
      </c>
      <c r="D36" s="15">
        <f t="shared" ref="D36:J36" si="0">SUM(D34:D35)</f>
        <v>17104.964</v>
      </c>
      <c r="E36" s="15">
        <f t="shared" si="0"/>
        <v>16710.87</v>
      </c>
      <c r="F36" s="15">
        <f t="shared" si="0"/>
        <v>16831.282999999999</v>
      </c>
      <c r="G36" s="15">
        <f t="shared" si="0"/>
        <v>16821.635999999999</v>
      </c>
      <c r="H36" s="15">
        <f t="shared" si="0"/>
        <v>16914.007999999998</v>
      </c>
      <c r="I36" s="15">
        <f t="shared" si="0"/>
        <v>17437.546999999999</v>
      </c>
      <c r="J36" s="16">
        <f t="shared" si="0"/>
        <v>20766.728999999999</v>
      </c>
    </row>
    <row r="37" spans="2:10" x14ac:dyDescent="0.2">
      <c r="B37" s="4"/>
      <c r="C37" s="4"/>
      <c r="D37" s="4"/>
      <c r="E37" s="4"/>
      <c r="F37" s="4"/>
      <c r="G37" s="4"/>
      <c r="H37" s="4"/>
      <c r="I37" s="4"/>
      <c r="J37" s="4"/>
    </row>
  </sheetData>
  <customSheetViews>
    <customSheetView guid="{53E72506-0B1D-4F4A-A157-6DE69D2E678D}" showPageBreaks="1" showGridLines="0" fitToPage="1" hiddenColumns="1" topLeftCell="B1">
      <selection activeCell="P11" sqref="P11"/>
      <pageMargins left="0.78740157480314965" right="0.78740157480314965" top="0.98425196850393704" bottom="0.98425196850393704" header="0.51181102362204722" footer="0.51181102362204722"/>
      <printOptions horizontalCentered="1"/>
      <pageSetup paperSize="9" scale="98" firstPageNumber="148" orientation="landscape" useFirstPageNumber="1" r:id="rId1"/>
      <headerFooter alignWithMargins="0">
        <oddHeader>&amp;L&amp;"Tahoma,Kurzíva"&amp;9Závěrečný účet za rok 2014&amp;R&amp;"Tahoma,Kurzíva"&amp;9Graf č. 2</oddHeader>
        <oddFooter>&amp;C&amp;"Tahoma,Obyčejné"&amp;P</oddFooter>
      </headerFooter>
    </customSheetView>
  </customSheetViews>
  <printOptions horizontalCentered="1"/>
  <pageMargins left="0.78740157480314965" right="0.78740157480314965" top="0.98425196850393704" bottom="0.98425196850393704" header="0.51181102362204722" footer="0.51181102362204722"/>
  <pageSetup paperSize="9" scale="98" firstPageNumber="162" orientation="landscape" useFirstPageNumber="1" r:id="rId2"/>
  <headerFooter alignWithMargins="0">
    <oddHeader>&amp;L&amp;"Tahoma,Kurzíva"&amp;9Závěrečný účet za rok 2015&amp;R&amp;"Tahoma,Kurzíva"&amp;9Graf č. 2</oddHeader>
    <oddFooter>&amp;C&amp;"Tahoma,Obyčejné"&amp;P</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zoomScaleNormal="100" zoomScaleSheetLayoutView="100" workbookViewId="0">
      <selection activeCell="K2" sqref="K2"/>
    </sheetView>
  </sheetViews>
  <sheetFormatPr defaultRowHeight="10.5" x14ac:dyDescent="0.2"/>
  <cols>
    <col min="1" max="1" width="6.42578125" style="976" customWidth="1"/>
    <col min="2" max="2" width="42.7109375" style="977" customWidth="1"/>
    <col min="3" max="4" width="13.140625" style="978" customWidth="1"/>
    <col min="5" max="5" width="12.140625" style="976" customWidth="1"/>
    <col min="6" max="6" width="8" style="979" customWidth="1"/>
    <col min="7" max="7" width="8.7109375" style="980" customWidth="1"/>
    <col min="8" max="8" width="42.7109375" style="981" customWidth="1"/>
    <col min="9" max="16384" width="9.140625" style="976"/>
  </cols>
  <sheetData>
    <row r="1" spans="1:8" s="975" customFormat="1" ht="18" customHeight="1" x14ac:dyDescent="0.2">
      <c r="A1" s="1325" t="s">
        <v>4385</v>
      </c>
      <c r="B1" s="1325"/>
      <c r="C1" s="1325"/>
      <c r="D1" s="1325"/>
      <c r="E1" s="1325"/>
      <c r="F1" s="1325"/>
      <c r="G1" s="1325"/>
      <c r="H1" s="1325"/>
    </row>
    <row r="2" spans="1:8" ht="12" customHeight="1" x14ac:dyDescent="0.2"/>
    <row r="3" spans="1:8" ht="12" customHeight="1" thickBot="1" x14ac:dyDescent="0.2">
      <c r="A3" s="982"/>
      <c r="F3" s="983" t="s">
        <v>4184</v>
      </c>
    </row>
    <row r="4" spans="1:8" ht="23.25" customHeight="1" x14ac:dyDescent="0.2">
      <c r="A4" s="1438"/>
      <c r="B4" s="1439"/>
      <c r="C4" s="984" t="s">
        <v>4185</v>
      </c>
      <c r="D4" s="984" t="s">
        <v>4186</v>
      </c>
      <c r="E4" s="984" t="s">
        <v>4187</v>
      </c>
      <c r="F4" s="985" t="s">
        <v>4188</v>
      </c>
      <c r="G4" s="986"/>
      <c r="H4" s="987"/>
    </row>
    <row r="5" spans="1:8" ht="12.75" customHeight="1" x14ac:dyDescent="0.2">
      <c r="A5" s="1436" t="s">
        <v>4189</v>
      </c>
      <c r="B5" s="1437"/>
      <c r="C5" s="988">
        <f>C39</f>
        <v>35590</v>
      </c>
      <c r="D5" s="988">
        <f>D39</f>
        <v>73250.078000000009</v>
      </c>
      <c r="E5" s="988">
        <f>E39</f>
        <v>47770.239969999981</v>
      </c>
      <c r="F5" s="989">
        <f>E5/D5*100</f>
        <v>65.215275224689833</v>
      </c>
      <c r="G5" s="990"/>
      <c r="H5" s="991"/>
    </row>
    <row r="6" spans="1:8" ht="12.75" customHeight="1" x14ac:dyDescent="0.2">
      <c r="A6" s="1436" t="s">
        <v>4190</v>
      </c>
      <c r="B6" s="1437"/>
      <c r="C6" s="992">
        <f>C42</f>
        <v>0</v>
      </c>
      <c r="D6" s="992">
        <f>D42</f>
        <v>339.4</v>
      </c>
      <c r="E6" s="992">
        <f>E42</f>
        <v>334.58799999999997</v>
      </c>
      <c r="F6" s="989">
        <f>E6/D6*100</f>
        <v>98.58220388921626</v>
      </c>
      <c r="G6" s="990"/>
      <c r="H6" s="991"/>
    </row>
    <row r="7" spans="1:8" ht="12.75" customHeight="1" x14ac:dyDescent="0.2">
      <c r="A7" s="1436" t="s">
        <v>4191</v>
      </c>
      <c r="B7" s="1437"/>
      <c r="C7" s="992">
        <f>C46</f>
        <v>0</v>
      </c>
      <c r="D7" s="992">
        <f>D46</f>
        <v>914.39</v>
      </c>
      <c r="E7" s="992">
        <f>E46</f>
        <v>909.36339999999996</v>
      </c>
      <c r="F7" s="989">
        <f>E7/D7*100</f>
        <v>99.450278327628254</v>
      </c>
      <c r="G7" s="990"/>
      <c r="H7" s="991"/>
    </row>
    <row r="8" spans="1:8" ht="12.75" customHeight="1" x14ac:dyDescent="0.2">
      <c r="A8" s="1436" t="s">
        <v>4192</v>
      </c>
      <c r="B8" s="1437"/>
      <c r="C8" s="992">
        <f>C60</f>
        <v>16078</v>
      </c>
      <c r="D8" s="992">
        <f>D60</f>
        <v>18267.349999999999</v>
      </c>
      <c r="E8" s="992">
        <f>E60</f>
        <v>10074.429440000002</v>
      </c>
      <c r="F8" s="989">
        <f>E8/D8*100</f>
        <v>55.149922895220172</v>
      </c>
      <c r="G8" s="990"/>
      <c r="H8" s="991"/>
    </row>
    <row r="9" spans="1:8" s="982" customFormat="1" ht="13.5" customHeight="1" thickBot="1" x14ac:dyDescent="0.25">
      <c r="A9" s="1440" t="s">
        <v>477</v>
      </c>
      <c r="B9" s="1441"/>
      <c r="C9" s="993">
        <f>SUM(C5:C8)</f>
        <v>51668</v>
      </c>
      <c r="D9" s="994">
        <f>SUM(D5:D8)</f>
        <v>92771.217999999993</v>
      </c>
      <c r="E9" s="993">
        <f>SUM(E5:E8)</f>
        <v>59088.620809999986</v>
      </c>
      <c r="F9" s="995">
        <f>E9/D9*100</f>
        <v>63.692837157748642</v>
      </c>
      <c r="G9" s="990"/>
      <c r="H9" s="991"/>
    </row>
    <row r="10" spans="1:8" s="996" customFormat="1" ht="10.5" customHeight="1" x14ac:dyDescent="0.2">
      <c r="B10" s="997"/>
      <c r="C10" s="998"/>
      <c r="D10" s="998"/>
      <c r="E10" s="998"/>
      <c r="F10" s="999"/>
      <c r="G10" s="1000"/>
      <c r="H10" s="1001"/>
    </row>
    <row r="11" spans="1:8" s="996" customFormat="1" ht="10.5" customHeight="1" x14ac:dyDescent="0.2">
      <c r="B11" s="997"/>
      <c r="C11" s="998"/>
      <c r="D11" s="998"/>
      <c r="E11" s="998"/>
      <c r="F11" s="999"/>
      <c r="G11" s="1000"/>
      <c r="H11" s="1001"/>
    </row>
    <row r="12" spans="1:8" s="996" customFormat="1" ht="10.5" customHeight="1" thickBot="1" x14ac:dyDescent="0.2">
      <c r="B12" s="997"/>
      <c r="C12" s="998"/>
      <c r="D12" s="998"/>
      <c r="E12" s="998"/>
      <c r="F12" s="999"/>
      <c r="G12" s="1000"/>
      <c r="H12" s="983" t="s">
        <v>4184</v>
      </c>
    </row>
    <row r="13" spans="1:8" ht="28.5" customHeight="1" thickBot="1" x14ac:dyDescent="0.25">
      <c r="A13" s="1002" t="s">
        <v>4193</v>
      </c>
      <c r="B13" s="1003" t="s">
        <v>665</v>
      </c>
      <c r="C13" s="1004" t="s">
        <v>4185</v>
      </c>
      <c r="D13" s="1004" t="s">
        <v>4186</v>
      </c>
      <c r="E13" s="1004" t="s">
        <v>4187</v>
      </c>
      <c r="F13" s="1004" t="s">
        <v>4188</v>
      </c>
      <c r="G13" s="1004" t="s">
        <v>4194</v>
      </c>
      <c r="H13" s="1005" t="s">
        <v>4195</v>
      </c>
    </row>
    <row r="14" spans="1:8" ht="15" customHeight="1" thickBot="1" x14ac:dyDescent="0.2">
      <c r="A14" s="1006" t="s">
        <v>4196</v>
      </c>
      <c r="B14" s="1007"/>
      <c r="C14" s="1008"/>
      <c r="D14" s="1008"/>
      <c r="E14" s="1009"/>
      <c r="F14" s="1010"/>
      <c r="G14" s="1011"/>
      <c r="H14" s="1012"/>
    </row>
    <row r="15" spans="1:8" s="1019" customFormat="1" ht="24.75" customHeight="1" x14ac:dyDescent="0.2">
      <c r="A15" s="1013">
        <v>1</v>
      </c>
      <c r="B15" s="1014" t="s">
        <v>2770</v>
      </c>
      <c r="C15" s="1076">
        <v>3000</v>
      </c>
      <c r="D15" s="1076">
        <v>1826.6579999999999</v>
      </c>
      <c r="E15" s="1076">
        <v>1826.6580000000004</v>
      </c>
      <c r="F15" s="1077">
        <f t="shared" ref="F15:F39" si="0">E15/D15*100</f>
        <v>100.00000000000003</v>
      </c>
      <c r="G15" s="1017" t="s">
        <v>4197</v>
      </c>
      <c r="H15" s="1018" t="s">
        <v>133</v>
      </c>
    </row>
    <row r="16" spans="1:8" s="1019" customFormat="1" ht="63" x14ac:dyDescent="0.2">
      <c r="A16" s="1020">
        <f>A15+1</f>
        <v>2</v>
      </c>
      <c r="B16" s="1021" t="s">
        <v>2734</v>
      </c>
      <c r="C16" s="1081">
        <v>1000</v>
      </c>
      <c r="D16" s="1081">
        <v>1353.643</v>
      </c>
      <c r="E16" s="1081">
        <v>750.74300000000005</v>
      </c>
      <c r="F16" s="1082">
        <f t="shared" si="0"/>
        <v>55.46093024527147</v>
      </c>
      <c r="G16" s="1133" t="s">
        <v>4197</v>
      </c>
      <c r="H16" s="1141" t="s">
        <v>4386</v>
      </c>
    </row>
    <row r="17" spans="1:9" s="1019" customFormat="1" ht="63" x14ac:dyDescent="0.2">
      <c r="A17" s="1020">
        <f t="shared" ref="A17:A38" si="1">A16+1</f>
        <v>3</v>
      </c>
      <c r="B17" s="1021" t="s">
        <v>2747</v>
      </c>
      <c r="C17" s="1081">
        <v>3000</v>
      </c>
      <c r="D17" s="1081">
        <v>6281.7240000000002</v>
      </c>
      <c r="E17" s="1081">
        <v>3717.5270000000005</v>
      </c>
      <c r="F17" s="1082">
        <f t="shared" si="0"/>
        <v>59.180043567657549</v>
      </c>
      <c r="G17" s="1133" t="s">
        <v>4197</v>
      </c>
      <c r="H17" s="1141" t="s">
        <v>4387</v>
      </c>
    </row>
    <row r="18" spans="1:9" s="1019" customFormat="1" ht="24.75" customHeight="1" x14ac:dyDescent="0.2">
      <c r="A18" s="1020">
        <f t="shared" si="1"/>
        <v>4</v>
      </c>
      <c r="B18" s="1021" t="s">
        <v>2749</v>
      </c>
      <c r="C18" s="1081">
        <v>1000</v>
      </c>
      <c r="D18" s="1081">
        <v>1724.92</v>
      </c>
      <c r="E18" s="1081">
        <v>1692.866</v>
      </c>
      <c r="F18" s="1082">
        <f t="shared" si="0"/>
        <v>98.141710919926723</v>
      </c>
      <c r="G18" s="1133" t="s">
        <v>4197</v>
      </c>
      <c r="H18" s="1025" t="s">
        <v>4388</v>
      </c>
    </row>
    <row r="19" spans="1:9" s="1019" customFormat="1" ht="52.5" x14ac:dyDescent="0.2">
      <c r="A19" s="1020">
        <f t="shared" si="1"/>
        <v>5</v>
      </c>
      <c r="B19" s="1021" t="s">
        <v>2818</v>
      </c>
      <c r="C19" s="1081">
        <v>5000</v>
      </c>
      <c r="D19" s="1081">
        <v>7000</v>
      </c>
      <c r="E19" s="1081">
        <v>2296.35</v>
      </c>
      <c r="F19" s="1082">
        <f t="shared" si="0"/>
        <v>32.805</v>
      </c>
      <c r="G19" s="1133" t="s">
        <v>4197</v>
      </c>
      <c r="H19" s="1141" t="s">
        <v>4389</v>
      </c>
    </row>
    <row r="20" spans="1:9" s="1019" customFormat="1" ht="57" customHeight="1" x14ac:dyDescent="0.2">
      <c r="A20" s="1020">
        <f t="shared" si="1"/>
        <v>6</v>
      </c>
      <c r="B20" s="1021" t="s">
        <v>1056</v>
      </c>
      <c r="C20" s="1081">
        <v>1500</v>
      </c>
      <c r="D20" s="1081">
        <v>4991</v>
      </c>
      <c r="E20" s="1081">
        <v>2059.4749999999999</v>
      </c>
      <c r="F20" s="1082">
        <f t="shared" si="0"/>
        <v>41.263774794630329</v>
      </c>
      <c r="G20" s="1125" t="s">
        <v>4197</v>
      </c>
      <c r="H20" s="1141" t="s">
        <v>4390</v>
      </c>
    </row>
    <row r="21" spans="1:9" s="1028" customFormat="1" ht="12.75" x14ac:dyDescent="0.2">
      <c r="A21" s="1020">
        <f t="shared" si="1"/>
        <v>7</v>
      </c>
      <c r="B21" s="1021" t="s">
        <v>4391</v>
      </c>
      <c r="C21" s="1081">
        <v>5000</v>
      </c>
      <c r="D21" s="1081">
        <v>9750</v>
      </c>
      <c r="E21" s="1081">
        <v>9750</v>
      </c>
      <c r="F21" s="1082">
        <f t="shared" si="0"/>
        <v>100</v>
      </c>
      <c r="G21" s="1125" t="s">
        <v>4197</v>
      </c>
      <c r="H21" s="1025" t="s">
        <v>133</v>
      </c>
      <c r="I21" s="1142"/>
    </row>
    <row r="22" spans="1:9" s="1028" customFormat="1" ht="24.75" customHeight="1" x14ac:dyDescent="0.2">
      <c r="A22" s="1020">
        <f t="shared" si="1"/>
        <v>8</v>
      </c>
      <c r="B22" s="1021" t="s">
        <v>1055</v>
      </c>
      <c r="C22" s="1081">
        <v>0</v>
      </c>
      <c r="D22" s="1081">
        <v>529.4</v>
      </c>
      <c r="E22" s="1081">
        <v>449.53999999999996</v>
      </c>
      <c r="F22" s="1082">
        <f t="shared" si="0"/>
        <v>84.914998111069124</v>
      </c>
      <c r="G22" s="1125" t="s">
        <v>4199</v>
      </c>
      <c r="H22" s="1025" t="s">
        <v>4392</v>
      </c>
    </row>
    <row r="23" spans="1:9" s="1028" customFormat="1" ht="63" x14ac:dyDescent="0.2">
      <c r="A23" s="1020">
        <f t="shared" si="1"/>
        <v>9</v>
      </c>
      <c r="B23" s="1021" t="s">
        <v>1077</v>
      </c>
      <c r="C23" s="1081">
        <v>3850</v>
      </c>
      <c r="D23" s="1081">
        <v>15771.69</v>
      </c>
      <c r="E23" s="1081">
        <v>8285.2504499999995</v>
      </c>
      <c r="F23" s="1082">
        <f t="shared" si="0"/>
        <v>52.53242011477527</v>
      </c>
      <c r="G23" s="1125" t="s">
        <v>4197</v>
      </c>
      <c r="H23" s="1143" t="s">
        <v>4393</v>
      </c>
    </row>
    <row r="24" spans="1:9" s="1028" customFormat="1" ht="12.75" customHeight="1" x14ac:dyDescent="0.2">
      <c r="A24" s="1020">
        <f t="shared" si="1"/>
        <v>10</v>
      </c>
      <c r="B24" s="1021" t="s">
        <v>1082</v>
      </c>
      <c r="C24" s="1081">
        <v>300</v>
      </c>
      <c r="D24" s="1081">
        <v>700</v>
      </c>
      <c r="E24" s="1081">
        <v>700</v>
      </c>
      <c r="F24" s="1082">
        <f t="shared" si="0"/>
        <v>100</v>
      </c>
      <c r="G24" s="1125" t="s">
        <v>4197</v>
      </c>
      <c r="H24" s="1025" t="s">
        <v>133</v>
      </c>
    </row>
    <row r="25" spans="1:9" s="1028" customFormat="1" ht="57" customHeight="1" x14ac:dyDescent="0.2">
      <c r="A25" s="1020">
        <f t="shared" si="1"/>
        <v>11</v>
      </c>
      <c r="B25" s="1021" t="s">
        <v>4394</v>
      </c>
      <c r="C25" s="1081">
        <v>0</v>
      </c>
      <c r="D25" s="1081">
        <v>143.53</v>
      </c>
      <c r="E25" s="1081">
        <v>45.786999999999999</v>
      </c>
      <c r="F25" s="1082">
        <f t="shared" si="0"/>
        <v>31.900647948164146</v>
      </c>
      <c r="G25" s="1125" t="s">
        <v>4203</v>
      </c>
      <c r="H25" s="1141" t="s">
        <v>4395</v>
      </c>
    </row>
    <row r="26" spans="1:9" s="1028" customFormat="1" ht="52.5" x14ac:dyDescent="0.2">
      <c r="A26" s="1020">
        <f t="shared" si="1"/>
        <v>12</v>
      </c>
      <c r="B26" s="1021" t="s">
        <v>1053</v>
      </c>
      <c r="C26" s="1081">
        <v>10000</v>
      </c>
      <c r="D26" s="1081">
        <v>16500</v>
      </c>
      <c r="E26" s="1081">
        <v>9920.1127699999997</v>
      </c>
      <c r="F26" s="1082">
        <f t="shared" si="0"/>
        <v>60.121895575757577</v>
      </c>
      <c r="G26" s="1125" t="s">
        <v>4197</v>
      </c>
      <c r="H26" s="1141" t="s">
        <v>4396</v>
      </c>
    </row>
    <row r="27" spans="1:9" s="1019" customFormat="1" ht="12.75" customHeight="1" x14ac:dyDescent="0.2">
      <c r="A27" s="1020">
        <f t="shared" si="1"/>
        <v>13</v>
      </c>
      <c r="B27" s="1021" t="s">
        <v>4397</v>
      </c>
      <c r="C27" s="1081">
        <v>1000</v>
      </c>
      <c r="D27" s="1081">
        <v>3000</v>
      </c>
      <c r="E27" s="1081">
        <v>2999.9999700000003</v>
      </c>
      <c r="F27" s="1082">
        <f t="shared" si="0"/>
        <v>99.999999000000003</v>
      </c>
      <c r="G27" s="1147" t="s">
        <v>4199</v>
      </c>
      <c r="H27" s="1025" t="s">
        <v>133</v>
      </c>
    </row>
    <row r="28" spans="1:9" s="1019" customFormat="1" ht="12.75" customHeight="1" x14ac:dyDescent="0.2">
      <c r="A28" s="1020">
        <f t="shared" si="1"/>
        <v>14</v>
      </c>
      <c r="B28" s="1021" t="s">
        <v>4398</v>
      </c>
      <c r="C28" s="1081">
        <v>500</v>
      </c>
      <c r="D28" s="1081">
        <v>1194.72</v>
      </c>
      <c r="E28" s="1081">
        <v>1159.38419</v>
      </c>
      <c r="F28" s="1082">
        <f t="shared" si="0"/>
        <v>97.042335442614174</v>
      </c>
      <c r="G28" s="1147" t="s">
        <v>4199</v>
      </c>
      <c r="H28" s="1025" t="s">
        <v>133</v>
      </c>
    </row>
    <row r="29" spans="1:9" s="1028" customFormat="1" ht="24" customHeight="1" x14ac:dyDescent="0.2">
      <c r="A29" s="1020">
        <f t="shared" si="1"/>
        <v>15</v>
      </c>
      <c r="B29" s="1021" t="s">
        <v>4399</v>
      </c>
      <c r="C29" s="1081">
        <v>0</v>
      </c>
      <c r="D29" s="1081">
        <v>831.62</v>
      </c>
      <c r="E29" s="1081">
        <v>829.87258999999983</v>
      </c>
      <c r="F29" s="1082">
        <f t="shared" si="0"/>
        <v>99.78987879079385</v>
      </c>
      <c r="G29" s="1125" t="s">
        <v>4197</v>
      </c>
      <c r="H29" s="1025" t="s">
        <v>133</v>
      </c>
    </row>
    <row r="30" spans="1:9" s="1019" customFormat="1" ht="21" x14ac:dyDescent="0.2">
      <c r="A30" s="1020">
        <f t="shared" si="1"/>
        <v>16</v>
      </c>
      <c r="B30" s="1031" t="s">
        <v>4400</v>
      </c>
      <c r="C30" s="1081">
        <v>440</v>
      </c>
      <c r="D30" s="1081">
        <v>340</v>
      </c>
      <c r="E30" s="1081">
        <v>336.50099999999998</v>
      </c>
      <c r="F30" s="1082">
        <f t="shared" si="0"/>
        <v>98.970882352941175</v>
      </c>
      <c r="G30" s="1133" t="s">
        <v>4197</v>
      </c>
      <c r="H30" s="1025" t="s">
        <v>133</v>
      </c>
    </row>
    <row r="31" spans="1:9" s="1019" customFormat="1" ht="24" customHeight="1" x14ac:dyDescent="0.2">
      <c r="A31" s="1020">
        <f t="shared" si="1"/>
        <v>17</v>
      </c>
      <c r="B31" s="1148" t="s">
        <v>4401</v>
      </c>
      <c r="C31" s="1081">
        <v>0</v>
      </c>
      <c r="D31" s="1106">
        <v>6.6680000000000001</v>
      </c>
      <c r="E31" s="1149">
        <v>6.6680000000000001</v>
      </c>
      <c r="F31" s="1107">
        <f t="shared" si="0"/>
        <v>100</v>
      </c>
      <c r="G31" s="1147" t="s">
        <v>4199</v>
      </c>
      <c r="H31" s="1025" t="s">
        <v>133</v>
      </c>
    </row>
    <row r="32" spans="1:9" s="1019" customFormat="1" ht="24" customHeight="1" x14ac:dyDescent="0.2">
      <c r="A32" s="1020">
        <f t="shared" si="1"/>
        <v>18</v>
      </c>
      <c r="B32" s="1148" t="s">
        <v>4402</v>
      </c>
      <c r="C32" s="1081">
        <v>0</v>
      </c>
      <c r="D32" s="1081">
        <v>21.504999999999999</v>
      </c>
      <c r="E32" s="1081">
        <v>21.504999999999999</v>
      </c>
      <c r="F32" s="1082">
        <f t="shared" si="0"/>
        <v>100</v>
      </c>
      <c r="G32" s="1147" t="s">
        <v>4199</v>
      </c>
      <c r="H32" s="1025" t="s">
        <v>133</v>
      </c>
    </row>
    <row r="33" spans="1:8" s="1019" customFormat="1" ht="24" customHeight="1" x14ac:dyDescent="0.2">
      <c r="A33" s="1020">
        <f t="shared" si="1"/>
        <v>19</v>
      </c>
      <c r="B33" s="1148" t="s">
        <v>4403</v>
      </c>
      <c r="C33" s="1081">
        <v>0</v>
      </c>
      <c r="D33" s="1081">
        <v>50</v>
      </c>
      <c r="E33" s="1081">
        <v>50</v>
      </c>
      <c r="F33" s="1082">
        <f t="shared" si="0"/>
        <v>100</v>
      </c>
      <c r="G33" s="1147" t="s">
        <v>4199</v>
      </c>
      <c r="H33" s="1025" t="s">
        <v>133</v>
      </c>
    </row>
    <row r="34" spans="1:8" s="1019" customFormat="1" ht="42" x14ac:dyDescent="0.2">
      <c r="A34" s="1020">
        <f t="shared" si="1"/>
        <v>20</v>
      </c>
      <c r="B34" s="1150" t="s">
        <v>4404</v>
      </c>
      <c r="C34" s="1081">
        <v>0</v>
      </c>
      <c r="D34" s="1081">
        <v>190</v>
      </c>
      <c r="E34" s="1081">
        <v>0</v>
      </c>
      <c r="F34" s="1082">
        <f t="shared" si="0"/>
        <v>0</v>
      </c>
      <c r="G34" s="1125" t="s">
        <v>4203</v>
      </c>
      <c r="H34" s="1141" t="s">
        <v>4405</v>
      </c>
    </row>
    <row r="35" spans="1:8" s="1019" customFormat="1" ht="24.75" customHeight="1" x14ac:dyDescent="0.2">
      <c r="A35" s="1020">
        <f t="shared" si="1"/>
        <v>21</v>
      </c>
      <c r="B35" s="1148" t="s">
        <v>4406</v>
      </c>
      <c r="C35" s="1081">
        <v>0</v>
      </c>
      <c r="D35" s="1081">
        <v>659</v>
      </c>
      <c r="E35" s="1081">
        <v>659</v>
      </c>
      <c r="F35" s="1082">
        <f t="shared" si="0"/>
        <v>100</v>
      </c>
      <c r="G35" s="1147" t="s">
        <v>4199</v>
      </c>
      <c r="H35" s="1025" t="s">
        <v>133</v>
      </c>
    </row>
    <row r="36" spans="1:8" s="1019" customFormat="1" ht="34.5" customHeight="1" x14ac:dyDescent="0.2">
      <c r="A36" s="1020">
        <f t="shared" si="1"/>
        <v>22</v>
      </c>
      <c r="B36" s="1148" t="s">
        <v>4407</v>
      </c>
      <c r="C36" s="1081">
        <v>0</v>
      </c>
      <c r="D36" s="1081">
        <v>200</v>
      </c>
      <c r="E36" s="1081">
        <v>200</v>
      </c>
      <c r="F36" s="1082">
        <f t="shared" si="0"/>
        <v>100</v>
      </c>
      <c r="G36" s="1147" t="s">
        <v>4199</v>
      </c>
      <c r="H36" s="1025" t="s">
        <v>133</v>
      </c>
    </row>
    <row r="37" spans="1:8" s="1019" customFormat="1" ht="24.75" customHeight="1" x14ac:dyDescent="0.2">
      <c r="A37" s="1020">
        <f t="shared" si="1"/>
        <v>23</v>
      </c>
      <c r="B37" s="1148" t="s">
        <v>4408</v>
      </c>
      <c r="C37" s="1081">
        <v>0</v>
      </c>
      <c r="D37" s="1081">
        <v>100</v>
      </c>
      <c r="E37" s="1081">
        <v>0</v>
      </c>
      <c r="F37" s="1082">
        <f t="shared" si="0"/>
        <v>0</v>
      </c>
      <c r="G37" s="1125" t="s">
        <v>4199</v>
      </c>
      <c r="H37" s="1025" t="s">
        <v>4409</v>
      </c>
    </row>
    <row r="38" spans="1:8" s="1019" customFormat="1" ht="45" customHeight="1" x14ac:dyDescent="0.2">
      <c r="A38" s="1020">
        <f t="shared" si="1"/>
        <v>24</v>
      </c>
      <c r="B38" s="1148" t="s">
        <v>4410</v>
      </c>
      <c r="C38" s="1081">
        <v>0</v>
      </c>
      <c r="D38" s="1081">
        <v>84</v>
      </c>
      <c r="E38" s="1081">
        <v>13</v>
      </c>
      <c r="F38" s="1082">
        <f t="shared" si="0"/>
        <v>15.476190476190476</v>
      </c>
      <c r="G38" s="1125" t="s">
        <v>4203</v>
      </c>
      <c r="H38" s="1141" t="s">
        <v>4411</v>
      </c>
    </row>
    <row r="39" spans="1:8" s="1044" customFormat="1" ht="13.5" customHeight="1" thickBot="1" x14ac:dyDescent="0.25">
      <c r="A39" s="1442" t="s">
        <v>477</v>
      </c>
      <c r="B39" s="1443"/>
      <c r="C39" s="1039">
        <f>SUM(C15:C38)</f>
        <v>35590</v>
      </c>
      <c r="D39" s="1039">
        <f>SUM(D15:D38)</f>
        <v>73250.078000000009</v>
      </c>
      <c r="E39" s="1039">
        <f>SUM(E15:E38)</f>
        <v>47770.239969999981</v>
      </c>
      <c r="F39" s="1041">
        <f t="shared" si="0"/>
        <v>65.215275224689833</v>
      </c>
      <c r="G39" s="1042"/>
      <c r="H39" s="1043"/>
    </row>
    <row r="40" spans="1:8" s="982" customFormat="1" ht="18" customHeight="1" thickBot="1" x14ac:dyDescent="0.2">
      <c r="A40" s="1045" t="s">
        <v>4190</v>
      </c>
      <c r="B40" s="1046"/>
      <c r="C40" s="1047"/>
      <c r="D40" s="1047"/>
      <c r="E40" s="1048"/>
      <c r="F40" s="1049"/>
      <c r="G40" s="1050"/>
      <c r="H40" s="1051"/>
    </row>
    <row r="41" spans="1:8" s="1019" customFormat="1" ht="24.75" customHeight="1" x14ac:dyDescent="0.2">
      <c r="A41" s="1013">
        <f>A38+1</f>
        <v>25</v>
      </c>
      <c r="B41" s="1014" t="s">
        <v>2709</v>
      </c>
      <c r="C41" s="1076">
        <v>0</v>
      </c>
      <c r="D41" s="1076">
        <v>339.4</v>
      </c>
      <c r="E41" s="1076">
        <v>334.58799999999997</v>
      </c>
      <c r="F41" s="1077">
        <f>E41/D41*100</f>
        <v>98.58220388921626</v>
      </c>
      <c r="G41" s="1101" t="s">
        <v>4197</v>
      </c>
      <c r="H41" s="1018" t="s">
        <v>133</v>
      </c>
    </row>
    <row r="42" spans="1:8" s="977" customFormat="1" ht="13.5" customHeight="1" thickBot="1" x14ac:dyDescent="0.25">
      <c r="A42" s="1442" t="s">
        <v>477</v>
      </c>
      <c r="B42" s="1443"/>
      <c r="C42" s="1039">
        <f>SUM(C41:C41)</f>
        <v>0</v>
      </c>
      <c r="D42" s="1039">
        <f>SUM(D41:D41)</f>
        <v>339.4</v>
      </c>
      <c r="E42" s="1039">
        <f>SUM(E41:E41)</f>
        <v>334.58799999999997</v>
      </c>
      <c r="F42" s="1041">
        <f>E42/D42*100</f>
        <v>98.58220388921626</v>
      </c>
      <c r="G42" s="1054"/>
      <c r="H42" s="1043"/>
    </row>
    <row r="43" spans="1:8" ht="18" customHeight="1" thickBot="1" x14ac:dyDescent="0.2">
      <c r="A43" s="1006" t="s">
        <v>4220</v>
      </c>
      <c r="B43" s="1055"/>
      <c r="C43" s="1056"/>
      <c r="D43" s="1056"/>
      <c r="E43" s="1057"/>
      <c r="F43" s="1010"/>
      <c r="G43" s="1058"/>
      <c r="H43" s="1059"/>
    </row>
    <row r="44" spans="1:8" s="977" customFormat="1" ht="13.5" customHeight="1" x14ac:dyDescent="0.2">
      <c r="A44" s="1013">
        <f>A41+1</f>
        <v>26</v>
      </c>
      <c r="B44" s="1103" t="s">
        <v>4412</v>
      </c>
      <c r="C44" s="1076">
        <v>0</v>
      </c>
      <c r="D44" s="1076">
        <v>88.4</v>
      </c>
      <c r="E44" s="1076">
        <v>88.378399999999999</v>
      </c>
      <c r="F44" s="1077">
        <f>E44/D44*100</f>
        <v>99.975565610859718</v>
      </c>
      <c r="G44" s="1101" t="s">
        <v>4197</v>
      </c>
      <c r="H44" s="1061" t="s">
        <v>133</v>
      </c>
    </row>
    <row r="45" spans="1:8" s="977" customFormat="1" ht="24" customHeight="1" x14ac:dyDescent="0.2">
      <c r="A45" s="1020">
        <f t="shared" ref="A45" si="2">A44+1</f>
        <v>27</v>
      </c>
      <c r="B45" s="1021" t="s">
        <v>609</v>
      </c>
      <c r="C45" s="1081">
        <v>0</v>
      </c>
      <c r="D45" s="1081">
        <v>825.99</v>
      </c>
      <c r="E45" s="1081">
        <v>820.9849999999999</v>
      </c>
      <c r="F45" s="1082">
        <f>E45/D45*100</f>
        <v>99.394060460780381</v>
      </c>
      <c r="G45" s="1125" t="s">
        <v>4199</v>
      </c>
      <c r="H45" s="1025" t="s">
        <v>133</v>
      </c>
    </row>
    <row r="46" spans="1:8" s="977" customFormat="1" ht="13.5" customHeight="1" thickBot="1" x14ac:dyDescent="0.25">
      <c r="A46" s="1442" t="s">
        <v>477</v>
      </c>
      <c r="B46" s="1443"/>
      <c r="C46" s="1039">
        <f>SUM(C44:C45)</f>
        <v>0</v>
      </c>
      <c r="D46" s="1063">
        <f>SUM(D44:D45)</f>
        <v>914.39</v>
      </c>
      <c r="E46" s="1063">
        <f>SUM(E44:E45)</f>
        <v>909.36339999999996</v>
      </c>
      <c r="F46" s="1064">
        <f>E46/D46*100</f>
        <v>99.450278327628254</v>
      </c>
      <c r="G46" s="1042"/>
      <c r="H46" s="1065"/>
    </row>
    <row r="47" spans="1:8" ht="18" customHeight="1" thickBot="1" x14ac:dyDescent="0.2">
      <c r="A47" s="1006" t="s">
        <v>4192</v>
      </c>
      <c r="B47" s="1007"/>
      <c r="C47" s="1008"/>
      <c r="D47" s="1008"/>
      <c r="E47" s="1009"/>
      <c r="F47" s="1010"/>
      <c r="G47" s="1011"/>
      <c r="H47" s="1059"/>
    </row>
    <row r="48" spans="1:8" s="977" customFormat="1" ht="13.5" customHeight="1" x14ac:dyDescent="0.2">
      <c r="A48" s="1013">
        <f>A45+1</f>
        <v>28</v>
      </c>
      <c r="B48" s="1014" t="s">
        <v>1284</v>
      </c>
      <c r="C48" s="1076">
        <v>2000</v>
      </c>
      <c r="D48" s="1076">
        <v>2268.16</v>
      </c>
      <c r="E48" s="1076">
        <v>2266.6930999999995</v>
      </c>
      <c r="F48" s="1077">
        <f t="shared" ref="F48:F60" si="3">E48/D48*100</f>
        <v>99.935326431997723</v>
      </c>
      <c r="G48" s="1017" t="s">
        <v>4199</v>
      </c>
      <c r="H48" s="1018" t="s">
        <v>597</v>
      </c>
    </row>
    <row r="49" spans="1:8" s="977" customFormat="1" ht="12.75" customHeight="1" x14ac:dyDescent="0.2">
      <c r="A49" s="1020">
        <f t="shared" ref="A49:A59" si="4">A48+1</f>
        <v>29</v>
      </c>
      <c r="B49" s="1021" t="s">
        <v>1285</v>
      </c>
      <c r="C49" s="1081">
        <v>3878</v>
      </c>
      <c r="D49" s="1081">
        <v>3963.6099999999997</v>
      </c>
      <c r="E49" s="1081">
        <v>3740.0650100000007</v>
      </c>
      <c r="F49" s="1082">
        <f t="shared" si="3"/>
        <v>94.360065949979969</v>
      </c>
      <c r="G49" s="1147" t="s">
        <v>4199</v>
      </c>
      <c r="H49" s="1062" t="s">
        <v>597</v>
      </c>
    </row>
    <row r="50" spans="1:8" s="977" customFormat="1" ht="63" x14ac:dyDescent="0.2">
      <c r="A50" s="1020">
        <f t="shared" si="4"/>
        <v>30</v>
      </c>
      <c r="B50" s="1021" t="s">
        <v>1283</v>
      </c>
      <c r="C50" s="1081">
        <v>1000</v>
      </c>
      <c r="D50" s="1081">
        <v>1649.81</v>
      </c>
      <c r="E50" s="1081">
        <v>1172.0725</v>
      </c>
      <c r="F50" s="1082">
        <f t="shared" si="3"/>
        <v>71.042877664700782</v>
      </c>
      <c r="G50" s="1147" t="s">
        <v>4199</v>
      </c>
      <c r="H50" s="1062" t="s">
        <v>4413</v>
      </c>
    </row>
    <row r="51" spans="1:8" s="977" customFormat="1" ht="63" x14ac:dyDescent="0.2">
      <c r="A51" s="1020">
        <f t="shared" si="4"/>
        <v>31</v>
      </c>
      <c r="B51" s="1021" t="s">
        <v>1281</v>
      </c>
      <c r="C51" s="1081">
        <v>9200</v>
      </c>
      <c r="D51" s="1081">
        <v>9565.7699999999968</v>
      </c>
      <c r="E51" s="1081">
        <v>2877.8002299999998</v>
      </c>
      <c r="F51" s="1082">
        <f t="shared" si="3"/>
        <v>30.084355258384853</v>
      </c>
      <c r="G51" s="1147" t="s">
        <v>4199</v>
      </c>
      <c r="H51" s="1062" t="s">
        <v>4414</v>
      </c>
    </row>
    <row r="52" spans="1:8" s="977" customFormat="1" ht="78" customHeight="1" x14ac:dyDescent="0.2">
      <c r="A52" s="1020">
        <f t="shared" si="4"/>
        <v>32</v>
      </c>
      <c r="B52" s="1021" t="s">
        <v>4415</v>
      </c>
      <c r="C52" s="1081">
        <v>0</v>
      </c>
      <c r="D52" s="1081">
        <v>100</v>
      </c>
      <c r="E52" s="1081">
        <v>0</v>
      </c>
      <c r="F52" s="1082">
        <f t="shared" si="3"/>
        <v>0</v>
      </c>
      <c r="G52" s="1133" t="s">
        <v>4203</v>
      </c>
      <c r="H52" s="1025" t="s">
        <v>4416</v>
      </c>
    </row>
    <row r="53" spans="1:8" s="977" customFormat="1" ht="78" customHeight="1" x14ac:dyDescent="0.2">
      <c r="A53" s="1020">
        <f t="shared" si="4"/>
        <v>33</v>
      </c>
      <c r="B53" s="1021" t="s">
        <v>4417</v>
      </c>
      <c r="C53" s="1081">
        <v>0</v>
      </c>
      <c r="D53" s="1081">
        <v>100</v>
      </c>
      <c r="E53" s="1081">
        <v>0</v>
      </c>
      <c r="F53" s="1082">
        <f t="shared" si="3"/>
        <v>0</v>
      </c>
      <c r="G53" s="1133" t="s">
        <v>4203</v>
      </c>
      <c r="H53" s="1025" t="s">
        <v>4416</v>
      </c>
    </row>
    <row r="54" spans="1:8" s="977" customFormat="1" ht="78" customHeight="1" x14ac:dyDescent="0.2">
      <c r="A54" s="1020">
        <f t="shared" si="4"/>
        <v>34</v>
      </c>
      <c r="B54" s="1021" t="s">
        <v>1282</v>
      </c>
      <c r="C54" s="1081">
        <v>0</v>
      </c>
      <c r="D54" s="1081">
        <v>120</v>
      </c>
      <c r="E54" s="1081">
        <v>17.798599999999997</v>
      </c>
      <c r="F54" s="1082">
        <f t="shared" si="3"/>
        <v>14.832166666666662</v>
      </c>
      <c r="G54" s="1133" t="s">
        <v>4203</v>
      </c>
      <c r="H54" s="1025" t="s">
        <v>4416</v>
      </c>
    </row>
    <row r="55" spans="1:8" s="977" customFormat="1" ht="78" customHeight="1" x14ac:dyDescent="0.2">
      <c r="A55" s="1020">
        <f t="shared" si="4"/>
        <v>35</v>
      </c>
      <c r="B55" s="1021" t="s">
        <v>4418</v>
      </c>
      <c r="C55" s="1081">
        <v>0</v>
      </c>
      <c r="D55" s="1081">
        <v>100</v>
      </c>
      <c r="E55" s="1081">
        <v>0</v>
      </c>
      <c r="F55" s="1082">
        <f t="shared" si="3"/>
        <v>0</v>
      </c>
      <c r="G55" s="1133" t="s">
        <v>4203</v>
      </c>
      <c r="H55" s="1025" t="s">
        <v>4416</v>
      </c>
    </row>
    <row r="56" spans="1:8" s="977" customFormat="1" ht="78" customHeight="1" x14ac:dyDescent="0.2">
      <c r="A56" s="1020">
        <f t="shared" si="4"/>
        <v>36</v>
      </c>
      <c r="B56" s="1021" t="s">
        <v>4419</v>
      </c>
      <c r="C56" s="1081">
        <v>0</v>
      </c>
      <c r="D56" s="1081">
        <v>100</v>
      </c>
      <c r="E56" s="1081">
        <v>0</v>
      </c>
      <c r="F56" s="1082">
        <f t="shared" si="3"/>
        <v>0</v>
      </c>
      <c r="G56" s="1133" t="s">
        <v>4203</v>
      </c>
      <c r="H56" s="1025" t="s">
        <v>4416</v>
      </c>
    </row>
    <row r="57" spans="1:8" s="977" customFormat="1" ht="78" customHeight="1" x14ac:dyDescent="0.2">
      <c r="A57" s="1020">
        <f t="shared" si="4"/>
        <v>37</v>
      </c>
      <c r="B57" s="1021" t="s">
        <v>4420</v>
      </c>
      <c r="C57" s="1081">
        <v>0</v>
      </c>
      <c r="D57" s="1081">
        <v>100</v>
      </c>
      <c r="E57" s="1081">
        <v>0</v>
      </c>
      <c r="F57" s="1082">
        <f t="shared" si="3"/>
        <v>0</v>
      </c>
      <c r="G57" s="1133" t="s">
        <v>4203</v>
      </c>
      <c r="H57" s="1025" t="s">
        <v>4416</v>
      </c>
    </row>
    <row r="58" spans="1:8" s="977" customFormat="1" ht="78" customHeight="1" x14ac:dyDescent="0.2">
      <c r="A58" s="1020">
        <f t="shared" si="4"/>
        <v>38</v>
      </c>
      <c r="B58" s="1021" t="s">
        <v>4421</v>
      </c>
      <c r="C58" s="1081">
        <v>0</v>
      </c>
      <c r="D58" s="1081">
        <v>100</v>
      </c>
      <c r="E58" s="1081">
        <v>0</v>
      </c>
      <c r="F58" s="1082">
        <f t="shared" si="3"/>
        <v>0</v>
      </c>
      <c r="G58" s="1133" t="s">
        <v>4203</v>
      </c>
      <c r="H58" s="1025" t="s">
        <v>4416</v>
      </c>
    </row>
    <row r="59" spans="1:8" s="977" customFormat="1" ht="78" customHeight="1" x14ac:dyDescent="0.2">
      <c r="A59" s="1020">
        <f t="shared" si="4"/>
        <v>39</v>
      </c>
      <c r="B59" s="1021" t="s">
        <v>4422</v>
      </c>
      <c r="C59" s="1081">
        <v>0</v>
      </c>
      <c r="D59" s="1081">
        <v>100</v>
      </c>
      <c r="E59" s="1081">
        <v>0</v>
      </c>
      <c r="F59" s="1082">
        <f t="shared" si="3"/>
        <v>0</v>
      </c>
      <c r="G59" s="1133" t="s">
        <v>4203</v>
      </c>
      <c r="H59" s="1025" t="s">
        <v>4416</v>
      </c>
    </row>
    <row r="60" spans="1:8" s="977" customFormat="1" ht="13.5" customHeight="1" thickBot="1" x14ac:dyDescent="0.25">
      <c r="A60" s="1442" t="s">
        <v>477</v>
      </c>
      <c r="B60" s="1443"/>
      <c r="C60" s="1039">
        <f>SUM(C48:C59)</f>
        <v>16078</v>
      </c>
      <c r="D60" s="1039">
        <f>SUM(D48:D59)</f>
        <v>18267.349999999999</v>
      </c>
      <c r="E60" s="1039">
        <f>SUM(E48:E59)</f>
        <v>10074.429440000002</v>
      </c>
      <c r="F60" s="1064">
        <f t="shared" si="3"/>
        <v>55.149922895220172</v>
      </c>
      <c r="G60" s="1042"/>
      <c r="H60" s="1068"/>
    </row>
    <row r="61" spans="1:8" s="998" customFormat="1" x14ac:dyDescent="0.2">
      <c r="A61" s="1069"/>
      <c r="B61" s="1070"/>
      <c r="C61" s="1069"/>
      <c r="D61" s="1069"/>
      <c r="E61" s="1069"/>
      <c r="F61" s="1071"/>
      <c r="G61" s="1072"/>
      <c r="H61" s="1073"/>
    </row>
  </sheetData>
  <mergeCells count="11">
    <mergeCell ref="A9:B9"/>
    <mergeCell ref="A39:B39"/>
    <mergeCell ref="A42:B42"/>
    <mergeCell ref="A46:B46"/>
    <mergeCell ref="A60:B60"/>
    <mergeCell ref="A8:B8"/>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8" firstPageNumber="265" fitToHeight="0" orientation="landscape" useFirstPageNumber="1" r:id="rId1"/>
  <headerFooter alignWithMargins="0">
    <oddHeader>&amp;L&amp;"Tahoma,Kurzíva"&amp;9Závěrečný účet za rok 2015&amp;R&amp;"Tahoma,Kurzíva"&amp;9Tabulka č. 13</oddHeader>
    <oddFooter>&amp;C&amp;"Tahoma,Obyčejné"&amp;P</oddFooter>
  </headerFooter>
  <rowBreaks count="1" manualBreakCount="1">
    <brk id="39" max="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9"/>
  <sheetViews>
    <sheetView zoomScaleNormal="100" zoomScaleSheetLayoutView="100" workbookViewId="0">
      <selection activeCell="K2" sqref="K2"/>
    </sheetView>
  </sheetViews>
  <sheetFormatPr defaultRowHeight="10.5" x14ac:dyDescent="0.2"/>
  <cols>
    <col min="1" max="1" width="6.42578125" style="976" customWidth="1"/>
    <col min="2" max="2" width="42.7109375" style="977" customWidth="1"/>
    <col min="3" max="4" width="13.140625" style="978" customWidth="1"/>
    <col min="5" max="5" width="12.140625" style="976" customWidth="1"/>
    <col min="6" max="6" width="8" style="979" customWidth="1"/>
    <col min="7" max="7" width="8.7109375" style="980" customWidth="1"/>
    <col min="8" max="8" width="42.7109375" style="981" customWidth="1"/>
    <col min="9" max="16384" width="9.140625" style="976"/>
  </cols>
  <sheetData>
    <row r="1" spans="1:8" s="975" customFormat="1" ht="18" customHeight="1" x14ac:dyDescent="0.2">
      <c r="A1" s="1325" t="s">
        <v>4423</v>
      </c>
      <c r="B1" s="1325"/>
      <c r="C1" s="1325"/>
      <c r="D1" s="1325"/>
      <c r="E1" s="1325"/>
      <c r="F1" s="1325"/>
      <c r="G1" s="1325"/>
      <c r="H1" s="1325"/>
    </row>
    <row r="2" spans="1:8" ht="12" customHeight="1" x14ac:dyDescent="0.2"/>
    <row r="3" spans="1:8" ht="12" customHeight="1" thickBot="1" x14ac:dyDescent="0.2">
      <c r="A3" s="982"/>
      <c r="F3" s="983" t="s">
        <v>4184</v>
      </c>
    </row>
    <row r="4" spans="1:8" ht="23.25" customHeight="1" x14ac:dyDescent="0.2">
      <c r="A4" s="1438"/>
      <c r="B4" s="1439"/>
      <c r="C4" s="984" t="s">
        <v>4185</v>
      </c>
      <c r="D4" s="984" t="s">
        <v>4186</v>
      </c>
      <c r="E4" s="984" t="s">
        <v>4187</v>
      </c>
      <c r="F4" s="985" t="s">
        <v>4188</v>
      </c>
      <c r="G4" s="986"/>
      <c r="H4" s="987"/>
    </row>
    <row r="5" spans="1:8" ht="12.75" customHeight="1" x14ac:dyDescent="0.2">
      <c r="A5" s="1436" t="s">
        <v>4189</v>
      </c>
      <c r="B5" s="1437"/>
      <c r="C5" s="988">
        <f>C44</f>
        <v>101005</v>
      </c>
      <c r="D5" s="988">
        <f>D44</f>
        <v>804292.89999999991</v>
      </c>
      <c r="E5" s="988">
        <f>E44</f>
        <v>799854.37097000016</v>
      </c>
      <c r="F5" s="989">
        <f t="shared" ref="F5:F10" si="0">E5/D5*100</f>
        <v>99.448145193125569</v>
      </c>
      <c r="G5" s="990"/>
      <c r="H5" s="991"/>
    </row>
    <row r="6" spans="1:8" ht="12.75" customHeight="1" x14ac:dyDescent="0.2">
      <c r="A6" s="1436" t="s">
        <v>4190</v>
      </c>
      <c r="B6" s="1437"/>
      <c r="C6" s="992">
        <f>C54</f>
        <v>78000</v>
      </c>
      <c r="D6" s="992">
        <f>D54</f>
        <v>369304.97599999997</v>
      </c>
      <c r="E6" s="992">
        <f>E54</f>
        <v>367678.45599999995</v>
      </c>
      <c r="F6" s="989">
        <f t="shared" si="0"/>
        <v>99.559572682280887</v>
      </c>
      <c r="G6" s="990"/>
      <c r="H6" s="991"/>
    </row>
    <row r="7" spans="1:8" ht="12.75" customHeight="1" x14ac:dyDescent="0.2">
      <c r="A7" s="1151" t="s">
        <v>4424</v>
      </c>
      <c r="B7" s="1152"/>
      <c r="C7" s="992">
        <f>C77</f>
        <v>70000</v>
      </c>
      <c r="D7" s="992">
        <f>D77</f>
        <v>70000</v>
      </c>
      <c r="E7" s="992">
        <f>E77</f>
        <v>70000</v>
      </c>
      <c r="F7" s="989">
        <f t="shared" si="0"/>
        <v>100</v>
      </c>
      <c r="G7" s="990"/>
      <c r="H7" s="991"/>
    </row>
    <row r="8" spans="1:8" ht="12.75" customHeight="1" x14ac:dyDescent="0.2">
      <c r="A8" s="1436" t="s">
        <v>4191</v>
      </c>
      <c r="B8" s="1437"/>
      <c r="C8" s="992">
        <f>C105</f>
        <v>17400</v>
      </c>
      <c r="D8" s="992">
        <f>D105</f>
        <v>73333.960000000006</v>
      </c>
      <c r="E8" s="992">
        <f>E105</f>
        <v>21342.609270000001</v>
      </c>
      <c r="F8" s="989">
        <f t="shared" si="0"/>
        <v>29.103309394446992</v>
      </c>
      <c r="G8" s="990"/>
      <c r="H8" s="991"/>
    </row>
    <row r="9" spans="1:8" ht="12.75" customHeight="1" x14ac:dyDescent="0.2">
      <c r="A9" s="1436" t="s">
        <v>4192</v>
      </c>
      <c r="B9" s="1437"/>
      <c r="C9" s="992">
        <f>C138</f>
        <v>237960</v>
      </c>
      <c r="D9" s="992">
        <f>D138</f>
        <v>427190.08100000001</v>
      </c>
      <c r="E9" s="992">
        <f>E138</f>
        <v>348696.74575</v>
      </c>
      <c r="F9" s="989">
        <f t="shared" si="0"/>
        <v>81.625665308928362</v>
      </c>
      <c r="G9" s="990"/>
      <c r="H9" s="991"/>
    </row>
    <row r="10" spans="1:8" s="982" customFormat="1" ht="13.5" customHeight="1" thickBot="1" x14ac:dyDescent="0.25">
      <c r="A10" s="1440" t="s">
        <v>477</v>
      </c>
      <c r="B10" s="1441"/>
      <c r="C10" s="993">
        <f>SUM(C5:C9)</f>
        <v>504365</v>
      </c>
      <c r="D10" s="994">
        <f>SUM(D5:D9)</f>
        <v>1744121.9169999999</v>
      </c>
      <c r="E10" s="993">
        <f>SUM(E5:E9)</f>
        <v>1607572.18199</v>
      </c>
      <c r="F10" s="995">
        <f t="shared" si="0"/>
        <v>92.170860667534399</v>
      </c>
      <c r="G10" s="990"/>
      <c r="H10" s="991"/>
    </row>
    <row r="11" spans="1:8" s="996" customFormat="1" ht="10.5" customHeight="1" x14ac:dyDescent="0.2">
      <c r="B11" s="997"/>
      <c r="C11" s="998"/>
      <c r="D11" s="998"/>
      <c r="E11" s="998"/>
      <c r="F11" s="999"/>
      <c r="G11" s="1000"/>
      <c r="H11" s="1001"/>
    </row>
    <row r="12" spans="1:8" s="996" customFormat="1" ht="10.5" customHeight="1" x14ac:dyDescent="0.2">
      <c r="B12" s="997"/>
      <c r="C12" s="998"/>
      <c r="D12" s="998"/>
      <c r="E12" s="998"/>
      <c r="F12" s="999"/>
      <c r="G12" s="1000"/>
      <c r="H12" s="1001"/>
    </row>
    <row r="13" spans="1:8" s="996" customFormat="1" ht="10.5" customHeight="1" thickBot="1" x14ac:dyDescent="0.2">
      <c r="B13" s="997"/>
      <c r="C13" s="998"/>
      <c r="D13" s="998"/>
      <c r="E13" s="998"/>
      <c r="F13" s="999"/>
      <c r="G13" s="1000"/>
      <c r="H13" s="983" t="s">
        <v>4184</v>
      </c>
    </row>
    <row r="14" spans="1:8" ht="28.5" customHeight="1" thickBot="1" x14ac:dyDescent="0.25">
      <c r="A14" s="1002" t="s">
        <v>4193</v>
      </c>
      <c r="B14" s="1003" t="s">
        <v>665</v>
      </c>
      <c r="C14" s="1004" t="s">
        <v>4185</v>
      </c>
      <c r="D14" s="1004" t="s">
        <v>4186</v>
      </c>
      <c r="E14" s="1004" t="s">
        <v>4187</v>
      </c>
      <c r="F14" s="1004" t="s">
        <v>4188</v>
      </c>
      <c r="G14" s="1004" t="s">
        <v>4194</v>
      </c>
      <c r="H14" s="1005" t="s">
        <v>4195</v>
      </c>
    </row>
    <row r="15" spans="1:8" ht="15" customHeight="1" thickBot="1" x14ac:dyDescent="0.2">
      <c r="A15" s="1006" t="s">
        <v>4196</v>
      </c>
      <c r="B15" s="1007"/>
      <c r="C15" s="1008"/>
      <c r="D15" s="1008"/>
      <c r="E15" s="1009"/>
      <c r="F15" s="1010"/>
      <c r="G15" s="1011"/>
      <c r="H15" s="1012"/>
    </row>
    <row r="16" spans="1:8" s="1019" customFormat="1" ht="13.5" customHeight="1" x14ac:dyDescent="0.2">
      <c r="A16" s="1013">
        <v>1</v>
      </c>
      <c r="B16" s="1014" t="s">
        <v>2817</v>
      </c>
      <c r="C16" s="1076">
        <v>2300</v>
      </c>
      <c r="D16" s="1076">
        <v>3231.4</v>
      </c>
      <c r="E16" s="1076">
        <v>3231.4</v>
      </c>
      <c r="F16" s="1077">
        <f t="shared" ref="F16:F44" si="1">E16/D16*100</f>
        <v>100</v>
      </c>
      <c r="G16" s="1017" t="s">
        <v>4197</v>
      </c>
      <c r="H16" s="1018" t="s">
        <v>597</v>
      </c>
    </row>
    <row r="17" spans="1:8" s="1019" customFormat="1" ht="24" customHeight="1" x14ac:dyDescent="0.2">
      <c r="A17" s="1020">
        <f>A16+1</f>
        <v>2</v>
      </c>
      <c r="B17" s="1021" t="s">
        <v>2956</v>
      </c>
      <c r="C17" s="1081">
        <v>700</v>
      </c>
      <c r="D17" s="1081">
        <v>833.7</v>
      </c>
      <c r="E17" s="1081">
        <v>833.0200000000001</v>
      </c>
      <c r="F17" s="1082">
        <f t="shared" si="1"/>
        <v>99.918435888209189</v>
      </c>
      <c r="G17" s="1024" t="s">
        <v>4197</v>
      </c>
      <c r="H17" s="1025" t="s">
        <v>597</v>
      </c>
    </row>
    <row r="18" spans="1:8" s="1019" customFormat="1" ht="34.5" customHeight="1" x14ac:dyDescent="0.2">
      <c r="A18" s="1020">
        <f t="shared" ref="A18:A43" si="2">A17+1</f>
        <v>3</v>
      </c>
      <c r="B18" s="1021" t="s">
        <v>2867</v>
      </c>
      <c r="C18" s="1081">
        <v>2300</v>
      </c>
      <c r="D18" s="1081">
        <v>2307.3000000000002</v>
      </c>
      <c r="E18" s="1081">
        <v>2307.3000000000002</v>
      </c>
      <c r="F18" s="1082">
        <f t="shared" si="1"/>
        <v>100</v>
      </c>
      <c r="G18" s="1024" t="s">
        <v>4197</v>
      </c>
      <c r="H18" s="1025" t="s">
        <v>597</v>
      </c>
    </row>
    <row r="19" spans="1:8" s="1019" customFormat="1" ht="24" customHeight="1" x14ac:dyDescent="0.2">
      <c r="A19" s="1020">
        <f t="shared" si="2"/>
        <v>4</v>
      </c>
      <c r="B19" s="1021" t="s">
        <v>2886</v>
      </c>
      <c r="C19" s="1081">
        <v>2000</v>
      </c>
      <c r="D19" s="1081">
        <v>2854.9000000000005</v>
      </c>
      <c r="E19" s="1081">
        <v>2853.09148</v>
      </c>
      <c r="F19" s="1082">
        <f t="shared" si="1"/>
        <v>99.936652071876409</v>
      </c>
      <c r="G19" s="1024" t="s">
        <v>4197</v>
      </c>
      <c r="H19" s="1025" t="s">
        <v>597</v>
      </c>
    </row>
    <row r="20" spans="1:8" s="1019" customFormat="1" ht="34.5" customHeight="1" x14ac:dyDescent="0.2">
      <c r="A20" s="1020">
        <f t="shared" si="2"/>
        <v>5</v>
      </c>
      <c r="B20" s="1021" t="s">
        <v>2750</v>
      </c>
      <c r="C20" s="1081">
        <v>3600</v>
      </c>
      <c r="D20" s="1081">
        <v>2755.8</v>
      </c>
      <c r="E20" s="1081">
        <v>2755.8</v>
      </c>
      <c r="F20" s="1082">
        <f t="shared" si="1"/>
        <v>100</v>
      </c>
      <c r="G20" s="1024" t="s">
        <v>4197</v>
      </c>
      <c r="H20" s="1025" t="s">
        <v>597</v>
      </c>
    </row>
    <row r="21" spans="1:8" s="1019" customFormat="1" ht="24" customHeight="1" x14ac:dyDescent="0.2">
      <c r="A21" s="1020">
        <f t="shared" si="2"/>
        <v>6</v>
      </c>
      <c r="B21" s="1021" t="s">
        <v>2899</v>
      </c>
      <c r="C21" s="1081">
        <v>6000</v>
      </c>
      <c r="D21" s="1081">
        <v>2480</v>
      </c>
      <c r="E21" s="1081">
        <v>2480</v>
      </c>
      <c r="F21" s="1082">
        <f t="shared" si="1"/>
        <v>100</v>
      </c>
      <c r="G21" s="1024" t="s">
        <v>4197</v>
      </c>
      <c r="H21" s="1025" t="s">
        <v>597</v>
      </c>
    </row>
    <row r="22" spans="1:8" s="1019" customFormat="1" ht="34.5" customHeight="1" x14ac:dyDescent="0.2">
      <c r="A22" s="1020">
        <f t="shared" si="2"/>
        <v>7</v>
      </c>
      <c r="B22" s="1021" t="s">
        <v>3003</v>
      </c>
      <c r="C22" s="1081">
        <v>700</v>
      </c>
      <c r="D22" s="1081">
        <v>548.29999999999995</v>
      </c>
      <c r="E22" s="1081">
        <v>548.29999999999995</v>
      </c>
      <c r="F22" s="1082">
        <f t="shared" si="1"/>
        <v>100</v>
      </c>
      <c r="G22" s="1024" t="s">
        <v>4197</v>
      </c>
      <c r="H22" s="1025" t="s">
        <v>597</v>
      </c>
    </row>
    <row r="23" spans="1:8" s="1028" customFormat="1" ht="157.5" x14ac:dyDescent="0.2">
      <c r="A23" s="1020">
        <f t="shared" si="2"/>
        <v>8</v>
      </c>
      <c r="B23" s="965" t="s">
        <v>2739</v>
      </c>
      <c r="C23" s="1081">
        <v>82000</v>
      </c>
      <c r="D23" s="1081">
        <v>59497.37999999999</v>
      </c>
      <c r="E23" s="1081">
        <v>58517.991999999984</v>
      </c>
      <c r="F23" s="1082">
        <f t="shared" si="1"/>
        <v>98.353897264047589</v>
      </c>
      <c r="G23" s="1024" t="s">
        <v>4203</v>
      </c>
      <c r="H23" s="1025" t="s">
        <v>4425</v>
      </c>
    </row>
    <row r="24" spans="1:8" s="1028" customFormat="1" ht="24" customHeight="1" x14ac:dyDescent="0.2">
      <c r="A24" s="1020">
        <f t="shared" si="2"/>
        <v>9</v>
      </c>
      <c r="B24" s="1031" t="s">
        <v>2735</v>
      </c>
      <c r="C24" s="1081">
        <v>0</v>
      </c>
      <c r="D24" s="1081">
        <v>704953.12</v>
      </c>
      <c r="E24" s="1081">
        <v>704953.12400000007</v>
      </c>
      <c r="F24" s="1082">
        <f t="shared" si="1"/>
        <v>100.00000056741362</v>
      </c>
      <c r="G24" s="1024" t="s">
        <v>4197</v>
      </c>
      <c r="H24" s="1025" t="s">
        <v>597</v>
      </c>
    </row>
    <row r="25" spans="1:8" s="1028" customFormat="1" ht="24" customHeight="1" x14ac:dyDescent="0.2">
      <c r="A25" s="1020">
        <f t="shared" si="2"/>
        <v>10</v>
      </c>
      <c r="B25" s="1153" t="s">
        <v>4426</v>
      </c>
      <c r="C25" s="1154">
        <v>0</v>
      </c>
      <c r="D25" s="1154">
        <v>1120</v>
      </c>
      <c r="E25" s="1154">
        <v>1120</v>
      </c>
      <c r="F25" s="1082">
        <f t="shared" si="1"/>
        <v>100</v>
      </c>
      <c r="G25" s="1024" t="s">
        <v>4199</v>
      </c>
      <c r="H25" s="1025" t="s">
        <v>133</v>
      </c>
    </row>
    <row r="26" spans="1:8" s="1028" customFormat="1" ht="24" customHeight="1" x14ac:dyDescent="0.2">
      <c r="A26" s="1020">
        <f t="shared" si="2"/>
        <v>11</v>
      </c>
      <c r="B26" s="965" t="s">
        <v>4427</v>
      </c>
      <c r="C26" s="1154">
        <v>25</v>
      </c>
      <c r="D26" s="1154">
        <v>25</v>
      </c>
      <c r="E26" s="1154">
        <v>25</v>
      </c>
      <c r="F26" s="1082">
        <f t="shared" si="1"/>
        <v>100</v>
      </c>
      <c r="G26" s="1024" t="s">
        <v>4203</v>
      </c>
      <c r="H26" s="1025" t="s">
        <v>133</v>
      </c>
    </row>
    <row r="27" spans="1:8" s="1028" customFormat="1" ht="12.75" customHeight="1" x14ac:dyDescent="0.2">
      <c r="A27" s="1020">
        <f t="shared" si="2"/>
        <v>12</v>
      </c>
      <c r="B27" s="1153" t="s">
        <v>4428</v>
      </c>
      <c r="C27" s="1154">
        <v>230</v>
      </c>
      <c r="D27" s="1154">
        <v>162</v>
      </c>
      <c r="E27" s="1154">
        <v>161.9</v>
      </c>
      <c r="F27" s="1082">
        <f t="shared" si="1"/>
        <v>99.938271604938279</v>
      </c>
      <c r="G27" s="1024" t="s">
        <v>4197</v>
      </c>
      <c r="H27" s="1025" t="s">
        <v>597</v>
      </c>
    </row>
    <row r="28" spans="1:8" s="1028" customFormat="1" ht="24" customHeight="1" x14ac:dyDescent="0.2">
      <c r="A28" s="1020">
        <f t="shared" si="2"/>
        <v>13</v>
      </c>
      <c r="B28" s="1153" t="s">
        <v>4429</v>
      </c>
      <c r="C28" s="1154">
        <v>150</v>
      </c>
      <c r="D28" s="1154">
        <v>22</v>
      </c>
      <c r="E28" s="1154">
        <v>17.475999999999999</v>
      </c>
      <c r="F28" s="1082">
        <f t="shared" si="1"/>
        <v>79.436363636363623</v>
      </c>
      <c r="G28" s="1024" t="s">
        <v>4197</v>
      </c>
      <c r="H28" s="1025" t="s">
        <v>4430</v>
      </c>
    </row>
    <row r="29" spans="1:8" s="1019" customFormat="1" ht="12.75" customHeight="1" x14ac:dyDescent="0.2">
      <c r="A29" s="1020">
        <f t="shared" si="2"/>
        <v>14</v>
      </c>
      <c r="B29" s="1153" t="s">
        <v>1098</v>
      </c>
      <c r="C29" s="1154">
        <v>200</v>
      </c>
      <c r="D29" s="1154">
        <v>200</v>
      </c>
      <c r="E29" s="1154">
        <v>200</v>
      </c>
      <c r="F29" s="1082">
        <f t="shared" si="1"/>
        <v>100</v>
      </c>
      <c r="G29" s="1024" t="s">
        <v>4197</v>
      </c>
      <c r="H29" s="1025" t="s">
        <v>597</v>
      </c>
    </row>
    <row r="30" spans="1:8" s="1019" customFormat="1" ht="12.75" customHeight="1" x14ac:dyDescent="0.2">
      <c r="A30" s="1020">
        <f t="shared" si="2"/>
        <v>15</v>
      </c>
      <c r="B30" s="1153" t="s">
        <v>4431</v>
      </c>
      <c r="C30" s="1154">
        <v>0</v>
      </c>
      <c r="D30" s="1154">
        <v>61</v>
      </c>
      <c r="E30" s="1154">
        <v>61</v>
      </c>
      <c r="F30" s="1082">
        <f t="shared" si="1"/>
        <v>100</v>
      </c>
      <c r="G30" s="1024" t="s">
        <v>4197</v>
      </c>
      <c r="H30" s="1025" t="s">
        <v>597</v>
      </c>
    </row>
    <row r="31" spans="1:8" s="1028" customFormat="1" ht="24" customHeight="1" x14ac:dyDescent="0.15">
      <c r="A31" s="1020">
        <f t="shared" si="2"/>
        <v>16</v>
      </c>
      <c r="B31" s="1155" t="s">
        <v>4432</v>
      </c>
      <c r="C31" s="1106">
        <v>500</v>
      </c>
      <c r="D31" s="1106">
        <v>1024.2</v>
      </c>
      <c r="E31" s="1106">
        <v>863.71153000000004</v>
      </c>
      <c r="F31" s="1107">
        <f t="shared" si="1"/>
        <v>84.330358328451467</v>
      </c>
      <c r="G31" s="1123" t="s">
        <v>4197</v>
      </c>
      <c r="H31" s="1156" t="s">
        <v>597</v>
      </c>
    </row>
    <row r="32" spans="1:8" s="1019" customFormat="1" ht="24" customHeight="1" x14ac:dyDescent="0.2">
      <c r="A32" s="1020">
        <f t="shared" si="2"/>
        <v>17</v>
      </c>
      <c r="B32" s="1021" t="s">
        <v>1099</v>
      </c>
      <c r="C32" s="1081">
        <v>0</v>
      </c>
      <c r="D32" s="1081">
        <v>1724</v>
      </c>
      <c r="E32" s="1081">
        <v>1723.9684</v>
      </c>
      <c r="F32" s="1082">
        <f t="shared" si="1"/>
        <v>99.99816705336427</v>
      </c>
      <c r="G32" s="1123" t="s">
        <v>4197</v>
      </c>
      <c r="H32" s="1156" t="s">
        <v>597</v>
      </c>
    </row>
    <row r="33" spans="1:8" s="1019" customFormat="1" ht="24" customHeight="1" x14ac:dyDescent="0.15">
      <c r="A33" s="1020">
        <f t="shared" si="2"/>
        <v>18</v>
      </c>
      <c r="B33" s="1157" t="s">
        <v>1091</v>
      </c>
      <c r="C33" s="1154">
        <v>300</v>
      </c>
      <c r="D33" s="1154">
        <v>300</v>
      </c>
      <c r="E33" s="1154">
        <v>300</v>
      </c>
      <c r="F33" s="1082">
        <f t="shared" si="1"/>
        <v>100</v>
      </c>
      <c r="G33" s="1024" t="s">
        <v>4197</v>
      </c>
      <c r="H33" s="1025" t="s">
        <v>597</v>
      </c>
    </row>
    <row r="34" spans="1:8" s="1019" customFormat="1" ht="67.5" customHeight="1" x14ac:dyDescent="0.2">
      <c r="A34" s="1020">
        <f t="shared" si="2"/>
        <v>19</v>
      </c>
      <c r="B34" s="1158" t="s">
        <v>4433</v>
      </c>
      <c r="C34" s="1154">
        <v>0</v>
      </c>
      <c r="D34" s="1154">
        <v>450</v>
      </c>
      <c r="E34" s="1154">
        <v>83.932559999999995</v>
      </c>
      <c r="F34" s="1082">
        <f t="shared" si="1"/>
        <v>18.651679999999999</v>
      </c>
      <c r="G34" s="1024" t="s">
        <v>4197</v>
      </c>
      <c r="H34" s="1025" t="s">
        <v>4434</v>
      </c>
    </row>
    <row r="35" spans="1:8" s="1019" customFormat="1" ht="63" x14ac:dyDescent="0.2">
      <c r="A35" s="1020">
        <f t="shared" si="2"/>
        <v>20</v>
      </c>
      <c r="B35" s="1158" t="s">
        <v>4435</v>
      </c>
      <c r="C35" s="1154">
        <v>0</v>
      </c>
      <c r="D35" s="1154">
        <v>2454</v>
      </c>
      <c r="E35" s="1154">
        <v>1313.05</v>
      </c>
      <c r="F35" s="1082">
        <f t="shared" si="1"/>
        <v>53.506519967400159</v>
      </c>
      <c r="G35" s="1024" t="s">
        <v>4197</v>
      </c>
      <c r="H35" s="1025" t="s">
        <v>4436</v>
      </c>
    </row>
    <row r="36" spans="1:8" s="1019" customFormat="1" ht="78" customHeight="1" x14ac:dyDescent="0.2">
      <c r="A36" s="1020">
        <f t="shared" si="2"/>
        <v>21</v>
      </c>
      <c r="B36" s="1158" t="s">
        <v>4437</v>
      </c>
      <c r="C36" s="1154">
        <v>0</v>
      </c>
      <c r="D36" s="1154">
        <v>15300</v>
      </c>
      <c r="E36" s="1154">
        <v>13787.92</v>
      </c>
      <c r="F36" s="1082">
        <f t="shared" si="1"/>
        <v>90.117124183006538</v>
      </c>
      <c r="G36" s="1024" t="s">
        <v>4197</v>
      </c>
      <c r="H36" s="1025" t="s">
        <v>4438</v>
      </c>
    </row>
    <row r="37" spans="1:8" s="1019" customFormat="1" ht="24" customHeight="1" x14ac:dyDescent="0.2">
      <c r="A37" s="1020">
        <f t="shared" si="2"/>
        <v>22</v>
      </c>
      <c r="B37" s="1158" t="s">
        <v>4439</v>
      </c>
      <c r="C37" s="1154">
        <v>0</v>
      </c>
      <c r="D37" s="1154">
        <v>150</v>
      </c>
      <c r="E37" s="1154">
        <v>150</v>
      </c>
      <c r="F37" s="1082">
        <f t="shared" si="1"/>
        <v>100</v>
      </c>
      <c r="G37" s="1024" t="s">
        <v>4199</v>
      </c>
      <c r="H37" s="1025" t="s">
        <v>597</v>
      </c>
    </row>
    <row r="38" spans="1:8" s="1019" customFormat="1" ht="24" customHeight="1" x14ac:dyDescent="0.2">
      <c r="A38" s="1020">
        <f t="shared" si="2"/>
        <v>23</v>
      </c>
      <c r="B38" s="1158" t="s">
        <v>4440</v>
      </c>
      <c r="C38" s="1154">
        <v>0</v>
      </c>
      <c r="D38" s="1154">
        <v>50</v>
      </c>
      <c r="E38" s="1154">
        <v>50</v>
      </c>
      <c r="F38" s="1082">
        <f t="shared" si="1"/>
        <v>100</v>
      </c>
      <c r="G38" s="1024" t="s">
        <v>4199</v>
      </c>
      <c r="H38" s="1025" t="s">
        <v>597</v>
      </c>
    </row>
    <row r="39" spans="1:8" s="1019" customFormat="1" ht="57" customHeight="1" x14ac:dyDescent="0.2">
      <c r="A39" s="1020">
        <f t="shared" si="2"/>
        <v>24</v>
      </c>
      <c r="B39" s="1158" t="s">
        <v>4441</v>
      </c>
      <c r="C39" s="1154">
        <v>0</v>
      </c>
      <c r="D39" s="1097">
        <v>70</v>
      </c>
      <c r="E39" s="1097">
        <v>0</v>
      </c>
      <c r="F39" s="1082">
        <f t="shared" si="1"/>
        <v>0</v>
      </c>
      <c r="G39" s="1024" t="s">
        <v>4199</v>
      </c>
      <c r="H39" s="1025" t="s">
        <v>4442</v>
      </c>
    </row>
    <row r="40" spans="1:8" s="1019" customFormat="1" ht="21" x14ac:dyDescent="0.2">
      <c r="A40" s="1020">
        <f t="shared" si="2"/>
        <v>25</v>
      </c>
      <c r="B40" s="1158" t="s">
        <v>4443</v>
      </c>
      <c r="C40" s="1154">
        <v>0</v>
      </c>
      <c r="D40" s="1154">
        <v>1500</v>
      </c>
      <c r="E40" s="1154">
        <v>1500</v>
      </c>
      <c r="F40" s="1082">
        <f t="shared" si="1"/>
        <v>100</v>
      </c>
      <c r="G40" s="1024" t="s">
        <v>4199</v>
      </c>
      <c r="H40" s="1025" t="s">
        <v>597</v>
      </c>
    </row>
    <row r="41" spans="1:8" s="1019" customFormat="1" ht="34.5" customHeight="1" x14ac:dyDescent="0.2">
      <c r="A41" s="1020">
        <f t="shared" si="2"/>
        <v>26</v>
      </c>
      <c r="B41" s="1158" t="s">
        <v>4444</v>
      </c>
      <c r="C41" s="1154">
        <v>0</v>
      </c>
      <c r="D41" s="1154">
        <v>12.2</v>
      </c>
      <c r="E41" s="1154">
        <v>9.7850000000000001</v>
      </c>
      <c r="F41" s="1082">
        <f t="shared" si="1"/>
        <v>80.204918032786892</v>
      </c>
      <c r="G41" s="1024" t="s">
        <v>4199</v>
      </c>
      <c r="H41" s="1025" t="s">
        <v>597</v>
      </c>
    </row>
    <row r="42" spans="1:8" s="1019" customFormat="1" ht="57" customHeight="1" x14ac:dyDescent="0.2">
      <c r="A42" s="1020">
        <f t="shared" si="2"/>
        <v>27</v>
      </c>
      <c r="B42" s="1158" t="s">
        <v>4445</v>
      </c>
      <c r="C42" s="1154">
        <v>0</v>
      </c>
      <c r="D42" s="1097">
        <v>200</v>
      </c>
      <c r="E42" s="1097">
        <v>0</v>
      </c>
      <c r="F42" s="1082">
        <f t="shared" si="1"/>
        <v>0</v>
      </c>
      <c r="G42" s="1024" t="s">
        <v>4199</v>
      </c>
      <c r="H42" s="1025" t="s">
        <v>4446</v>
      </c>
    </row>
    <row r="43" spans="1:8" s="1019" customFormat="1" ht="24" customHeight="1" x14ac:dyDescent="0.2">
      <c r="A43" s="1020">
        <f t="shared" si="2"/>
        <v>28</v>
      </c>
      <c r="B43" s="1158" t="s">
        <v>4447</v>
      </c>
      <c r="C43" s="1154">
        <v>0</v>
      </c>
      <c r="D43" s="1097">
        <v>6.6</v>
      </c>
      <c r="E43" s="1097">
        <v>6.6</v>
      </c>
      <c r="F43" s="1082">
        <f t="shared" si="1"/>
        <v>100</v>
      </c>
      <c r="G43" s="1024" t="s">
        <v>4199</v>
      </c>
      <c r="H43" s="1025" t="s">
        <v>597</v>
      </c>
    </row>
    <row r="44" spans="1:8" s="1044" customFormat="1" ht="13.5" customHeight="1" thickBot="1" x14ac:dyDescent="0.25">
      <c r="A44" s="1442" t="s">
        <v>477</v>
      </c>
      <c r="B44" s="1443"/>
      <c r="C44" s="1039">
        <f>SUM(C16:C43)</f>
        <v>101005</v>
      </c>
      <c r="D44" s="1039">
        <f>SUM(D16:D43)</f>
        <v>804292.89999999991</v>
      </c>
      <c r="E44" s="1039">
        <f>SUM(E16:E43)</f>
        <v>799854.37097000016</v>
      </c>
      <c r="F44" s="1041">
        <f t="shared" si="1"/>
        <v>99.448145193125569</v>
      </c>
      <c r="G44" s="1042"/>
      <c r="H44" s="1043"/>
    </row>
    <row r="45" spans="1:8" s="982" customFormat="1" ht="18" customHeight="1" thickBot="1" x14ac:dyDescent="0.2">
      <c r="A45" s="1045" t="s">
        <v>4190</v>
      </c>
      <c r="B45" s="1159"/>
      <c r="C45" s="1160"/>
      <c r="D45" s="1160"/>
      <c r="E45" s="1161"/>
      <c r="F45" s="1162"/>
      <c r="G45" s="1163"/>
      <c r="H45" s="1164"/>
    </row>
    <row r="46" spans="1:8" s="1019" customFormat="1" ht="68.25" customHeight="1" x14ac:dyDescent="0.2">
      <c r="A46" s="1013">
        <f>A43+1</f>
        <v>29</v>
      </c>
      <c r="B46" s="1119" t="s">
        <v>4448</v>
      </c>
      <c r="C46" s="1165">
        <v>12400</v>
      </c>
      <c r="D46" s="1165">
        <v>11380</v>
      </c>
      <c r="E46" s="1165">
        <v>11230</v>
      </c>
      <c r="F46" s="1077">
        <f>E46/D46*100</f>
        <v>98.68189806678383</v>
      </c>
      <c r="G46" s="1101" t="s">
        <v>4197</v>
      </c>
      <c r="H46" s="1018" t="s">
        <v>4449</v>
      </c>
    </row>
    <row r="47" spans="1:8" s="1019" customFormat="1" ht="45" customHeight="1" x14ac:dyDescent="0.2">
      <c r="A47" s="1020">
        <f t="shared" ref="A47:A53" si="3">A46+1</f>
        <v>30</v>
      </c>
      <c r="B47" s="1153" t="s">
        <v>2659</v>
      </c>
      <c r="C47" s="1154">
        <v>26750</v>
      </c>
      <c r="D47" s="1154">
        <v>26040</v>
      </c>
      <c r="E47" s="1154">
        <v>25540</v>
      </c>
      <c r="F47" s="1082">
        <f>E47/D47*100</f>
        <v>98.079877112135165</v>
      </c>
      <c r="G47" s="1125" t="s">
        <v>4197</v>
      </c>
      <c r="H47" s="1025" t="s">
        <v>4450</v>
      </c>
    </row>
    <row r="48" spans="1:8" s="1019" customFormat="1" ht="31.5" x14ac:dyDescent="0.2">
      <c r="A48" s="1020">
        <f t="shared" si="3"/>
        <v>31</v>
      </c>
      <c r="B48" s="1153" t="s">
        <v>4451</v>
      </c>
      <c r="C48" s="1154">
        <v>8500</v>
      </c>
      <c r="D48" s="1154">
        <v>7900</v>
      </c>
      <c r="E48" s="1154">
        <v>7900</v>
      </c>
      <c r="F48" s="1082">
        <f>E48/D48*100</f>
        <v>100</v>
      </c>
      <c r="G48" s="1125" t="s">
        <v>4197</v>
      </c>
      <c r="H48" s="1025" t="s">
        <v>597</v>
      </c>
    </row>
    <row r="49" spans="1:8" s="1019" customFormat="1" ht="56.25" customHeight="1" x14ac:dyDescent="0.2">
      <c r="A49" s="1020">
        <f t="shared" si="3"/>
        <v>32</v>
      </c>
      <c r="B49" s="1153" t="s">
        <v>4452</v>
      </c>
      <c r="C49" s="1154">
        <v>1500</v>
      </c>
      <c r="D49" s="1154">
        <v>0</v>
      </c>
      <c r="E49" s="1154">
        <v>0</v>
      </c>
      <c r="F49" s="1082" t="s">
        <v>279</v>
      </c>
      <c r="G49" s="1125" t="s">
        <v>4197</v>
      </c>
      <c r="H49" s="1025" t="s">
        <v>4453</v>
      </c>
    </row>
    <row r="50" spans="1:8" s="1019" customFormat="1" ht="126" x14ac:dyDescent="0.2">
      <c r="A50" s="1020">
        <f t="shared" si="3"/>
        <v>33</v>
      </c>
      <c r="B50" s="1153" t="s">
        <v>2658</v>
      </c>
      <c r="C50" s="1154">
        <v>28850</v>
      </c>
      <c r="D50" s="1154">
        <v>15900</v>
      </c>
      <c r="E50" s="1154">
        <v>15660</v>
      </c>
      <c r="F50" s="1082">
        <f>E50/D50*100</f>
        <v>98.490566037735846</v>
      </c>
      <c r="G50" s="1125" t="s">
        <v>4197</v>
      </c>
      <c r="H50" s="1025" t="s">
        <v>4454</v>
      </c>
    </row>
    <row r="51" spans="1:8" s="1019" customFormat="1" ht="24" customHeight="1" x14ac:dyDescent="0.2">
      <c r="A51" s="1020">
        <f t="shared" si="3"/>
        <v>34</v>
      </c>
      <c r="B51" s="1153" t="s">
        <v>2549</v>
      </c>
      <c r="C51" s="1154">
        <v>0</v>
      </c>
      <c r="D51" s="1154">
        <v>297410.87599999999</v>
      </c>
      <c r="E51" s="1154">
        <v>297410.87599999999</v>
      </c>
      <c r="F51" s="1082">
        <f>E51/D51*100</f>
        <v>100</v>
      </c>
      <c r="G51" s="1125" t="s">
        <v>4197</v>
      </c>
      <c r="H51" s="1025" t="s">
        <v>597</v>
      </c>
    </row>
    <row r="52" spans="1:8" s="1019" customFormat="1" ht="24" customHeight="1" x14ac:dyDescent="0.2">
      <c r="A52" s="1020">
        <f t="shared" si="3"/>
        <v>35</v>
      </c>
      <c r="B52" s="1153" t="s">
        <v>2668</v>
      </c>
      <c r="C52" s="1154">
        <v>0</v>
      </c>
      <c r="D52" s="1154">
        <v>1674.1</v>
      </c>
      <c r="E52" s="1154">
        <v>1674.1</v>
      </c>
      <c r="F52" s="1082">
        <f>E52/D52*100</f>
        <v>100</v>
      </c>
      <c r="G52" s="1125" t="s">
        <v>4197</v>
      </c>
      <c r="H52" s="1025" t="s">
        <v>597</v>
      </c>
    </row>
    <row r="53" spans="1:8" s="1019" customFormat="1" ht="78" customHeight="1" x14ac:dyDescent="0.2">
      <c r="A53" s="1020">
        <f t="shared" si="3"/>
        <v>36</v>
      </c>
      <c r="B53" s="1158" t="s">
        <v>4437</v>
      </c>
      <c r="C53" s="1154">
        <v>0</v>
      </c>
      <c r="D53" s="1154">
        <v>9000</v>
      </c>
      <c r="E53" s="1154">
        <v>8263.48</v>
      </c>
      <c r="F53" s="1082">
        <f>E53/D53*100</f>
        <v>91.816444444444443</v>
      </c>
      <c r="G53" s="1125" t="s">
        <v>4197</v>
      </c>
      <c r="H53" s="1025" t="s">
        <v>4455</v>
      </c>
    </row>
    <row r="54" spans="1:8" s="977" customFormat="1" ht="13.5" customHeight="1" thickBot="1" x14ac:dyDescent="0.25">
      <c r="A54" s="1442" t="s">
        <v>477</v>
      </c>
      <c r="B54" s="1443"/>
      <c r="C54" s="1039">
        <f>SUM(C46:C53)</f>
        <v>78000</v>
      </c>
      <c r="D54" s="1039">
        <f>SUM(D46:D53)</f>
        <v>369304.97599999997</v>
      </c>
      <c r="E54" s="1039">
        <f>SUM(E46:E53)</f>
        <v>367678.45599999995</v>
      </c>
      <c r="F54" s="1041">
        <f>E54/D54*100</f>
        <v>99.559572682280887</v>
      </c>
      <c r="G54" s="1054"/>
      <c r="H54" s="1043"/>
    </row>
    <row r="55" spans="1:8" s="982" customFormat="1" ht="18" customHeight="1" thickBot="1" x14ac:dyDescent="0.2">
      <c r="A55" s="1045" t="s">
        <v>4424</v>
      </c>
      <c r="B55" s="1046"/>
      <c r="C55" s="1048"/>
      <c r="D55" s="1048"/>
      <c r="E55" s="1048"/>
      <c r="F55" s="1049"/>
      <c r="G55" s="1117"/>
      <c r="H55" s="1051"/>
    </row>
    <row r="56" spans="1:8" s="1019" customFormat="1" ht="13.5" customHeight="1" x14ac:dyDescent="0.2">
      <c r="A56" s="1013">
        <f>A53+1</f>
        <v>37</v>
      </c>
      <c r="B56" s="1166" t="s">
        <v>1533</v>
      </c>
      <c r="C56" s="1165">
        <v>7000</v>
      </c>
      <c r="D56" s="1165">
        <v>7000</v>
      </c>
      <c r="E56" s="1165">
        <v>7000</v>
      </c>
      <c r="F56" s="1165">
        <f t="shared" ref="F56:F77" si="4">E56/D56*100</f>
        <v>100</v>
      </c>
      <c r="G56" s="1165" t="s">
        <v>4197</v>
      </c>
      <c r="H56" s="1446" t="s">
        <v>4456</v>
      </c>
    </row>
    <row r="57" spans="1:8" s="1019" customFormat="1" ht="12.75" customHeight="1" x14ac:dyDescent="0.2">
      <c r="A57" s="1020">
        <f t="shared" ref="A57:A76" si="5">A56+1</f>
        <v>38</v>
      </c>
      <c r="B57" s="1158" t="s">
        <v>1535</v>
      </c>
      <c r="C57" s="1097">
        <v>5000</v>
      </c>
      <c r="D57" s="1097">
        <v>5000</v>
      </c>
      <c r="E57" s="1097">
        <v>5000</v>
      </c>
      <c r="F57" s="1154">
        <f t="shared" si="4"/>
        <v>100</v>
      </c>
      <c r="G57" s="1154" t="s">
        <v>4197</v>
      </c>
      <c r="H57" s="1447"/>
    </row>
    <row r="58" spans="1:8" s="1019" customFormat="1" ht="12.75" customHeight="1" x14ac:dyDescent="0.2">
      <c r="A58" s="1020">
        <f t="shared" si="5"/>
        <v>39</v>
      </c>
      <c r="B58" s="1150" t="s">
        <v>4786</v>
      </c>
      <c r="C58" s="1097">
        <v>3500</v>
      </c>
      <c r="D58" s="1097">
        <v>3500</v>
      </c>
      <c r="E58" s="1097">
        <v>3500</v>
      </c>
      <c r="F58" s="1154">
        <f t="shared" si="4"/>
        <v>100</v>
      </c>
      <c r="G58" s="1154" t="s">
        <v>4197</v>
      </c>
      <c r="H58" s="1447"/>
    </row>
    <row r="59" spans="1:8" s="1019" customFormat="1" ht="12.75" customHeight="1" x14ac:dyDescent="0.2">
      <c r="A59" s="1020">
        <f t="shared" si="5"/>
        <v>40</v>
      </c>
      <c r="B59" s="1150" t="s">
        <v>1539</v>
      </c>
      <c r="C59" s="1097">
        <v>5500</v>
      </c>
      <c r="D59" s="1097">
        <v>5500</v>
      </c>
      <c r="E59" s="1097">
        <v>5500</v>
      </c>
      <c r="F59" s="1154">
        <f t="shared" si="4"/>
        <v>100</v>
      </c>
      <c r="G59" s="1154" t="s">
        <v>4197</v>
      </c>
      <c r="H59" s="1447"/>
    </row>
    <row r="60" spans="1:8" s="1019" customFormat="1" ht="12.75" customHeight="1" x14ac:dyDescent="0.2">
      <c r="A60" s="1020">
        <f t="shared" si="5"/>
        <v>41</v>
      </c>
      <c r="B60" s="1150" t="s">
        <v>1541</v>
      </c>
      <c r="C60" s="1097">
        <v>2500</v>
      </c>
      <c r="D60" s="1097">
        <v>2500</v>
      </c>
      <c r="E60" s="1097">
        <v>2500</v>
      </c>
      <c r="F60" s="1154">
        <f t="shared" si="4"/>
        <v>100</v>
      </c>
      <c r="G60" s="1154" t="s">
        <v>4197</v>
      </c>
      <c r="H60" s="1447"/>
    </row>
    <row r="61" spans="1:8" s="1019" customFormat="1" ht="12.75" customHeight="1" x14ac:dyDescent="0.2">
      <c r="A61" s="1020">
        <f t="shared" si="5"/>
        <v>42</v>
      </c>
      <c r="B61" s="1150" t="s">
        <v>1543</v>
      </c>
      <c r="C61" s="1097">
        <v>4000</v>
      </c>
      <c r="D61" s="1097">
        <v>4000</v>
      </c>
      <c r="E61" s="1097">
        <v>4000</v>
      </c>
      <c r="F61" s="1154">
        <f t="shared" si="4"/>
        <v>100</v>
      </c>
      <c r="G61" s="1154" t="s">
        <v>4197</v>
      </c>
      <c r="H61" s="1447"/>
    </row>
    <row r="62" spans="1:8" s="1019" customFormat="1" ht="12.75" customHeight="1" x14ac:dyDescent="0.2">
      <c r="A62" s="1020">
        <f t="shared" si="5"/>
        <v>43</v>
      </c>
      <c r="B62" s="1150" t="s">
        <v>4787</v>
      </c>
      <c r="C62" s="1097">
        <v>4000</v>
      </c>
      <c r="D62" s="1097">
        <v>4000</v>
      </c>
      <c r="E62" s="1097">
        <v>4000</v>
      </c>
      <c r="F62" s="1154">
        <f t="shared" si="4"/>
        <v>100</v>
      </c>
      <c r="G62" s="1154" t="s">
        <v>4197</v>
      </c>
      <c r="H62" s="1447"/>
    </row>
    <row r="63" spans="1:8" s="1019" customFormat="1" ht="12.75" customHeight="1" x14ac:dyDescent="0.2">
      <c r="A63" s="1020">
        <f t="shared" si="5"/>
        <v>44</v>
      </c>
      <c r="B63" s="1150" t="s">
        <v>1549</v>
      </c>
      <c r="C63" s="1097">
        <v>3000</v>
      </c>
      <c r="D63" s="1097">
        <v>3000</v>
      </c>
      <c r="E63" s="1097">
        <v>3000</v>
      </c>
      <c r="F63" s="1154">
        <f t="shared" si="4"/>
        <v>100</v>
      </c>
      <c r="G63" s="1154" t="s">
        <v>4197</v>
      </c>
      <c r="H63" s="1447"/>
    </row>
    <row r="64" spans="1:8" s="1019" customFormat="1" ht="12.75" customHeight="1" x14ac:dyDescent="0.2">
      <c r="A64" s="1020">
        <f t="shared" si="5"/>
        <v>45</v>
      </c>
      <c r="B64" s="1150" t="s">
        <v>1551</v>
      </c>
      <c r="C64" s="1097">
        <v>1500</v>
      </c>
      <c r="D64" s="1097">
        <v>1500</v>
      </c>
      <c r="E64" s="1097">
        <v>1500</v>
      </c>
      <c r="F64" s="1154">
        <f t="shared" si="4"/>
        <v>100</v>
      </c>
      <c r="G64" s="1154" t="s">
        <v>4197</v>
      </c>
      <c r="H64" s="1447"/>
    </row>
    <row r="65" spans="1:8" s="1019" customFormat="1" ht="12.75" customHeight="1" x14ac:dyDescent="0.2">
      <c r="A65" s="1020">
        <f t="shared" si="5"/>
        <v>46</v>
      </c>
      <c r="B65" s="1150" t="s">
        <v>1553</v>
      </c>
      <c r="C65" s="1097">
        <v>2000</v>
      </c>
      <c r="D65" s="1097">
        <v>2000</v>
      </c>
      <c r="E65" s="1097">
        <v>2000</v>
      </c>
      <c r="F65" s="1154">
        <f t="shared" si="4"/>
        <v>100</v>
      </c>
      <c r="G65" s="1154" t="s">
        <v>4197</v>
      </c>
      <c r="H65" s="1447"/>
    </row>
    <row r="66" spans="1:8" s="1019" customFormat="1" ht="24" customHeight="1" x14ac:dyDescent="0.2">
      <c r="A66" s="1020">
        <f t="shared" si="5"/>
        <v>47</v>
      </c>
      <c r="B66" s="1150" t="s">
        <v>1555</v>
      </c>
      <c r="C66" s="1097">
        <v>1500</v>
      </c>
      <c r="D66" s="1097">
        <v>1500</v>
      </c>
      <c r="E66" s="1097">
        <v>1500</v>
      </c>
      <c r="F66" s="1154">
        <f t="shared" si="4"/>
        <v>100</v>
      </c>
      <c r="G66" s="1154" t="s">
        <v>4197</v>
      </c>
      <c r="H66" s="1447"/>
    </row>
    <row r="67" spans="1:8" s="1019" customFormat="1" ht="12.75" customHeight="1" x14ac:dyDescent="0.2">
      <c r="A67" s="1020">
        <f t="shared" si="5"/>
        <v>48</v>
      </c>
      <c r="B67" s="1150" t="s">
        <v>1557</v>
      </c>
      <c r="C67" s="1097">
        <v>2500</v>
      </c>
      <c r="D67" s="1097">
        <v>2500</v>
      </c>
      <c r="E67" s="1097">
        <v>2500</v>
      </c>
      <c r="F67" s="1154">
        <f t="shared" si="4"/>
        <v>100</v>
      </c>
      <c r="G67" s="1154" t="s">
        <v>4197</v>
      </c>
      <c r="H67" s="1447"/>
    </row>
    <row r="68" spans="1:8" s="1019" customFormat="1" ht="12.75" customHeight="1" x14ac:dyDescent="0.2">
      <c r="A68" s="1020">
        <f t="shared" si="5"/>
        <v>49</v>
      </c>
      <c r="B68" s="1150" t="s">
        <v>1559</v>
      </c>
      <c r="C68" s="1097">
        <v>9000</v>
      </c>
      <c r="D68" s="1097">
        <v>9000</v>
      </c>
      <c r="E68" s="1097">
        <v>9000</v>
      </c>
      <c r="F68" s="1154">
        <f t="shared" si="4"/>
        <v>100</v>
      </c>
      <c r="G68" s="1154" t="s">
        <v>4197</v>
      </c>
      <c r="H68" s="1447"/>
    </row>
    <row r="69" spans="1:8" s="1019" customFormat="1" ht="12.75" customHeight="1" x14ac:dyDescent="0.2">
      <c r="A69" s="1020">
        <f t="shared" si="5"/>
        <v>50</v>
      </c>
      <c r="B69" s="1150" t="s">
        <v>1561</v>
      </c>
      <c r="C69" s="1097">
        <v>1500</v>
      </c>
      <c r="D69" s="1097">
        <v>1500</v>
      </c>
      <c r="E69" s="1097">
        <v>1500</v>
      </c>
      <c r="F69" s="1154">
        <f t="shared" si="4"/>
        <v>100</v>
      </c>
      <c r="G69" s="1154" t="s">
        <v>4197</v>
      </c>
      <c r="H69" s="1447"/>
    </row>
    <row r="70" spans="1:8" s="1019" customFormat="1" ht="12.75" customHeight="1" x14ac:dyDescent="0.2">
      <c r="A70" s="1020">
        <f t="shared" si="5"/>
        <v>51</v>
      </c>
      <c r="B70" s="1150" t="s">
        <v>1563</v>
      </c>
      <c r="C70" s="1097">
        <v>2500</v>
      </c>
      <c r="D70" s="1097">
        <v>2500</v>
      </c>
      <c r="E70" s="1097">
        <v>2500</v>
      </c>
      <c r="F70" s="1154">
        <f t="shared" si="4"/>
        <v>100</v>
      </c>
      <c r="G70" s="1154" t="s">
        <v>4197</v>
      </c>
      <c r="H70" s="1447"/>
    </row>
    <row r="71" spans="1:8" s="1019" customFormat="1" ht="12.75" customHeight="1" x14ac:dyDescent="0.2">
      <c r="A71" s="1020">
        <f t="shared" si="5"/>
        <v>52</v>
      </c>
      <c r="B71" s="1150" t="s">
        <v>1565</v>
      </c>
      <c r="C71" s="1097">
        <v>3000</v>
      </c>
      <c r="D71" s="1097">
        <v>3000</v>
      </c>
      <c r="E71" s="1097">
        <v>3000</v>
      </c>
      <c r="F71" s="1154">
        <f t="shared" si="4"/>
        <v>100</v>
      </c>
      <c r="G71" s="1154" t="s">
        <v>4197</v>
      </c>
      <c r="H71" s="1447"/>
    </row>
    <row r="72" spans="1:8" s="1019" customFormat="1" ht="12.75" customHeight="1" x14ac:dyDescent="0.2">
      <c r="A72" s="1020">
        <f t="shared" si="5"/>
        <v>53</v>
      </c>
      <c r="B72" s="1150" t="s">
        <v>1567</v>
      </c>
      <c r="C72" s="1097">
        <v>3500</v>
      </c>
      <c r="D72" s="1097">
        <v>3500</v>
      </c>
      <c r="E72" s="1097">
        <v>3500</v>
      </c>
      <c r="F72" s="1154">
        <f t="shared" si="4"/>
        <v>100</v>
      </c>
      <c r="G72" s="1154" t="s">
        <v>4197</v>
      </c>
      <c r="H72" s="1447"/>
    </row>
    <row r="73" spans="1:8" s="1019" customFormat="1" ht="12.75" customHeight="1" x14ac:dyDescent="0.2">
      <c r="A73" s="1020">
        <f t="shared" si="5"/>
        <v>54</v>
      </c>
      <c r="B73" s="1150" t="s">
        <v>1569</v>
      </c>
      <c r="C73" s="1097">
        <v>3000</v>
      </c>
      <c r="D73" s="1097">
        <v>3000</v>
      </c>
      <c r="E73" s="1097">
        <v>3000</v>
      </c>
      <c r="F73" s="1154">
        <f t="shared" si="4"/>
        <v>100</v>
      </c>
      <c r="G73" s="1154" t="s">
        <v>4197</v>
      </c>
      <c r="H73" s="1447"/>
    </row>
    <row r="74" spans="1:8" s="1019" customFormat="1" ht="12.75" customHeight="1" x14ac:dyDescent="0.2">
      <c r="A74" s="1020">
        <f t="shared" si="5"/>
        <v>55</v>
      </c>
      <c r="B74" s="1150" t="s">
        <v>1571</v>
      </c>
      <c r="C74" s="1097">
        <v>2000</v>
      </c>
      <c r="D74" s="1097">
        <v>2000</v>
      </c>
      <c r="E74" s="1097">
        <v>2000</v>
      </c>
      <c r="F74" s="1154">
        <f t="shared" si="4"/>
        <v>100</v>
      </c>
      <c r="G74" s="1154" t="s">
        <v>4197</v>
      </c>
      <c r="H74" s="1447"/>
    </row>
    <row r="75" spans="1:8" s="1019" customFormat="1" ht="12.75" customHeight="1" x14ac:dyDescent="0.2">
      <c r="A75" s="1020">
        <f t="shared" si="5"/>
        <v>56</v>
      </c>
      <c r="B75" s="1150" t="s">
        <v>1573</v>
      </c>
      <c r="C75" s="1097">
        <v>1500</v>
      </c>
      <c r="D75" s="1097">
        <v>1500</v>
      </c>
      <c r="E75" s="1097">
        <v>1500</v>
      </c>
      <c r="F75" s="1154">
        <f t="shared" si="4"/>
        <v>100</v>
      </c>
      <c r="G75" s="1154" t="s">
        <v>4197</v>
      </c>
      <c r="H75" s="1447"/>
    </row>
    <row r="76" spans="1:8" s="1019" customFormat="1" ht="24.75" customHeight="1" x14ac:dyDescent="0.2">
      <c r="A76" s="1020">
        <f t="shared" si="5"/>
        <v>57</v>
      </c>
      <c r="B76" s="1150" t="s">
        <v>1575</v>
      </c>
      <c r="C76" s="1097">
        <v>2000</v>
      </c>
      <c r="D76" s="1097">
        <v>2000</v>
      </c>
      <c r="E76" s="1097">
        <v>2000</v>
      </c>
      <c r="F76" s="1154">
        <f t="shared" si="4"/>
        <v>100</v>
      </c>
      <c r="G76" s="1154" t="s">
        <v>4197</v>
      </c>
      <c r="H76" s="1448"/>
    </row>
    <row r="77" spans="1:8" s="977" customFormat="1" ht="13.5" customHeight="1" thickBot="1" x14ac:dyDescent="0.25">
      <c r="A77" s="1444" t="s">
        <v>477</v>
      </c>
      <c r="B77" s="1445"/>
      <c r="C77" s="1040">
        <f>SUM(C56:C76)</f>
        <v>70000</v>
      </c>
      <c r="D77" s="1040">
        <f>SUM(D56:D76)</f>
        <v>70000</v>
      </c>
      <c r="E77" s="1040">
        <f>SUM(E56:E76)</f>
        <v>70000</v>
      </c>
      <c r="F77" s="1167">
        <f t="shared" si="4"/>
        <v>100</v>
      </c>
      <c r="G77" s="1054"/>
      <c r="H77" s="1043"/>
    </row>
    <row r="78" spans="1:8" ht="18" customHeight="1" thickBot="1" x14ac:dyDescent="0.2">
      <c r="A78" s="1006" t="s">
        <v>4220</v>
      </c>
      <c r="B78" s="1168"/>
      <c r="C78" s="1169"/>
      <c r="D78" s="1169"/>
      <c r="E78" s="1170"/>
      <c r="F78" s="1171"/>
      <c r="G78" s="1172"/>
      <c r="H78" s="1173"/>
    </row>
    <row r="79" spans="1:8" s="977" customFormat="1" ht="105" x14ac:dyDescent="0.2">
      <c r="A79" s="1013">
        <f>A76+1</f>
        <v>58</v>
      </c>
      <c r="B79" s="1174" t="s">
        <v>606</v>
      </c>
      <c r="C79" s="1165">
        <v>0</v>
      </c>
      <c r="D79" s="1165">
        <v>39606.86</v>
      </c>
      <c r="E79" s="1165">
        <v>1047.9603199999999</v>
      </c>
      <c r="F79" s="1077">
        <f t="shared" ref="F79:F87" si="6">E79/D79*100</f>
        <v>2.6459060879857681</v>
      </c>
      <c r="G79" s="1101" t="s">
        <v>4203</v>
      </c>
      <c r="H79" s="1061" t="s">
        <v>4457</v>
      </c>
    </row>
    <row r="80" spans="1:8" s="977" customFormat="1" ht="84" x14ac:dyDescent="0.2">
      <c r="A80" s="1020">
        <f t="shared" ref="A80:A104" si="7">A79+1</f>
        <v>59</v>
      </c>
      <c r="B80" s="1153" t="s">
        <v>604</v>
      </c>
      <c r="C80" s="1154">
        <v>0</v>
      </c>
      <c r="D80" s="1154">
        <v>500</v>
      </c>
      <c r="E80" s="1154">
        <v>250</v>
      </c>
      <c r="F80" s="1082">
        <f t="shared" si="6"/>
        <v>50</v>
      </c>
      <c r="G80" s="1125" t="s">
        <v>4203</v>
      </c>
      <c r="H80" s="1175" t="s">
        <v>4458</v>
      </c>
    </row>
    <row r="81" spans="1:8" s="977" customFormat="1" ht="24" customHeight="1" x14ac:dyDescent="0.2">
      <c r="A81" s="1020">
        <f t="shared" si="7"/>
        <v>60</v>
      </c>
      <c r="B81" s="1153" t="s">
        <v>603</v>
      </c>
      <c r="C81" s="1154">
        <v>0</v>
      </c>
      <c r="D81" s="1154">
        <v>10377.100000000002</v>
      </c>
      <c r="E81" s="1154">
        <v>10376.855299999999</v>
      </c>
      <c r="F81" s="1082">
        <f t="shared" si="6"/>
        <v>99.997641923080607</v>
      </c>
      <c r="G81" s="1024" t="s">
        <v>4199</v>
      </c>
      <c r="H81" s="1025" t="s">
        <v>488</v>
      </c>
    </row>
    <row r="82" spans="1:8" s="977" customFormat="1" ht="24" customHeight="1" x14ac:dyDescent="0.2">
      <c r="A82" s="1020">
        <f t="shared" si="7"/>
        <v>61</v>
      </c>
      <c r="B82" s="1153" t="s">
        <v>602</v>
      </c>
      <c r="C82" s="1154">
        <v>1900</v>
      </c>
      <c r="D82" s="1154">
        <v>1900</v>
      </c>
      <c r="E82" s="1154">
        <v>1084.7514799999999</v>
      </c>
      <c r="F82" s="1082">
        <f t="shared" si="6"/>
        <v>57.092183157894723</v>
      </c>
      <c r="G82" s="1024" t="s">
        <v>4199</v>
      </c>
      <c r="H82" s="1062" t="s">
        <v>4459</v>
      </c>
    </row>
    <row r="83" spans="1:8" s="977" customFormat="1" ht="73.5" x14ac:dyDescent="0.2">
      <c r="A83" s="1020">
        <f t="shared" si="7"/>
        <v>62</v>
      </c>
      <c r="B83" s="1153" t="s">
        <v>4460</v>
      </c>
      <c r="C83" s="1154">
        <v>3500</v>
      </c>
      <c r="D83" s="1154">
        <v>3500</v>
      </c>
      <c r="E83" s="1154">
        <v>0</v>
      </c>
      <c r="F83" s="1082">
        <f t="shared" si="6"/>
        <v>0</v>
      </c>
      <c r="G83" s="1133" t="s">
        <v>4461</v>
      </c>
      <c r="H83" s="1062" t="s">
        <v>4462</v>
      </c>
    </row>
    <row r="84" spans="1:8" s="977" customFormat="1" ht="126" x14ac:dyDescent="0.2">
      <c r="A84" s="1020">
        <f t="shared" si="7"/>
        <v>63</v>
      </c>
      <c r="B84" s="1153" t="s">
        <v>601</v>
      </c>
      <c r="C84" s="1154">
        <v>2500</v>
      </c>
      <c r="D84" s="1154">
        <v>2500</v>
      </c>
      <c r="E84" s="1154">
        <v>121</v>
      </c>
      <c r="F84" s="1082">
        <f t="shared" si="6"/>
        <v>4.84</v>
      </c>
      <c r="G84" s="1133" t="s">
        <v>4203</v>
      </c>
      <c r="H84" s="1025" t="s">
        <v>4463</v>
      </c>
    </row>
    <row r="85" spans="1:8" s="977" customFormat="1" ht="136.5" x14ac:dyDescent="0.2">
      <c r="A85" s="1020">
        <f t="shared" si="7"/>
        <v>64</v>
      </c>
      <c r="B85" s="1153" t="s">
        <v>600</v>
      </c>
      <c r="C85" s="1154">
        <v>1000</v>
      </c>
      <c r="D85" s="1154">
        <v>1000</v>
      </c>
      <c r="E85" s="1154">
        <v>12.1</v>
      </c>
      <c r="F85" s="1082">
        <f t="shared" si="6"/>
        <v>1.21</v>
      </c>
      <c r="G85" s="1133" t="s">
        <v>4203</v>
      </c>
      <c r="H85" s="1025" t="s">
        <v>4464</v>
      </c>
    </row>
    <row r="86" spans="1:8" s="977" customFormat="1" ht="42" x14ac:dyDescent="0.2">
      <c r="A86" s="1020">
        <f t="shared" si="7"/>
        <v>65</v>
      </c>
      <c r="B86" s="1153" t="s">
        <v>599</v>
      </c>
      <c r="C86" s="1154">
        <v>700</v>
      </c>
      <c r="D86" s="1154">
        <v>700</v>
      </c>
      <c r="E86" s="1154">
        <v>671.91917000000001</v>
      </c>
      <c r="F86" s="1082">
        <f t="shared" si="6"/>
        <v>95.98845285714286</v>
      </c>
      <c r="G86" s="1176" t="s">
        <v>4203</v>
      </c>
      <c r="H86" s="1177" t="s">
        <v>4465</v>
      </c>
    </row>
    <row r="87" spans="1:8" s="977" customFormat="1" ht="157.5" x14ac:dyDescent="0.2">
      <c r="A87" s="1020">
        <f t="shared" si="7"/>
        <v>66</v>
      </c>
      <c r="B87" s="1153" t="s">
        <v>598</v>
      </c>
      <c r="C87" s="1154">
        <v>2000</v>
      </c>
      <c r="D87" s="1154">
        <v>2000</v>
      </c>
      <c r="E87" s="1154">
        <v>4.2350000000000003</v>
      </c>
      <c r="F87" s="1082">
        <f t="shared" si="6"/>
        <v>0.21174999999999999</v>
      </c>
      <c r="G87" s="1176" t="s">
        <v>4203</v>
      </c>
      <c r="H87" s="1178" t="s">
        <v>4466</v>
      </c>
    </row>
    <row r="88" spans="1:8" s="977" customFormat="1" ht="94.5" x14ac:dyDescent="0.2">
      <c r="A88" s="1020">
        <f t="shared" si="7"/>
        <v>67</v>
      </c>
      <c r="B88" s="1153" t="s">
        <v>4467</v>
      </c>
      <c r="C88" s="1154">
        <v>500</v>
      </c>
      <c r="D88" s="1154">
        <v>0</v>
      </c>
      <c r="E88" s="1154">
        <v>0</v>
      </c>
      <c r="F88" s="1082" t="s">
        <v>279</v>
      </c>
      <c r="G88" s="1024" t="s">
        <v>4199</v>
      </c>
      <c r="H88" s="1178" t="s">
        <v>4468</v>
      </c>
    </row>
    <row r="89" spans="1:8" s="977" customFormat="1" ht="168" x14ac:dyDescent="0.2">
      <c r="A89" s="1020">
        <f t="shared" si="7"/>
        <v>68</v>
      </c>
      <c r="B89" s="1153" t="s">
        <v>4469</v>
      </c>
      <c r="C89" s="1154">
        <v>1100</v>
      </c>
      <c r="D89" s="1154">
        <v>1100</v>
      </c>
      <c r="E89" s="1154">
        <v>0</v>
      </c>
      <c r="F89" s="1082">
        <f t="shared" ref="F89:F105" si="8">E89/D89*100</f>
        <v>0</v>
      </c>
      <c r="G89" s="1176" t="s">
        <v>4203</v>
      </c>
      <c r="H89" s="1025" t="s">
        <v>4470</v>
      </c>
    </row>
    <row r="90" spans="1:8" s="977" customFormat="1" ht="24" customHeight="1" x14ac:dyDescent="0.2">
      <c r="A90" s="1020">
        <f t="shared" si="7"/>
        <v>69</v>
      </c>
      <c r="B90" s="1153" t="s">
        <v>596</v>
      </c>
      <c r="C90" s="1154">
        <v>600</v>
      </c>
      <c r="D90" s="1154">
        <v>600</v>
      </c>
      <c r="E90" s="1154">
        <v>599.15</v>
      </c>
      <c r="F90" s="1082">
        <f t="shared" si="8"/>
        <v>99.85833333333332</v>
      </c>
      <c r="G90" s="1024" t="s">
        <v>4199</v>
      </c>
      <c r="H90" s="1025" t="s">
        <v>597</v>
      </c>
    </row>
    <row r="91" spans="1:8" s="977" customFormat="1" ht="24" customHeight="1" x14ac:dyDescent="0.2">
      <c r="A91" s="1020">
        <f t="shared" si="7"/>
        <v>70</v>
      </c>
      <c r="B91" s="1153" t="s">
        <v>595</v>
      </c>
      <c r="C91" s="1154">
        <v>600</v>
      </c>
      <c r="D91" s="1154">
        <v>600</v>
      </c>
      <c r="E91" s="1154">
        <v>424.63799999999998</v>
      </c>
      <c r="F91" s="1082">
        <f t="shared" si="8"/>
        <v>70.772999999999996</v>
      </c>
      <c r="G91" s="1024" t="s">
        <v>4199</v>
      </c>
      <c r="H91" s="1062" t="s">
        <v>4459</v>
      </c>
    </row>
    <row r="92" spans="1:8" s="977" customFormat="1" ht="42" x14ac:dyDescent="0.2">
      <c r="A92" s="1020">
        <f t="shared" si="7"/>
        <v>71</v>
      </c>
      <c r="B92" s="1153" t="s">
        <v>594</v>
      </c>
      <c r="C92" s="1154">
        <v>1500</v>
      </c>
      <c r="D92" s="1154">
        <v>1500</v>
      </c>
      <c r="E92" s="1154">
        <v>1500</v>
      </c>
      <c r="F92" s="1082">
        <f t="shared" si="8"/>
        <v>100</v>
      </c>
      <c r="G92" s="1133" t="s">
        <v>4203</v>
      </c>
      <c r="H92" s="1025" t="s">
        <v>4471</v>
      </c>
    </row>
    <row r="93" spans="1:8" s="977" customFormat="1" ht="24" customHeight="1" x14ac:dyDescent="0.2">
      <c r="A93" s="1020">
        <f t="shared" si="7"/>
        <v>72</v>
      </c>
      <c r="B93" s="1153" t="s">
        <v>593</v>
      </c>
      <c r="C93" s="1154">
        <v>600</v>
      </c>
      <c r="D93" s="1154">
        <v>600</v>
      </c>
      <c r="E93" s="1154">
        <v>600</v>
      </c>
      <c r="F93" s="1082">
        <f t="shared" si="8"/>
        <v>100</v>
      </c>
      <c r="G93" s="1024" t="s">
        <v>4199</v>
      </c>
      <c r="H93" s="1062" t="s">
        <v>488</v>
      </c>
    </row>
    <row r="94" spans="1:8" s="977" customFormat="1" ht="241.5" x14ac:dyDescent="0.2">
      <c r="A94" s="1020">
        <f t="shared" si="7"/>
        <v>73</v>
      </c>
      <c r="B94" s="1153" t="s">
        <v>4472</v>
      </c>
      <c r="C94" s="1154">
        <v>900</v>
      </c>
      <c r="D94" s="1154">
        <v>900</v>
      </c>
      <c r="E94" s="1154">
        <v>0</v>
      </c>
      <c r="F94" s="1082">
        <f t="shared" si="8"/>
        <v>0</v>
      </c>
      <c r="G94" s="1133" t="s">
        <v>4203</v>
      </c>
      <c r="H94" s="1062" t="s">
        <v>4473</v>
      </c>
    </row>
    <row r="95" spans="1:8" s="977" customFormat="1" ht="24" customHeight="1" x14ac:dyDescent="0.2">
      <c r="A95" s="1020">
        <f t="shared" si="7"/>
        <v>74</v>
      </c>
      <c r="B95" s="1153" t="s">
        <v>592</v>
      </c>
      <c r="C95" s="1154">
        <v>0</v>
      </c>
      <c r="D95" s="1154">
        <v>1750</v>
      </c>
      <c r="E95" s="1154">
        <v>1750</v>
      </c>
      <c r="F95" s="1082">
        <f t="shared" si="8"/>
        <v>100</v>
      </c>
      <c r="G95" s="1024" t="s">
        <v>4199</v>
      </c>
      <c r="H95" s="1025" t="s">
        <v>597</v>
      </c>
    </row>
    <row r="96" spans="1:8" s="977" customFormat="1" ht="63" x14ac:dyDescent="0.2">
      <c r="A96" s="1020">
        <f t="shared" si="7"/>
        <v>75</v>
      </c>
      <c r="B96" s="1153" t="s">
        <v>4474</v>
      </c>
      <c r="C96" s="1154">
        <v>0</v>
      </c>
      <c r="D96" s="1154">
        <v>300</v>
      </c>
      <c r="E96" s="1154">
        <v>0</v>
      </c>
      <c r="F96" s="1082">
        <f t="shared" si="8"/>
        <v>0</v>
      </c>
      <c r="G96" s="1133" t="s">
        <v>4203</v>
      </c>
      <c r="H96" s="1025" t="s">
        <v>4475</v>
      </c>
    </row>
    <row r="97" spans="1:8" s="977" customFormat="1" ht="63" x14ac:dyDescent="0.2">
      <c r="A97" s="1020">
        <f t="shared" si="7"/>
        <v>76</v>
      </c>
      <c r="B97" s="1153" t="s">
        <v>4476</v>
      </c>
      <c r="C97" s="1154">
        <v>0</v>
      </c>
      <c r="D97" s="1154">
        <v>1000</v>
      </c>
      <c r="E97" s="1154">
        <v>0</v>
      </c>
      <c r="F97" s="1082">
        <f t="shared" si="8"/>
        <v>0</v>
      </c>
      <c r="G97" s="1133" t="s">
        <v>4203</v>
      </c>
      <c r="H97" s="1025" t="s">
        <v>4477</v>
      </c>
    </row>
    <row r="98" spans="1:8" s="977" customFormat="1" ht="31.5" x14ac:dyDescent="0.2">
      <c r="A98" s="1020">
        <f t="shared" si="7"/>
        <v>77</v>
      </c>
      <c r="B98" s="1153" t="s">
        <v>591</v>
      </c>
      <c r="C98" s="1154">
        <v>0</v>
      </c>
      <c r="D98" s="1154">
        <v>700</v>
      </c>
      <c r="E98" s="1154">
        <v>700</v>
      </c>
      <c r="F98" s="1082">
        <f t="shared" si="8"/>
        <v>100</v>
      </c>
      <c r="G98" s="1024" t="s">
        <v>4199</v>
      </c>
      <c r="H98" s="1025" t="s">
        <v>597</v>
      </c>
    </row>
    <row r="99" spans="1:8" s="977" customFormat="1" ht="34.5" customHeight="1" x14ac:dyDescent="0.2">
      <c r="A99" s="1020">
        <f t="shared" si="7"/>
        <v>78</v>
      </c>
      <c r="B99" s="1153" t="s">
        <v>590</v>
      </c>
      <c r="C99" s="1154">
        <v>0</v>
      </c>
      <c r="D99" s="1154">
        <v>1100</v>
      </c>
      <c r="E99" s="1154">
        <v>1100</v>
      </c>
      <c r="F99" s="1082">
        <f t="shared" si="8"/>
        <v>100</v>
      </c>
      <c r="G99" s="1024" t="s">
        <v>4199</v>
      </c>
      <c r="H99" s="1025" t="s">
        <v>597</v>
      </c>
    </row>
    <row r="100" spans="1:8" s="977" customFormat="1" ht="24" customHeight="1" x14ac:dyDescent="0.2">
      <c r="A100" s="1020">
        <f t="shared" si="7"/>
        <v>79</v>
      </c>
      <c r="B100" s="1153" t="s">
        <v>589</v>
      </c>
      <c r="C100" s="1154">
        <v>0</v>
      </c>
      <c r="D100" s="1154">
        <v>150</v>
      </c>
      <c r="E100" s="1154">
        <v>150</v>
      </c>
      <c r="F100" s="1082">
        <f t="shared" si="8"/>
        <v>100</v>
      </c>
      <c r="G100" s="1024" t="s">
        <v>4199</v>
      </c>
      <c r="H100" s="1025" t="s">
        <v>597</v>
      </c>
    </row>
    <row r="101" spans="1:8" s="977" customFormat="1" ht="24" customHeight="1" x14ac:dyDescent="0.2">
      <c r="A101" s="1020">
        <f t="shared" si="7"/>
        <v>80</v>
      </c>
      <c r="B101" s="1153" t="s">
        <v>588</v>
      </c>
      <c r="C101" s="1154">
        <v>0</v>
      </c>
      <c r="D101" s="1154">
        <v>150</v>
      </c>
      <c r="E101" s="1154">
        <v>150</v>
      </c>
      <c r="F101" s="1082">
        <f t="shared" si="8"/>
        <v>100</v>
      </c>
      <c r="G101" s="1024" t="s">
        <v>4199</v>
      </c>
      <c r="H101" s="1025" t="s">
        <v>597</v>
      </c>
    </row>
    <row r="102" spans="1:8" s="977" customFormat="1" ht="31.5" x14ac:dyDescent="0.2">
      <c r="A102" s="1020">
        <f t="shared" si="7"/>
        <v>81</v>
      </c>
      <c r="B102" s="1153" t="s">
        <v>587</v>
      </c>
      <c r="C102" s="1154">
        <v>0</v>
      </c>
      <c r="D102" s="1154">
        <v>450</v>
      </c>
      <c r="E102" s="1154">
        <v>450</v>
      </c>
      <c r="F102" s="1082">
        <f t="shared" si="8"/>
        <v>100</v>
      </c>
      <c r="G102" s="1024" t="s">
        <v>4199</v>
      </c>
      <c r="H102" s="1025" t="s">
        <v>597</v>
      </c>
    </row>
    <row r="103" spans="1:8" s="977" customFormat="1" ht="24" customHeight="1" x14ac:dyDescent="0.2">
      <c r="A103" s="1020">
        <f t="shared" si="7"/>
        <v>82</v>
      </c>
      <c r="B103" s="1153" t="s">
        <v>586</v>
      </c>
      <c r="C103" s="1154">
        <v>0</v>
      </c>
      <c r="D103" s="1154">
        <v>150</v>
      </c>
      <c r="E103" s="1154">
        <v>150</v>
      </c>
      <c r="F103" s="1082">
        <f t="shared" si="8"/>
        <v>100</v>
      </c>
      <c r="G103" s="1024" t="s">
        <v>4199</v>
      </c>
      <c r="H103" s="1025" t="s">
        <v>597</v>
      </c>
    </row>
    <row r="104" spans="1:8" s="977" customFormat="1" ht="31.5" x14ac:dyDescent="0.2">
      <c r="A104" s="1020">
        <f t="shared" si="7"/>
        <v>83</v>
      </c>
      <c r="B104" s="1153" t="s">
        <v>585</v>
      </c>
      <c r="C104" s="1154">
        <v>0</v>
      </c>
      <c r="D104" s="1154">
        <v>200</v>
      </c>
      <c r="E104" s="1154">
        <v>200</v>
      </c>
      <c r="F104" s="1082">
        <f t="shared" si="8"/>
        <v>100</v>
      </c>
      <c r="G104" s="1024" t="s">
        <v>4199</v>
      </c>
      <c r="H104" s="1025" t="s">
        <v>597</v>
      </c>
    </row>
    <row r="105" spans="1:8" s="977" customFormat="1" ht="13.5" customHeight="1" thickBot="1" x14ac:dyDescent="0.25">
      <c r="A105" s="1442" t="s">
        <v>477</v>
      </c>
      <c r="B105" s="1443"/>
      <c r="C105" s="1039">
        <f>SUM(C79:C104)</f>
        <v>17400</v>
      </c>
      <c r="D105" s="1063">
        <f>SUM(D79:D104)</f>
        <v>73333.960000000006</v>
      </c>
      <c r="E105" s="1063">
        <f>SUM(E79:E104)</f>
        <v>21342.609270000001</v>
      </c>
      <c r="F105" s="1064">
        <f t="shared" si="8"/>
        <v>29.103309394446992</v>
      </c>
      <c r="G105" s="1042"/>
      <c r="H105" s="1065"/>
    </row>
    <row r="106" spans="1:8" ht="18" customHeight="1" thickBot="1" x14ac:dyDescent="0.2">
      <c r="A106" s="1006" t="s">
        <v>4192</v>
      </c>
      <c r="B106" s="1179"/>
      <c r="C106" s="1180"/>
      <c r="D106" s="1180"/>
      <c r="E106" s="1181"/>
      <c r="F106" s="1171"/>
      <c r="G106" s="1182"/>
      <c r="H106" s="1173"/>
    </row>
    <row r="107" spans="1:8" s="977" customFormat="1" ht="13.5" customHeight="1" x14ac:dyDescent="0.2">
      <c r="A107" s="1013">
        <f>A104+1</f>
        <v>84</v>
      </c>
      <c r="B107" s="1174" t="s">
        <v>1303</v>
      </c>
      <c r="C107" s="1165">
        <v>2000</v>
      </c>
      <c r="D107" s="1165">
        <v>5754.6100000000006</v>
      </c>
      <c r="E107" s="1165">
        <v>5722.7083999999995</v>
      </c>
      <c r="F107" s="1077">
        <f t="shared" ref="F107:F138" si="9">E107/D107*100</f>
        <v>99.445634022114433</v>
      </c>
      <c r="G107" s="1017" t="s">
        <v>4199</v>
      </c>
      <c r="H107" s="1018" t="s">
        <v>597</v>
      </c>
    </row>
    <row r="108" spans="1:8" s="977" customFormat="1" ht="12.75" customHeight="1" x14ac:dyDescent="0.2">
      <c r="A108" s="1020">
        <f t="shared" ref="A108:A137" si="10">A107+1</f>
        <v>85</v>
      </c>
      <c r="B108" s="1153" t="s">
        <v>1304</v>
      </c>
      <c r="C108" s="1154">
        <v>16405</v>
      </c>
      <c r="D108" s="1154">
        <v>27850.44</v>
      </c>
      <c r="E108" s="1154">
        <v>27101.97867</v>
      </c>
      <c r="F108" s="1082">
        <f t="shared" si="9"/>
        <v>97.312569101242204</v>
      </c>
      <c r="G108" s="1133" t="s">
        <v>4199</v>
      </c>
      <c r="H108" s="1062" t="s">
        <v>597</v>
      </c>
    </row>
    <row r="109" spans="1:8" s="977" customFormat="1" ht="24" customHeight="1" x14ac:dyDescent="0.2">
      <c r="A109" s="1020">
        <f t="shared" si="10"/>
        <v>86</v>
      </c>
      <c r="B109" s="1153" t="s">
        <v>1307</v>
      </c>
      <c r="C109" s="1154">
        <v>0</v>
      </c>
      <c r="D109" s="1154">
        <v>2870.7999999999997</v>
      </c>
      <c r="E109" s="1154">
        <v>2827.0508500000005</v>
      </c>
      <c r="F109" s="1082">
        <f t="shared" si="9"/>
        <v>98.476064163299455</v>
      </c>
      <c r="G109" s="1024" t="s">
        <v>4199</v>
      </c>
      <c r="H109" s="1025" t="s">
        <v>597</v>
      </c>
    </row>
    <row r="110" spans="1:8" s="977" customFormat="1" ht="52.5" x14ac:dyDescent="0.2">
      <c r="A110" s="1020">
        <f t="shared" si="10"/>
        <v>87</v>
      </c>
      <c r="B110" s="1153" t="s">
        <v>1294</v>
      </c>
      <c r="C110" s="1154">
        <v>2818</v>
      </c>
      <c r="D110" s="1154">
        <v>9643.6799999999985</v>
      </c>
      <c r="E110" s="1154">
        <v>8850.87356</v>
      </c>
      <c r="F110" s="1082">
        <f t="shared" si="9"/>
        <v>91.779005110082466</v>
      </c>
      <c r="G110" s="1024" t="s">
        <v>4199</v>
      </c>
      <c r="H110" s="1025" t="s">
        <v>4478</v>
      </c>
    </row>
    <row r="111" spans="1:8" s="977" customFormat="1" ht="105" x14ac:dyDescent="0.2">
      <c r="A111" s="1020">
        <f t="shared" si="10"/>
        <v>88</v>
      </c>
      <c r="B111" s="1153" t="s">
        <v>1306</v>
      </c>
      <c r="C111" s="1154">
        <v>15300</v>
      </c>
      <c r="D111" s="1154">
        <v>14637.58</v>
      </c>
      <c r="E111" s="1154">
        <v>12898.711950000001</v>
      </c>
      <c r="F111" s="1082">
        <f t="shared" si="9"/>
        <v>88.120522313114606</v>
      </c>
      <c r="G111" s="1133" t="s">
        <v>4203</v>
      </c>
      <c r="H111" s="1025" t="s">
        <v>4479</v>
      </c>
    </row>
    <row r="112" spans="1:8" s="977" customFormat="1" ht="52.5" x14ac:dyDescent="0.2">
      <c r="A112" s="1020">
        <f t="shared" si="10"/>
        <v>89</v>
      </c>
      <c r="B112" s="1153" t="s">
        <v>1290</v>
      </c>
      <c r="C112" s="1154">
        <v>3500</v>
      </c>
      <c r="D112" s="1154">
        <v>11082.600000000002</v>
      </c>
      <c r="E112" s="1154">
        <v>10050.190160000002</v>
      </c>
      <c r="F112" s="1082">
        <f t="shared" si="9"/>
        <v>90.684407629978523</v>
      </c>
      <c r="G112" s="1024" t="s">
        <v>4199</v>
      </c>
      <c r="H112" s="1025" t="s">
        <v>4480</v>
      </c>
    </row>
    <row r="113" spans="1:8" s="977" customFormat="1" ht="12.75" customHeight="1" x14ac:dyDescent="0.2">
      <c r="A113" s="1020">
        <f t="shared" si="10"/>
        <v>90</v>
      </c>
      <c r="B113" s="1153" t="s">
        <v>1310</v>
      </c>
      <c r="C113" s="1154">
        <v>14553</v>
      </c>
      <c r="D113" s="1154">
        <v>22768.240000000002</v>
      </c>
      <c r="E113" s="1154">
        <v>21958.490009999998</v>
      </c>
      <c r="F113" s="1082">
        <f t="shared" si="9"/>
        <v>96.443510829119845</v>
      </c>
      <c r="G113" s="1024" t="s">
        <v>4199</v>
      </c>
      <c r="H113" s="1025" t="s">
        <v>597</v>
      </c>
    </row>
    <row r="114" spans="1:8" s="977" customFormat="1" ht="12.75" customHeight="1" x14ac:dyDescent="0.2">
      <c r="A114" s="1020">
        <f t="shared" si="10"/>
        <v>91</v>
      </c>
      <c r="B114" s="1153" t="s">
        <v>1308</v>
      </c>
      <c r="C114" s="1154">
        <v>3961</v>
      </c>
      <c r="D114" s="1154">
        <v>10500.78</v>
      </c>
      <c r="E114" s="1154">
        <v>10422.180999999999</v>
      </c>
      <c r="F114" s="1082">
        <f t="shared" si="9"/>
        <v>99.251493698563337</v>
      </c>
      <c r="G114" s="1133" t="s">
        <v>4199</v>
      </c>
      <c r="H114" s="1025" t="s">
        <v>597</v>
      </c>
    </row>
    <row r="115" spans="1:8" s="977" customFormat="1" ht="73.5" x14ac:dyDescent="0.2">
      <c r="A115" s="1020">
        <f t="shared" si="10"/>
        <v>92</v>
      </c>
      <c r="B115" s="1153" t="s">
        <v>1291</v>
      </c>
      <c r="C115" s="1154">
        <v>15353</v>
      </c>
      <c r="D115" s="1154">
        <v>20565.000000000004</v>
      </c>
      <c r="E115" s="1154">
        <v>19386.986199999996</v>
      </c>
      <c r="F115" s="1082">
        <f t="shared" si="9"/>
        <v>94.271753950887387</v>
      </c>
      <c r="G115" s="1133" t="s">
        <v>4199</v>
      </c>
      <c r="H115" s="1025" t="s">
        <v>4481</v>
      </c>
    </row>
    <row r="116" spans="1:8" s="977" customFormat="1" ht="67.5" customHeight="1" x14ac:dyDescent="0.2">
      <c r="A116" s="1020">
        <f t="shared" si="10"/>
        <v>93</v>
      </c>
      <c r="B116" s="1153" t="s">
        <v>1293</v>
      </c>
      <c r="C116" s="1154">
        <v>9700</v>
      </c>
      <c r="D116" s="1154">
        <v>9298.93</v>
      </c>
      <c r="E116" s="1154">
        <v>8661.3220400000009</v>
      </c>
      <c r="F116" s="1082">
        <f t="shared" si="9"/>
        <v>93.143211530789046</v>
      </c>
      <c r="G116" s="1133" t="s">
        <v>4199</v>
      </c>
      <c r="H116" s="1025" t="s">
        <v>4482</v>
      </c>
    </row>
    <row r="117" spans="1:8" s="977" customFormat="1" ht="52.5" x14ac:dyDescent="0.2">
      <c r="A117" s="1020">
        <f t="shared" si="10"/>
        <v>94</v>
      </c>
      <c r="B117" s="1153" t="s">
        <v>1305</v>
      </c>
      <c r="C117" s="1154">
        <v>0</v>
      </c>
      <c r="D117" s="1154">
        <v>9999.9999999999982</v>
      </c>
      <c r="E117" s="1154">
        <v>7670.3685000000005</v>
      </c>
      <c r="F117" s="1082">
        <f t="shared" si="9"/>
        <v>76.703685000000021</v>
      </c>
      <c r="G117" s="1024" t="s">
        <v>4199</v>
      </c>
      <c r="H117" s="1025" t="s">
        <v>4483</v>
      </c>
    </row>
    <row r="118" spans="1:8" s="977" customFormat="1" ht="105" x14ac:dyDescent="0.2">
      <c r="A118" s="1020">
        <f t="shared" si="10"/>
        <v>95</v>
      </c>
      <c r="B118" s="1153" t="s">
        <v>1292</v>
      </c>
      <c r="C118" s="1154">
        <v>1000</v>
      </c>
      <c r="D118" s="1154">
        <v>6053.7300000000005</v>
      </c>
      <c r="E118" s="1154">
        <v>3080.4816800000003</v>
      </c>
      <c r="F118" s="1082">
        <f t="shared" si="9"/>
        <v>50.885680068321513</v>
      </c>
      <c r="G118" s="1133" t="s">
        <v>4199</v>
      </c>
      <c r="H118" s="1025" t="s">
        <v>4484</v>
      </c>
    </row>
    <row r="119" spans="1:8" s="977" customFormat="1" ht="34.5" customHeight="1" x14ac:dyDescent="0.2">
      <c r="A119" s="1020">
        <f t="shared" si="10"/>
        <v>96</v>
      </c>
      <c r="B119" s="1153" t="s">
        <v>1297</v>
      </c>
      <c r="C119" s="1154">
        <v>1000</v>
      </c>
      <c r="D119" s="1154">
        <v>5694.8399999999992</v>
      </c>
      <c r="E119" s="1154">
        <v>3463.7263800000001</v>
      </c>
      <c r="F119" s="1082">
        <f t="shared" si="9"/>
        <v>60.822189561076357</v>
      </c>
      <c r="G119" s="1133" t="s">
        <v>4199</v>
      </c>
      <c r="H119" s="1025" t="s">
        <v>4485</v>
      </c>
    </row>
    <row r="120" spans="1:8" s="977" customFormat="1" ht="12.75" customHeight="1" x14ac:dyDescent="0.2">
      <c r="A120" s="1020">
        <f t="shared" si="10"/>
        <v>97</v>
      </c>
      <c r="B120" s="1153" t="s">
        <v>1302</v>
      </c>
      <c r="C120" s="1154">
        <v>0</v>
      </c>
      <c r="D120" s="1154">
        <v>5221.1400000000003</v>
      </c>
      <c r="E120" s="1154">
        <v>4842.5175600000002</v>
      </c>
      <c r="F120" s="1082">
        <f t="shared" si="9"/>
        <v>92.748280260632725</v>
      </c>
      <c r="G120" s="1133" t="s">
        <v>4199</v>
      </c>
      <c r="H120" s="1025" t="s">
        <v>597</v>
      </c>
    </row>
    <row r="121" spans="1:8" s="977" customFormat="1" ht="21" x14ac:dyDescent="0.2">
      <c r="A121" s="1020">
        <f t="shared" si="10"/>
        <v>98</v>
      </c>
      <c r="B121" s="1153" t="s">
        <v>1309</v>
      </c>
      <c r="C121" s="1154">
        <v>0</v>
      </c>
      <c r="D121" s="1154">
        <v>5281.4500000000007</v>
      </c>
      <c r="E121" s="1154">
        <v>5181.1737800000001</v>
      </c>
      <c r="F121" s="1082">
        <f t="shared" si="9"/>
        <v>98.101350576072846</v>
      </c>
      <c r="G121" s="1133" t="s">
        <v>4199</v>
      </c>
      <c r="H121" s="1025" t="s">
        <v>597</v>
      </c>
    </row>
    <row r="122" spans="1:8" s="977" customFormat="1" ht="34.5" customHeight="1" x14ac:dyDescent="0.2">
      <c r="A122" s="1020">
        <f t="shared" si="10"/>
        <v>99</v>
      </c>
      <c r="B122" s="1153" t="s">
        <v>1296</v>
      </c>
      <c r="C122" s="1154">
        <v>0</v>
      </c>
      <c r="D122" s="1154">
        <v>2477.8700000000003</v>
      </c>
      <c r="E122" s="1154">
        <v>1699.42373</v>
      </c>
      <c r="F122" s="1082">
        <f t="shared" si="9"/>
        <v>68.584055257136157</v>
      </c>
      <c r="G122" s="1024" t="s">
        <v>4199</v>
      </c>
      <c r="H122" s="1025" t="s">
        <v>4486</v>
      </c>
    </row>
    <row r="123" spans="1:8" s="977" customFormat="1" ht="31.5" x14ac:dyDescent="0.2">
      <c r="A123" s="1020">
        <f t="shared" si="10"/>
        <v>100</v>
      </c>
      <c r="B123" s="1153" t="s">
        <v>1298</v>
      </c>
      <c r="C123" s="1154">
        <v>2000</v>
      </c>
      <c r="D123" s="1154">
        <v>7287.36</v>
      </c>
      <c r="E123" s="1154">
        <v>6670.1272200000003</v>
      </c>
      <c r="F123" s="1082">
        <f t="shared" si="9"/>
        <v>91.530090732446325</v>
      </c>
      <c r="G123" s="1024" t="s">
        <v>4199</v>
      </c>
      <c r="H123" s="1025" t="s">
        <v>4487</v>
      </c>
    </row>
    <row r="124" spans="1:8" s="977" customFormat="1" ht="34.5" customHeight="1" x14ac:dyDescent="0.2">
      <c r="A124" s="1020">
        <f t="shared" si="10"/>
        <v>101</v>
      </c>
      <c r="B124" s="1153" t="s">
        <v>1299</v>
      </c>
      <c r="C124" s="1154">
        <v>0</v>
      </c>
      <c r="D124" s="1154">
        <v>13655.240000000002</v>
      </c>
      <c r="E124" s="1154">
        <v>10246.140099999999</v>
      </c>
      <c r="F124" s="1082">
        <f t="shared" si="9"/>
        <v>75.034492985842789</v>
      </c>
      <c r="G124" s="1024" t="s">
        <v>4199</v>
      </c>
      <c r="H124" s="1025" t="s">
        <v>4486</v>
      </c>
    </row>
    <row r="125" spans="1:8" s="977" customFormat="1" ht="63" x14ac:dyDescent="0.2">
      <c r="A125" s="1020">
        <f t="shared" si="10"/>
        <v>102</v>
      </c>
      <c r="B125" s="1153" t="s">
        <v>1295</v>
      </c>
      <c r="C125" s="1154">
        <v>4000</v>
      </c>
      <c r="D125" s="1154">
        <v>52536.659999999989</v>
      </c>
      <c r="E125" s="1154">
        <v>19996.655419999999</v>
      </c>
      <c r="F125" s="1082">
        <f t="shared" si="9"/>
        <v>38.062289113925409</v>
      </c>
      <c r="G125" s="1024" t="s">
        <v>4199</v>
      </c>
      <c r="H125" s="1025" t="s">
        <v>4488</v>
      </c>
    </row>
    <row r="126" spans="1:8" s="977" customFormat="1" ht="94.5" x14ac:dyDescent="0.2">
      <c r="A126" s="1020">
        <f t="shared" si="10"/>
        <v>103</v>
      </c>
      <c r="B126" s="1153" t="s">
        <v>4489</v>
      </c>
      <c r="C126" s="1154">
        <v>2000</v>
      </c>
      <c r="D126" s="1154">
        <v>9522.7000000000025</v>
      </c>
      <c r="E126" s="1154">
        <v>5042.3808400000007</v>
      </c>
      <c r="F126" s="1082">
        <f t="shared" si="9"/>
        <v>52.951167631029008</v>
      </c>
      <c r="G126" s="1024" t="s">
        <v>4199</v>
      </c>
      <c r="H126" s="1025" t="s">
        <v>4490</v>
      </c>
    </row>
    <row r="127" spans="1:8" s="977" customFormat="1" ht="31.5" x14ac:dyDescent="0.2">
      <c r="A127" s="1020">
        <f t="shared" si="10"/>
        <v>104</v>
      </c>
      <c r="B127" s="1153" t="s">
        <v>1301</v>
      </c>
      <c r="C127" s="1154">
        <v>1000</v>
      </c>
      <c r="D127" s="1154">
        <v>7643.2</v>
      </c>
      <c r="E127" s="1154">
        <v>7057.2828099999988</v>
      </c>
      <c r="F127" s="1082">
        <f t="shared" si="9"/>
        <v>92.334137664852406</v>
      </c>
      <c r="G127" s="1024" t="s">
        <v>4199</v>
      </c>
      <c r="H127" s="1025" t="s">
        <v>4487</v>
      </c>
    </row>
    <row r="128" spans="1:8" s="977" customFormat="1" ht="12.75" customHeight="1" x14ac:dyDescent="0.2">
      <c r="A128" s="1020">
        <f t="shared" si="10"/>
        <v>105</v>
      </c>
      <c r="B128" s="1153" t="s">
        <v>1288</v>
      </c>
      <c r="C128" s="1154">
        <v>12481</v>
      </c>
      <c r="D128" s="1154">
        <v>16107.569999999998</v>
      </c>
      <c r="E128" s="1154">
        <v>15878.823389999998</v>
      </c>
      <c r="F128" s="1082">
        <f t="shared" si="9"/>
        <v>98.579881322881107</v>
      </c>
      <c r="G128" s="1024" t="s">
        <v>4199</v>
      </c>
      <c r="H128" s="1025" t="s">
        <v>597</v>
      </c>
    </row>
    <row r="129" spans="1:8" s="977" customFormat="1" ht="63" x14ac:dyDescent="0.2">
      <c r="A129" s="1020">
        <f t="shared" si="10"/>
        <v>106</v>
      </c>
      <c r="B129" s="1153" t="s">
        <v>1287</v>
      </c>
      <c r="C129" s="1154">
        <v>50000</v>
      </c>
      <c r="D129" s="1154">
        <v>49840.549999999988</v>
      </c>
      <c r="E129" s="1154">
        <v>48207.032309999988</v>
      </c>
      <c r="F129" s="1082">
        <f t="shared" si="9"/>
        <v>96.72251271304188</v>
      </c>
      <c r="G129" s="1133" t="s">
        <v>4203</v>
      </c>
      <c r="H129" s="1025" t="s">
        <v>4491</v>
      </c>
    </row>
    <row r="130" spans="1:8" s="977" customFormat="1" ht="94.5" x14ac:dyDescent="0.2">
      <c r="A130" s="1020">
        <f t="shared" si="10"/>
        <v>107</v>
      </c>
      <c r="B130" s="1153" t="s">
        <v>1311</v>
      </c>
      <c r="C130" s="1154">
        <v>27860</v>
      </c>
      <c r="D130" s="1154">
        <v>35624.58</v>
      </c>
      <c r="E130" s="1154">
        <v>31787.911709999993</v>
      </c>
      <c r="F130" s="1082">
        <f t="shared" si="9"/>
        <v>89.230277830643871</v>
      </c>
      <c r="G130" s="1133" t="s">
        <v>4203</v>
      </c>
      <c r="H130" s="1025" t="s">
        <v>4492</v>
      </c>
    </row>
    <row r="131" spans="1:8" s="977" customFormat="1" ht="12.75" customHeight="1" x14ac:dyDescent="0.2">
      <c r="A131" s="1020">
        <f t="shared" si="10"/>
        <v>108</v>
      </c>
      <c r="B131" s="1153" t="s">
        <v>1289</v>
      </c>
      <c r="C131" s="1154">
        <v>8373</v>
      </c>
      <c r="D131" s="1154">
        <v>10600.17</v>
      </c>
      <c r="E131" s="1154">
        <v>10417.804280000002</v>
      </c>
      <c r="F131" s="1082">
        <f t="shared" si="9"/>
        <v>98.279596270625873</v>
      </c>
      <c r="G131" s="1024" t="s">
        <v>4199</v>
      </c>
      <c r="H131" s="1025" t="s">
        <v>597</v>
      </c>
    </row>
    <row r="132" spans="1:8" s="977" customFormat="1" ht="94.5" x14ac:dyDescent="0.2">
      <c r="A132" s="1020">
        <f t="shared" si="10"/>
        <v>109</v>
      </c>
      <c r="B132" s="1153" t="s">
        <v>2516</v>
      </c>
      <c r="C132" s="1154">
        <v>44656</v>
      </c>
      <c r="D132" s="1154">
        <v>44742.619999999995</v>
      </c>
      <c r="E132" s="1154">
        <v>32896.685119999995</v>
      </c>
      <c r="F132" s="1082">
        <f t="shared" si="9"/>
        <v>73.524270862993717</v>
      </c>
      <c r="G132" s="1133" t="s">
        <v>4203</v>
      </c>
      <c r="H132" s="1025" t="s">
        <v>4493</v>
      </c>
    </row>
    <row r="133" spans="1:8" s="977" customFormat="1" ht="78" customHeight="1" x14ac:dyDescent="0.2">
      <c r="A133" s="1020">
        <f t="shared" si="10"/>
        <v>110</v>
      </c>
      <c r="B133" s="1153" t="s">
        <v>2666</v>
      </c>
      <c r="C133" s="1154">
        <v>0</v>
      </c>
      <c r="D133" s="1154">
        <v>1050</v>
      </c>
      <c r="E133" s="1154">
        <v>0</v>
      </c>
      <c r="F133" s="1082">
        <f t="shared" si="9"/>
        <v>0</v>
      </c>
      <c r="G133" s="1133" t="s">
        <v>4203</v>
      </c>
      <c r="H133" s="1025" t="s">
        <v>4494</v>
      </c>
    </row>
    <row r="134" spans="1:8" s="977" customFormat="1" ht="78" customHeight="1" x14ac:dyDescent="0.2">
      <c r="A134" s="1020">
        <f t="shared" si="10"/>
        <v>111</v>
      </c>
      <c r="B134" s="1153" t="s">
        <v>2669</v>
      </c>
      <c r="C134" s="1154">
        <v>0</v>
      </c>
      <c r="D134" s="1154">
        <v>1000</v>
      </c>
      <c r="E134" s="1154">
        <v>0</v>
      </c>
      <c r="F134" s="1082">
        <f t="shared" si="9"/>
        <v>0</v>
      </c>
      <c r="G134" s="1133" t="s">
        <v>4203</v>
      </c>
      <c r="H134" s="1025" t="s">
        <v>4495</v>
      </c>
    </row>
    <row r="135" spans="1:8" s="977" customFormat="1" ht="78" customHeight="1" x14ac:dyDescent="0.2">
      <c r="A135" s="1020">
        <f t="shared" si="10"/>
        <v>112</v>
      </c>
      <c r="B135" s="1153" t="s">
        <v>2667</v>
      </c>
      <c r="C135" s="1154">
        <v>0</v>
      </c>
      <c r="D135" s="1154">
        <v>700</v>
      </c>
      <c r="E135" s="1154">
        <v>0</v>
      </c>
      <c r="F135" s="1082">
        <f t="shared" si="9"/>
        <v>0</v>
      </c>
      <c r="G135" s="1133" t="s">
        <v>4203</v>
      </c>
      <c r="H135" s="1025" t="s">
        <v>4495</v>
      </c>
    </row>
    <row r="136" spans="1:8" s="977" customFormat="1" ht="78" customHeight="1" x14ac:dyDescent="0.2">
      <c r="A136" s="1020">
        <f t="shared" si="10"/>
        <v>113</v>
      </c>
      <c r="B136" s="1153" t="s">
        <v>4496</v>
      </c>
      <c r="C136" s="1154">
        <v>0</v>
      </c>
      <c r="D136" s="1154">
        <v>500</v>
      </c>
      <c r="E136" s="1154">
        <v>0</v>
      </c>
      <c r="F136" s="1082">
        <f t="shared" si="9"/>
        <v>0</v>
      </c>
      <c r="G136" s="1133" t="s">
        <v>4203</v>
      </c>
      <c r="H136" s="1067" t="s">
        <v>4497</v>
      </c>
    </row>
    <row r="137" spans="1:8" s="977" customFormat="1" ht="45" customHeight="1" x14ac:dyDescent="0.2">
      <c r="A137" s="1020">
        <f t="shared" si="10"/>
        <v>114</v>
      </c>
      <c r="B137" s="1183" t="s">
        <v>4498</v>
      </c>
      <c r="C137" s="1154">
        <v>0</v>
      </c>
      <c r="D137" s="1154">
        <v>6677.741</v>
      </c>
      <c r="E137" s="1154">
        <v>6677.7180799999996</v>
      </c>
      <c r="F137" s="1082">
        <f t="shared" si="9"/>
        <v>99.99965677015625</v>
      </c>
      <c r="G137" s="1133" t="s">
        <v>4199</v>
      </c>
      <c r="H137" s="1025" t="s">
        <v>597</v>
      </c>
    </row>
    <row r="138" spans="1:8" s="977" customFormat="1" ht="13.5" customHeight="1" thickBot="1" x14ac:dyDescent="0.25">
      <c r="A138" s="1442" t="s">
        <v>477</v>
      </c>
      <c r="B138" s="1443"/>
      <c r="C138" s="1039">
        <f>SUM(C107:C137)</f>
        <v>237960</v>
      </c>
      <c r="D138" s="1063">
        <f>SUM(D107:D137)</f>
        <v>427190.08100000001</v>
      </c>
      <c r="E138" s="1063">
        <f>SUM(E107:E137)</f>
        <v>348696.74575</v>
      </c>
      <c r="F138" s="1064">
        <f t="shared" si="9"/>
        <v>81.625665308928362</v>
      </c>
      <c r="G138" s="1184"/>
      <c r="H138" s="1185"/>
    </row>
    <row r="139" spans="1:8" s="998" customFormat="1" x14ac:dyDescent="0.2">
      <c r="A139" s="1069"/>
      <c r="B139" s="1070"/>
      <c r="C139" s="1069"/>
      <c r="D139" s="1069"/>
      <c r="E139" s="1069"/>
      <c r="F139" s="1071"/>
      <c r="G139" s="1072"/>
      <c r="H139" s="1073"/>
    </row>
  </sheetData>
  <mergeCells count="13">
    <mergeCell ref="A138:B138"/>
    <mergeCell ref="A10:B10"/>
    <mergeCell ref="A44:B44"/>
    <mergeCell ref="A54:B54"/>
    <mergeCell ref="H56:H76"/>
    <mergeCell ref="A77:B77"/>
    <mergeCell ref="A105:B105"/>
    <mergeCell ref="A9:B9"/>
    <mergeCell ref="A1:H1"/>
    <mergeCell ref="A4:B4"/>
    <mergeCell ref="A5:B5"/>
    <mergeCell ref="A6:B6"/>
    <mergeCell ref="A8:B8"/>
  </mergeCells>
  <printOptions horizontalCentered="1"/>
  <pageMargins left="0.31496062992125984" right="0.31496062992125984" top="0.51181102362204722" bottom="0.43307086614173229" header="0.31496062992125984" footer="0.23622047244094491"/>
  <pageSetup paperSize="9" scale="98" firstPageNumber="269" fitToHeight="0" orientation="landscape" useFirstPageNumber="1" r:id="rId1"/>
  <headerFooter alignWithMargins="0">
    <oddHeader>&amp;L&amp;"Tahoma,Kurzíva"&amp;9Závěrečný účet za rok 2015&amp;R&amp;"Tahoma,Kurzíva"&amp;9Tabulka č. 14</oddHeader>
    <oddFooter>&amp;C&amp;"Tahoma,Obyčejné"&amp;P</oddFooter>
  </headerFooter>
  <rowBreaks count="1" manualBreakCount="1">
    <brk id="67"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0"/>
  <sheetViews>
    <sheetView zoomScaleNormal="100" zoomScaleSheetLayoutView="100" workbookViewId="0">
      <selection activeCell="K2" sqref="K2"/>
    </sheetView>
  </sheetViews>
  <sheetFormatPr defaultRowHeight="10.5" x14ac:dyDescent="0.2"/>
  <cols>
    <col min="1" max="1" width="6.42578125" style="976" customWidth="1"/>
    <col min="2" max="2" width="42.7109375" style="977" customWidth="1"/>
    <col min="3" max="4" width="13.140625" style="978" customWidth="1"/>
    <col min="5" max="5" width="12.140625" style="976" customWidth="1"/>
    <col min="6" max="6" width="8.140625" style="979" customWidth="1"/>
    <col min="7" max="7" width="8.7109375" style="980" customWidth="1"/>
    <col min="8" max="8" width="42.7109375" style="981" customWidth="1"/>
    <col min="9" max="16384" width="9.140625" style="976"/>
  </cols>
  <sheetData>
    <row r="1" spans="1:8" s="975" customFormat="1" ht="18" customHeight="1" x14ac:dyDescent="0.2">
      <c r="A1" s="1325" t="s">
        <v>4499</v>
      </c>
      <c r="B1" s="1325"/>
      <c r="C1" s="1325"/>
      <c r="D1" s="1325"/>
      <c r="E1" s="1325"/>
      <c r="F1" s="1325"/>
      <c r="G1" s="1325"/>
      <c r="H1" s="1325"/>
    </row>
    <row r="2" spans="1:8" ht="12" customHeight="1" x14ac:dyDescent="0.2"/>
    <row r="3" spans="1:8" ht="12" customHeight="1" thickBot="1" x14ac:dyDescent="0.2">
      <c r="A3" s="982"/>
      <c r="F3" s="983" t="s">
        <v>4184</v>
      </c>
    </row>
    <row r="4" spans="1:8" ht="23.25" customHeight="1" x14ac:dyDescent="0.2">
      <c r="A4" s="1438"/>
      <c r="B4" s="1439"/>
      <c r="C4" s="984" t="s">
        <v>4185</v>
      </c>
      <c r="D4" s="984" t="s">
        <v>4186</v>
      </c>
      <c r="E4" s="984" t="s">
        <v>4187</v>
      </c>
      <c r="F4" s="985" t="s">
        <v>4188</v>
      </c>
      <c r="G4" s="986"/>
      <c r="H4" s="987"/>
    </row>
    <row r="5" spans="1:8" ht="12.75" customHeight="1" x14ac:dyDescent="0.2">
      <c r="A5" s="1436" t="s">
        <v>4189</v>
      </c>
      <c r="B5" s="1437"/>
      <c r="C5" s="988">
        <f>C47</f>
        <v>44662</v>
      </c>
      <c r="D5" s="1186">
        <f>D47</f>
        <v>6864963.443</v>
      </c>
      <c r="E5" s="1186">
        <f>E47</f>
        <v>6861934.8729299996</v>
      </c>
      <c r="F5" s="989">
        <f t="shared" ref="F5:F10" si="0">E5/D5*100</f>
        <v>99.955883667915401</v>
      </c>
      <c r="G5" s="990"/>
      <c r="H5" s="991"/>
    </row>
    <row r="6" spans="1:8" ht="12.75" customHeight="1" x14ac:dyDescent="0.2">
      <c r="A6" s="1436" t="s">
        <v>4190</v>
      </c>
      <c r="B6" s="1437"/>
      <c r="C6" s="992">
        <f>C83</f>
        <v>705375</v>
      </c>
      <c r="D6" s="1186">
        <f>D83</f>
        <v>3962644.4049999998</v>
      </c>
      <c r="E6" s="1186">
        <f>E83</f>
        <v>3962465.2014700002</v>
      </c>
      <c r="F6" s="989">
        <f t="shared" si="0"/>
        <v>99.995477678245024</v>
      </c>
      <c r="G6" s="990"/>
      <c r="H6" s="991"/>
    </row>
    <row r="7" spans="1:8" ht="12.75" customHeight="1" x14ac:dyDescent="0.2">
      <c r="A7" s="1151" t="s">
        <v>4424</v>
      </c>
      <c r="B7" s="1152"/>
      <c r="C7" s="992">
        <f>C86</f>
        <v>0</v>
      </c>
      <c r="D7" s="1186">
        <f>D86</f>
        <v>5100</v>
      </c>
      <c r="E7" s="1186">
        <f>E86</f>
        <v>5100</v>
      </c>
      <c r="F7" s="989">
        <f t="shared" si="0"/>
        <v>100</v>
      </c>
      <c r="G7" s="990"/>
      <c r="H7" s="991"/>
    </row>
    <row r="8" spans="1:8" ht="12.75" customHeight="1" x14ac:dyDescent="0.2">
      <c r="A8" s="1436" t="s">
        <v>4191</v>
      </c>
      <c r="B8" s="1437"/>
      <c r="C8" s="992">
        <f>C136</f>
        <v>20638</v>
      </c>
      <c r="D8" s="1186">
        <f>D136</f>
        <v>71350.880000000005</v>
      </c>
      <c r="E8" s="1186">
        <f>E136</f>
        <v>63760.788289999997</v>
      </c>
      <c r="F8" s="989">
        <f t="shared" si="0"/>
        <v>89.36230119376242</v>
      </c>
      <c r="G8" s="990"/>
      <c r="H8" s="991"/>
    </row>
    <row r="9" spans="1:8" ht="12.75" customHeight="1" x14ac:dyDescent="0.2">
      <c r="A9" s="1436" t="s">
        <v>4192</v>
      </c>
      <c r="B9" s="1437"/>
      <c r="C9" s="992">
        <f>C220</f>
        <v>605840</v>
      </c>
      <c r="D9" s="1186">
        <f>D220</f>
        <v>1083535.5319999997</v>
      </c>
      <c r="E9" s="1186">
        <f>E220</f>
        <v>938679.75112999987</v>
      </c>
      <c r="F9" s="989">
        <f t="shared" si="0"/>
        <v>86.631192370533185</v>
      </c>
      <c r="G9" s="990"/>
      <c r="H9" s="991"/>
    </row>
    <row r="10" spans="1:8" s="982" customFormat="1" ht="13.5" customHeight="1" thickBot="1" x14ac:dyDescent="0.25">
      <c r="A10" s="1440" t="s">
        <v>477</v>
      </c>
      <c r="B10" s="1441"/>
      <c r="C10" s="993">
        <f>SUM(C5:C9)</f>
        <v>1376515</v>
      </c>
      <c r="D10" s="994">
        <f>SUM(D5:D9)</f>
        <v>11987594.26</v>
      </c>
      <c r="E10" s="993">
        <f>SUM(E5:E9)</f>
        <v>11831940.61382</v>
      </c>
      <c r="F10" s="995">
        <f t="shared" si="0"/>
        <v>98.701543922792055</v>
      </c>
      <c r="G10" s="990"/>
      <c r="H10" s="991"/>
    </row>
    <row r="11" spans="1:8" s="996" customFormat="1" ht="10.5" customHeight="1" x14ac:dyDescent="0.2">
      <c r="B11" s="997"/>
      <c r="C11" s="998"/>
      <c r="D11" s="998"/>
      <c r="E11" s="998"/>
      <c r="F11" s="999"/>
      <c r="G11" s="1000"/>
      <c r="H11" s="1001"/>
    </row>
    <row r="12" spans="1:8" s="996" customFormat="1" ht="10.5" customHeight="1" x14ac:dyDescent="0.2">
      <c r="B12" s="997"/>
      <c r="C12" s="998"/>
      <c r="D12" s="998"/>
      <c r="E12" s="998"/>
      <c r="F12" s="999"/>
      <c r="G12" s="1000"/>
      <c r="H12" s="1001"/>
    </row>
    <row r="13" spans="1:8" s="996" customFormat="1" ht="10.5" customHeight="1" thickBot="1" x14ac:dyDescent="0.2">
      <c r="B13" s="997"/>
      <c r="C13" s="998"/>
      <c r="D13" s="998"/>
      <c r="E13" s="998"/>
      <c r="F13" s="999"/>
      <c r="G13" s="1000"/>
      <c r="H13" s="983" t="s">
        <v>4184</v>
      </c>
    </row>
    <row r="14" spans="1:8" ht="28.5" customHeight="1" thickBot="1" x14ac:dyDescent="0.25">
      <c r="A14" s="1002" t="s">
        <v>4193</v>
      </c>
      <c r="B14" s="1003" t="s">
        <v>665</v>
      </c>
      <c r="C14" s="1004" t="s">
        <v>4185</v>
      </c>
      <c r="D14" s="1004" t="s">
        <v>4186</v>
      </c>
      <c r="E14" s="1004" t="s">
        <v>4187</v>
      </c>
      <c r="F14" s="1004" t="s">
        <v>4188</v>
      </c>
      <c r="G14" s="1004" t="s">
        <v>4194</v>
      </c>
      <c r="H14" s="1005" t="s">
        <v>4195</v>
      </c>
    </row>
    <row r="15" spans="1:8" ht="15" customHeight="1" thickBot="1" x14ac:dyDescent="0.2">
      <c r="A15" s="1006" t="s">
        <v>4196</v>
      </c>
      <c r="B15" s="1007"/>
      <c r="C15" s="1008"/>
      <c r="D15" s="1008"/>
      <c r="E15" s="1009"/>
      <c r="F15" s="1010"/>
      <c r="G15" s="1187"/>
      <c r="H15" s="1188"/>
    </row>
    <row r="16" spans="1:8" s="1019" customFormat="1" ht="13.5" customHeight="1" x14ac:dyDescent="0.2">
      <c r="A16" s="1013">
        <v>1</v>
      </c>
      <c r="B16" s="1014" t="s">
        <v>2745</v>
      </c>
      <c r="C16" s="1076">
        <v>10000</v>
      </c>
      <c r="D16" s="1076">
        <v>15017.288</v>
      </c>
      <c r="E16" s="1076">
        <v>14998.253000000002</v>
      </c>
      <c r="F16" s="1077">
        <f t="shared" ref="F16:F47" si="1">E16/D16*100</f>
        <v>99.873246088108601</v>
      </c>
      <c r="G16" s="1017" t="s">
        <v>4197</v>
      </c>
      <c r="H16" s="1018" t="s">
        <v>133</v>
      </c>
    </row>
    <row r="17" spans="1:9" s="1019" customFormat="1" ht="34.5" customHeight="1" x14ac:dyDescent="0.2">
      <c r="A17" s="1020">
        <f>A16+1</f>
        <v>2</v>
      </c>
      <c r="B17" s="1021" t="s">
        <v>2737</v>
      </c>
      <c r="C17" s="1081">
        <v>2000</v>
      </c>
      <c r="D17" s="1081">
        <v>2000</v>
      </c>
      <c r="E17" s="1081">
        <v>2000</v>
      </c>
      <c r="F17" s="1082">
        <f t="shared" si="1"/>
        <v>100</v>
      </c>
      <c r="G17" s="1133" t="s">
        <v>4197</v>
      </c>
      <c r="H17" s="1062" t="s">
        <v>133</v>
      </c>
    </row>
    <row r="18" spans="1:9" s="1019" customFormat="1" ht="24" customHeight="1" x14ac:dyDescent="0.2">
      <c r="A18" s="1020">
        <f t="shared" ref="A18:A46" si="2">A17+1</f>
        <v>3</v>
      </c>
      <c r="B18" s="1021" t="s">
        <v>2607</v>
      </c>
      <c r="C18" s="1081">
        <v>1000</v>
      </c>
      <c r="D18" s="1081">
        <v>414.7</v>
      </c>
      <c r="E18" s="1081">
        <v>414.7</v>
      </c>
      <c r="F18" s="1082">
        <f t="shared" si="1"/>
        <v>100</v>
      </c>
      <c r="G18" s="1133" t="s">
        <v>4197</v>
      </c>
      <c r="H18" s="1062" t="s">
        <v>133</v>
      </c>
    </row>
    <row r="19" spans="1:9" s="1019" customFormat="1" ht="24" customHeight="1" x14ac:dyDescent="0.2">
      <c r="A19" s="1020">
        <f t="shared" si="2"/>
        <v>4</v>
      </c>
      <c r="B19" s="1021" t="s">
        <v>4500</v>
      </c>
      <c r="C19" s="1081">
        <v>160</v>
      </c>
      <c r="D19" s="1081">
        <v>160</v>
      </c>
      <c r="E19" s="1081">
        <v>160</v>
      </c>
      <c r="F19" s="1082">
        <f t="shared" si="1"/>
        <v>100</v>
      </c>
      <c r="G19" s="1133" t="s">
        <v>4197</v>
      </c>
      <c r="H19" s="1062" t="s">
        <v>133</v>
      </c>
    </row>
    <row r="20" spans="1:9" s="1019" customFormat="1" ht="12.75" customHeight="1" x14ac:dyDescent="0.2">
      <c r="A20" s="1020">
        <f t="shared" si="2"/>
        <v>5</v>
      </c>
      <c r="B20" s="1021" t="s">
        <v>4501</v>
      </c>
      <c r="C20" s="1081">
        <v>437</v>
      </c>
      <c r="D20" s="1081">
        <v>368.07000000000005</v>
      </c>
      <c r="E20" s="1081">
        <v>367.66800000000001</v>
      </c>
      <c r="F20" s="1082">
        <f t="shared" si="1"/>
        <v>99.890781644795808</v>
      </c>
      <c r="G20" s="1133" t="s">
        <v>4197</v>
      </c>
      <c r="H20" s="1062" t="s">
        <v>133</v>
      </c>
    </row>
    <row r="21" spans="1:9" s="1019" customFormat="1" ht="12.75" customHeight="1" x14ac:dyDescent="0.2">
      <c r="A21" s="1020">
        <f t="shared" si="2"/>
        <v>6</v>
      </c>
      <c r="B21" s="1021" t="s">
        <v>1109</v>
      </c>
      <c r="C21" s="1081">
        <v>668</v>
      </c>
      <c r="D21" s="1081">
        <v>668</v>
      </c>
      <c r="E21" s="1081">
        <v>668</v>
      </c>
      <c r="F21" s="1082">
        <f t="shared" si="1"/>
        <v>100</v>
      </c>
      <c r="G21" s="1133" t="s">
        <v>4197</v>
      </c>
      <c r="H21" s="1062" t="s">
        <v>133</v>
      </c>
    </row>
    <row r="22" spans="1:9" s="1028" customFormat="1" ht="42" x14ac:dyDescent="0.2">
      <c r="A22" s="1020">
        <f t="shared" si="2"/>
        <v>7</v>
      </c>
      <c r="B22" s="1021" t="s">
        <v>1173</v>
      </c>
      <c r="C22" s="1081">
        <v>600</v>
      </c>
      <c r="D22" s="1081">
        <v>660</v>
      </c>
      <c r="E22" s="1081">
        <v>600</v>
      </c>
      <c r="F22" s="1082">
        <f t="shared" si="1"/>
        <v>90.909090909090907</v>
      </c>
      <c r="G22" s="1133" t="s">
        <v>4197</v>
      </c>
      <c r="H22" s="1062" t="s">
        <v>4502</v>
      </c>
      <c r="I22" s="1142"/>
    </row>
    <row r="23" spans="1:9" s="1028" customFormat="1" ht="42" x14ac:dyDescent="0.2">
      <c r="A23" s="1020">
        <f t="shared" si="2"/>
        <v>8</v>
      </c>
      <c r="B23" s="1021" t="s">
        <v>1161</v>
      </c>
      <c r="C23" s="1081">
        <v>500</v>
      </c>
      <c r="D23" s="1081">
        <v>350</v>
      </c>
      <c r="E23" s="1081">
        <v>340</v>
      </c>
      <c r="F23" s="1082">
        <f t="shared" si="1"/>
        <v>97.142857142857139</v>
      </c>
      <c r="G23" s="1133" t="s">
        <v>4197</v>
      </c>
      <c r="H23" s="1062" t="s">
        <v>4503</v>
      </c>
    </row>
    <row r="24" spans="1:9" s="1028" customFormat="1" ht="73.5" x14ac:dyDescent="0.2">
      <c r="A24" s="1020">
        <f t="shared" si="2"/>
        <v>9</v>
      </c>
      <c r="B24" s="1021" t="s">
        <v>1107</v>
      </c>
      <c r="C24" s="1081">
        <v>2000</v>
      </c>
      <c r="D24" s="1081">
        <v>2087.3000000000002</v>
      </c>
      <c r="E24" s="1081">
        <v>1608.827</v>
      </c>
      <c r="F24" s="1082">
        <f t="shared" si="1"/>
        <v>77.076941503377554</v>
      </c>
      <c r="G24" s="1133" t="s">
        <v>4197</v>
      </c>
      <c r="H24" s="1062" t="s">
        <v>4504</v>
      </c>
    </row>
    <row r="25" spans="1:9" s="1028" customFormat="1" ht="12.75" customHeight="1" x14ac:dyDescent="0.2">
      <c r="A25" s="1020">
        <f t="shared" si="2"/>
        <v>10</v>
      </c>
      <c r="B25" s="1021" t="s">
        <v>4505</v>
      </c>
      <c r="C25" s="1081">
        <v>850</v>
      </c>
      <c r="D25" s="1081">
        <v>824.11</v>
      </c>
      <c r="E25" s="1081">
        <v>824.10699999999997</v>
      </c>
      <c r="F25" s="1082">
        <f t="shared" si="1"/>
        <v>99.999635970926207</v>
      </c>
      <c r="G25" s="1133" t="s">
        <v>4197</v>
      </c>
      <c r="H25" s="1062" t="s">
        <v>133</v>
      </c>
    </row>
    <row r="26" spans="1:9" s="1028" customFormat="1" ht="24" customHeight="1" x14ac:dyDescent="0.2">
      <c r="A26" s="1020">
        <f t="shared" si="2"/>
        <v>11</v>
      </c>
      <c r="B26" s="1021" t="s">
        <v>4506</v>
      </c>
      <c r="C26" s="1081">
        <v>130</v>
      </c>
      <c r="D26" s="1081">
        <v>130</v>
      </c>
      <c r="E26" s="1081">
        <v>129.995</v>
      </c>
      <c r="F26" s="1082">
        <f t="shared" si="1"/>
        <v>99.996153846153845</v>
      </c>
      <c r="G26" s="1133" t="s">
        <v>4197</v>
      </c>
      <c r="H26" s="1062" t="s">
        <v>133</v>
      </c>
    </row>
    <row r="27" spans="1:9" s="1028" customFormat="1" ht="12.75" customHeight="1" x14ac:dyDescent="0.2">
      <c r="A27" s="1020">
        <f t="shared" si="2"/>
        <v>12</v>
      </c>
      <c r="B27" s="1021" t="s">
        <v>4507</v>
      </c>
      <c r="C27" s="1081">
        <v>120</v>
      </c>
      <c r="D27" s="1081">
        <v>120</v>
      </c>
      <c r="E27" s="1081">
        <v>119.37</v>
      </c>
      <c r="F27" s="1082">
        <f t="shared" si="1"/>
        <v>99.475000000000009</v>
      </c>
      <c r="G27" s="1133" t="s">
        <v>4197</v>
      </c>
      <c r="H27" s="1062" t="s">
        <v>133</v>
      </c>
    </row>
    <row r="28" spans="1:9" s="1019" customFormat="1" ht="42" x14ac:dyDescent="0.2">
      <c r="A28" s="1020">
        <f t="shared" si="2"/>
        <v>13</v>
      </c>
      <c r="B28" s="1021" t="s">
        <v>1111</v>
      </c>
      <c r="C28" s="1081">
        <v>26000</v>
      </c>
      <c r="D28" s="1081">
        <v>32499.41</v>
      </c>
      <c r="E28" s="1081">
        <v>30449.3351</v>
      </c>
      <c r="F28" s="1082">
        <f t="shared" si="1"/>
        <v>93.691962715630837</v>
      </c>
      <c r="G28" s="1133" t="s">
        <v>4197</v>
      </c>
      <c r="H28" s="1062" t="s">
        <v>4508</v>
      </c>
    </row>
    <row r="29" spans="1:9" s="1019" customFormat="1" ht="21" x14ac:dyDescent="0.2">
      <c r="A29" s="1020">
        <f t="shared" si="2"/>
        <v>14</v>
      </c>
      <c r="B29" s="1031" t="s">
        <v>4509</v>
      </c>
      <c r="C29" s="1081">
        <v>197</v>
      </c>
      <c r="D29" s="1081">
        <v>197</v>
      </c>
      <c r="E29" s="1081">
        <v>197</v>
      </c>
      <c r="F29" s="1082">
        <f t="shared" si="1"/>
        <v>100</v>
      </c>
      <c r="G29" s="1125" t="s">
        <v>4510</v>
      </c>
      <c r="H29" s="1062" t="s">
        <v>133</v>
      </c>
    </row>
    <row r="30" spans="1:9" s="1019" customFormat="1" ht="42" x14ac:dyDescent="0.2">
      <c r="A30" s="1020">
        <f t="shared" si="2"/>
        <v>15</v>
      </c>
      <c r="B30" s="1189" t="s">
        <v>4511</v>
      </c>
      <c r="C30" s="1081">
        <v>0</v>
      </c>
      <c r="D30" s="1081">
        <v>112.764</v>
      </c>
      <c r="E30" s="1081">
        <v>105.57499999999999</v>
      </c>
      <c r="F30" s="1082">
        <f t="shared" si="1"/>
        <v>93.624738391685284</v>
      </c>
      <c r="G30" s="1133" t="s">
        <v>4197</v>
      </c>
      <c r="H30" s="1062" t="s">
        <v>4512</v>
      </c>
    </row>
    <row r="31" spans="1:9" s="1019" customFormat="1" ht="24" customHeight="1" x14ac:dyDescent="0.2">
      <c r="A31" s="1020">
        <f t="shared" si="2"/>
        <v>16</v>
      </c>
      <c r="B31" s="1189" t="s">
        <v>4513</v>
      </c>
      <c r="C31" s="1081">
        <v>0</v>
      </c>
      <c r="D31" s="1081">
        <v>229.8</v>
      </c>
      <c r="E31" s="1081">
        <v>229.79000000000002</v>
      </c>
      <c r="F31" s="1082">
        <f t="shared" si="1"/>
        <v>99.995648389904261</v>
      </c>
      <c r="G31" s="1133" t="s">
        <v>4197</v>
      </c>
      <c r="H31" s="1062" t="s">
        <v>133</v>
      </c>
    </row>
    <row r="32" spans="1:9" s="1019" customFormat="1" ht="12.75" customHeight="1" x14ac:dyDescent="0.2">
      <c r="A32" s="1020">
        <f t="shared" si="2"/>
        <v>17</v>
      </c>
      <c r="B32" s="1189" t="s">
        <v>4514</v>
      </c>
      <c r="C32" s="1081">
        <v>0</v>
      </c>
      <c r="D32" s="1081">
        <v>12.708</v>
      </c>
      <c r="E32" s="1081">
        <v>12.708</v>
      </c>
      <c r="F32" s="1082">
        <f t="shared" si="1"/>
        <v>100</v>
      </c>
      <c r="G32" s="1133" t="s">
        <v>4197</v>
      </c>
      <c r="H32" s="1062" t="s">
        <v>133</v>
      </c>
    </row>
    <row r="33" spans="1:8" s="1019" customFormat="1" ht="24" customHeight="1" x14ac:dyDescent="0.2">
      <c r="A33" s="1020">
        <f t="shared" si="2"/>
        <v>18</v>
      </c>
      <c r="B33" s="1190" t="s">
        <v>4515</v>
      </c>
      <c r="C33" s="1081">
        <v>0</v>
      </c>
      <c r="D33" s="1081">
        <v>0.97199999999999998</v>
      </c>
      <c r="E33" s="1081">
        <v>0.97</v>
      </c>
      <c r="F33" s="1082">
        <f t="shared" si="1"/>
        <v>99.794238683127574</v>
      </c>
      <c r="G33" s="1133" t="s">
        <v>4197</v>
      </c>
      <c r="H33" s="1062" t="s">
        <v>133</v>
      </c>
    </row>
    <row r="34" spans="1:8" s="1019" customFormat="1" ht="12.75" customHeight="1" x14ac:dyDescent="0.2">
      <c r="A34" s="1020">
        <f t="shared" si="2"/>
        <v>19</v>
      </c>
      <c r="B34" s="1191" t="s">
        <v>4516</v>
      </c>
      <c r="C34" s="1081">
        <v>0</v>
      </c>
      <c r="D34" s="1081">
        <v>163.72999999999999</v>
      </c>
      <c r="E34" s="1081">
        <v>163.72999999999999</v>
      </c>
      <c r="F34" s="1082">
        <f t="shared" si="1"/>
        <v>100</v>
      </c>
      <c r="G34" s="1133" t="s">
        <v>4197</v>
      </c>
      <c r="H34" s="1062" t="s">
        <v>133</v>
      </c>
    </row>
    <row r="35" spans="1:8" s="1019" customFormat="1" ht="24" customHeight="1" x14ac:dyDescent="0.2">
      <c r="A35" s="1020">
        <f t="shared" si="2"/>
        <v>20</v>
      </c>
      <c r="B35" s="1189" t="s">
        <v>4517</v>
      </c>
      <c r="C35" s="1081">
        <v>0</v>
      </c>
      <c r="D35" s="1081">
        <v>1135.3610000000001</v>
      </c>
      <c r="E35" s="1081">
        <v>1135.3240000000001</v>
      </c>
      <c r="F35" s="1082">
        <f t="shared" si="1"/>
        <v>99.996741124629082</v>
      </c>
      <c r="G35" s="1133" t="s">
        <v>4197</v>
      </c>
      <c r="H35" s="1062" t="s">
        <v>133</v>
      </c>
    </row>
    <row r="36" spans="1:8" s="1019" customFormat="1" ht="12.75" customHeight="1" x14ac:dyDescent="0.2">
      <c r="A36" s="1020">
        <f t="shared" si="2"/>
        <v>21</v>
      </c>
      <c r="B36" s="1190" t="s">
        <v>4518</v>
      </c>
      <c r="C36" s="1081">
        <v>0</v>
      </c>
      <c r="D36" s="1081">
        <v>3103.8850000000002</v>
      </c>
      <c r="E36" s="1081">
        <v>3103.8850000000002</v>
      </c>
      <c r="F36" s="1082">
        <f t="shared" si="1"/>
        <v>100</v>
      </c>
      <c r="G36" s="1133" t="s">
        <v>4197</v>
      </c>
      <c r="H36" s="1062" t="s">
        <v>133</v>
      </c>
    </row>
    <row r="37" spans="1:8" s="1019" customFormat="1" ht="52.5" x14ac:dyDescent="0.2">
      <c r="A37" s="1020">
        <f t="shared" si="2"/>
        <v>22</v>
      </c>
      <c r="B37" s="1190" t="s">
        <v>4519</v>
      </c>
      <c r="C37" s="1081">
        <v>0</v>
      </c>
      <c r="D37" s="1081">
        <v>9222.5239999999994</v>
      </c>
      <c r="E37" s="1081">
        <v>9030.073150000002</v>
      </c>
      <c r="F37" s="1082">
        <f t="shared" si="1"/>
        <v>97.913251838650709</v>
      </c>
      <c r="G37" s="1133" t="s">
        <v>4197</v>
      </c>
      <c r="H37" s="1062" t="s">
        <v>4520</v>
      </c>
    </row>
    <row r="38" spans="1:8" s="1019" customFormat="1" ht="12.75" customHeight="1" x14ac:dyDescent="0.2">
      <c r="A38" s="1020">
        <f t="shared" si="2"/>
        <v>23</v>
      </c>
      <c r="B38" s="1190" t="s">
        <v>4521</v>
      </c>
      <c r="C38" s="1081">
        <v>0</v>
      </c>
      <c r="D38" s="1081">
        <v>168139.05799999999</v>
      </c>
      <c r="E38" s="1081">
        <v>168139.05799999984</v>
      </c>
      <c r="F38" s="1082">
        <f t="shared" si="1"/>
        <v>99.999999999999915</v>
      </c>
      <c r="G38" s="1133" t="s">
        <v>4199</v>
      </c>
      <c r="H38" s="1062" t="s">
        <v>133</v>
      </c>
    </row>
    <row r="39" spans="1:8" s="1019" customFormat="1" ht="21" x14ac:dyDescent="0.2">
      <c r="A39" s="1020">
        <f t="shared" si="2"/>
        <v>24</v>
      </c>
      <c r="B39" s="1190" t="s">
        <v>4522</v>
      </c>
      <c r="C39" s="1081">
        <v>0</v>
      </c>
      <c r="D39" s="1081">
        <v>5810.3130000000001</v>
      </c>
      <c r="E39" s="1081">
        <v>5807.9970000000012</v>
      </c>
      <c r="F39" s="1082">
        <f t="shared" si="1"/>
        <v>99.960139841003425</v>
      </c>
      <c r="G39" s="1133" t="s">
        <v>4199</v>
      </c>
      <c r="H39" s="1062" t="s">
        <v>133</v>
      </c>
    </row>
    <row r="40" spans="1:8" s="1019" customFormat="1" ht="24" customHeight="1" x14ac:dyDescent="0.2">
      <c r="A40" s="1020">
        <f t="shared" si="2"/>
        <v>25</v>
      </c>
      <c r="B40" s="1190" t="s">
        <v>4523</v>
      </c>
      <c r="C40" s="1081">
        <v>0</v>
      </c>
      <c r="D40" s="1081">
        <v>30067.054</v>
      </c>
      <c r="E40" s="1081">
        <v>30067.053999999996</v>
      </c>
      <c r="F40" s="1082">
        <f t="shared" si="1"/>
        <v>99.999999999999986</v>
      </c>
      <c r="G40" s="1133" t="s">
        <v>4199</v>
      </c>
      <c r="H40" s="1062" t="s">
        <v>133</v>
      </c>
    </row>
    <row r="41" spans="1:8" s="1019" customFormat="1" ht="12.75" customHeight="1" x14ac:dyDescent="0.2">
      <c r="A41" s="1020">
        <f t="shared" si="2"/>
        <v>26</v>
      </c>
      <c r="B41" s="1192" t="s">
        <v>4524</v>
      </c>
      <c r="C41" s="1081">
        <v>0</v>
      </c>
      <c r="D41" s="1081">
        <v>603728.82799999998</v>
      </c>
      <c r="E41" s="1081">
        <v>603728.82799999986</v>
      </c>
      <c r="F41" s="1082">
        <f t="shared" si="1"/>
        <v>99.999999999999972</v>
      </c>
      <c r="G41" s="1133" t="s">
        <v>4197</v>
      </c>
      <c r="H41" s="1062" t="s">
        <v>133</v>
      </c>
    </row>
    <row r="42" spans="1:8" s="1019" customFormat="1" ht="12.75" customHeight="1" x14ac:dyDescent="0.2">
      <c r="A42" s="1020">
        <f t="shared" si="2"/>
        <v>27</v>
      </c>
      <c r="B42" s="1192" t="s">
        <v>4525</v>
      </c>
      <c r="C42" s="1081">
        <v>0</v>
      </c>
      <c r="D42" s="1081">
        <v>909</v>
      </c>
      <c r="E42" s="1081">
        <v>909</v>
      </c>
      <c r="F42" s="1082">
        <f t="shared" si="1"/>
        <v>100</v>
      </c>
      <c r="G42" s="1133" t="s">
        <v>4197</v>
      </c>
      <c r="H42" s="1062" t="s">
        <v>133</v>
      </c>
    </row>
    <row r="43" spans="1:8" s="1019" customFormat="1" ht="24" customHeight="1" x14ac:dyDescent="0.2">
      <c r="A43" s="1020">
        <f t="shared" si="2"/>
        <v>28</v>
      </c>
      <c r="B43" s="1189" t="s">
        <v>4526</v>
      </c>
      <c r="C43" s="1081">
        <v>0</v>
      </c>
      <c r="D43" s="1081">
        <v>1915.299</v>
      </c>
      <c r="E43" s="1081">
        <v>1801.4166799999998</v>
      </c>
      <c r="F43" s="1082">
        <f t="shared" si="1"/>
        <v>94.054070930961686</v>
      </c>
      <c r="G43" s="1133" t="s">
        <v>4197</v>
      </c>
      <c r="H43" s="1062" t="s">
        <v>4527</v>
      </c>
    </row>
    <row r="44" spans="1:8" s="1019" customFormat="1" ht="12.75" customHeight="1" x14ac:dyDescent="0.2">
      <c r="A44" s="1020">
        <f t="shared" si="2"/>
        <v>29</v>
      </c>
      <c r="B44" s="1192" t="s">
        <v>4528</v>
      </c>
      <c r="C44" s="1081">
        <v>0</v>
      </c>
      <c r="D44" s="1081">
        <v>5975555.3210000005</v>
      </c>
      <c r="E44" s="1081">
        <v>5975555.3210000005</v>
      </c>
      <c r="F44" s="1082">
        <f t="shared" si="1"/>
        <v>100</v>
      </c>
      <c r="G44" s="1133" t="s">
        <v>4197</v>
      </c>
      <c r="H44" s="1062" t="s">
        <v>133</v>
      </c>
    </row>
    <row r="45" spans="1:8" s="1019" customFormat="1" ht="34.5" customHeight="1" x14ac:dyDescent="0.2">
      <c r="A45" s="1020">
        <f t="shared" si="2"/>
        <v>30</v>
      </c>
      <c r="B45" s="1189" t="s">
        <v>4529</v>
      </c>
      <c r="C45" s="1081">
        <v>0</v>
      </c>
      <c r="D45" s="1081">
        <v>12.39</v>
      </c>
      <c r="E45" s="1081">
        <v>12.39</v>
      </c>
      <c r="F45" s="1082">
        <f t="shared" si="1"/>
        <v>100</v>
      </c>
      <c r="G45" s="1133" t="s">
        <v>4197</v>
      </c>
      <c r="H45" s="1062" t="s">
        <v>133</v>
      </c>
    </row>
    <row r="46" spans="1:8" s="1019" customFormat="1" ht="42" x14ac:dyDescent="0.2">
      <c r="A46" s="1020">
        <f t="shared" si="2"/>
        <v>31</v>
      </c>
      <c r="B46" s="1189" t="s">
        <v>4530</v>
      </c>
      <c r="C46" s="1081">
        <v>0</v>
      </c>
      <c r="D46" s="1081">
        <v>9348.5580000000009</v>
      </c>
      <c r="E46" s="1081">
        <v>9254.4980000000014</v>
      </c>
      <c r="F46" s="1082">
        <f t="shared" si="1"/>
        <v>98.993855522958725</v>
      </c>
      <c r="G46" s="1133" t="s">
        <v>4197</v>
      </c>
      <c r="H46" s="1062" t="s">
        <v>4531</v>
      </c>
    </row>
    <row r="47" spans="1:8" s="1044" customFormat="1" ht="13.5" customHeight="1" thickBot="1" x14ac:dyDescent="0.25">
      <c r="A47" s="1442" t="s">
        <v>477</v>
      </c>
      <c r="B47" s="1443"/>
      <c r="C47" s="1039">
        <f>SUM(C16:C46)</f>
        <v>44662</v>
      </c>
      <c r="D47" s="1039">
        <f>SUM(D16:D46)</f>
        <v>6864963.443</v>
      </c>
      <c r="E47" s="1039">
        <f>SUM(E16:E46)</f>
        <v>6861934.8729299996</v>
      </c>
      <c r="F47" s="1041">
        <f t="shared" si="1"/>
        <v>99.955883667915401</v>
      </c>
      <c r="G47" s="1042"/>
      <c r="H47" s="1043"/>
    </row>
    <row r="48" spans="1:8" s="982" customFormat="1" ht="18" customHeight="1" thickBot="1" x14ac:dyDescent="0.2">
      <c r="A48" s="1045" t="s">
        <v>4190</v>
      </c>
      <c r="B48" s="1046"/>
      <c r="C48" s="1047"/>
      <c r="D48" s="1047"/>
      <c r="E48" s="1048"/>
      <c r="F48" s="1049"/>
      <c r="G48" s="1050"/>
      <c r="H48" s="1051"/>
    </row>
    <row r="49" spans="1:8" s="1019" customFormat="1" ht="24.75" customHeight="1" x14ac:dyDescent="0.2">
      <c r="A49" s="1013">
        <f>A46+1</f>
        <v>32</v>
      </c>
      <c r="B49" s="1014" t="s">
        <v>2607</v>
      </c>
      <c r="C49" s="1076">
        <v>0</v>
      </c>
      <c r="D49" s="1076">
        <v>585.29999999999995</v>
      </c>
      <c r="E49" s="1076">
        <v>585.29999999999995</v>
      </c>
      <c r="F49" s="1077">
        <f t="shared" ref="F49:F83" si="3">E49/D49*100</f>
        <v>100</v>
      </c>
      <c r="G49" s="1101" t="s">
        <v>4197</v>
      </c>
      <c r="H49" s="1018" t="s">
        <v>133</v>
      </c>
    </row>
    <row r="50" spans="1:8" s="1019" customFormat="1" ht="24" customHeight="1" x14ac:dyDescent="0.2">
      <c r="A50" s="1020">
        <f t="shared" ref="A50:A82" si="4">A49+1</f>
        <v>33</v>
      </c>
      <c r="B50" s="1031" t="s">
        <v>2587</v>
      </c>
      <c r="C50" s="1081">
        <v>681368</v>
      </c>
      <c r="D50" s="1081">
        <v>575477.6</v>
      </c>
      <c r="E50" s="1081">
        <v>575477.6</v>
      </c>
      <c r="F50" s="1082">
        <f t="shared" si="3"/>
        <v>100</v>
      </c>
      <c r="G50" s="1123" t="s">
        <v>4197</v>
      </c>
      <c r="H50" s="1062" t="s">
        <v>133</v>
      </c>
    </row>
    <row r="51" spans="1:8" s="1019" customFormat="1" ht="24" customHeight="1" x14ac:dyDescent="0.2">
      <c r="A51" s="1020">
        <f t="shared" si="4"/>
        <v>34</v>
      </c>
      <c r="B51" s="1031" t="s">
        <v>2586</v>
      </c>
      <c r="C51" s="1081">
        <v>0</v>
      </c>
      <c r="D51" s="1081">
        <v>97501</v>
      </c>
      <c r="E51" s="1081">
        <v>97501</v>
      </c>
      <c r="F51" s="1082">
        <f t="shared" si="3"/>
        <v>100</v>
      </c>
      <c r="G51" s="1123" t="s">
        <v>4197</v>
      </c>
      <c r="H51" s="1062" t="s">
        <v>133</v>
      </c>
    </row>
    <row r="52" spans="1:8" s="1019" customFormat="1" ht="24" customHeight="1" x14ac:dyDescent="0.2">
      <c r="A52" s="1020">
        <f t="shared" si="4"/>
        <v>35</v>
      </c>
      <c r="B52" s="1031" t="s">
        <v>2596</v>
      </c>
      <c r="C52" s="1081">
        <v>4000</v>
      </c>
      <c r="D52" s="1081">
        <v>6746.43</v>
      </c>
      <c r="E52" s="1081">
        <v>6745.5420000000004</v>
      </c>
      <c r="F52" s="1082">
        <f t="shared" si="3"/>
        <v>99.986837482935414</v>
      </c>
      <c r="G52" s="1123" t="s">
        <v>4197</v>
      </c>
      <c r="H52" s="1062" t="s">
        <v>133</v>
      </c>
    </row>
    <row r="53" spans="1:8" s="1019" customFormat="1" ht="34.5" customHeight="1" x14ac:dyDescent="0.2">
      <c r="A53" s="1020">
        <f t="shared" si="4"/>
        <v>36</v>
      </c>
      <c r="B53" s="1021" t="s">
        <v>4532</v>
      </c>
      <c r="C53" s="1081">
        <v>13000</v>
      </c>
      <c r="D53" s="1081">
        <v>17885</v>
      </c>
      <c r="E53" s="1081">
        <v>17885</v>
      </c>
      <c r="F53" s="1082">
        <f t="shared" si="3"/>
        <v>100</v>
      </c>
      <c r="G53" s="1123" t="s">
        <v>4197</v>
      </c>
      <c r="H53" s="1062" t="s">
        <v>133</v>
      </c>
    </row>
    <row r="54" spans="1:8" s="1019" customFormat="1" ht="12.75" customHeight="1" x14ac:dyDescent="0.2">
      <c r="A54" s="1020">
        <f t="shared" si="4"/>
        <v>37</v>
      </c>
      <c r="B54" s="1021" t="s">
        <v>2603</v>
      </c>
      <c r="C54" s="1081">
        <v>5815</v>
      </c>
      <c r="D54" s="1081">
        <v>5815.0000000000009</v>
      </c>
      <c r="E54" s="1081">
        <v>5815.0000000000009</v>
      </c>
      <c r="F54" s="1082">
        <f t="shared" si="3"/>
        <v>100</v>
      </c>
      <c r="G54" s="1123" t="s">
        <v>4197</v>
      </c>
      <c r="H54" s="1062" t="s">
        <v>133</v>
      </c>
    </row>
    <row r="55" spans="1:8" s="1019" customFormat="1" ht="12.75" customHeight="1" x14ac:dyDescent="0.2">
      <c r="A55" s="1020">
        <f t="shared" si="4"/>
        <v>38</v>
      </c>
      <c r="B55" s="1021" t="s">
        <v>2594</v>
      </c>
      <c r="C55" s="1081">
        <v>432</v>
      </c>
      <c r="D55" s="1081">
        <v>432</v>
      </c>
      <c r="E55" s="1081">
        <v>432</v>
      </c>
      <c r="F55" s="1082">
        <f t="shared" si="3"/>
        <v>100</v>
      </c>
      <c r="G55" s="1123" t="s">
        <v>4197</v>
      </c>
      <c r="H55" s="1062" t="s">
        <v>133</v>
      </c>
    </row>
    <row r="56" spans="1:8" s="1019" customFormat="1" ht="24" customHeight="1" x14ac:dyDescent="0.2">
      <c r="A56" s="1020">
        <f t="shared" si="4"/>
        <v>39</v>
      </c>
      <c r="B56" s="1021" t="s">
        <v>2615</v>
      </c>
      <c r="C56" s="1081">
        <v>0</v>
      </c>
      <c r="D56" s="1081">
        <v>340</v>
      </c>
      <c r="E56" s="1081">
        <v>340</v>
      </c>
      <c r="F56" s="1082">
        <f t="shared" si="3"/>
        <v>100</v>
      </c>
      <c r="G56" s="1123" t="s">
        <v>4197</v>
      </c>
      <c r="H56" s="1062" t="s">
        <v>133</v>
      </c>
    </row>
    <row r="57" spans="1:8" s="1019" customFormat="1" ht="12.75" customHeight="1" x14ac:dyDescent="0.2">
      <c r="A57" s="1020">
        <f t="shared" si="4"/>
        <v>40</v>
      </c>
      <c r="B57" s="1021" t="s">
        <v>2589</v>
      </c>
      <c r="C57" s="1081">
        <v>500</v>
      </c>
      <c r="D57" s="1081">
        <v>763</v>
      </c>
      <c r="E57" s="1081">
        <v>728.33847000000003</v>
      </c>
      <c r="F57" s="1082">
        <f t="shared" si="3"/>
        <v>95.457204456094374</v>
      </c>
      <c r="G57" s="1123" t="s">
        <v>4197</v>
      </c>
      <c r="H57" s="1062" t="s">
        <v>133</v>
      </c>
    </row>
    <row r="58" spans="1:8" s="1019" customFormat="1" ht="24" customHeight="1" x14ac:dyDescent="0.2">
      <c r="A58" s="1020">
        <f t="shared" si="4"/>
        <v>41</v>
      </c>
      <c r="B58" s="1021" t="s">
        <v>2640</v>
      </c>
      <c r="C58" s="1081">
        <v>160</v>
      </c>
      <c r="D58" s="1106">
        <v>210</v>
      </c>
      <c r="E58" s="1106">
        <v>210</v>
      </c>
      <c r="F58" s="1082">
        <f t="shared" si="3"/>
        <v>100</v>
      </c>
      <c r="G58" s="1123" t="s">
        <v>4197</v>
      </c>
      <c r="H58" s="1062" t="s">
        <v>133</v>
      </c>
    </row>
    <row r="59" spans="1:8" s="1019" customFormat="1" ht="12.75" customHeight="1" x14ac:dyDescent="0.2">
      <c r="A59" s="1020">
        <f t="shared" si="4"/>
        <v>42</v>
      </c>
      <c r="B59" s="1021" t="s">
        <v>2631</v>
      </c>
      <c r="C59" s="1081">
        <v>0</v>
      </c>
      <c r="D59" s="1106">
        <v>70</v>
      </c>
      <c r="E59" s="1106">
        <v>70</v>
      </c>
      <c r="F59" s="1082">
        <f t="shared" si="3"/>
        <v>100</v>
      </c>
      <c r="G59" s="1123" t="s">
        <v>4197</v>
      </c>
      <c r="H59" s="1062" t="s">
        <v>133</v>
      </c>
    </row>
    <row r="60" spans="1:8" s="1019" customFormat="1" ht="24" customHeight="1" x14ac:dyDescent="0.2">
      <c r="A60" s="1020">
        <f t="shared" si="4"/>
        <v>43</v>
      </c>
      <c r="B60" s="1021" t="s">
        <v>2642</v>
      </c>
      <c r="C60" s="1081">
        <v>100</v>
      </c>
      <c r="D60" s="1106">
        <v>100</v>
      </c>
      <c r="E60" s="1106">
        <v>100</v>
      </c>
      <c r="F60" s="1082">
        <f t="shared" si="3"/>
        <v>100</v>
      </c>
      <c r="G60" s="1123" t="s">
        <v>4197</v>
      </c>
      <c r="H60" s="1062" t="s">
        <v>133</v>
      </c>
    </row>
    <row r="61" spans="1:8" s="1019" customFormat="1" ht="24" customHeight="1" x14ac:dyDescent="0.2">
      <c r="A61" s="1020">
        <f t="shared" si="4"/>
        <v>44</v>
      </c>
      <c r="B61" s="1189" t="s">
        <v>4513</v>
      </c>
      <c r="C61" s="1081">
        <v>0</v>
      </c>
      <c r="D61" s="1081">
        <v>307.40000000000003</v>
      </c>
      <c r="E61" s="1081">
        <v>307.40000000000003</v>
      </c>
      <c r="F61" s="1082">
        <f t="shared" si="3"/>
        <v>100</v>
      </c>
      <c r="G61" s="1123" t="s">
        <v>4197</v>
      </c>
      <c r="H61" s="1062" t="s">
        <v>133</v>
      </c>
    </row>
    <row r="62" spans="1:8" s="1019" customFormat="1" ht="34.5" customHeight="1" x14ac:dyDescent="0.2">
      <c r="A62" s="1020">
        <f t="shared" si="4"/>
        <v>45</v>
      </c>
      <c r="B62" s="1193" t="s">
        <v>4533</v>
      </c>
      <c r="C62" s="1081">
        <v>0</v>
      </c>
      <c r="D62" s="1081">
        <v>1465.6859999999999</v>
      </c>
      <c r="E62" s="1081">
        <v>1437.2869999999996</v>
      </c>
      <c r="F62" s="1082">
        <f t="shared" si="3"/>
        <v>98.062409001655169</v>
      </c>
      <c r="G62" s="1123" t="s">
        <v>4197</v>
      </c>
      <c r="H62" s="1062" t="s">
        <v>133</v>
      </c>
    </row>
    <row r="63" spans="1:8" s="1019" customFormat="1" ht="12.75" customHeight="1" x14ac:dyDescent="0.2">
      <c r="A63" s="1020">
        <f t="shared" si="4"/>
        <v>46</v>
      </c>
      <c r="B63" s="1189" t="s">
        <v>4514</v>
      </c>
      <c r="C63" s="1081">
        <v>0</v>
      </c>
      <c r="D63" s="1081">
        <v>1751.99</v>
      </c>
      <c r="E63" s="1081">
        <v>1751.9899999999996</v>
      </c>
      <c r="F63" s="1082">
        <f t="shared" si="3"/>
        <v>99.999999999999972</v>
      </c>
      <c r="G63" s="1123" t="s">
        <v>4197</v>
      </c>
      <c r="H63" s="1062" t="s">
        <v>133</v>
      </c>
    </row>
    <row r="64" spans="1:8" s="1019" customFormat="1" ht="24" customHeight="1" x14ac:dyDescent="0.2">
      <c r="A64" s="1020">
        <f t="shared" si="4"/>
        <v>47</v>
      </c>
      <c r="B64" s="1150" t="s">
        <v>4534</v>
      </c>
      <c r="C64" s="1081">
        <v>0</v>
      </c>
      <c r="D64" s="1081">
        <v>156</v>
      </c>
      <c r="E64" s="1081">
        <v>156</v>
      </c>
      <c r="F64" s="1082">
        <f t="shared" si="3"/>
        <v>100</v>
      </c>
      <c r="G64" s="1123" t="s">
        <v>4199</v>
      </c>
      <c r="H64" s="1062" t="s">
        <v>133</v>
      </c>
    </row>
    <row r="65" spans="1:8" s="1019" customFormat="1" ht="24" customHeight="1" x14ac:dyDescent="0.2">
      <c r="A65" s="1020">
        <f t="shared" si="4"/>
        <v>48</v>
      </c>
      <c r="B65" s="1189" t="s">
        <v>4517</v>
      </c>
      <c r="C65" s="1081">
        <v>0</v>
      </c>
      <c r="D65" s="1081">
        <v>60</v>
      </c>
      <c r="E65" s="1081">
        <v>60</v>
      </c>
      <c r="F65" s="1082">
        <f t="shared" si="3"/>
        <v>100</v>
      </c>
      <c r="G65" s="1123" t="s">
        <v>4197</v>
      </c>
      <c r="H65" s="1062" t="s">
        <v>133</v>
      </c>
    </row>
    <row r="66" spans="1:8" s="1019" customFormat="1" ht="12.75" customHeight="1" x14ac:dyDescent="0.2">
      <c r="A66" s="1020">
        <f t="shared" si="4"/>
        <v>49</v>
      </c>
      <c r="B66" s="1190" t="s">
        <v>4518</v>
      </c>
      <c r="C66" s="1081">
        <v>0</v>
      </c>
      <c r="D66" s="1081">
        <v>19882.796999999999</v>
      </c>
      <c r="E66" s="1081">
        <v>19882.797000000002</v>
      </c>
      <c r="F66" s="1082">
        <f t="shared" si="3"/>
        <v>100.00000000000003</v>
      </c>
      <c r="G66" s="1123" t="s">
        <v>4197</v>
      </c>
      <c r="H66" s="1062" t="s">
        <v>133</v>
      </c>
    </row>
    <row r="67" spans="1:8" s="1019" customFormat="1" ht="24" customHeight="1" x14ac:dyDescent="0.2">
      <c r="A67" s="1020">
        <f t="shared" si="4"/>
        <v>50</v>
      </c>
      <c r="B67" s="1190" t="s">
        <v>4519</v>
      </c>
      <c r="C67" s="1081">
        <v>0</v>
      </c>
      <c r="D67" s="1081">
        <v>668.25099999999998</v>
      </c>
      <c r="E67" s="1081">
        <v>668.25099999999998</v>
      </c>
      <c r="F67" s="1082">
        <f t="shared" si="3"/>
        <v>100</v>
      </c>
      <c r="G67" s="1123" t="s">
        <v>4197</v>
      </c>
      <c r="H67" s="1062" t="s">
        <v>133</v>
      </c>
    </row>
    <row r="68" spans="1:8" s="1019" customFormat="1" ht="12.75" customHeight="1" x14ac:dyDescent="0.2">
      <c r="A68" s="1020">
        <f t="shared" si="4"/>
        <v>51</v>
      </c>
      <c r="B68" s="1190" t="s">
        <v>4521</v>
      </c>
      <c r="C68" s="1081">
        <v>0</v>
      </c>
      <c r="D68" s="1081">
        <v>95332.335000000006</v>
      </c>
      <c r="E68" s="1081">
        <v>95332.335000000021</v>
      </c>
      <c r="F68" s="1082">
        <f t="shared" si="3"/>
        <v>100.00000000000003</v>
      </c>
      <c r="G68" s="1123" t="s">
        <v>4199</v>
      </c>
      <c r="H68" s="1062" t="s">
        <v>133</v>
      </c>
    </row>
    <row r="69" spans="1:8" s="1019" customFormat="1" ht="12.75" customHeight="1" x14ac:dyDescent="0.2">
      <c r="A69" s="1020">
        <f t="shared" si="4"/>
        <v>52</v>
      </c>
      <c r="B69" s="1190" t="s">
        <v>4535</v>
      </c>
      <c r="C69" s="1081">
        <v>0</v>
      </c>
      <c r="D69" s="1081">
        <v>329.39</v>
      </c>
      <c r="E69" s="1081">
        <v>329.14800000000002</v>
      </c>
      <c r="F69" s="1082">
        <f t="shared" si="3"/>
        <v>99.926530860074692</v>
      </c>
      <c r="G69" s="1123" t="s">
        <v>4199</v>
      </c>
      <c r="H69" s="1062" t="s">
        <v>133</v>
      </c>
    </row>
    <row r="70" spans="1:8" s="1019" customFormat="1" ht="24" customHeight="1" x14ac:dyDescent="0.2">
      <c r="A70" s="1020">
        <f t="shared" si="4"/>
        <v>53</v>
      </c>
      <c r="B70" s="1190" t="s">
        <v>4523</v>
      </c>
      <c r="C70" s="1081">
        <v>0</v>
      </c>
      <c r="D70" s="1081">
        <v>15621.284</v>
      </c>
      <c r="E70" s="1081">
        <v>15621.283999999992</v>
      </c>
      <c r="F70" s="1082">
        <f t="shared" si="3"/>
        <v>99.999999999999957</v>
      </c>
      <c r="G70" s="1123" t="s">
        <v>4199</v>
      </c>
      <c r="H70" s="1062" t="s">
        <v>133</v>
      </c>
    </row>
    <row r="71" spans="1:8" s="1019" customFormat="1" ht="31.5" x14ac:dyDescent="0.2">
      <c r="A71" s="1020">
        <f t="shared" si="4"/>
        <v>54</v>
      </c>
      <c r="B71" s="1150" t="s">
        <v>4536</v>
      </c>
      <c r="C71" s="1081">
        <v>0</v>
      </c>
      <c r="D71" s="1081">
        <v>151.9</v>
      </c>
      <c r="E71" s="1081">
        <v>111.9</v>
      </c>
      <c r="F71" s="1082">
        <f t="shared" si="3"/>
        <v>73.66688610928243</v>
      </c>
      <c r="G71" s="1123" t="s">
        <v>4197</v>
      </c>
      <c r="H71" s="1062" t="s">
        <v>4537</v>
      </c>
    </row>
    <row r="72" spans="1:8" s="1019" customFormat="1" ht="42" x14ac:dyDescent="0.2">
      <c r="A72" s="1020">
        <f t="shared" si="4"/>
        <v>55</v>
      </c>
      <c r="B72" s="1150" t="s">
        <v>4538</v>
      </c>
      <c r="C72" s="1081">
        <v>0</v>
      </c>
      <c r="D72" s="1081">
        <v>329.8</v>
      </c>
      <c r="E72" s="1081">
        <v>254.78700000000001</v>
      </c>
      <c r="F72" s="1082">
        <f t="shared" si="3"/>
        <v>77.255003032140692</v>
      </c>
      <c r="G72" s="1123" t="s">
        <v>4197</v>
      </c>
      <c r="H72" s="1062" t="s">
        <v>4539</v>
      </c>
    </row>
    <row r="73" spans="1:8" s="1019" customFormat="1" ht="12.75" customHeight="1" x14ac:dyDescent="0.2">
      <c r="A73" s="1020">
        <f t="shared" si="4"/>
        <v>56</v>
      </c>
      <c r="B73" s="1150" t="s">
        <v>4540</v>
      </c>
      <c r="C73" s="1081">
        <v>0</v>
      </c>
      <c r="D73" s="1081">
        <v>103.899</v>
      </c>
      <c r="E73" s="1081">
        <v>103.899</v>
      </c>
      <c r="F73" s="1082">
        <f t="shared" si="3"/>
        <v>100</v>
      </c>
      <c r="G73" s="1123" t="s">
        <v>4197</v>
      </c>
      <c r="H73" s="1062" t="s">
        <v>133</v>
      </c>
    </row>
    <row r="74" spans="1:8" s="1019" customFormat="1" ht="12.75" customHeight="1" x14ac:dyDescent="0.2">
      <c r="A74" s="1020">
        <f t="shared" si="4"/>
        <v>57</v>
      </c>
      <c r="B74" s="1194" t="s">
        <v>4525</v>
      </c>
      <c r="C74" s="1081">
        <v>0</v>
      </c>
      <c r="D74" s="1081">
        <v>1140</v>
      </c>
      <c r="E74" s="1081">
        <v>1140</v>
      </c>
      <c r="F74" s="1082">
        <f t="shared" si="3"/>
        <v>100</v>
      </c>
      <c r="G74" s="1123" t="s">
        <v>4197</v>
      </c>
      <c r="H74" s="1062" t="s">
        <v>133</v>
      </c>
    </row>
    <row r="75" spans="1:8" s="1019" customFormat="1" ht="21" x14ac:dyDescent="0.2">
      <c r="A75" s="1020">
        <f t="shared" si="4"/>
        <v>58</v>
      </c>
      <c r="B75" s="1193" t="s">
        <v>4541</v>
      </c>
      <c r="C75" s="1081">
        <v>0</v>
      </c>
      <c r="D75" s="1081">
        <v>143.334</v>
      </c>
      <c r="E75" s="1081">
        <v>143.334</v>
      </c>
      <c r="F75" s="1082">
        <f t="shared" si="3"/>
        <v>100</v>
      </c>
      <c r="G75" s="1123" t="s">
        <v>4197</v>
      </c>
      <c r="H75" s="1062" t="s">
        <v>133</v>
      </c>
    </row>
    <row r="76" spans="1:8" s="1019" customFormat="1" ht="12.75" customHeight="1" x14ac:dyDescent="0.2">
      <c r="A76" s="1020">
        <f t="shared" si="4"/>
        <v>59</v>
      </c>
      <c r="B76" s="1194" t="s">
        <v>4518</v>
      </c>
      <c r="C76" s="1081">
        <v>0</v>
      </c>
      <c r="D76" s="1081">
        <v>118.672</v>
      </c>
      <c r="E76" s="1081">
        <v>118.672</v>
      </c>
      <c r="F76" s="1082">
        <f t="shared" si="3"/>
        <v>100</v>
      </c>
      <c r="G76" s="1123" t="s">
        <v>4197</v>
      </c>
      <c r="H76" s="1062" t="s">
        <v>133</v>
      </c>
    </row>
    <row r="77" spans="1:8" s="1019" customFormat="1" ht="12.75" customHeight="1" x14ac:dyDescent="0.2">
      <c r="A77" s="1020">
        <f t="shared" si="4"/>
        <v>60</v>
      </c>
      <c r="B77" s="1194" t="s">
        <v>4542</v>
      </c>
      <c r="C77" s="1081">
        <v>0</v>
      </c>
      <c r="D77" s="1081">
        <v>200</v>
      </c>
      <c r="E77" s="1081">
        <v>200</v>
      </c>
      <c r="F77" s="1082">
        <f t="shared" si="3"/>
        <v>100</v>
      </c>
      <c r="G77" s="1123" t="s">
        <v>4199</v>
      </c>
      <c r="H77" s="1062" t="s">
        <v>133</v>
      </c>
    </row>
    <row r="78" spans="1:8" s="1019" customFormat="1" ht="12.75" customHeight="1" x14ac:dyDescent="0.2">
      <c r="A78" s="1020">
        <f t="shared" si="4"/>
        <v>61</v>
      </c>
      <c r="B78" s="1194" t="s">
        <v>4528</v>
      </c>
      <c r="C78" s="1081">
        <v>0</v>
      </c>
      <c r="D78" s="1081">
        <v>3103488</v>
      </c>
      <c r="E78" s="1081">
        <v>3103488</v>
      </c>
      <c r="F78" s="1082">
        <f t="shared" si="3"/>
        <v>100</v>
      </c>
      <c r="G78" s="1123" t="s">
        <v>4197</v>
      </c>
      <c r="H78" s="1062" t="s">
        <v>133</v>
      </c>
    </row>
    <row r="79" spans="1:8" s="1019" customFormat="1" ht="12.75" customHeight="1" x14ac:dyDescent="0.2">
      <c r="A79" s="1020">
        <f t="shared" si="4"/>
        <v>62</v>
      </c>
      <c r="B79" s="1193" t="s">
        <v>4543</v>
      </c>
      <c r="C79" s="1081">
        <v>0</v>
      </c>
      <c r="D79" s="1081">
        <v>12581.5</v>
      </c>
      <c r="E79" s="1081">
        <v>12581.5</v>
      </c>
      <c r="F79" s="1082">
        <f t="shared" si="3"/>
        <v>100</v>
      </c>
      <c r="G79" s="1123" t="s">
        <v>4197</v>
      </c>
      <c r="H79" s="1062" t="s">
        <v>133</v>
      </c>
    </row>
    <row r="80" spans="1:8" s="1019" customFormat="1" ht="24" customHeight="1" x14ac:dyDescent="0.2">
      <c r="A80" s="1020">
        <f t="shared" si="4"/>
        <v>63</v>
      </c>
      <c r="B80" s="1193" t="s">
        <v>4530</v>
      </c>
      <c r="C80" s="1081">
        <v>0</v>
      </c>
      <c r="D80" s="1081">
        <v>2356.837</v>
      </c>
      <c r="E80" s="1081">
        <v>2356.837</v>
      </c>
      <c r="F80" s="1082">
        <f t="shared" si="3"/>
        <v>100</v>
      </c>
      <c r="G80" s="1123" t="s">
        <v>4197</v>
      </c>
      <c r="H80" s="1062" t="s">
        <v>133</v>
      </c>
    </row>
    <row r="81" spans="1:9" s="1019" customFormat="1" ht="24" customHeight="1" x14ac:dyDescent="0.2">
      <c r="A81" s="1020">
        <f t="shared" si="4"/>
        <v>64</v>
      </c>
      <c r="B81" s="1193" t="s">
        <v>4544</v>
      </c>
      <c r="C81" s="1081">
        <v>0</v>
      </c>
      <c r="D81" s="1081">
        <v>180</v>
      </c>
      <c r="E81" s="1081">
        <v>180</v>
      </c>
      <c r="F81" s="1082">
        <f t="shared" si="3"/>
        <v>100</v>
      </c>
      <c r="G81" s="1123" t="s">
        <v>4199</v>
      </c>
      <c r="H81" s="1062" t="s">
        <v>133</v>
      </c>
    </row>
    <row r="82" spans="1:9" s="1019" customFormat="1" ht="12.75" customHeight="1" x14ac:dyDescent="0.2">
      <c r="A82" s="1020">
        <f t="shared" si="4"/>
        <v>65</v>
      </c>
      <c r="B82" s="1193" t="s">
        <v>4545</v>
      </c>
      <c r="C82" s="1081">
        <v>0</v>
      </c>
      <c r="D82" s="1081">
        <v>350</v>
      </c>
      <c r="E82" s="1081">
        <v>350</v>
      </c>
      <c r="F82" s="1082">
        <f t="shared" si="3"/>
        <v>100</v>
      </c>
      <c r="G82" s="1123" t="s">
        <v>4197</v>
      </c>
      <c r="H82" s="1062" t="s">
        <v>133</v>
      </c>
    </row>
    <row r="83" spans="1:9" s="977" customFormat="1" ht="13.5" customHeight="1" thickBot="1" x14ac:dyDescent="0.25">
      <c r="A83" s="1442" t="s">
        <v>477</v>
      </c>
      <c r="B83" s="1443"/>
      <c r="C83" s="1039">
        <f>SUM(C49:C82)</f>
        <v>705375</v>
      </c>
      <c r="D83" s="1039">
        <f>SUM(D49:D82)</f>
        <v>3962644.4049999998</v>
      </c>
      <c r="E83" s="1039">
        <f>SUM(E49:E82)</f>
        <v>3962465.2014700002</v>
      </c>
      <c r="F83" s="1041">
        <f t="shared" si="3"/>
        <v>99.995477678245024</v>
      </c>
      <c r="G83" s="1054"/>
      <c r="H83" s="1043"/>
    </row>
    <row r="84" spans="1:9" s="982" customFormat="1" ht="18" customHeight="1" thickBot="1" x14ac:dyDescent="0.2">
      <c r="A84" s="1045" t="s">
        <v>4424</v>
      </c>
      <c r="B84" s="1046"/>
      <c r="C84" s="1048"/>
      <c r="D84" s="1048"/>
      <c r="E84" s="1048"/>
      <c r="F84" s="1049"/>
      <c r="G84" s="1117"/>
      <c r="H84" s="1051"/>
    </row>
    <row r="85" spans="1:9" s="1019" customFormat="1" ht="24.75" customHeight="1" x14ac:dyDescent="0.2">
      <c r="A85" s="1013">
        <f>A82+1</f>
        <v>66</v>
      </c>
      <c r="B85" s="1014" t="s">
        <v>4546</v>
      </c>
      <c r="C85" s="1076">
        <v>0</v>
      </c>
      <c r="D85" s="1076">
        <v>5100</v>
      </c>
      <c r="E85" s="1076">
        <v>5100</v>
      </c>
      <c r="F85" s="1077">
        <f>E85/D85*100</f>
        <v>100</v>
      </c>
      <c r="G85" s="1101" t="s">
        <v>4199</v>
      </c>
      <c r="H85" s="1195" t="s">
        <v>133</v>
      </c>
    </row>
    <row r="86" spans="1:9" s="977" customFormat="1" ht="13.5" customHeight="1" thickBot="1" x14ac:dyDescent="0.25">
      <c r="A86" s="1444" t="s">
        <v>477</v>
      </c>
      <c r="B86" s="1445"/>
      <c r="C86" s="1040">
        <f>SUM(C85:C85)</f>
        <v>0</v>
      </c>
      <c r="D86" s="1040">
        <f>SUM(D85:D85)</f>
        <v>5100</v>
      </c>
      <c r="E86" s="1040">
        <f>SUM(E85:E85)</f>
        <v>5100</v>
      </c>
      <c r="F86" s="1167">
        <f>E86/D86*100</f>
        <v>100</v>
      </c>
      <c r="G86" s="1054"/>
      <c r="H86" s="1043"/>
    </row>
    <row r="87" spans="1:9" ht="18" customHeight="1" thickBot="1" x14ac:dyDescent="0.2">
      <c r="A87" s="1196" t="s">
        <v>4220</v>
      </c>
      <c r="B87" s="1197"/>
      <c r="C87" s="1198"/>
      <c r="D87" s="1198"/>
      <c r="E87" s="1199"/>
      <c r="F87" s="1200"/>
      <c r="G87" s="1201"/>
      <c r="H87" s="1202"/>
    </row>
    <row r="88" spans="1:9" s="977" customFormat="1" ht="42" x14ac:dyDescent="0.2">
      <c r="A88" s="1013">
        <f>A85+1</f>
        <v>67</v>
      </c>
      <c r="B88" s="1014" t="s">
        <v>582</v>
      </c>
      <c r="C88" s="1076">
        <v>3000</v>
      </c>
      <c r="D88" s="1076">
        <v>2242.5909999999999</v>
      </c>
      <c r="E88" s="1076">
        <v>2242.5900200000001</v>
      </c>
      <c r="F88" s="1077">
        <v>100.00000089182596</v>
      </c>
      <c r="G88" s="1101" t="s">
        <v>4510</v>
      </c>
      <c r="H88" s="1061" t="s">
        <v>4547</v>
      </c>
    </row>
    <row r="89" spans="1:9" s="977" customFormat="1" ht="34.5" customHeight="1" x14ac:dyDescent="0.2">
      <c r="A89" s="1020">
        <f t="shared" ref="A89:A135" si="5">A88+1</f>
        <v>68</v>
      </c>
      <c r="B89" s="1021" t="s">
        <v>581</v>
      </c>
      <c r="C89" s="1081">
        <v>0</v>
      </c>
      <c r="D89" s="1081">
        <v>1050</v>
      </c>
      <c r="E89" s="1081">
        <v>1050</v>
      </c>
      <c r="F89" s="1082">
        <v>100</v>
      </c>
      <c r="G89" s="1125" t="s">
        <v>4199</v>
      </c>
      <c r="H89" s="1025" t="s">
        <v>488</v>
      </c>
    </row>
    <row r="90" spans="1:9" s="977" customFormat="1" ht="12.75" customHeight="1" x14ac:dyDescent="0.2">
      <c r="A90" s="1020">
        <f t="shared" si="5"/>
        <v>69</v>
      </c>
      <c r="B90" s="1021" t="s">
        <v>580</v>
      </c>
      <c r="C90" s="1081">
        <v>0</v>
      </c>
      <c r="D90" s="1081">
        <v>500</v>
      </c>
      <c r="E90" s="1081">
        <v>500</v>
      </c>
      <c r="F90" s="1082">
        <v>100</v>
      </c>
      <c r="G90" s="1133" t="s">
        <v>4199</v>
      </c>
      <c r="H90" s="1025" t="s">
        <v>488</v>
      </c>
    </row>
    <row r="91" spans="1:9" s="977" customFormat="1" ht="12.75" customHeight="1" x14ac:dyDescent="0.2">
      <c r="A91" s="1020">
        <f t="shared" si="5"/>
        <v>70</v>
      </c>
      <c r="B91" s="965" t="s">
        <v>578</v>
      </c>
      <c r="C91" s="1081">
        <v>0</v>
      </c>
      <c r="D91" s="1081">
        <v>1513</v>
      </c>
      <c r="E91" s="1081">
        <v>1513</v>
      </c>
      <c r="F91" s="1082">
        <v>100</v>
      </c>
      <c r="G91" s="1123" t="s">
        <v>4197</v>
      </c>
      <c r="H91" s="1025" t="s">
        <v>488</v>
      </c>
    </row>
    <row r="92" spans="1:9" s="977" customFormat="1" ht="34.5" customHeight="1" x14ac:dyDescent="0.2">
      <c r="A92" s="1020">
        <f t="shared" si="5"/>
        <v>71</v>
      </c>
      <c r="B92" s="965" t="s">
        <v>576</v>
      </c>
      <c r="C92" s="1106">
        <v>0</v>
      </c>
      <c r="D92" s="1106">
        <v>3950</v>
      </c>
      <c r="E92" s="1106">
        <v>3950</v>
      </c>
      <c r="F92" s="1107">
        <v>100</v>
      </c>
      <c r="G92" s="1125" t="s">
        <v>4199</v>
      </c>
      <c r="H92" s="1062" t="s">
        <v>488</v>
      </c>
    </row>
    <row r="93" spans="1:9" s="977" customFormat="1" ht="24" customHeight="1" x14ac:dyDescent="0.2">
      <c r="A93" s="1020">
        <f t="shared" si="5"/>
        <v>72</v>
      </c>
      <c r="B93" s="1031" t="s">
        <v>4548</v>
      </c>
      <c r="C93" s="1081">
        <v>3600</v>
      </c>
      <c r="D93" s="1081">
        <v>3600</v>
      </c>
      <c r="E93" s="1081">
        <v>3600</v>
      </c>
      <c r="F93" s="1082">
        <v>100</v>
      </c>
      <c r="G93" s="1133" t="s">
        <v>4199</v>
      </c>
      <c r="H93" s="1062" t="s">
        <v>488</v>
      </c>
    </row>
    <row r="94" spans="1:9" s="977" customFormat="1" ht="24" customHeight="1" x14ac:dyDescent="0.2">
      <c r="A94" s="1020">
        <f t="shared" si="5"/>
        <v>73</v>
      </c>
      <c r="B94" s="1021" t="s">
        <v>4549</v>
      </c>
      <c r="C94" s="1081">
        <v>0</v>
      </c>
      <c r="D94" s="1081">
        <v>3691.6</v>
      </c>
      <c r="E94" s="1081">
        <v>3691.46</v>
      </c>
      <c r="F94" s="1082">
        <v>99.996207606457915</v>
      </c>
      <c r="G94" s="1133" t="s">
        <v>4199</v>
      </c>
      <c r="H94" s="1025" t="s">
        <v>488</v>
      </c>
    </row>
    <row r="95" spans="1:9" s="977" customFormat="1" ht="12.75" customHeight="1" x14ac:dyDescent="0.2">
      <c r="A95" s="1020">
        <f t="shared" si="5"/>
        <v>74</v>
      </c>
      <c r="B95" s="1031" t="s">
        <v>573</v>
      </c>
      <c r="C95" s="1081">
        <v>0</v>
      </c>
      <c r="D95" s="1081">
        <v>838</v>
      </c>
      <c r="E95" s="1081">
        <v>838</v>
      </c>
      <c r="F95" s="1082">
        <v>100</v>
      </c>
      <c r="G95" s="1133" t="s">
        <v>4197</v>
      </c>
      <c r="H95" s="1025" t="s">
        <v>133</v>
      </c>
      <c r="I95" s="1019"/>
    </row>
    <row r="96" spans="1:9" s="977" customFormat="1" ht="34.5" customHeight="1" x14ac:dyDescent="0.2">
      <c r="A96" s="1020">
        <f t="shared" si="5"/>
        <v>75</v>
      </c>
      <c r="B96" s="1021" t="s">
        <v>572</v>
      </c>
      <c r="C96" s="1081">
        <v>900</v>
      </c>
      <c r="D96" s="1081">
        <v>900</v>
      </c>
      <c r="E96" s="1081">
        <v>900</v>
      </c>
      <c r="F96" s="1082">
        <v>100</v>
      </c>
      <c r="G96" s="1176" t="s">
        <v>4199</v>
      </c>
      <c r="H96" s="1177" t="s">
        <v>488</v>
      </c>
    </row>
    <row r="97" spans="1:9" s="977" customFormat="1" ht="24" customHeight="1" x14ac:dyDescent="0.2">
      <c r="A97" s="1020">
        <f t="shared" si="5"/>
        <v>76</v>
      </c>
      <c r="B97" s="1021" t="s">
        <v>571</v>
      </c>
      <c r="C97" s="1081">
        <v>3000</v>
      </c>
      <c r="D97" s="1081">
        <v>3000</v>
      </c>
      <c r="E97" s="1081">
        <v>3000</v>
      </c>
      <c r="F97" s="1082">
        <v>100</v>
      </c>
      <c r="G97" s="1176" t="s">
        <v>4199</v>
      </c>
      <c r="H97" s="1177" t="s">
        <v>488</v>
      </c>
    </row>
    <row r="98" spans="1:9" s="977" customFormat="1" ht="31.5" x14ac:dyDescent="0.2">
      <c r="A98" s="1020">
        <f t="shared" si="5"/>
        <v>77</v>
      </c>
      <c r="B98" s="1021" t="s">
        <v>570</v>
      </c>
      <c r="C98" s="1081">
        <v>1500</v>
      </c>
      <c r="D98" s="1081">
        <v>1500</v>
      </c>
      <c r="E98" s="1081">
        <v>1500</v>
      </c>
      <c r="F98" s="1082">
        <v>100</v>
      </c>
      <c r="G98" s="1176" t="s">
        <v>4199</v>
      </c>
      <c r="H98" s="1177" t="s">
        <v>488</v>
      </c>
    </row>
    <row r="99" spans="1:9" s="977" customFormat="1" ht="52.5" x14ac:dyDescent="0.2">
      <c r="A99" s="1020">
        <f t="shared" si="5"/>
        <v>78</v>
      </c>
      <c r="B99" s="1021" t="s">
        <v>569</v>
      </c>
      <c r="C99" s="1106">
        <v>2000</v>
      </c>
      <c r="D99" s="1106">
        <v>882.21400000000006</v>
      </c>
      <c r="E99" s="1081">
        <v>882.21343999999999</v>
      </c>
      <c r="F99" s="1082">
        <v>100.00038992983529</v>
      </c>
      <c r="G99" s="1176" t="s">
        <v>4199</v>
      </c>
      <c r="H99" s="1177" t="s">
        <v>4550</v>
      </c>
    </row>
    <row r="100" spans="1:9" s="977" customFormat="1" ht="24" customHeight="1" x14ac:dyDescent="0.2">
      <c r="A100" s="1020">
        <f t="shared" si="5"/>
        <v>79</v>
      </c>
      <c r="B100" s="1021" t="s">
        <v>568</v>
      </c>
      <c r="C100" s="1081">
        <v>3838</v>
      </c>
      <c r="D100" s="1081">
        <v>3838</v>
      </c>
      <c r="E100" s="1081">
        <v>3838</v>
      </c>
      <c r="F100" s="1082">
        <v>100</v>
      </c>
      <c r="G100" s="1176" t="s">
        <v>4199</v>
      </c>
      <c r="H100" s="1177" t="s">
        <v>488</v>
      </c>
    </row>
    <row r="101" spans="1:9" s="977" customFormat="1" ht="24" customHeight="1" x14ac:dyDescent="0.2">
      <c r="A101" s="1020">
        <f t="shared" si="5"/>
        <v>80</v>
      </c>
      <c r="B101" s="1021" t="s">
        <v>567</v>
      </c>
      <c r="C101" s="1081">
        <v>1800</v>
      </c>
      <c r="D101" s="1081">
        <v>1800</v>
      </c>
      <c r="E101" s="1081">
        <v>1800</v>
      </c>
      <c r="F101" s="1082">
        <v>100</v>
      </c>
      <c r="G101" s="1176" t="s">
        <v>4199</v>
      </c>
      <c r="H101" s="1177" t="s">
        <v>488</v>
      </c>
    </row>
    <row r="102" spans="1:9" s="977" customFormat="1" ht="24" customHeight="1" x14ac:dyDescent="0.2">
      <c r="A102" s="1020">
        <f t="shared" si="5"/>
        <v>81</v>
      </c>
      <c r="B102" s="1021" t="s">
        <v>566</v>
      </c>
      <c r="C102" s="1081">
        <v>1000</v>
      </c>
      <c r="D102" s="1081">
        <v>706.66</v>
      </c>
      <c r="E102" s="1081">
        <v>706.65939000000003</v>
      </c>
      <c r="F102" s="1082">
        <v>99.999913678430943</v>
      </c>
      <c r="G102" s="1176" t="s">
        <v>4199</v>
      </c>
      <c r="H102" s="1177" t="s">
        <v>488</v>
      </c>
    </row>
    <row r="103" spans="1:9" s="977" customFormat="1" ht="42" x14ac:dyDescent="0.2">
      <c r="A103" s="1020">
        <f t="shared" si="5"/>
        <v>82</v>
      </c>
      <c r="B103" s="1021" t="s">
        <v>4551</v>
      </c>
      <c r="C103" s="1081">
        <v>0</v>
      </c>
      <c r="D103" s="1081">
        <v>797.82399999999996</v>
      </c>
      <c r="E103" s="1081">
        <v>797.82399999999996</v>
      </c>
      <c r="F103" s="1082">
        <v>100.00050136622293</v>
      </c>
      <c r="G103" s="1176" t="s">
        <v>4199</v>
      </c>
      <c r="H103" s="1177" t="s">
        <v>488</v>
      </c>
    </row>
    <row r="104" spans="1:9" s="977" customFormat="1" ht="31.5" x14ac:dyDescent="0.2">
      <c r="A104" s="1020">
        <f t="shared" si="5"/>
        <v>83</v>
      </c>
      <c r="B104" s="1021" t="s">
        <v>564</v>
      </c>
      <c r="C104" s="1081">
        <v>0</v>
      </c>
      <c r="D104" s="1081">
        <v>500</v>
      </c>
      <c r="E104" s="1081">
        <v>500</v>
      </c>
      <c r="F104" s="1082">
        <v>100</v>
      </c>
      <c r="G104" s="1176" t="s">
        <v>4199</v>
      </c>
      <c r="H104" s="1177" t="s">
        <v>488</v>
      </c>
    </row>
    <row r="105" spans="1:9" s="977" customFormat="1" ht="126" x14ac:dyDescent="0.2">
      <c r="A105" s="1020">
        <f t="shared" si="5"/>
        <v>84</v>
      </c>
      <c r="B105" s="1031" t="s">
        <v>563</v>
      </c>
      <c r="C105" s="1081">
        <v>0</v>
      </c>
      <c r="D105" s="1081">
        <v>1300</v>
      </c>
      <c r="E105" s="1081">
        <v>61.71</v>
      </c>
      <c r="F105" s="1082">
        <v>4.7469230769230775</v>
      </c>
      <c r="G105" s="1176" t="s">
        <v>4510</v>
      </c>
      <c r="H105" s="1177" t="s">
        <v>4552</v>
      </c>
    </row>
    <row r="106" spans="1:9" s="977" customFormat="1" ht="34.5" customHeight="1" x14ac:dyDescent="0.2">
      <c r="A106" s="1020">
        <f t="shared" si="5"/>
        <v>85</v>
      </c>
      <c r="B106" s="1021" t="s">
        <v>562</v>
      </c>
      <c r="C106" s="1081">
        <v>0</v>
      </c>
      <c r="D106" s="1081">
        <v>2200</v>
      </c>
      <c r="E106" s="1081">
        <v>2200</v>
      </c>
      <c r="F106" s="1082">
        <v>100</v>
      </c>
      <c r="G106" s="1176" t="s">
        <v>4199</v>
      </c>
      <c r="H106" s="1177" t="s">
        <v>488</v>
      </c>
    </row>
    <row r="107" spans="1:9" s="977" customFormat="1" ht="34.5" customHeight="1" x14ac:dyDescent="0.2">
      <c r="A107" s="1020">
        <f t="shared" si="5"/>
        <v>86</v>
      </c>
      <c r="B107" s="1021" t="s">
        <v>561</v>
      </c>
      <c r="C107" s="1081">
        <v>0</v>
      </c>
      <c r="D107" s="1081">
        <v>1400</v>
      </c>
      <c r="E107" s="1081">
        <v>1400</v>
      </c>
      <c r="F107" s="1082">
        <v>100</v>
      </c>
      <c r="G107" s="1176" t="s">
        <v>4199</v>
      </c>
      <c r="H107" s="1177" t="s">
        <v>488</v>
      </c>
      <c r="I107" s="1019"/>
    </row>
    <row r="108" spans="1:9" s="977" customFormat="1" ht="34.5" customHeight="1" x14ac:dyDescent="0.2">
      <c r="A108" s="1020">
        <f t="shared" si="5"/>
        <v>87</v>
      </c>
      <c r="B108" s="1021" t="s">
        <v>560</v>
      </c>
      <c r="C108" s="1081">
        <v>0</v>
      </c>
      <c r="D108" s="1081">
        <v>1700</v>
      </c>
      <c r="E108" s="1081">
        <v>1700</v>
      </c>
      <c r="F108" s="1082">
        <v>100</v>
      </c>
      <c r="G108" s="1176" t="s">
        <v>4199</v>
      </c>
      <c r="H108" s="1177" t="s">
        <v>488</v>
      </c>
    </row>
    <row r="109" spans="1:9" s="977" customFormat="1" ht="24" customHeight="1" x14ac:dyDescent="0.2">
      <c r="A109" s="1020">
        <f t="shared" si="5"/>
        <v>88</v>
      </c>
      <c r="B109" s="1021" t="s">
        <v>559</v>
      </c>
      <c r="C109" s="1081">
        <v>0</v>
      </c>
      <c r="D109" s="1081">
        <v>2500</v>
      </c>
      <c r="E109" s="1081">
        <v>2344.0267999999996</v>
      </c>
      <c r="F109" s="1082">
        <v>93.761071999999984</v>
      </c>
      <c r="G109" s="1176" t="s">
        <v>4199</v>
      </c>
      <c r="H109" s="1178" t="s">
        <v>4459</v>
      </c>
    </row>
    <row r="110" spans="1:9" s="977" customFormat="1" ht="34.5" customHeight="1" x14ac:dyDescent="0.2">
      <c r="A110" s="1020">
        <f t="shared" si="5"/>
        <v>89</v>
      </c>
      <c r="B110" s="1021" t="s">
        <v>4553</v>
      </c>
      <c r="C110" s="1081">
        <v>0</v>
      </c>
      <c r="D110" s="1081">
        <v>4243</v>
      </c>
      <c r="E110" s="1081">
        <v>4243</v>
      </c>
      <c r="F110" s="1082">
        <v>100</v>
      </c>
      <c r="G110" s="1176" t="s">
        <v>4199</v>
      </c>
      <c r="H110" s="1178" t="s">
        <v>597</v>
      </c>
    </row>
    <row r="111" spans="1:9" s="977" customFormat="1" ht="24" customHeight="1" x14ac:dyDescent="0.2">
      <c r="A111" s="1020">
        <f t="shared" si="5"/>
        <v>90</v>
      </c>
      <c r="B111" s="1021" t="s">
        <v>557</v>
      </c>
      <c r="C111" s="1081">
        <v>0</v>
      </c>
      <c r="D111" s="1081">
        <v>4500</v>
      </c>
      <c r="E111" s="1081">
        <v>4500</v>
      </c>
      <c r="F111" s="1082">
        <v>100</v>
      </c>
      <c r="G111" s="1176" t="s">
        <v>4199</v>
      </c>
      <c r="H111" s="1178" t="s">
        <v>597</v>
      </c>
    </row>
    <row r="112" spans="1:9" s="977" customFormat="1" ht="136.5" x14ac:dyDescent="0.2">
      <c r="A112" s="1020">
        <f t="shared" si="5"/>
        <v>91</v>
      </c>
      <c r="B112" s="1021" t="s">
        <v>4554</v>
      </c>
      <c r="C112" s="1081">
        <v>0</v>
      </c>
      <c r="D112" s="1081">
        <v>1300</v>
      </c>
      <c r="E112" s="1081">
        <v>0</v>
      </c>
      <c r="F112" s="1082">
        <v>0</v>
      </c>
      <c r="G112" s="1133" t="s">
        <v>4510</v>
      </c>
      <c r="H112" s="1025" t="s">
        <v>4555</v>
      </c>
    </row>
    <row r="113" spans="1:9" s="977" customFormat="1" ht="31.5" x14ac:dyDescent="0.2">
      <c r="A113" s="1020">
        <f t="shared" si="5"/>
        <v>92</v>
      </c>
      <c r="B113" s="1021" t="s">
        <v>556</v>
      </c>
      <c r="C113" s="1081">
        <v>0</v>
      </c>
      <c r="D113" s="1081">
        <v>1047.354</v>
      </c>
      <c r="E113" s="1081">
        <v>1047.3535200000001</v>
      </c>
      <c r="F113" s="1082">
        <v>100.0003360863131</v>
      </c>
      <c r="G113" s="1133" t="s">
        <v>4199</v>
      </c>
      <c r="H113" s="1062" t="s">
        <v>597</v>
      </c>
    </row>
    <row r="114" spans="1:9" s="977" customFormat="1" ht="31.5" x14ac:dyDescent="0.2">
      <c r="A114" s="1020">
        <f t="shared" si="5"/>
        <v>93</v>
      </c>
      <c r="B114" s="1021" t="s">
        <v>555</v>
      </c>
      <c r="C114" s="1081">
        <v>0</v>
      </c>
      <c r="D114" s="1081">
        <v>2100</v>
      </c>
      <c r="E114" s="1081">
        <v>1751.76918</v>
      </c>
      <c r="F114" s="1082">
        <v>83.417580000000001</v>
      </c>
      <c r="G114" s="1133" t="s">
        <v>4199</v>
      </c>
      <c r="H114" s="1062" t="s">
        <v>4459</v>
      </c>
    </row>
    <row r="115" spans="1:9" s="977" customFormat="1" ht="31.5" x14ac:dyDescent="0.2">
      <c r="A115" s="1020">
        <f t="shared" si="5"/>
        <v>94</v>
      </c>
      <c r="B115" s="1021" t="s">
        <v>554</v>
      </c>
      <c r="C115" s="1081">
        <v>0</v>
      </c>
      <c r="D115" s="1081">
        <v>1200</v>
      </c>
      <c r="E115" s="1081">
        <v>1198.404</v>
      </c>
      <c r="F115" s="1082">
        <v>99.86699999999999</v>
      </c>
      <c r="G115" s="1133" t="s">
        <v>4199</v>
      </c>
      <c r="H115" s="1062" t="s">
        <v>488</v>
      </c>
    </row>
    <row r="116" spans="1:9" s="977" customFormat="1" ht="31.5" x14ac:dyDescent="0.2">
      <c r="A116" s="1020">
        <f t="shared" si="5"/>
        <v>95</v>
      </c>
      <c r="B116" s="1021" t="s">
        <v>553</v>
      </c>
      <c r="C116" s="1081">
        <v>0</v>
      </c>
      <c r="D116" s="1081">
        <v>1120</v>
      </c>
      <c r="E116" s="1081">
        <v>1108.6040399999999</v>
      </c>
      <c r="F116" s="1082">
        <v>98.982503571428566</v>
      </c>
      <c r="G116" s="1133" t="s">
        <v>4199</v>
      </c>
      <c r="H116" s="1062" t="s">
        <v>488</v>
      </c>
    </row>
    <row r="117" spans="1:9" s="977" customFormat="1" ht="24" customHeight="1" x14ac:dyDescent="0.2">
      <c r="A117" s="1020">
        <f t="shared" si="5"/>
        <v>96</v>
      </c>
      <c r="B117" s="1021" t="s">
        <v>552</v>
      </c>
      <c r="C117" s="1081">
        <v>0</v>
      </c>
      <c r="D117" s="1081">
        <v>950</v>
      </c>
      <c r="E117" s="1081">
        <v>950</v>
      </c>
      <c r="F117" s="1082">
        <v>100</v>
      </c>
      <c r="G117" s="1133" t="s">
        <v>4199</v>
      </c>
      <c r="H117" s="1025" t="s">
        <v>488</v>
      </c>
      <c r="I117" s="1019"/>
    </row>
    <row r="118" spans="1:9" s="977" customFormat="1" ht="34.5" customHeight="1" x14ac:dyDescent="0.2">
      <c r="A118" s="1020">
        <f t="shared" si="5"/>
        <v>97</v>
      </c>
      <c r="B118" s="1021" t="s">
        <v>551</v>
      </c>
      <c r="C118" s="1081">
        <v>0</v>
      </c>
      <c r="D118" s="1081">
        <v>1300</v>
      </c>
      <c r="E118" s="1081">
        <v>1082.91049</v>
      </c>
      <c r="F118" s="1082">
        <v>83.300806923076919</v>
      </c>
      <c r="G118" s="1133" t="s">
        <v>4199</v>
      </c>
      <c r="H118" s="1177" t="s">
        <v>4459</v>
      </c>
    </row>
    <row r="119" spans="1:9" s="977" customFormat="1" ht="84" x14ac:dyDescent="0.2">
      <c r="A119" s="1020">
        <f t="shared" si="5"/>
        <v>98</v>
      </c>
      <c r="B119" s="1021" t="s">
        <v>550</v>
      </c>
      <c r="C119" s="1081">
        <v>0</v>
      </c>
      <c r="D119" s="1081">
        <v>2700</v>
      </c>
      <c r="E119" s="1081">
        <v>88.33</v>
      </c>
      <c r="F119" s="1082">
        <v>3.2714814814814814</v>
      </c>
      <c r="G119" s="1176" t="s">
        <v>4510</v>
      </c>
      <c r="H119" s="1178" t="s">
        <v>4556</v>
      </c>
    </row>
    <row r="120" spans="1:9" s="977" customFormat="1" ht="24" customHeight="1" x14ac:dyDescent="0.2">
      <c r="A120" s="1020">
        <f t="shared" si="5"/>
        <v>99</v>
      </c>
      <c r="B120" s="1021" t="s">
        <v>549</v>
      </c>
      <c r="C120" s="1081">
        <v>0</v>
      </c>
      <c r="D120" s="1081">
        <v>1300</v>
      </c>
      <c r="E120" s="1081">
        <v>1300</v>
      </c>
      <c r="F120" s="1082">
        <v>100</v>
      </c>
      <c r="G120" s="1176" t="s">
        <v>4199</v>
      </c>
      <c r="H120" s="1025" t="s">
        <v>488</v>
      </c>
    </row>
    <row r="121" spans="1:9" s="977" customFormat="1" ht="24" customHeight="1" x14ac:dyDescent="0.2">
      <c r="A121" s="1020">
        <f t="shared" si="5"/>
        <v>100</v>
      </c>
      <c r="B121" s="1021" t="s">
        <v>548</v>
      </c>
      <c r="C121" s="1081">
        <v>0</v>
      </c>
      <c r="D121" s="1081">
        <v>800</v>
      </c>
      <c r="E121" s="1081">
        <v>800</v>
      </c>
      <c r="F121" s="1082">
        <v>100</v>
      </c>
      <c r="G121" s="1176" t="s">
        <v>4199</v>
      </c>
      <c r="H121" s="1025" t="s">
        <v>488</v>
      </c>
    </row>
    <row r="122" spans="1:9" s="977" customFormat="1" ht="24" customHeight="1" x14ac:dyDescent="0.2">
      <c r="A122" s="1020">
        <f t="shared" si="5"/>
        <v>101</v>
      </c>
      <c r="B122" s="1021" t="s">
        <v>547</v>
      </c>
      <c r="C122" s="1081">
        <v>0</v>
      </c>
      <c r="D122" s="1081">
        <v>760.23299999999995</v>
      </c>
      <c r="E122" s="1081">
        <v>760.23225000000002</v>
      </c>
      <c r="F122" s="1082">
        <v>100.00029596306381</v>
      </c>
      <c r="G122" s="1176" t="s">
        <v>4199</v>
      </c>
      <c r="H122" s="1025" t="s">
        <v>488</v>
      </c>
    </row>
    <row r="123" spans="1:9" s="977" customFormat="1" ht="31.5" x14ac:dyDescent="0.2">
      <c r="A123" s="1020">
        <f t="shared" si="5"/>
        <v>102</v>
      </c>
      <c r="B123" s="1021" t="s">
        <v>546</v>
      </c>
      <c r="C123" s="1081">
        <v>0</v>
      </c>
      <c r="D123" s="1081">
        <v>1107.2739999999999</v>
      </c>
      <c r="E123" s="1081">
        <v>1107.2739999999999</v>
      </c>
      <c r="F123" s="1082">
        <v>100.00036124883722</v>
      </c>
      <c r="G123" s="1176" t="s">
        <v>4199</v>
      </c>
      <c r="H123" s="1025" t="s">
        <v>488</v>
      </c>
    </row>
    <row r="124" spans="1:9" s="977" customFormat="1" ht="115.5" x14ac:dyDescent="0.2">
      <c r="A124" s="1020">
        <f t="shared" si="5"/>
        <v>103</v>
      </c>
      <c r="B124" s="1021" t="s">
        <v>4557</v>
      </c>
      <c r="C124" s="1081">
        <v>0</v>
      </c>
      <c r="D124" s="1081">
        <v>800</v>
      </c>
      <c r="E124" s="1081">
        <v>0</v>
      </c>
      <c r="F124" s="1082">
        <v>0</v>
      </c>
      <c r="G124" s="1133" t="s">
        <v>4510</v>
      </c>
      <c r="H124" s="1062" t="s">
        <v>4558</v>
      </c>
    </row>
    <row r="125" spans="1:9" s="977" customFormat="1" ht="24" customHeight="1" x14ac:dyDescent="0.2">
      <c r="A125" s="1020">
        <f t="shared" si="5"/>
        <v>104</v>
      </c>
      <c r="B125" s="1021" t="s">
        <v>545</v>
      </c>
      <c r="C125" s="1081">
        <v>0</v>
      </c>
      <c r="D125" s="1081">
        <v>500</v>
      </c>
      <c r="E125" s="1081">
        <v>500</v>
      </c>
      <c r="F125" s="1082">
        <v>100</v>
      </c>
      <c r="G125" s="1133" t="s">
        <v>4197</v>
      </c>
      <c r="H125" s="1025" t="s">
        <v>133</v>
      </c>
    </row>
    <row r="126" spans="1:9" s="977" customFormat="1" ht="94.5" x14ac:dyDescent="0.2">
      <c r="A126" s="1020">
        <f t="shared" si="5"/>
        <v>105</v>
      </c>
      <c r="B126" s="1021" t="s">
        <v>544</v>
      </c>
      <c r="C126" s="1081">
        <v>0</v>
      </c>
      <c r="D126" s="1081">
        <v>1012</v>
      </c>
      <c r="E126" s="1081">
        <v>899.98457999999994</v>
      </c>
      <c r="F126" s="1082">
        <v>88.931282608695653</v>
      </c>
      <c r="G126" s="1133" t="s">
        <v>4510</v>
      </c>
      <c r="H126" s="1025" t="s">
        <v>4559</v>
      </c>
      <c r="I126" s="1019"/>
    </row>
    <row r="127" spans="1:9" s="977" customFormat="1" ht="34.5" customHeight="1" x14ac:dyDescent="0.2">
      <c r="A127" s="1020">
        <f t="shared" si="5"/>
        <v>106</v>
      </c>
      <c r="B127" s="1021" t="s">
        <v>4560</v>
      </c>
      <c r="C127" s="1081">
        <v>0</v>
      </c>
      <c r="D127" s="1081">
        <v>185.13</v>
      </c>
      <c r="E127" s="1081">
        <v>185.13</v>
      </c>
      <c r="F127" s="1082">
        <v>100</v>
      </c>
      <c r="G127" s="1176" t="s">
        <v>4199</v>
      </c>
      <c r="H127" s="1177" t="s">
        <v>133</v>
      </c>
    </row>
    <row r="128" spans="1:9" s="977" customFormat="1" ht="45" customHeight="1" x14ac:dyDescent="0.2">
      <c r="A128" s="1020">
        <f t="shared" si="5"/>
        <v>107</v>
      </c>
      <c r="B128" s="1021" t="s">
        <v>542</v>
      </c>
      <c r="C128" s="1081">
        <v>0</v>
      </c>
      <c r="D128" s="1081">
        <f>350+125</f>
        <v>475</v>
      </c>
      <c r="E128" s="1081">
        <f>350+125</f>
        <v>475</v>
      </c>
      <c r="F128" s="1082">
        <v>100</v>
      </c>
      <c r="G128" s="1176" t="s">
        <v>4199</v>
      </c>
      <c r="H128" s="1178" t="s">
        <v>133</v>
      </c>
    </row>
    <row r="129" spans="1:9" s="977" customFormat="1" ht="34.5" customHeight="1" x14ac:dyDescent="0.2">
      <c r="A129" s="1020">
        <f t="shared" si="5"/>
        <v>108</v>
      </c>
      <c r="B129" s="1021" t="s">
        <v>541</v>
      </c>
      <c r="C129" s="1081">
        <v>0</v>
      </c>
      <c r="D129" s="1081">
        <v>125</v>
      </c>
      <c r="E129" s="1081">
        <v>125</v>
      </c>
      <c r="F129" s="1082">
        <v>100</v>
      </c>
      <c r="G129" s="1176" t="s">
        <v>4199</v>
      </c>
      <c r="H129" s="1025" t="s">
        <v>133</v>
      </c>
    </row>
    <row r="130" spans="1:9" s="977" customFormat="1" ht="12.75" customHeight="1" x14ac:dyDescent="0.2">
      <c r="A130" s="1020">
        <f t="shared" si="5"/>
        <v>109</v>
      </c>
      <c r="B130" s="1021" t="s">
        <v>540</v>
      </c>
      <c r="C130" s="1081">
        <v>0</v>
      </c>
      <c r="D130" s="1081">
        <v>1876</v>
      </c>
      <c r="E130" s="1081">
        <v>1876</v>
      </c>
      <c r="F130" s="1082">
        <v>100</v>
      </c>
      <c r="G130" s="1133" t="s">
        <v>4199</v>
      </c>
      <c r="H130" s="1025" t="s">
        <v>133</v>
      </c>
    </row>
    <row r="131" spans="1:9" s="977" customFormat="1" ht="94.5" x14ac:dyDescent="0.2">
      <c r="A131" s="1020">
        <f t="shared" si="5"/>
        <v>110</v>
      </c>
      <c r="B131" s="1021" t="s">
        <v>4561</v>
      </c>
      <c r="C131" s="1081">
        <v>0</v>
      </c>
      <c r="D131" s="1081">
        <v>500</v>
      </c>
      <c r="E131" s="1081">
        <v>0</v>
      </c>
      <c r="F131" s="1082">
        <v>0</v>
      </c>
      <c r="G131" s="1133" t="s">
        <v>4510</v>
      </c>
      <c r="H131" s="1062" t="s">
        <v>4562</v>
      </c>
    </row>
    <row r="132" spans="1:9" s="977" customFormat="1" ht="31.5" x14ac:dyDescent="0.2">
      <c r="A132" s="1020">
        <f t="shared" si="5"/>
        <v>111</v>
      </c>
      <c r="B132" s="1021" t="s">
        <v>538</v>
      </c>
      <c r="C132" s="1081">
        <v>0</v>
      </c>
      <c r="D132" s="1081">
        <v>300</v>
      </c>
      <c r="E132" s="1081">
        <v>214.69358</v>
      </c>
      <c r="F132" s="1082">
        <v>71.564526666666666</v>
      </c>
      <c r="G132" s="1125" t="s">
        <v>4199</v>
      </c>
      <c r="H132" s="1025" t="s">
        <v>4459</v>
      </c>
    </row>
    <row r="133" spans="1:9" s="977" customFormat="1" ht="24" customHeight="1" x14ac:dyDescent="0.2">
      <c r="A133" s="1020">
        <f t="shared" si="5"/>
        <v>112</v>
      </c>
      <c r="B133" s="1021" t="s">
        <v>537</v>
      </c>
      <c r="C133" s="1081">
        <v>0</v>
      </c>
      <c r="D133" s="1081">
        <v>300</v>
      </c>
      <c r="E133" s="1081">
        <v>281.61900000000003</v>
      </c>
      <c r="F133" s="1082">
        <v>93.873000000000005</v>
      </c>
      <c r="G133" s="1125" t="s">
        <v>4199</v>
      </c>
      <c r="H133" s="1025" t="s">
        <v>4459</v>
      </c>
    </row>
    <row r="134" spans="1:9" s="977" customFormat="1" ht="67.5" customHeight="1" x14ac:dyDescent="0.2">
      <c r="A134" s="1020">
        <f t="shared" si="5"/>
        <v>113</v>
      </c>
      <c r="B134" s="1021" t="s">
        <v>4563</v>
      </c>
      <c r="C134" s="1081">
        <v>0</v>
      </c>
      <c r="D134" s="1081">
        <v>190</v>
      </c>
      <c r="E134" s="1081">
        <v>0</v>
      </c>
      <c r="F134" s="1082">
        <v>0</v>
      </c>
      <c r="G134" s="1133" t="s">
        <v>4510</v>
      </c>
      <c r="H134" s="1062" t="s">
        <v>4564</v>
      </c>
    </row>
    <row r="135" spans="1:9" s="977" customFormat="1" ht="12.75" customHeight="1" x14ac:dyDescent="0.2">
      <c r="A135" s="1020">
        <f t="shared" si="5"/>
        <v>114</v>
      </c>
      <c r="B135" s="1021" t="s">
        <v>2631</v>
      </c>
      <c r="C135" s="1081">
        <v>0</v>
      </c>
      <c r="D135" s="1106">
        <v>250</v>
      </c>
      <c r="E135" s="1106">
        <v>250</v>
      </c>
      <c r="F135" s="1082">
        <v>100</v>
      </c>
      <c r="G135" s="1133" t="s">
        <v>4199</v>
      </c>
      <c r="H135" s="1062" t="s">
        <v>133</v>
      </c>
    </row>
    <row r="136" spans="1:9" s="977" customFormat="1" ht="13.5" customHeight="1" thickBot="1" x14ac:dyDescent="0.25">
      <c r="A136" s="1442" t="s">
        <v>477</v>
      </c>
      <c r="B136" s="1443"/>
      <c r="C136" s="1039">
        <f>SUM(C88:C135)</f>
        <v>20638</v>
      </c>
      <c r="D136" s="1063">
        <f>SUM(D88:D135)</f>
        <v>71350.880000000005</v>
      </c>
      <c r="E136" s="1063">
        <f>SUM(E88:E135)</f>
        <v>63760.788289999997</v>
      </c>
      <c r="F136" s="1064">
        <f>E136/D136*100</f>
        <v>89.36230119376242</v>
      </c>
      <c r="G136" s="1042"/>
      <c r="H136" s="1065"/>
    </row>
    <row r="137" spans="1:9" ht="18" customHeight="1" thickBot="1" x14ac:dyDescent="0.2">
      <c r="A137" s="1006" t="s">
        <v>4192</v>
      </c>
      <c r="B137" s="1007"/>
      <c r="C137" s="1008"/>
      <c r="D137" s="1008"/>
      <c r="E137" s="1009"/>
      <c r="F137" s="1010"/>
      <c r="G137" s="1011"/>
      <c r="H137" s="1059"/>
    </row>
    <row r="138" spans="1:9" s="977" customFormat="1" ht="24.75" customHeight="1" x14ac:dyDescent="0.2">
      <c r="A138" s="1013">
        <f>A135+1</f>
        <v>115</v>
      </c>
      <c r="B138" s="1014" t="s">
        <v>4565</v>
      </c>
      <c r="C138" s="1076">
        <v>0</v>
      </c>
      <c r="D138" s="1076">
        <v>1299.2099999999996</v>
      </c>
      <c r="E138" s="1076">
        <v>1294.029</v>
      </c>
      <c r="F138" s="1077">
        <f t="shared" ref="F138:F201" si="6">E138/D138*100</f>
        <v>99.601219202438443</v>
      </c>
      <c r="G138" s="1017" t="s">
        <v>4199</v>
      </c>
      <c r="H138" s="1061" t="s">
        <v>133</v>
      </c>
      <c r="I138" s="1203"/>
    </row>
    <row r="139" spans="1:9" s="977" customFormat="1" ht="24" customHeight="1" x14ac:dyDescent="0.2">
      <c r="A139" s="1020">
        <f t="shared" ref="A139:A202" si="7">A138+1</f>
        <v>116</v>
      </c>
      <c r="B139" s="1021" t="s">
        <v>1334</v>
      </c>
      <c r="C139" s="1081">
        <v>43751</v>
      </c>
      <c r="D139" s="1081">
        <v>44728.47</v>
      </c>
      <c r="E139" s="1081">
        <v>43810.952229999995</v>
      </c>
      <c r="F139" s="1082">
        <f t="shared" si="6"/>
        <v>97.948694042072077</v>
      </c>
      <c r="G139" s="1133" t="s">
        <v>4199</v>
      </c>
      <c r="H139" s="1062" t="s">
        <v>133</v>
      </c>
      <c r="I139" s="1203"/>
    </row>
    <row r="140" spans="1:9" s="977" customFormat="1" ht="31.5" x14ac:dyDescent="0.2">
      <c r="A140" s="1020">
        <f t="shared" si="7"/>
        <v>117</v>
      </c>
      <c r="B140" s="1021" t="s">
        <v>1335</v>
      </c>
      <c r="C140" s="1081">
        <v>35660</v>
      </c>
      <c r="D140" s="1081">
        <v>27424.160000000003</v>
      </c>
      <c r="E140" s="1081">
        <v>25663.32242</v>
      </c>
      <c r="F140" s="1082">
        <f t="shared" si="6"/>
        <v>93.579246985140102</v>
      </c>
      <c r="G140" s="1204" t="s">
        <v>4199</v>
      </c>
      <c r="H140" s="1025" t="s">
        <v>4228</v>
      </c>
      <c r="I140" s="1203"/>
    </row>
    <row r="141" spans="1:9" s="977" customFormat="1" ht="117.75" customHeight="1" x14ac:dyDescent="0.2">
      <c r="A141" s="1020">
        <f t="shared" si="7"/>
        <v>118</v>
      </c>
      <c r="B141" s="1021" t="s">
        <v>1336</v>
      </c>
      <c r="C141" s="1081">
        <v>33410</v>
      </c>
      <c r="D141" s="1081">
        <v>59835.34</v>
      </c>
      <c r="E141" s="1081">
        <v>57117.61825</v>
      </c>
      <c r="F141" s="1082">
        <f t="shared" si="6"/>
        <v>95.457998985215099</v>
      </c>
      <c r="G141" s="1133" t="s">
        <v>4510</v>
      </c>
      <c r="H141" s="1025" t="s">
        <v>4566</v>
      </c>
      <c r="I141" s="1203"/>
    </row>
    <row r="142" spans="1:9" s="977" customFormat="1" ht="12.75" customHeight="1" x14ac:dyDescent="0.2">
      <c r="A142" s="1020">
        <f t="shared" si="7"/>
        <v>119</v>
      </c>
      <c r="B142" s="1021" t="s">
        <v>4567</v>
      </c>
      <c r="C142" s="1081">
        <v>7500</v>
      </c>
      <c r="D142" s="1081">
        <v>6930.1699999999992</v>
      </c>
      <c r="E142" s="1081">
        <v>6884.8331599999992</v>
      </c>
      <c r="F142" s="1082">
        <f t="shared" si="6"/>
        <v>99.345804792667423</v>
      </c>
      <c r="G142" s="1133" t="s">
        <v>4199</v>
      </c>
      <c r="H142" s="1062" t="s">
        <v>133</v>
      </c>
      <c r="I142" s="1203"/>
    </row>
    <row r="143" spans="1:9" s="977" customFormat="1" ht="31.5" x14ac:dyDescent="0.2">
      <c r="A143" s="1020">
        <f t="shared" si="7"/>
        <v>120</v>
      </c>
      <c r="B143" s="1021" t="s">
        <v>1331</v>
      </c>
      <c r="C143" s="1081">
        <v>9300</v>
      </c>
      <c r="D143" s="1081">
        <v>9609.4500000000025</v>
      </c>
      <c r="E143" s="1081">
        <v>8941.3617900000008</v>
      </c>
      <c r="F143" s="1082">
        <f t="shared" si="6"/>
        <v>93.047591589529048</v>
      </c>
      <c r="G143" s="1133" t="s">
        <v>4199</v>
      </c>
      <c r="H143" s="1062" t="s">
        <v>4228</v>
      </c>
      <c r="I143" s="1203"/>
    </row>
    <row r="144" spans="1:9" s="977" customFormat="1" ht="21" x14ac:dyDescent="0.2">
      <c r="A144" s="1020">
        <f t="shared" si="7"/>
        <v>121</v>
      </c>
      <c r="B144" s="1021" t="s">
        <v>1345</v>
      </c>
      <c r="C144" s="1081">
        <v>9400</v>
      </c>
      <c r="D144" s="1081">
        <v>9765.0099999999984</v>
      </c>
      <c r="E144" s="1081">
        <v>9757.0395000000008</v>
      </c>
      <c r="F144" s="1082">
        <f t="shared" si="6"/>
        <v>99.918376939706178</v>
      </c>
      <c r="G144" s="1133" t="s">
        <v>4199</v>
      </c>
      <c r="H144" s="1062" t="s">
        <v>133</v>
      </c>
      <c r="I144" s="1203"/>
    </row>
    <row r="145" spans="1:9" s="977" customFormat="1" ht="12.75" customHeight="1" x14ac:dyDescent="0.2">
      <c r="A145" s="1020">
        <f t="shared" si="7"/>
        <v>122</v>
      </c>
      <c r="B145" s="1021" t="s">
        <v>1344</v>
      </c>
      <c r="C145" s="1081">
        <v>9400</v>
      </c>
      <c r="D145" s="1081">
        <v>9693.74</v>
      </c>
      <c r="E145" s="1081">
        <v>9399.7895200000003</v>
      </c>
      <c r="F145" s="1082">
        <f t="shared" si="6"/>
        <v>96.967625704836323</v>
      </c>
      <c r="G145" s="1133" t="s">
        <v>4199</v>
      </c>
      <c r="H145" s="1062" t="s">
        <v>133</v>
      </c>
      <c r="I145" s="1203"/>
    </row>
    <row r="146" spans="1:9" s="977" customFormat="1" ht="12.75" customHeight="1" x14ac:dyDescent="0.2">
      <c r="A146" s="1020">
        <f t="shared" si="7"/>
        <v>123</v>
      </c>
      <c r="B146" s="1021" t="s">
        <v>1313</v>
      </c>
      <c r="C146" s="1081">
        <v>9000</v>
      </c>
      <c r="D146" s="1081">
        <v>9341.5399999999991</v>
      </c>
      <c r="E146" s="1081">
        <v>9122.5814700000028</v>
      </c>
      <c r="F146" s="1082">
        <f t="shared" si="6"/>
        <v>97.65607672824828</v>
      </c>
      <c r="G146" s="1133" t="s">
        <v>4199</v>
      </c>
      <c r="H146" s="1062" t="s">
        <v>133</v>
      </c>
      <c r="I146" s="1203"/>
    </row>
    <row r="147" spans="1:9" s="977" customFormat="1" ht="12.75" customHeight="1" x14ac:dyDescent="0.2">
      <c r="A147" s="1020">
        <f t="shared" si="7"/>
        <v>124</v>
      </c>
      <c r="B147" s="1021" t="s">
        <v>1327</v>
      </c>
      <c r="C147" s="1081">
        <v>9500</v>
      </c>
      <c r="D147" s="1081">
        <v>9842.34</v>
      </c>
      <c r="E147" s="1081">
        <v>9463.9710000000014</v>
      </c>
      <c r="F147" s="1082">
        <f t="shared" si="6"/>
        <v>96.155700778473431</v>
      </c>
      <c r="G147" s="1133" t="s">
        <v>4199</v>
      </c>
      <c r="H147" s="1062" t="s">
        <v>133</v>
      </c>
      <c r="I147" s="1203"/>
    </row>
    <row r="148" spans="1:9" s="977" customFormat="1" ht="31.5" x14ac:dyDescent="0.2">
      <c r="A148" s="1020">
        <f t="shared" si="7"/>
        <v>125</v>
      </c>
      <c r="B148" s="1021" t="s">
        <v>1333</v>
      </c>
      <c r="C148" s="1081">
        <v>0</v>
      </c>
      <c r="D148" s="1081">
        <v>9036.39</v>
      </c>
      <c r="E148" s="1081">
        <v>8488.4741900000008</v>
      </c>
      <c r="F148" s="1082">
        <f t="shared" si="6"/>
        <v>93.936563052280846</v>
      </c>
      <c r="G148" s="1133" t="s">
        <v>4199</v>
      </c>
      <c r="H148" s="1062" t="s">
        <v>4228</v>
      </c>
      <c r="I148" s="1203"/>
    </row>
    <row r="149" spans="1:9" s="977" customFormat="1" ht="25.5" customHeight="1" x14ac:dyDescent="0.2">
      <c r="A149" s="1020">
        <f t="shared" si="7"/>
        <v>126</v>
      </c>
      <c r="B149" s="1021" t="s">
        <v>1379</v>
      </c>
      <c r="C149" s="1081">
        <v>0</v>
      </c>
      <c r="D149" s="1081">
        <v>4392.04</v>
      </c>
      <c r="E149" s="1081">
        <v>4359.8974099999987</v>
      </c>
      <c r="F149" s="1082">
        <f t="shared" si="6"/>
        <v>99.268162630577109</v>
      </c>
      <c r="G149" s="1133" t="s">
        <v>4199</v>
      </c>
      <c r="H149" s="1062" t="s">
        <v>133</v>
      </c>
      <c r="I149" s="1203"/>
    </row>
    <row r="150" spans="1:9" s="977" customFormat="1" ht="34.5" customHeight="1" x14ac:dyDescent="0.2">
      <c r="A150" s="1020">
        <f t="shared" si="7"/>
        <v>127</v>
      </c>
      <c r="B150" s="1021" t="s">
        <v>1330</v>
      </c>
      <c r="C150" s="1081">
        <v>0</v>
      </c>
      <c r="D150" s="1081">
        <v>329.42999999999995</v>
      </c>
      <c r="E150" s="1081">
        <v>253.48600000000002</v>
      </c>
      <c r="F150" s="1082">
        <f t="shared" si="6"/>
        <v>76.946847585222983</v>
      </c>
      <c r="G150" s="1133" t="s">
        <v>4199</v>
      </c>
      <c r="H150" s="1062" t="s">
        <v>4568</v>
      </c>
      <c r="I150" s="1203"/>
    </row>
    <row r="151" spans="1:9" s="977" customFormat="1" ht="12.75" customHeight="1" x14ac:dyDescent="0.2">
      <c r="A151" s="1020">
        <f t="shared" si="7"/>
        <v>128</v>
      </c>
      <c r="B151" s="1021" t="s">
        <v>1332</v>
      </c>
      <c r="C151" s="1081">
        <v>0</v>
      </c>
      <c r="D151" s="1081">
        <v>9028.91</v>
      </c>
      <c r="E151" s="1081">
        <v>8956.7913000000008</v>
      </c>
      <c r="F151" s="1082">
        <f t="shared" si="6"/>
        <v>99.201246883621621</v>
      </c>
      <c r="G151" s="1133" t="s">
        <v>4199</v>
      </c>
      <c r="H151" s="1062" t="s">
        <v>133</v>
      </c>
      <c r="I151" s="1203"/>
    </row>
    <row r="152" spans="1:9" s="977" customFormat="1" ht="12.75" customHeight="1" x14ac:dyDescent="0.2">
      <c r="A152" s="1020">
        <f t="shared" si="7"/>
        <v>129</v>
      </c>
      <c r="B152" s="1021" t="s">
        <v>1341</v>
      </c>
      <c r="C152" s="1081">
        <v>39380</v>
      </c>
      <c r="D152" s="1081">
        <v>38785.44000000001</v>
      </c>
      <c r="E152" s="1081">
        <v>38225.755960000002</v>
      </c>
      <c r="F152" s="1082">
        <f t="shared" si="6"/>
        <v>98.556973854106062</v>
      </c>
      <c r="G152" s="1133" t="s">
        <v>4199</v>
      </c>
      <c r="H152" s="1062" t="s">
        <v>133</v>
      </c>
      <c r="I152" s="1203"/>
    </row>
    <row r="153" spans="1:9" s="977" customFormat="1" ht="12.75" customHeight="1" x14ac:dyDescent="0.2">
      <c r="A153" s="1020">
        <f t="shared" si="7"/>
        <v>130</v>
      </c>
      <c r="B153" s="1021" t="s">
        <v>1343</v>
      </c>
      <c r="C153" s="1081">
        <v>0</v>
      </c>
      <c r="D153" s="1081">
        <v>9592.6099999999988</v>
      </c>
      <c r="E153" s="1081">
        <v>9323.9059899999993</v>
      </c>
      <c r="F153" s="1082">
        <f t="shared" si="6"/>
        <v>97.198843588971101</v>
      </c>
      <c r="G153" s="1133" t="s">
        <v>4199</v>
      </c>
      <c r="H153" s="1062" t="s">
        <v>133</v>
      </c>
      <c r="I153" s="1203"/>
    </row>
    <row r="154" spans="1:9" s="977" customFormat="1" ht="84" x14ac:dyDescent="0.2">
      <c r="A154" s="1020">
        <f t="shared" si="7"/>
        <v>131</v>
      </c>
      <c r="B154" s="1021" t="s">
        <v>2620</v>
      </c>
      <c r="C154" s="1081">
        <v>12000</v>
      </c>
      <c r="D154" s="1081">
        <v>14718.599999999997</v>
      </c>
      <c r="E154" s="1081">
        <v>11196.729570000001</v>
      </c>
      <c r="F154" s="1082">
        <f t="shared" si="6"/>
        <v>76.071974032856417</v>
      </c>
      <c r="G154" s="1133" t="s">
        <v>4510</v>
      </c>
      <c r="H154" s="1025" t="s">
        <v>4569</v>
      </c>
      <c r="I154" s="1203"/>
    </row>
    <row r="155" spans="1:9" s="977" customFormat="1" ht="12.75" customHeight="1" x14ac:dyDescent="0.2">
      <c r="A155" s="1020">
        <f t="shared" si="7"/>
        <v>132</v>
      </c>
      <c r="B155" s="1021" t="s">
        <v>1340</v>
      </c>
      <c r="C155" s="1081">
        <v>0</v>
      </c>
      <c r="D155" s="1081">
        <v>7535.91</v>
      </c>
      <c r="E155" s="1081">
        <v>7481.860990000001</v>
      </c>
      <c r="F155" s="1082">
        <f t="shared" si="6"/>
        <v>99.282780579916704</v>
      </c>
      <c r="G155" s="1133" t="s">
        <v>4199</v>
      </c>
      <c r="H155" s="1062" t="s">
        <v>133</v>
      </c>
      <c r="I155" s="1203"/>
    </row>
    <row r="156" spans="1:9" s="977" customFormat="1" ht="12.75" customHeight="1" x14ac:dyDescent="0.2">
      <c r="A156" s="1020">
        <f t="shared" si="7"/>
        <v>133</v>
      </c>
      <c r="B156" s="1021" t="s">
        <v>1338</v>
      </c>
      <c r="C156" s="1081">
        <v>0</v>
      </c>
      <c r="D156" s="1081">
        <v>16392.09</v>
      </c>
      <c r="E156" s="1081">
        <v>16391.980619999998</v>
      </c>
      <c r="F156" s="1082">
        <f t="shared" si="6"/>
        <v>99.999332726943294</v>
      </c>
      <c r="G156" s="1133" t="s">
        <v>4199</v>
      </c>
      <c r="H156" s="1062" t="s">
        <v>133</v>
      </c>
      <c r="I156" s="1203"/>
    </row>
    <row r="157" spans="1:9" s="977" customFormat="1" ht="52.5" x14ac:dyDescent="0.2">
      <c r="A157" s="1020">
        <f t="shared" si="7"/>
        <v>134</v>
      </c>
      <c r="B157" s="1021" t="s">
        <v>4570</v>
      </c>
      <c r="C157" s="1081">
        <v>0</v>
      </c>
      <c r="D157" s="1081">
        <v>5</v>
      </c>
      <c r="E157" s="1081">
        <v>0</v>
      </c>
      <c r="F157" s="1082">
        <f t="shared" si="6"/>
        <v>0</v>
      </c>
      <c r="G157" s="1133" t="s">
        <v>4199</v>
      </c>
      <c r="H157" s="1062" t="s">
        <v>4571</v>
      </c>
      <c r="I157" s="1203"/>
    </row>
    <row r="158" spans="1:9" s="977" customFormat="1" ht="42" x14ac:dyDescent="0.2">
      <c r="A158" s="1020">
        <f t="shared" si="7"/>
        <v>135</v>
      </c>
      <c r="B158" s="1021" t="s">
        <v>1329</v>
      </c>
      <c r="C158" s="1081">
        <v>0</v>
      </c>
      <c r="D158" s="1081">
        <v>1698.4700000000003</v>
      </c>
      <c r="E158" s="1081">
        <v>951.44985999999983</v>
      </c>
      <c r="F158" s="1082">
        <f t="shared" si="6"/>
        <v>56.018055073095177</v>
      </c>
      <c r="G158" s="1133" t="s">
        <v>4199</v>
      </c>
      <c r="H158" s="1062" t="s">
        <v>4572</v>
      </c>
      <c r="I158" s="1203"/>
    </row>
    <row r="159" spans="1:9" s="977" customFormat="1" ht="147" x14ac:dyDescent="0.2">
      <c r="A159" s="1020">
        <f t="shared" si="7"/>
        <v>136</v>
      </c>
      <c r="B159" s="1021" t="s">
        <v>1339</v>
      </c>
      <c r="C159" s="1081">
        <v>5000</v>
      </c>
      <c r="D159" s="1081">
        <v>51847.277999999998</v>
      </c>
      <c r="E159" s="1081">
        <v>34319.987480000003</v>
      </c>
      <c r="F159" s="1082">
        <f t="shared" si="6"/>
        <v>66.194386289671755</v>
      </c>
      <c r="G159" s="1133" t="s">
        <v>4199</v>
      </c>
      <c r="H159" s="1062" t="s">
        <v>4573</v>
      </c>
      <c r="I159" s="1203"/>
    </row>
    <row r="160" spans="1:9" s="977" customFormat="1" ht="24" customHeight="1" x14ac:dyDescent="0.2">
      <c r="A160" s="1020">
        <f t="shared" si="7"/>
        <v>137</v>
      </c>
      <c r="B160" s="1021" t="s">
        <v>1315</v>
      </c>
      <c r="C160" s="1081">
        <v>0</v>
      </c>
      <c r="D160" s="1081">
        <v>15.47</v>
      </c>
      <c r="E160" s="1081">
        <v>15.47</v>
      </c>
      <c r="F160" s="1082">
        <f t="shared" si="6"/>
        <v>100</v>
      </c>
      <c r="G160" s="1133" t="s">
        <v>4199</v>
      </c>
      <c r="H160" s="1062" t="s">
        <v>133</v>
      </c>
      <c r="I160" s="1203"/>
    </row>
    <row r="161" spans="1:9" s="977" customFormat="1" ht="147" x14ac:dyDescent="0.2">
      <c r="A161" s="1020">
        <f t="shared" si="7"/>
        <v>138</v>
      </c>
      <c r="B161" s="1021" t="s">
        <v>4574</v>
      </c>
      <c r="C161" s="1081">
        <v>0</v>
      </c>
      <c r="D161" s="1081">
        <v>15545.46</v>
      </c>
      <c r="E161" s="1081">
        <v>0</v>
      </c>
      <c r="F161" s="1082">
        <f t="shared" si="6"/>
        <v>0</v>
      </c>
      <c r="G161" s="1133" t="s">
        <v>4199</v>
      </c>
      <c r="H161" s="1025" t="s">
        <v>4575</v>
      </c>
      <c r="I161" s="1203"/>
    </row>
    <row r="162" spans="1:9" s="977" customFormat="1" ht="21" x14ac:dyDescent="0.2">
      <c r="A162" s="1020">
        <f t="shared" si="7"/>
        <v>139</v>
      </c>
      <c r="B162" s="1021" t="s">
        <v>4576</v>
      </c>
      <c r="C162" s="1081">
        <v>0</v>
      </c>
      <c r="D162" s="1081">
        <v>63</v>
      </c>
      <c r="E162" s="1081">
        <v>0</v>
      </c>
      <c r="F162" s="1082">
        <f t="shared" si="6"/>
        <v>0</v>
      </c>
      <c r="G162" s="1133" t="s">
        <v>4199</v>
      </c>
      <c r="H162" s="1062" t="s">
        <v>133</v>
      </c>
      <c r="I162" s="1203"/>
    </row>
    <row r="163" spans="1:9" s="977" customFormat="1" ht="24" customHeight="1" x14ac:dyDescent="0.2">
      <c r="A163" s="1020">
        <f t="shared" si="7"/>
        <v>140</v>
      </c>
      <c r="B163" s="1021" t="s">
        <v>1372</v>
      </c>
      <c r="C163" s="1081">
        <v>19147</v>
      </c>
      <c r="D163" s="1081">
        <v>18809.900000000001</v>
      </c>
      <c r="E163" s="1081">
        <v>18809.840830000001</v>
      </c>
      <c r="F163" s="1082">
        <f t="shared" si="6"/>
        <v>99.999685431607816</v>
      </c>
      <c r="G163" s="1133" t="s">
        <v>4199</v>
      </c>
      <c r="H163" s="1062" t="s">
        <v>133</v>
      </c>
      <c r="I163" s="1203"/>
    </row>
    <row r="164" spans="1:9" s="977" customFormat="1" ht="12.75" customHeight="1" x14ac:dyDescent="0.2">
      <c r="A164" s="1020">
        <f t="shared" si="7"/>
        <v>141</v>
      </c>
      <c r="B164" s="1021" t="s">
        <v>1317</v>
      </c>
      <c r="C164" s="1081">
        <v>22352</v>
      </c>
      <c r="D164" s="1081">
        <v>32454.570000000003</v>
      </c>
      <c r="E164" s="1081">
        <v>32374.314009999998</v>
      </c>
      <c r="F164" s="1082">
        <f t="shared" si="6"/>
        <v>99.752712822878237</v>
      </c>
      <c r="G164" s="1133" t="s">
        <v>4199</v>
      </c>
      <c r="H164" s="1062" t="s">
        <v>133</v>
      </c>
      <c r="I164" s="1203"/>
    </row>
    <row r="165" spans="1:9" s="977" customFormat="1" ht="24" customHeight="1" x14ac:dyDescent="0.2">
      <c r="A165" s="1020">
        <f t="shared" si="7"/>
        <v>142</v>
      </c>
      <c r="B165" s="1021" t="s">
        <v>1374</v>
      </c>
      <c r="C165" s="1081">
        <v>13813</v>
      </c>
      <c r="D165" s="1081">
        <v>12253.490000000002</v>
      </c>
      <c r="E165" s="1081">
        <v>12253.429089999998</v>
      </c>
      <c r="F165" s="1082">
        <f t="shared" si="6"/>
        <v>99.999502917128069</v>
      </c>
      <c r="G165" s="1133" t="s">
        <v>4199</v>
      </c>
      <c r="H165" s="1062" t="s">
        <v>133</v>
      </c>
      <c r="I165" s="1203"/>
    </row>
    <row r="166" spans="1:9" s="977" customFormat="1" ht="12.75" customHeight="1" x14ac:dyDescent="0.2">
      <c r="A166" s="1020">
        <f t="shared" si="7"/>
        <v>143</v>
      </c>
      <c r="B166" s="1021" t="s">
        <v>1370</v>
      </c>
      <c r="C166" s="1081">
        <v>19822</v>
      </c>
      <c r="D166" s="1081">
        <v>26052.820000000007</v>
      </c>
      <c r="E166" s="1081">
        <v>26052.765530000008</v>
      </c>
      <c r="F166" s="1082">
        <f t="shared" si="6"/>
        <v>99.999790924744431</v>
      </c>
      <c r="G166" s="1133" t="s">
        <v>4199</v>
      </c>
      <c r="H166" s="1062" t="s">
        <v>133</v>
      </c>
      <c r="I166" s="1203"/>
    </row>
    <row r="167" spans="1:9" s="977" customFormat="1" ht="21" x14ac:dyDescent="0.2">
      <c r="A167" s="1020">
        <f t="shared" si="7"/>
        <v>144</v>
      </c>
      <c r="B167" s="1021" t="s">
        <v>1369</v>
      </c>
      <c r="C167" s="1081">
        <v>40452</v>
      </c>
      <c r="D167" s="1081">
        <v>46855.17</v>
      </c>
      <c r="E167" s="1081">
        <v>46855.099839999995</v>
      </c>
      <c r="F167" s="1082">
        <f t="shared" si="6"/>
        <v>99.999850261988158</v>
      </c>
      <c r="G167" s="1133" t="s">
        <v>4199</v>
      </c>
      <c r="H167" s="1062" t="s">
        <v>133</v>
      </c>
      <c r="I167" s="1203"/>
    </row>
    <row r="168" spans="1:9" s="977" customFormat="1" ht="21" x14ac:dyDescent="0.2">
      <c r="A168" s="1020">
        <f t="shared" si="7"/>
        <v>145</v>
      </c>
      <c r="B168" s="1021" t="s">
        <v>1362</v>
      </c>
      <c r="C168" s="1081">
        <v>0</v>
      </c>
      <c r="D168" s="1081">
        <v>3452.62</v>
      </c>
      <c r="E168" s="1081">
        <v>3452.6032399999995</v>
      </c>
      <c r="F168" s="1082">
        <f t="shared" si="6"/>
        <v>99.999514571542761</v>
      </c>
      <c r="G168" s="1133" t="s">
        <v>4199</v>
      </c>
      <c r="H168" s="1062" t="s">
        <v>133</v>
      </c>
      <c r="I168" s="1203"/>
    </row>
    <row r="169" spans="1:9" s="977" customFormat="1" ht="33" customHeight="1" x14ac:dyDescent="0.2">
      <c r="A169" s="1020">
        <f t="shared" si="7"/>
        <v>146</v>
      </c>
      <c r="B169" s="1021" t="s">
        <v>1367</v>
      </c>
      <c r="C169" s="1081">
        <v>49291</v>
      </c>
      <c r="D169" s="1081">
        <v>53476.020000000004</v>
      </c>
      <c r="E169" s="1081">
        <v>48486.039830000002</v>
      </c>
      <c r="F169" s="1082">
        <f t="shared" si="6"/>
        <v>90.668751769484714</v>
      </c>
      <c r="G169" s="1133" t="s">
        <v>4199</v>
      </c>
      <c r="H169" s="1025" t="s">
        <v>4228</v>
      </c>
      <c r="I169" s="1203"/>
    </row>
    <row r="170" spans="1:9" s="977" customFormat="1" ht="34.5" customHeight="1" x14ac:dyDescent="0.2">
      <c r="A170" s="1020">
        <f t="shared" si="7"/>
        <v>147</v>
      </c>
      <c r="B170" s="1021" t="s">
        <v>1353</v>
      </c>
      <c r="C170" s="1081">
        <v>25662</v>
      </c>
      <c r="D170" s="1081">
        <v>28072.07</v>
      </c>
      <c r="E170" s="1081">
        <v>28071.996080000001</v>
      </c>
      <c r="F170" s="1082">
        <f t="shared" si="6"/>
        <v>99.999736677772617</v>
      </c>
      <c r="G170" s="1133" t="s">
        <v>4199</v>
      </c>
      <c r="H170" s="1062" t="s">
        <v>133</v>
      </c>
      <c r="I170" s="1203"/>
    </row>
    <row r="171" spans="1:9" s="977" customFormat="1" ht="21" x14ac:dyDescent="0.2">
      <c r="A171" s="1020">
        <f t="shared" si="7"/>
        <v>148</v>
      </c>
      <c r="B171" s="1021" t="s">
        <v>1373</v>
      </c>
      <c r="C171" s="1081">
        <v>0</v>
      </c>
      <c r="D171" s="1081">
        <v>3435.9</v>
      </c>
      <c r="E171" s="1081">
        <v>3435.85538</v>
      </c>
      <c r="F171" s="1082">
        <f t="shared" si="6"/>
        <v>99.998701359178085</v>
      </c>
      <c r="G171" s="1133" t="s">
        <v>4199</v>
      </c>
      <c r="H171" s="1062" t="s">
        <v>133</v>
      </c>
      <c r="I171" s="1203"/>
    </row>
    <row r="172" spans="1:9" s="977" customFormat="1" ht="12.75" customHeight="1" x14ac:dyDescent="0.2">
      <c r="A172" s="1020">
        <f t="shared" si="7"/>
        <v>149</v>
      </c>
      <c r="B172" s="1021" t="s">
        <v>1360</v>
      </c>
      <c r="C172" s="1081">
        <v>26513</v>
      </c>
      <c r="D172" s="1081">
        <v>23288.600000000002</v>
      </c>
      <c r="E172" s="1081">
        <v>22982.678869999996</v>
      </c>
      <c r="F172" s="1082">
        <f t="shared" si="6"/>
        <v>98.686391066873895</v>
      </c>
      <c r="G172" s="1133" t="s">
        <v>4199</v>
      </c>
      <c r="H172" s="1062" t="s">
        <v>133</v>
      </c>
      <c r="I172" s="1203"/>
    </row>
    <row r="173" spans="1:9" s="977" customFormat="1" ht="24" customHeight="1" x14ac:dyDescent="0.2">
      <c r="A173" s="1020">
        <f t="shared" si="7"/>
        <v>150</v>
      </c>
      <c r="B173" s="1021" t="s">
        <v>1368</v>
      </c>
      <c r="C173" s="1081">
        <v>46784</v>
      </c>
      <c r="D173" s="1081">
        <v>49783.8</v>
      </c>
      <c r="E173" s="1081">
        <v>49682.902400000006</v>
      </c>
      <c r="F173" s="1082">
        <f t="shared" si="6"/>
        <v>99.797328448210067</v>
      </c>
      <c r="G173" s="1133" t="s">
        <v>4199</v>
      </c>
      <c r="H173" s="1062" t="s">
        <v>133</v>
      </c>
      <c r="I173" s="1203"/>
    </row>
    <row r="174" spans="1:9" s="977" customFormat="1" ht="31.5" x14ac:dyDescent="0.2">
      <c r="A174" s="1020">
        <f t="shared" si="7"/>
        <v>151</v>
      </c>
      <c r="B174" s="1021" t="s">
        <v>1326</v>
      </c>
      <c r="C174" s="1081">
        <v>9875</v>
      </c>
      <c r="D174" s="1081">
        <v>13497.53</v>
      </c>
      <c r="E174" s="1081">
        <v>13002.046529999998</v>
      </c>
      <c r="F174" s="1082">
        <f t="shared" si="6"/>
        <v>96.329080431753042</v>
      </c>
      <c r="G174" s="1133" t="s">
        <v>4199</v>
      </c>
      <c r="H174" s="1062" t="s">
        <v>133</v>
      </c>
      <c r="I174" s="1203"/>
    </row>
    <row r="175" spans="1:9" s="977" customFormat="1" ht="24" customHeight="1" x14ac:dyDescent="0.2">
      <c r="A175" s="1020">
        <f t="shared" si="7"/>
        <v>152</v>
      </c>
      <c r="B175" s="1021" t="s">
        <v>1325</v>
      </c>
      <c r="C175" s="1081">
        <v>0</v>
      </c>
      <c r="D175" s="1081">
        <v>1106.58</v>
      </c>
      <c r="E175" s="1081">
        <v>1106.55996</v>
      </c>
      <c r="F175" s="1082">
        <f t="shared" si="6"/>
        <v>99.998189014802378</v>
      </c>
      <c r="G175" s="1133" t="s">
        <v>4199</v>
      </c>
      <c r="H175" s="1062" t="s">
        <v>133</v>
      </c>
      <c r="I175" s="1203"/>
    </row>
    <row r="176" spans="1:9" s="977" customFormat="1" ht="12.75" customHeight="1" x14ac:dyDescent="0.2">
      <c r="A176" s="1020">
        <f t="shared" si="7"/>
        <v>153</v>
      </c>
      <c r="B176" s="1021" t="s">
        <v>1356</v>
      </c>
      <c r="C176" s="1081">
        <v>9717</v>
      </c>
      <c r="D176" s="1081">
        <v>10348.249999999998</v>
      </c>
      <c r="E176" s="1081">
        <v>10348.227010000001</v>
      </c>
      <c r="F176" s="1082">
        <f t="shared" si="6"/>
        <v>99.999777836832337</v>
      </c>
      <c r="G176" s="1133" t="s">
        <v>4199</v>
      </c>
      <c r="H176" s="1062" t="s">
        <v>133</v>
      </c>
      <c r="I176" s="1203"/>
    </row>
    <row r="177" spans="1:9" s="977" customFormat="1" ht="24" customHeight="1" x14ac:dyDescent="0.2">
      <c r="A177" s="1020">
        <f t="shared" si="7"/>
        <v>154</v>
      </c>
      <c r="B177" s="1021" t="s">
        <v>1366</v>
      </c>
      <c r="C177" s="1081">
        <v>8510</v>
      </c>
      <c r="D177" s="1081">
        <v>12510.21</v>
      </c>
      <c r="E177" s="1081">
        <v>12442.428069999998</v>
      </c>
      <c r="F177" s="1082">
        <f t="shared" si="6"/>
        <v>99.458187112766282</v>
      </c>
      <c r="G177" s="1133" t="s">
        <v>4199</v>
      </c>
      <c r="H177" s="1062" t="s">
        <v>133</v>
      </c>
      <c r="I177" s="1203"/>
    </row>
    <row r="178" spans="1:9" s="977" customFormat="1" ht="12.75" customHeight="1" x14ac:dyDescent="0.2">
      <c r="A178" s="1020">
        <f t="shared" si="7"/>
        <v>155</v>
      </c>
      <c r="B178" s="1021" t="s">
        <v>1358</v>
      </c>
      <c r="C178" s="1081">
        <v>7555</v>
      </c>
      <c r="D178" s="1081">
        <v>10767.01</v>
      </c>
      <c r="E178" s="1081">
        <v>10766.929829999999</v>
      </c>
      <c r="F178" s="1082">
        <f t="shared" si="6"/>
        <v>99.999255410740759</v>
      </c>
      <c r="G178" s="1133" t="s">
        <v>4199</v>
      </c>
      <c r="H178" s="1062" t="s">
        <v>133</v>
      </c>
      <c r="I178" s="1203"/>
    </row>
    <row r="179" spans="1:9" s="977" customFormat="1" ht="12.75" customHeight="1" x14ac:dyDescent="0.2">
      <c r="A179" s="1020">
        <f t="shared" si="7"/>
        <v>156</v>
      </c>
      <c r="B179" s="1021" t="s">
        <v>1357</v>
      </c>
      <c r="C179" s="1081">
        <v>24829</v>
      </c>
      <c r="D179" s="1081">
        <v>19333.7</v>
      </c>
      <c r="E179" s="1081">
        <v>19333.630030000004</v>
      </c>
      <c r="F179" s="1082">
        <f t="shared" si="6"/>
        <v>99.999638093070658</v>
      </c>
      <c r="G179" s="1133" t="s">
        <v>4199</v>
      </c>
      <c r="H179" s="1062" t="s">
        <v>133</v>
      </c>
      <c r="I179" s="1203"/>
    </row>
    <row r="180" spans="1:9" s="977" customFormat="1" ht="12.75" customHeight="1" x14ac:dyDescent="0.2">
      <c r="A180" s="1020">
        <f t="shared" si="7"/>
        <v>157</v>
      </c>
      <c r="B180" s="1021" t="s">
        <v>1361</v>
      </c>
      <c r="C180" s="1081">
        <v>9150</v>
      </c>
      <c r="D180" s="1081">
        <v>11854.44</v>
      </c>
      <c r="E180" s="1081">
        <v>11854.398579999999</v>
      </c>
      <c r="F180" s="1082">
        <f t="shared" si="6"/>
        <v>99.999650595051293</v>
      </c>
      <c r="G180" s="1133" t="s">
        <v>4199</v>
      </c>
      <c r="H180" s="1062" t="s">
        <v>133</v>
      </c>
      <c r="I180" s="1203"/>
    </row>
    <row r="181" spans="1:9" s="977" customFormat="1" ht="24" customHeight="1" x14ac:dyDescent="0.2">
      <c r="A181" s="1020">
        <f t="shared" si="7"/>
        <v>158</v>
      </c>
      <c r="B181" s="1021" t="s">
        <v>1354</v>
      </c>
      <c r="C181" s="1081">
        <v>0</v>
      </c>
      <c r="D181" s="1081">
        <v>647.16</v>
      </c>
      <c r="E181" s="1081">
        <v>647.13503000000003</v>
      </c>
      <c r="F181" s="1082">
        <f t="shared" si="6"/>
        <v>99.99614160331295</v>
      </c>
      <c r="G181" s="1133" t="s">
        <v>4199</v>
      </c>
      <c r="H181" s="1062" t="s">
        <v>133</v>
      </c>
      <c r="I181" s="1203"/>
    </row>
    <row r="182" spans="1:9" s="977" customFormat="1" ht="21" x14ac:dyDescent="0.2">
      <c r="A182" s="1020">
        <f t="shared" si="7"/>
        <v>159</v>
      </c>
      <c r="B182" s="1021" t="s">
        <v>1376</v>
      </c>
      <c r="C182" s="1081">
        <v>12548</v>
      </c>
      <c r="D182" s="1081">
        <v>17324.07</v>
      </c>
      <c r="E182" s="1081">
        <v>17324.004390000002</v>
      </c>
      <c r="F182" s="1082">
        <f t="shared" si="6"/>
        <v>99.999621278371663</v>
      </c>
      <c r="G182" s="1133" t="s">
        <v>4199</v>
      </c>
      <c r="H182" s="1062" t="s">
        <v>133</v>
      </c>
      <c r="I182" s="1203"/>
    </row>
    <row r="183" spans="1:9" s="977" customFormat="1" ht="24" customHeight="1" x14ac:dyDescent="0.2">
      <c r="A183" s="1020">
        <f t="shared" si="7"/>
        <v>160</v>
      </c>
      <c r="B183" s="1021" t="s">
        <v>1377</v>
      </c>
      <c r="C183" s="1081">
        <v>0</v>
      </c>
      <c r="D183" s="1081">
        <v>880.36</v>
      </c>
      <c r="E183" s="1081">
        <v>880.33178000000009</v>
      </c>
      <c r="F183" s="1082">
        <f t="shared" si="6"/>
        <v>99.9967944931619</v>
      </c>
      <c r="G183" s="1133" t="s">
        <v>4199</v>
      </c>
      <c r="H183" s="1062" t="s">
        <v>133</v>
      </c>
      <c r="I183" s="1203"/>
    </row>
    <row r="184" spans="1:9" s="977" customFormat="1" ht="24" customHeight="1" x14ac:dyDescent="0.2">
      <c r="A184" s="1020">
        <f t="shared" si="7"/>
        <v>161</v>
      </c>
      <c r="B184" s="1021" t="s">
        <v>1375</v>
      </c>
      <c r="C184" s="1081">
        <v>6314</v>
      </c>
      <c r="D184" s="1081">
        <v>10239.67</v>
      </c>
      <c r="E184" s="1081">
        <v>10239.618890000002</v>
      </c>
      <c r="F184" s="1082">
        <f t="shared" si="6"/>
        <v>99.999500862820796</v>
      </c>
      <c r="G184" s="1133" t="s">
        <v>4199</v>
      </c>
      <c r="H184" s="1062" t="s">
        <v>133</v>
      </c>
      <c r="I184" s="1203"/>
    </row>
    <row r="185" spans="1:9" s="977" customFormat="1" ht="24" customHeight="1" x14ac:dyDescent="0.2">
      <c r="A185" s="1020">
        <f t="shared" si="7"/>
        <v>162</v>
      </c>
      <c r="B185" s="1021" t="s">
        <v>4577</v>
      </c>
      <c r="C185" s="1081">
        <v>0</v>
      </c>
      <c r="D185" s="1081">
        <v>1291.6499999999999</v>
      </c>
      <c r="E185" s="1081">
        <v>1291.627</v>
      </c>
      <c r="F185" s="1082">
        <f t="shared" si="6"/>
        <v>99.998219331862344</v>
      </c>
      <c r="G185" s="1133" t="s">
        <v>4199</v>
      </c>
      <c r="H185" s="1062" t="s">
        <v>133</v>
      </c>
      <c r="I185" s="1203"/>
    </row>
    <row r="186" spans="1:9" s="977" customFormat="1" ht="24" customHeight="1" x14ac:dyDescent="0.2">
      <c r="A186" s="1020">
        <f t="shared" si="7"/>
        <v>163</v>
      </c>
      <c r="B186" s="1021" t="s">
        <v>1363</v>
      </c>
      <c r="C186" s="1081">
        <v>3163</v>
      </c>
      <c r="D186" s="1081">
        <v>5996.2899999999991</v>
      </c>
      <c r="E186" s="1081">
        <v>5996.2436399999997</v>
      </c>
      <c r="F186" s="1082">
        <f t="shared" si="6"/>
        <v>99.999226855272184</v>
      </c>
      <c r="G186" s="1133" t="s">
        <v>4199</v>
      </c>
      <c r="H186" s="1062" t="s">
        <v>133</v>
      </c>
      <c r="I186" s="1203"/>
    </row>
    <row r="187" spans="1:9" s="977" customFormat="1" ht="24" customHeight="1" x14ac:dyDescent="0.2">
      <c r="A187" s="1020">
        <f t="shared" si="7"/>
        <v>164</v>
      </c>
      <c r="B187" s="1021" t="s">
        <v>1364</v>
      </c>
      <c r="C187" s="1081">
        <v>0</v>
      </c>
      <c r="D187" s="1081">
        <v>608.76</v>
      </c>
      <c r="E187" s="1081">
        <v>608.74473999999998</v>
      </c>
      <c r="F187" s="1082">
        <f t="shared" si="6"/>
        <v>99.997493264997701</v>
      </c>
      <c r="G187" s="1133" t="s">
        <v>4199</v>
      </c>
      <c r="H187" s="1062" t="s">
        <v>133</v>
      </c>
      <c r="I187" s="1203"/>
    </row>
    <row r="188" spans="1:9" s="977" customFormat="1" ht="12.75" customHeight="1" x14ac:dyDescent="0.2">
      <c r="A188" s="1020">
        <f t="shared" si="7"/>
        <v>165</v>
      </c>
      <c r="B188" s="1021" t="s">
        <v>1359</v>
      </c>
      <c r="C188" s="1081">
        <v>0</v>
      </c>
      <c r="D188" s="1081">
        <v>853.64</v>
      </c>
      <c r="E188" s="1081">
        <v>853.61840999999993</v>
      </c>
      <c r="F188" s="1082">
        <f t="shared" si="6"/>
        <v>99.99747083079518</v>
      </c>
      <c r="G188" s="1133" t="s">
        <v>4199</v>
      </c>
      <c r="H188" s="1062" t="s">
        <v>133</v>
      </c>
      <c r="I188" s="1203"/>
    </row>
    <row r="189" spans="1:9" s="977" customFormat="1" ht="12.75" customHeight="1" x14ac:dyDescent="0.2">
      <c r="A189" s="1020">
        <f t="shared" si="7"/>
        <v>166</v>
      </c>
      <c r="B189" s="1021" t="s">
        <v>1378</v>
      </c>
      <c r="C189" s="1081">
        <v>3437</v>
      </c>
      <c r="D189" s="1081">
        <v>7060.6900000000005</v>
      </c>
      <c r="E189" s="1081">
        <v>7060.6585300000006</v>
      </c>
      <c r="F189" s="1082">
        <f t="shared" si="6"/>
        <v>99.999554292852395</v>
      </c>
      <c r="G189" s="1133" t="s">
        <v>4199</v>
      </c>
      <c r="H189" s="1062" t="s">
        <v>133</v>
      </c>
      <c r="I189" s="1203"/>
    </row>
    <row r="190" spans="1:9" s="977" customFormat="1" ht="24" customHeight="1" x14ac:dyDescent="0.2">
      <c r="A190" s="1020">
        <f t="shared" si="7"/>
        <v>167</v>
      </c>
      <c r="B190" s="1021" t="s">
        <v>1371</v>
      </c>
      <c r="C190" s="1081">
        <v>9964</v>
      </c>
      <c r="D190" s="1081">
        <v>11214.52</v>
      </c>
      <c r="E190" s="1081">
        <v>11214.453529999999</v>
      </c>
      <c r="F190" s="1082">
        <f t="shared" si="6"/>
        <v>99.999407286268152</v>
      </c>
      <c r="G190" s="1133" t="s">
        <v>4199</v>
      </c>
      <c r="H190" s="1062" t="s">
        <v>133</v>
      </c>
      <c r="I190" s="1203"/>
    </row>
    <row r="191" spans="1:9" s="977" customFormat="1" ht="24" customHeight="1" x14ac:dyDescent="0.2">
      <c r="A191" s="1020">
        <f t="shared" si="7"/>
        <v>168</v>
      </c>
      <c r="B191" s="1021" t="s">
        <v>1355</v>
      </c>
      <c r="C191" s="1081">
        <v>0</v>
      </c>
      <c r="D191" s="1081">
        <v>3246.22</v>
      </c>
      <c r="E191" s="1081">
        <v>3246.1930400000001</v>
      </c>
      <c r="F191" s="1082">
        <f t="shared" si="6"/>
        <v>99.999169495597968</v>
      </c>
      <c r="G191" s="1133" t="s">
        <v>4199</v>
      </c>
      <c r="H191" s="1062" t="s">
        <v>133</v>
      </c>
      <c r="I191" s="1203"/>
    </row>
    <row r="192" spans="1:9" s="977" customFormat="1" ht="24" customHeight="1" x14ac:dyDescent="0.2">
      <c r="A192" s="1020">
        <f t="shared" si="7"/>
        <v>169</v>
      </c>
      <c r="B192" s="1021" t="s">
        <v>1365</v>
      </c>
      <c r="C192" s="1081">
        <v>13135</v>
      </c>
      <c r="D192" s="1081">
        <v>16483.63</v>
      </c>
      <c r="E192" s="1081">
        <v>16414.614560000002</v>
      </c>
      <c r="F192" s="1082">
        <f t="shared" si="6"/>
        <v>99.581309214050549</v>
      </c>
      <c r="G192" s="1133" t="s">
        <v>4199</v>
      </c>
      <c r="H192" s="1062" t="s">
        <v>133</v>
      </c>
      <c r="I192" s="1203"/>
    </row>
    <row r="193" spans="1:9" s="977" customFormat="1" ht="31.5" x14ac:dyDescent="0.2">
      <c r="A193" s="1020">
        <f t="shared" si="7"/>
        <v>170</v>
      </c>
      <c r="B193" s="1021" t="s">
        <v>1350</v>
      </c>
      <c r="C193" s="1081">
        <v>0</v>
      </c>
      <c r="D193" s="1081">
        <v>189.1</v>
      </c>
      <c r="E193" s="1081">
        <v>119.81936999999999</v>
      </c>
      <c r="F193" s="1082">
        <f t="shared" si="6"/>
        <v>63.362966684294022</v>
      </c>
      <c r="G193" s="1133" t="s">
        <v>4199</v>
      </c>
      <c r="H193" s="1062" t="s">
        <v>4487</v>
      </c>
      <c r="I193" s="1203"/>
    </row>
    <row r="194" spans="1:9" s="977" customFormat="1" ht="31.5" x14ac:dyDescent="0.2">
      <c r="A194" s="1020">
        <f t="shared" si="7"/>
        <v>171</v>
      </c>
      <c r="B194" s="1021" t="s">
        <v>1318</v>
      </c>
      <c r="C194" s="1081">
        <v>73</v>
      </c>
      <c r="D194" s="1081">
        <v>274.03000000000003</v>
      </c>
      <c r="E194" s="1081">
        <v>77.970540000000014</v>
      </c>
      <c r="F194" s="1082">
        <f t="shared" si="6"/>
        <v>28.453286136554397</v>
      </c>
      <c r="G194" s="1133" t="s">
        <v>4199</v>
      </c>
      <c r="H194" s="1067" t="s">
        <v>4487</v>
      </c>
      <c r="I194" s="1203"/>
    </row>
    <row r="195" spans="1:9" s="977" customFormat="1" ht="31.5" x14ac:dyDescent="0.2">
      <c r="A195" s="1020">
        <f t="shared" si="7"/>
        <v>172</v>
      </c>
      <c r="B195" s="1021" t="s">
        <v>1319</v>
      </c>
      <c r="C195" s="1081">
        <v>96</v>
      </c>
      <c r="D195" s="1081">
        <v>523.91</v>
      </c>
      <c r="E195" s="1081">
        <v>259.66999999999996</v>
      </c>
      <c r="F195" s="1082">
        <f t="shared" si="6"/>
        <v>49.563856387547474</v>
      </c>
      <c r="G195" s="1133" t="s">
        <v>4199</v>
      </c>
      <c r="H195" s="1025" t="s">
        <v>4487</v>
      </c>
      <c r="I195" s="1203"/>
    </row>
    <row r="196" spans="1:9" s="977" customFormat="1" ht="12.75" customHeight="1" x14ac:dyDescent="0.2">
      <c r="A196" s="1020">
        <f t="shared" si="7"/>
        <v>173</v>
      </c>
      <c r="B196" s="1021" t="s">
        <v>1337</v>
      </c>
      <c r="C196" s="1081">
        <v>298</v>
      </c>
      <c r="D196" s="1081">
        <v>767.41</v>
      </c>
      <c r="E196" s="1081">
        <v>756.17279999999982</v>
      </c>
      <c r="F196" s="1082">
        <f t="shared" si="6"/>
        <v>98.535697997159261</v>
      </c>
      <c r="G196" s="1133" t="s">
        <v>4199</v>
      </c>
      <c r="H196" s="1062" t="s">
        <v>133</v>
      </c>
      <c r="I196" s="1203"/>
    </row>
    <row r="197" spans="1:9" s="977" customFormat="1" ht="31.5" x14ac:dyDescent="0.2">
      <c r="A197" s="1020">
        <f t="shared" si="7"/>
        <v>174</v>
      </c>
      <c r="B197" s="1021" t="s">
        <v>1342</v>
      </c>
      <c r="C197" s="1081">
        <v>39</v>
      </c>
      <c r="D197" s="1081">
        <v>204.82999999999998</v>
      </c>
      <c r="E197" s="1081">
        <v>103.48463000000001</v>
      </c>
      <c r="F197" s="1082">
        <f t="shared" si="6"/>
        <v>50.522203778743361</v>
      </c>
      <c r="G197" s="1133" t="s">
        <v>4199</v>
      </c>
      <c r="H197" s="1062" t="s">
        <v>4487</v>
      </c>
      <c r="I197" s="1203"/>
    </row>
    <row r="198" spans="1:9" s="977" customFormat="1" ht="73.5" x14ac:dyDescent="0.2">
      <c r="A198" s="1020">
        <f t="shared" si="7"/>
        <v>175</v>
      </c>
      <c r="B198" s="1021" t="s">
        <v>4578</v>
      </c>
      <c r="C198" s="1081">
        <v>0</v>
      </c>
      <c r="D198" s="1081">
        <v>7457.15</v>
      </c>
      <c r="E198" s="1081">
        <v>0</v>
      </c>
      <c r="F198" s="1082">
        <f t="shared" si="6"/>
        <v>0</v>
      </c>
      <c r="G198" s="1133" t="s">
        <v>4510</v>
      </c>
      <c r="H198" s="1025" t="s">
        <v>4579</v>
      </c>
      <c r="I198" s="1203"/>
    </row>
    <row r="199" spans="1:9" s="977" customFormat="1" ht="73.5" x14ac:dyDescent="0.2">
      <c r="A199" s="1020">
        <f t="shared" si="7"/>
        <v>176</v>
      </c>
      <c r="B199" s="1021" t="s">
        <v>4580</v>
      </c>
      <c r="C199" s="1081">
        <v>0</v>
      </c>
      <c r="D199" s="1081">
        <v>4196.0999999999995</v>
      </c>
      <c r="E199" s="1081">
        <v>0</v>
      </c>
      <c r="F199" s="1082">
        <f t="shared" si="6"/>
        <v>0</v>
      </c>
      <c r="G199" s="1133" t="s">
        <v>4510</v>
      </c>
      <c r="H199" s="1062" t="s">
        <v>4579</v>
      </c>
      <c r="I199" s="1203"/>
    </row>
    <row r="200" spans="1:9" s="977" customFormat="1" ht="73.5" x14ac:dyDescent="0.2">
      <c r="A200" s="1020">
        <f t="shared" si="7"/>
        <v>177</v>
      </c>
      <c r="B200" s="1021" t="s">
        <v>4581</v>
      </c>
      <c r="C200" s="1081">
        <v>0</v>
      </c>
      <c r="D200" s="1081">
        <v>2226.4</v>
      </c>
      <c r="E200" s="1081">
        <v>0</v>
      </c>
      <c r="F200" s="1082">
        <f t="shared" si="6"/>
        <v>0</v>
      </c>
      <c r="G200" s="1133" t="s">
        <v>4510</v>
      </c>
      <c r="H200" s="1062" t="s">
        <v>4579</v>
      </c>
      <c r="I200" s="1203"/>
    </row>
    <row r="201" spans="1:9" s="977" customFormat="1" ht="73.5" x14ac:dyDescent="0.2">
      <c r="A201" s="1020">
        <f t="shared" si="7"/>
        <v>178</v>
      </c>
      <c r="B201" s="1021" t="s">
        <v>4582</v>
      </c>
      <c r="C201" s="1081">
        <v>0</v>
      </c>
      <c r="D201" s="1081">
        <v>1403.39</v>
      </c>
      <c r="E201" s="1081">
        <v>0</v>
      </c>
      <c r="F201" s="1082">
        <f t="shared" si="6"/>
        <v>0</v>
      </c>
      <c r="G201" s="1133" t="s">
        <v>4510</v>
      </c>
      <c r="H201" s="1062" t="s">
        <v>4579</v>
      </c>
      <c r="I201" s="1203"/>
    </row>
    <row r="202" spans="1:9" s="977" customFormat="1" ht="73.5" x14ac:dyDescent="0.2">
      <c r="A202" s="1020">
        <f t="shared" si="7"/>
        <v>179</v>
      </c>
      <c r="B202" s="1021" t="s">
        <v>4583</v>
      </c>
      <c r="C202" s="1081">
        <v>0</v>
      </c>
      <c r="D202" s="1081">
        <v>18228</v>
      </c>
      <c r="E202" s="1081">
        <v>0</v>
      </c>
      <c r="F202" s="1082">
        <f t="shared" ref="F202:F207" si="8">E202/D202*100</f>
        <v>0</v>
      </c>
      <c r="G202" s="1133" t="s">
        <v>4510</v>
      </c>
      <c r="H202" s="1025" t="s">
        <v>4584</v>
      </c>
      <c r="I202" s="1203"/>
    </row>
    <row r="203" spans="1:9" s="977" customFormat="1" ht="78.75" customHeight="1" x14ac:dyDescent="0.2">
      <c r="A203" s="1020">
        <f t="shared" ref="A203:A219" si="9">A202+1</f>
        <v>180</v>
      </c>
      <c r="B203" s="1021" t="s">
        <v>1328</v>
      </c>
      <c r="C203" s="1081">
        <v>0</v>
      </c>
      <c r="D203" s="1081">
        <v>300</v>
      </c>
      <c r="E203" s="1081">
        <v>2.9950000000000001</v>
      </c>
      <c r="F203" s="1082">
        <f t="shared" si="8"/>
        <v>0.99833333333333341</v>
      </c>
      <c r="G203" s="1133" t="s">
        <v>4510</v>
      </c>
      <c r="H203" s="1025" t="s">
        <v>4585</v>
      </c>
      <c r="I203" s="1203"/>
    </row>
    <row r="204" spans="1:9" s="977" customFormat="1" ht="78" customHeight="1" x14ac:dyDescent="0.2">
      <c r="A204" s="1020">
        <f t="shared" si="9"/>
        <v>181</v>
      </c>
      <c r="B204" s="1021" t="s">
        <v>4586</v>
      </c>
      <c r="C204" s="1081">
        <v>0</v>
      </c>
      <c r="D204" s="1081">
        <v>500</v>
      </c>
      <c r="E204" s="1081">
        <v>0</v>
      </c>
      <c r="F204" s="1082">
        <f t="shared" si="8"/>
        <v>0</v>
      </c>
      <c r="G204" s="1133" t="s">
        <v>4510</v>
      </c>
      <c r="H204" s="1062" t="s">
        <v>4587</v>
      </c>
      <c r="I204" s="1203"/>
    </row>
    <row r="205" spans="1:9" s="977" customFormat="1" ht="78" customHeight="1" x14ac:dyDescent="0.2">
      <c r="A205" s="1020">
        <f t="shared" si="9"/>
        <v>182</v>
      </c>
      <c r="B205" s="1021" t="s">
        <v>4588</v>
      </c>
      <c r="C205" s="1081">
        <v>0</v>
      </c>
      <c r="D205" s="1081">
        <v>500</v>
      </c>
      <c r="E205" s="1081">
        <v>0</v>
      </c>
      <c r="F205" s="1082">
        <f t="shared" si="8"/>
        <v>0</v>
      </c>
      <c r="G205" s="1133" t="s">
        <v>4510</v>
      </c>
      <c r="H205" s="1062" t="s">
        <v>4587</v>
      </c>
      <c r="I205" s="1203"/>
    </row>
    <row r="206" spans="1:9" s="977" customFormat="1" ht="78" customHeight="1" x14ac:dyDescent="0.2">
      <c r="A206" s="1020">
        <f t="shared" si="9"/>
        <v>183</v>
      </c>
      <c r="B206" s="1021" t="s">
        <v>4589</v>
      </c>
      <c r="C206" s="1081">
        <v>0</v>
      </c>
      <c r="D206" s="1081">
        <v>500</v>
      </c>
      <c r="E206" s="1081">
        <v>0</v>
      </c>
      <c r="F206" s="1082">
        <f t="shared" si="8"/>
        <v>0</v>
      </c>
      <c r="G206" s="1133" t="s">
        <v>4510</v>
      </c>
      <c r="H206" s="1062" t="s">
        <v>4587</v>
      </c>
      <c r="I206" s="1203"/>
    </row>
    <row r="207" spans="1:9" s="977" customFormat="1" ht="78" customHeight="1" x14ac:dyDescent="0.2">
      <c r="A207" s="1020">
        <f t="shared" si="9"/>
        <v>184</v>
      </c>
      <c r="B207" s="1021" t="s">
        <v>4590</v>
      </c>
      <c r="C207" s="1081">
        <v>0</v>
      </c>
      <c r="D207" s="1081">
        <v>500</v>
      </c>
      <c r="E207" s="1081">
        <v>0</v>
      </c>
      <c r="F207" s="1082">
        <f t="shared" si="8"/>
        <v>0</v>
      </c>
      <c r="G207" s="1133" t="s">
        <v>4510</v>
      </c>
      <c r="H207" s="1062" t="s">
        <v>4587</v>
      </c>
      <c r="I207" s="1203"/>
    </row>
    <row r="208" spans="1:9" s="977" customFormat="1" ht="24" customHeight="1" x14ac:dyDescent="0.2">
      <c r="A208" s="1020">
        <f t="shared" si="9"/>
        <v>185</v>
      </c>
      <c r="B208" s="1031" t="s">
        <v>4591</v>
      </c>
      <c r="C208" s="1081">
        <v>0</v>
      </c>
      <c r="D208" s="1081">
        <v>0.124</v>
      </c>
      <c r="E208" s="1081">
        <v>0</v>
      </c>
      <c r="F208" s="1082">
        <v>0</v>
      </c>
      <c r="G208" s="1133" t="s">
        <v>4199</v>
      </c>
      <c r="H208" s="1025" t="s">
        <v>4592</v>
      </c>
      <c r="I208" s="1203"/>
    </row>
    <row r="209" spans="1:9" s="977" customFormat="1" ht="24" customHeight="1" x14ac:dyDescent="0.2">
      <c r="A209" s="1020">
        <f t="shared" si="9"/>
        <v>186</v>
      </c>
      <c r="B209" s="1031" t="s">
        <v>4593</v>
      </c>
      <c r="C209" s="1081">
        <v>0</v>
      </c>
      <c r="D209" s="1081">
        <v>0.45500000000000002</v>
      </c>
      <c r="E209" s="1081">
        <v>0</v>
      </c>
      <c r="F209" s="1082">
        <v>0</v>
      </c>
      <c r="G209" s="1133" t="s">
        <v>4199</v>
      </c>
      <c r="H209" s="1025" t="s">
        <v>4592</v>
      </c>
      <c r="I209" s="1203"/>
    </row>
    <row r="210" spans="1:9" s="977" customFormat="1" ht="24" customHeight="1" x14ac:dyDescent="0.2">
      <c r="A210" s="1020">
        <f t="shared" si="9"/>
        <v>187</v>
      </c>
      <c r="B210" s="1031" t="s">
        <v>4594</v>
      </c>
      <c r="C210" s="1081">
        <v>0</v>
      </c>
      <c r="D210" s="1081">
        <v>41.427999999999997</v>
      </c>
      <c r="E210" s="1081">
        <v>41.347000000000001</v>
      </c>
      <c r="F210" s="1082">
        <v>99.799662080617907</v>
      </c>
      <c r="G210" s="1133" t="s">
        <v>4199</v>
      </c>
      <c r="H210" s="1025" t="s">
        <v>133</v>
      </c>
      <c r="I210" s="1203"/>
    </row>
    <row r="211" spans="1:9" s="977" customFormat="1" ht="147" x14ac:dyDescent="0.2">
      <c r="A211" s="1020">
        <f t="shared" si="9"/>
        <v>188</v>
      </c>
      <c r="B211" s="1031" t="s">
        <v>2618</v>
      </c>
      <c r="C211" s="1081">
        <v>0</v>
      </c>
      <c r="D211" s="1081">
        <v>41575.351000000002</v>
      </c>
      <c r="E211" s="1081">
        <v>32109.85399</v>
      </c>
      <c r="F211" s="1082">
        <v>77.232913228631858</v>
      </c>
      <c r="G211" s="1133" t="s">
        <v>4199</v>
      </c>
      <c r="H211" s="1062" t="s">
        <v>4595</v>
      </c>
      <c r="I211" s="1203"/>
    </row>
    <row r="212" spans="1:9" s="977" customFormat="1" ht="147" x14ac:dyDescent="0.2">
      <c r="A212" s="1020">
        <f t="shared" si="9"/>
        <v>189</v>
      </c>
      <c r="B212" s="1031" t="s">
        <v>2608</v>
      </c>
      <c r="C212" s="1081">
        <v>0</v>
      </c>
      <c r="D212" s="1081">
        <v>42985.442999999999</v>
      </c>
      <c r="E212" s="1081">
        <v>23909.279669999989</v>
      </c>
      <c r="F212" s="1082">
        <v>55.621796840558822</v>
      </c>
      <c r="G212" s="1133" t="s">
        <v>4199</v>
      </c>
      <c r="H212" s="1062" t="s">
        <v>4596</v>
      </c>
      <c r="I212" s="1203"/>
    </row>
    <row r="213" spans="1:9" s="977" customFormat="1" ht="147" x14ac:dyDescent="0.2">
      <c r="A213" s="1020">
        <f t="shared" si="9"/>
        <v>190</v>
      </c>
      <c r="B213" s="1031" t="s">
        <v>2602</v>
      </c>
      <c r="C213" s="1081">
        <v>0</v>
      </c>
      <c r="D213" s="1081">
        <v>13756.815000000001</v>
      </c>
      <c r="E213" s="1081">
        <v>9659.7811100000017</v>
      </c>
      <c r="F213" s="1082">
        <v>70.218176379553114</v>
      </c>
      <c r="G213" s="1133" t="s">
        <v>4199</v>
      </c>
      <c r="H213" s="1062" t="s">
        <v>4597</v>
      </c>
      <c r="I213" s="1203"/>
    </row>
    <row r="214" spans="1:9" s="977" customFormat="1" ht="147" x14ac:dyDescent="0.2">
      <c r="A214" s="1020">
        <f t="shared" si="9"/>
        <v>191</v>
      </c>
      <c r="B214" s="1031" t="s">
        <v>2619</v>
      </c>
      <c r="C214" s="1081">
        <v>0</v>
      </c>
      <c r="D214" s="1081">
        <v>25683.704000000002</v>
      </c>
      <c r="E214" s="1081">
        <v>12272.82488</v>
      </c>
      <c r="F214" s="1082">
        <v>47.784489306447256</v>
      </c>
      <c r="G214" s="1133" t="s">
        <v>4199</v>
      </c>
      <c r="H214" s="1062" t="s">
        <v>4597</v>
      </c>
      <c r="I214" s="1203"/>
    </row>
    <row r="215" spans="1:9" s="977" customFormat="1" ht="105" x14ac:dyDescent="0.2">
      <c r="A215" s="1020">
        <f t="shared" si="9"/>
        <v>192</v>
      </c>
      <c r="B215" s="1031" t="s">
        <v>1347</v>
      </c>
      <c r="C215" s="1081">
        <v>0</v>
      </c>
      <c r="D215" s="1081">
        <v>8445.66</v>
      </c>
      <c r="E215" s="1081">
        <v>5919.0424999999996</v>
      </c>
      <c r="F215" s="1082">
        <v>70.083835958350207</v>
      </c>
      <c r="G215" s="1133" t="s">
        <v>4199</v>
      </c>
      <c r="H215" s="1205" t="s">
        <v>4598</v>
      </c>
      <c r="I215" s="1203"/>
    </row>
    <row r="216" spans="1:9" s="977" customFormat="1" ht="105" x14ac:dyDescent="0.2">
      <c r="A216" s="1020">
        <f t="shared" si="9"/>
        <v>193</v>
      </c>
      <c r="B216" s="1031" t="s">
        <v>4599</v>
      </c>
      <c r="C216" s="1081">
        <v>0</v>
      </c>
      <c r="D216" s="1081">
        <v>250.01</v>
      </c>
      <c r="E216" s="1081">
        <v>151.71199999999999</v>
      </c>
      <c r="F216" s="1082">
        <v>60.682372705091794</v>
      </c>
      <c r="G216" s="1133" t="s">
        <v>4199</v>
      </c>
      <c r="H216" s="1205" t="s">
        <v>4598</v>
      </c>
      <c r="I216" s="1203"/>
    </row>
    <row r="217" spans="1:9" s="977" customFormat="1" ht="105" x14ac:dyDescent="0.2">
      <c r="A217" s="1020">
        <f t="shared" si="9"/>
        <v>194</v>
      </c>
      <c r="B217" s="1031" t="s">
        <v>1348</v>
      </c>
      <c r="C217" s="1081">
        <v>0</v>
      </c>
      <c r="D217" s="1081">
        <v>244.76999999999998</v>
      </c>
      <c r="E217" s="1081">
        <v>228.69</v>
      </c>
      <c r="F217" s="1082">
        <v>93.430567471503863</v>
      </c>
      <c r="G217" s="1133" t="s">
        <v>4199</v>
      </c>
      <c r="H217" s="1205" t="s">
        <v>4598</v>
      </c>
      <c r="I217" s="1203"/>
    </row>
    <row r="218" spans="1:9" s="977" customFormat="1" ht="45" customHeight="1" x14ac:dyDescent="0.2">
      <c r="A218" s="1020">
        <f t="shared" si="9"/>
        <v>195</v>
      </c>
      <c r="B218" s="1206" t="s">
        <v>4600</v>
      </c>
      <c r="C218" s="1081">
        <v>0</v>
      </c>
      <c r="D218" s="1081">
        <v>80128.782999999996</v>
      </c>
      <c r="E218" s="1081">
        <v>72559.037010000015</v>
      </c>
      <c r="F218" s="1082">
        <f>E218/D218*100</f>
        <v>90.553025134551234</v>
      </c>
      <c r="G218" s="1133" t="s">
        <v>4199</v>
      </c>
      <c r="H218" s="1207" t="s">
        <v>4601</v>
      </c>
      <c r="I218" s="1203"/>
    </row>
    <row r="219" spans="1:9" s="977" customFormat="1" ht="52.5" x14ac:dyDescent="0.2">
      <c r="A219" s="1020">
        <f t="shared" si="9"/>
        <v>196</v>
      </c>
      <c r="B219" s="1206" t="s">
        <v>4602</v>
      </c>
      <c r="C219" s="1081">
        <v>0</v>
      </c>
      <c r="D219" s="1081">
        <v>11997.800999999999</v>
      </c>
      <c r="E219" s="1081">
        <v>11997.794270000002</v>
      </c>
      <c r="F219" s="1082">
        <f>E219/D219*100</f>
        <v>99.999943906387529</v>
      </c>
      <c r="G219" s="1133" t="s">
        <v>4199</v>
      </c>
      <c r="H219" s="1025" t="s">
        <v>133</v>
      </c>
      <c r="I219" s="1203"/>
    </row>
    <row r="220" spans="1:9" s="977" customFormat="1" ht="13.5" customHeight="1" thickBot="1" x14ac:dyDescent="0.25">
      <c r="A220" s="1442" t="s">
        <v>477</v>
      </c>
      <c r="B220" s="1443"/>
      <c r="C220" s="1039">
        <f>SUM(C138:C219)</f>
        <v>605840</v>
      </c>
      <c r="D220" s="1039">
        <f>SUM(D138:D219)</f>
        <v>1083535.5319999997</v>
      </c>
      <c r="E220" s="1039">
        <f>SUM(E138:E219)</f>
        <v>938679.75112999987</v>
      </c>
      <c r="F220" s="1064">
        <f>E220/D220*100</f>
        <v>86.631192370533185</v>
      </c>
      <c r="G220" s="1042"/>
      <c r="H220" s="1068"/>
    </row>
  </sheetData>
  <mergeCells count="12">
    <mergeCell ref="A220:B220"/>
    <mergeCell ref="A1:H1"/>
    <mergeCell ref="A4:B4"/>
    <mergeCell ref="A5:B5"/>
    <mergeCell ref="A6:B6"/>
    <mergeCell ref="A8:B8"/>
    <mergeCell ref="A9:B9"/>
    <mergeCell ref="A10:B10"/>
    <mergeCell ref="A47:B47"/>
    <mergeCell ref="A83:B83"/>
    <mergeCell ref="A86:B86"/>
    <mergeCell ref="A136:B136"/>
  </mergeCells>
  <printOptions horizontalCentered="1"/>
  <pageMargins left="0.31496062992125984" right="0.31496062992125984" top="0.51181102362204722" bottom="0.43307086614173229" header="0.31496062992125984" footer="0.23622047244094491"/>
  <pageSetup paperSize="9" scale="97" firstPageNumber="281" fitToHeight="0" orientation="landscape" useFirstPageNumber="1" r:id="rId1"/>
  <headerFooter alignWithMargins="0">
    <oddHeader>&amp;L&amp;"Tahoma,Kurzíva"&amp;9Závěrečný účet za rok 2015&amp;R&amp;"Tahoma,Kurzíva"&amp;9Tabulka č. 15</oddHeader>
    <oddFooter>&amp;C&amp;"Tahoma,Obyčejné"&amp;P</oddFooter>
  </headerFooter>
  <rowBreaks count="2" manualBreakCount="2">
    <brk id="27" max="7" man="1"/>
    <brk id="47"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zoomScaleNormal="100" zoomScaleSheetLayoutView="100" workbookViewId="0">
      <selection activeCell="K2" sqref="K2"/>
    </sheetView>
  </sheetViews>
  <sheetFormatPr defaultRowHeight="10.5" x14ac:dyDescent="0.2"/>
  <cols>
    <col min="1" max="1" width="6.42578125" style="976" customWidth="1"/>
    <col min="2" max="2" width="42.7109375" style="977" customWidth="1"/>
    <col min="3" max="4" width="13.140625" style="978" customWidth="1"/>
    <col min="5" max="5" width="12.140625" style="976" customWidth="1"/>
    <col min="6" max="6" width="8" style="979" customWidth="1"/>
    <col min="7" max="7" width="8.7109375" style="980" customWidth="1"/>
    <col min="8" max="8" width="42.7109375" style="981" customWidth="1"/>
    <col min="9" max="16384" width="9.140625" style="976"/>
  </cols>
  <sheetData>
    <row r="1" spans="1:8" s="975" customFormat="1" ht="18" customHeight="1" x14ac:dyDescent="0.2">
      <c r="A1" s="1325" t="s">
        <v>4603</v>
      </c>
      <c r="B1" s="1325"/>
      <c r="C1" s="1325"/>
      <c r="D1" s="1325"/>
      <c r="E1" s="1325"/>
      <c r="F1" s="1325"/>
      <c r="G1" s="1325"/>
      <c r="H1" s="1325"/>
    </row>
    <row r="2" spans="1:8" ht="12" customHeight="1" x14ac:dyDescent="0.2"/>
    <row r="3" spans="1:8" ht="12" customHeight="1" thickBot="1" x14ac:dyDescent="0.2">
      <c r="A3" s="982"/>
      <c r="F3" s="983" t="s">
        <v>4184</v>
      </c>
    </row>
    <row r="4" spans="1:8" ht="23.25" customHeight="1" x14ac:dyDescent="0.2">
      <c r="A4" s="1438"/>
      <c r="B4" s="1439"/>
      <c r="C4" s="984" t="s">
        <v>4185</v>
      </c>
      <c r="D4" s="984" t="s">
        <v>4186</v>
      </c>
      <c r="E4" s="984" t="s">
        <v>4187</v>
      </c>
      <c r="F4" s="985" t="s">
        <v>4188</v>
      </c>
      <c r="G4" s="986"/>
      <c r="H4" s="987"/>
    </row>
    <row r="5" spans="1:8" ht="12.75" customHeight="1" x14ac:dyDescent="0.2">
      <c r="A5" s="1436" t="s">
        <v>4189</v>
      </c>
      <c r="B5" s="1437"/>
      <c r="C5" s="988">
        <f>C18</f>
        <v>700</v>
      </c>
      <c r="D5" s="988">
        <f>D18</f>
        <v>3715.88</v>
      </c>
      <c r="E5" s="988">
        <f>E18</f>
        <v>640.23</v>
      </c>
      <c r="F5" s="989">
        <f>E5/D5*100</f>
        <v>17.229566078560126</v>
      </c>
      <c r="G5" s="990"/>
      <c r="H5" s="991"/>
    </row>
    <row r="6" spans="1:8" ht="12.75" customHeight="1" x14ac:dyDescent="0.2">
      <c r="A6" s="1436" t="s">
        <v>4191</v>
      </c>
      <c r="B6" s="1437"/>
      <c r="C6" s="992">
        <f>C21</f>
        <v>2000</v>
      </c>
      <c r="D6" s="992">
        <f>D21</f>
        <v>0</v>
      </c>
      <c r="E6" s="992">
        <f>E21</f>
        <v>0</v>
      </c>
      <c r="F6" s="989" t="s">
        <v>279</v>
      </c>
      <c r="G6" s="990"/>
      <c r="H6" s="991"/>
    </row>
    <row r="7" spans="1:8" s="982" customFormat="1" ht="13.5" customHeight="1" thickBot="1" x14ac:dyDescent="0.25">
      <c r="A7" s="1440" t="s">
        <v>477</v>
      </c>
      <c r="B7" s="1441"/>
      <c r="C7" s="993">
        <f>SUM(C5:C6)</f>
        <v>2700</v>
      </c>
      <c r="D7" s="994">
        <f>SUM(D5:D6)</f>
        <v>3715.88</v>
      </c>
      <c r="E7" s="993">
        <f>SUM(E5:E6)</f>
        <v>640.23</v>
      </c>
      <c r="F7" s="995">
        <f>E7/D7*100</f>
        <v>17.229566078560126</v>
      </c>
      <c r="G7" s="990"/>
      <c r="H7" s="991"/>
    </row>
    <row r="8" spans="1:8" s="996" customFormat="1" ht="10.5" customHeight="1" x14ac:dyDescent="0.2">
      <c r="B8" s="997"/>
      <c r="C8" s="998"/>
      <c r="D8" s="998"/>
      <c r="E8" s="998"/>
      <c r="F8" s="999"/>
      <c r="G8" s="1000"/>
      <c r="H8" s="1001"/>
    </row>
    <row r="9" spans="1:8" s="996" customFormat="1" ht="10.5" customHeight="1" x14ac:dyDescent="0.2">
      <c r="B9" s="997"/>
      <c r="C9" s="998"/>
      <c r="D9" s="998"/>
      <c r="E9" s="998"/>
      <c r="F9" s="999"/>
      <c r="G9" s="1000"/>
      <c r="H9" s="1001"/>
    </row>
    <row r="10" spans="1:8" s="996" customFormat="1" ht="10.5" customHeight="1" thickBot="1" x14ac:dyDescent="0.2">
      <c r="B10" s="997"/>
      <c r="C10" s="998"/>
      <c r="D10" s="998"/>
      <c r="E10" s="998"/>
      <c r="F10" s="999"/>
      <c r="G10" s="1000"/>
      <c r="H10" s="983" t="s">
        <v>4184</v>
      </c>
    </row>
    <row r="11" spans="1:8" ht="28.5" customHeight="1" thickBot="1" x14ac:dyDescent="0.25">
      <c r="A11" s="1002" t="s">
        <v>4193</v>
      </c>
      <c r="B11" s="1003" t="s">
        <v>665</v>
      </c>
      <c r="C11" s="1004" t="s">
        <v>4185</v>
      </c>
      <c r="D11" s="1004" t="s">
        <v>4186</v>
      </c>
      <c r="E11" s="1004" t="s">
        <v>4187</v>
      </c>
      <c r="F11" s="1004" t="s">
        <v>4188</v>
      </c>
      <c r="G11" s="1004" t="s">
        <v>4194</v>
      </c>
      <c r="H11" s="1005" t="s">
        <v>4195</v>
      </c>
    </row>
    <row r="12" spans="1:8" ht="15" customHeight="1" thickBot="1" x14ac:dyDescent="0.2">
      <c r="A12" s="1196" t="s">
        <v>4196</v>
      </c>
      <c r="B12" s="1208"/>
      <c r="C12" s="1209"/>
      <c r="D12" s="1209"/>
      <c r="E12" s="1210"/>
      <c r="F12" s="1200"/>
      <c r="G12" s="1187"/>
      <c r="H12" s="1211"/>
    </row>
    <row r="13" spans="1:8" s="1019" customFormat="1" ht="35.25" customHeight="1" x14ac:dyDescent="0.2">
      <c r="A13" s="1020">
        <v>1</v>
      </c>
      <c r="B13" s="1021" t="s">
        <v>4604</v>
      </c>
      <c r="C13" s="1081">
        <v>100</v>
      </c>
      <c r="D13" s="1081">
        <v>150</v>
      </c>
      <c r="E13" s="1081">
        <v>112.53</v>
      </c>
      <c r="F13" s="1082">
        <f>E13/D13*100</f>
        <v>75.02</v>
      </c>
      <c r="G13" s="1026" t="s">
        <v>4197</v>
      </c>
      <c r="H13" s="1025" t="s">
        <v>4605</v>
      </c>
    </row>
    <row r="14" spans="1:8" s="1019" customFormat="1" ht="32.25" customHeight="1" x14ac:dyDescent="0.2">
      <c r="A14" s="1020">
        <f>A13+1</f>
        <v>2</v>
      </c>
      <c r="B14" s="1021" t="s">
        <v>4606</v>
      </c>
      <c r="C14" s="1081">
        <v>100</v>
      </c>
      <c r="D14" s="1081">
        <v>0</v>
      </c>
      <c r="E14" s="1081">
        <v>0</v>
      </c>
      <c r="F14" s="1082" t="s">
        <v>279</v>
      </c>
      <c r="G14" s="1026" t="s">
        <v>4197</v>
      </c>
      <c r="H14" s="1025" t="s">
        <v>133</v>
      </c>
    </row>
    <row r="15" spans="1:8" s="1019" customFormat="1" ht="52.5" x14ac:dyDescent="0.2">
      <c r="A15" s="1020">
        <f t="shared" ref="A15:A17" si="0">A14+1</f>
        <v>3</v>
      </c>
      <c r="B15" s="1021" t="s">
        <v>4607</v>
      </c>
      <c r="C15" s="1081">
        <v>0</v>
      </c>
      <c r="D15" s="1081">
        <v>2447.6999999999998</v>
      </c>
      <c r="E15" s="1081">
        <v>447.7</v>
      </c>
      <c r="F15" s="1082">
        <f>E15/D15*100</f>
        <v>18.29064019283409</v>
      </c>
      <c r="G15" s="1026" t="s">
        <v>4203</v>
      </c>
      <c r="H15" s="1025" t="s">
        <v>4608</v>
      </c>
    </row>
    <row r="16" spans="1:8" s="1019" customFormat="1" ht="48.75" customHeight="1" x14ac:dyDescent="0.2">
      <c r="A16" s="1020">
        <f t="shared" si="0"/>
        <v>4</v>
      </c>
      <c r="B16" s="1021" t="s">
        <v>4609</v>
      </c>
      <c r="C16" s="1081">
        <v>0</v>
      </c>
      <c r="D16" s="1081">
        <v>1038.18</v>
      </c>
      <c r="E16" s="1081">
        <v>0</v>
      </c>
      <c r="F16" s="1082">
        <f>E16/D16*100</f>
        <v>0</v>
      </c>
      <c r="G16" s="1026" t="s">
        <v>4203</v>
      </c>
      <c r="H16" s="1025" t="s">
        <v>4610</v>
      </c>
    </row>
    <row r="17" spans="1:8" s="1019" customFormat="1" ht="23.25" customHeight="1" x14ac:dyDescent="0.2">
      <c r="A17" s="1020">
        <f t="shared" si="0"/>
        <v>5</v>
      </c>
      <c r="B17" s="1021" t="s">
        <v>4611</v>
      </c>
      <c r="C17" s="1081">
        <v>500</v>
      </c>
      <c r="D17" s="1081">
        <v>80</v>
      </c>
      <c r="E17" s="1081">
        <v>80</v>
      </c>
      <c r="F17" s="1082">
        <f>E17/D17*100</f>
        <v>100</v>
      </c>
      <c r="G17" s="1026" t="s">
        <v>4199</v>
      </c>
      <c r="H17" s="1025" t="s">
        <v>133</v>
      </c>
    </row>
    <row r="18" spans="1:8" s="1044" customFormat="1" ht="13.5" customHeight="1" thickBot="1" x14ac:dyDescent="0.25">
      <c r="A18" s="1442" t="s">
        <v>477</v>
      </c>
      <c r="B18" s="1443"/>
      <c r="C18" s="1039">
        <f>SUM(C13:C17)</f>
        <v>700</v>
      </c>
      <c r="D18" s="1039">
        <f>SUM(D13:D17)</f>
        <v>3715.88</v>
      </c>
      <c r="E18" s="1039">
        <f>SUM(E13:E17)</f>
        <v>640.23</v>
      </c>
      <c r="F18" s="1041">
        <f>E18/D18*100</f>
        <v>17.229566078560126</v>
      </c>
      <c r="G18" s="1042"/>
      <c r="H18" s="1043"/>
    </row>
    <row r="19" spans="1:8" ht="18" customHeight="1" thickBot="1" x14ac:dyDescent="0.2">
      <c r="A19" s="1196" t="s">
        <v>4220</v>
      </c>
      <c r="B19" s="1197"/>
      <c r="C19" s="1198"/>
      <c r="D19" s="1198"/>
      <c r="E19" s="1199"/>
      <c r="F19" s="1200"/>
      <c r="G19" s="1201"/>
      <c r="H19" s="1202"/>
    </row>
    <row r="20" spans="1:8" s="1019" customFormat="1" ht="35.25" customHeight="1" x14ac:dyDescent="0.2">
      <c r="A20" s="1020">
        <f>A17+1</f>
        <v>6</v>
      </c>
      <c r="B20" s="1021" t="s">
        <v>4612</v>
      </c>
      <c r="C20" s="1081">
        <v>2000</v>
      </c>
      <c r="D20" s="1081">
        <v>0</v>
      </c>
      <c r="E20" s="1081">
        <v>0</v>
      </c>
      <c r="F20" s="1082" t="s">
        <v>279</v>
      </c>
      <c r="G20" s="1026" t="s">
        <v>4199</v>
      </c>
      <c r="H20" s="1025" t="s">
        <v>4613</v>
      </c>
    </row>
    <row r="21" spans="1:8" s="977" customFormat="1" ht="13.5" customHeight="1" thickBot="1" x14ac:dyDescent="0.25">
      <c r="A21" s="1442" t="s">
        <v>477</v>
      </c>
      <c r="B21" s="1443"/>
      <c r="C21" s="1039">
        <f>SUM(C20:C20)</f>
        <v>2000</v>
      </c>
      <c r="D21" s="1063">
        <f>SUM(D20:D20)</f>
        <v>0</v>
      </c>
      <c r="E21" s="1063">
        <f>SUM(E20:E20)</f>
        <v>0</v>
      </c>
      <c r="F21" s="1064" t="s">
        <v>279</v>
      </c>
      <c r="G21" s="1042"/>
      <c r="H21" s="1065"/>
    </row>
    <row r="22" spans="1:8" s="998" customFormat="1" x14ac:dyDescent="0.2">
      <c r="A22" s="1069"/>
      <c r="B22" s="1070"/>
      <c r="C22" s="1069"/>
      <c r="D22" s="1069"/>
      <c r="E22" s="1069"/>
      <c r="F22" s="1071"/>
      <c r="G22" s="1072"/>
      <c r="H22" s="1073"/>
    </row>
  </sheetData>
  <mergeCells count="7">
    <mergeCell ref="A21:B21"/>
    <mergeCell ref="A1:H1"/>
    <mergeCell ref="A4:B4"/>
    <mergeCell ref="A5:B5"/>
    <mergeCell ref="A6:B6"/>
    <mergeCell ref="A7:B7"/>
    <mergeCell ref="A18:B18"/>
  </mergeCells>
  <printOptions horizontalCentered="1"/>
  <pageMargins left="0.31496062992125984" right="0.31496062992125984" top="0.51181102362204722" bottom="0.43307086614173229" header="0.31496062992125984" footer="0.23622047244094491"/>
  <pageSetup paperSize="9" scale="98" firstPageNumber="296" fitToHeight="0" orientation="landscape" useFirstPageNumber="1" r:id="rId1"/>
  <headerFooter alignWithMargins="0">
    <oddHeader>&amp;L&amp;"Tahoma,Kurzíva"&amp;9Závěrečný účet za rok 2015&amp;R&amp;"Tahoma,Kurzíva"&amp;9Tabulka č. 16</oddHeader>
    <oddFooter>&amp;C&amp;"Tahoma,Obyčejné"&amp;P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5"/>
  <sheetViews>
    <sheetView topLeftCell="A7" zoomScaleNormal="100" zoomScaleSheetLayoutView="100" workbookViewId="0">
      <selection activeCell="K2" sqref="K2"/>
    </sheetView>
  </sheetViews>
  <sheetFormatPr defaultRowHeight="10.5" x14ac:dyDescent="0.2"/>
  <cols>
    <col min="1" max="1" width="6.42578125" style="976" customWidth="1"/>
    <col min="2" max="2" width="42.7109375" style="977" customWidth="1"/>
    <col min="3" max="4" width="13.140625" style="978" customWidth="1"/>
    <col min="5" max="5" width="12.140625" style="976" customWidth="1"/>
    <col min="6" max="6" width="8" style="979" customWidth="1"/>
    <col min="7" max="7" width="8.7109375" style="980" customWidth="1"/>
    <col min="8" max="8" width="42.7109375" style="981" customWidth="1"/>
    <col min="9" max="16384" width="9.140625" style="976"/>
  </cols>
  <sheetData>
    <row r="1" spans="1:8" s="975" customFormat="1" ht="18" customHeight="1" x14ac:dyDescent="0.2">
      <c r="A1" s="1325" t="s">
        <v>4614</v>
      </c>
      <c r="B1" s="1325"/>
      <c r="C1" s="1325"/>
      <c r="D1" s="1325"/>
      <c r="E1" s="1325"/>
      <c r="F1" s="1325"/>
      <c r="G1" s="1325"/>
      <c r="H1" s="1325"/>
    </row>
    <row r="2" spans="1:8" ht="12" customHeight="1" x14ac:dyDescent="0.2"/>
    <row r="3" spans="1:8" ht="12" customHeight="1" thickBot="1" x14ac:dyDescent="0.2">
      <c r="A3" s="982"/>
      <c r="F3" s="983" t="s">
        <v>4184</v>
      </c>
    </row>
    <row r="4" spans="1:8" ht="23.25" customHeight="1" x14ac:dyDescent="0.2">
      <c r="A4" s="1438"/>
      <c r="B4" s="1439"/>
      <c r="C4" s="984" t="s">
        <v>4185</v>
      </c>
      <c r="D4" s="984" t="s">
        <v>4186</v>
      </c>
      <c r="E4" s="984" t="s">
        <v>4187</v>
      </c>
      <c r="F4" s="985" t="s">
        <v>4188</v>
      </c>
      <c r="G4" s="986"/>
      <c r="H4" s="987"/>
    </row>
    <row r="5" spans="1:8" ht="12.75" customHeight="1" x14ac:dyDescent="0.2">
      <c r="A5" s="1436" t="s">
        <v>4189</v>
      </c>
      <c r="B5" s="1437"/>
      <c r="C5" s="988">
        <f>C36</f>
        <v>24926</v>
      </c>
      <c r="D5" s="988">
        <f>D36</f>
        <v>31818.216</v>
      </c>
      <c r="E5" s="988">
        <f>E36</f>
        <v>25292.696980000001</v>
      </c>
      <c r="F5" s="989">
        <f>E5/D5*100</f>
        <v>79.491247969402181</v>
      </c>
      <c r="G5" s="990"/>
      <c r="H5" s="991"/>
    </row>
    <row r="6" spans="1:8" ht="12.75" customHeight="1" x14ac:dyDescent="0.2">
      <c r="A6" s="1436" t="s">
        <v>4190</v>
      </c>
      <c r="B6" s="1437"/>
      <c r="C6" s="992">
        <f>C51</f>
        <v>425616</v>
      </c>
      <c r="D6" s="992">
        <f>D51</f>
        <v>448326.00700000004</v>
      </c>
      <c r="E6" s="992">
        <f>E51</f>
        <v>448316.32831000001</v>
      </c>
      <c r="F6" s="989">
        <f>E6/D6*100</f>
        <v>99.997841149108254</v>
      </c>
      <c r="G6" s="990"/>
      <c r="H6" s="991"/>
    </row>
    <row r="7" spans="1:8" ht="12.75" customHeight="1" x14ac:dyDescent="0.2">
      <c r="A7" s="1436" t="s">
        <v>4191</v>
      </c>
      <c r="B7" s="1437"/>
      <c r="C7" s="992">
        <f>C93</f>
        <v>28147</v>
      </c>
      <c r="D7" s="992">
        <f>D93</f>
        <v>109637.18800000001</v>
      </c>
      <c r="E7" s="992">
        <f>E93</f>
        <v>63621.800200000012</v>
      </c>
      <c r="F7" s="989">
        <f>E7/D7*100</f>
        <v>58.02939801776018</v>
      </c>
      <c r="G7" s="990"/>
      <c r="H7" s="991"/>
    </row>
    <row r="8" spans="1:8" ht="12.75" customHeight="1" x14ac:dyDescent="0.2">
      <c r="A8" s="1436" t="s">
        <v>4192</v>
      </c>
      <c r="B8" s="1437"/>
      <c r="C8" s="992">
        <f>C114</f>
        <v>651384</v>
      </c>
      <c r="D8" s="992">
        <f>D114</f>
        <v>694442.08500000008</v>
      </c>
      <c r="E8" s="992">
        <f>E114</f>
        <v>642631.60971999983</v>
      </c>
      <c r="F8" s="989">
        <f>E8/D8*100</f>
        <v>92.539266211090847</v>
      </c>
      <c r="G8" s="990"/>
      <c r="H8" s="991"/>
    </row>
    <row r="9" spans="1:8" s="982" customFormat="1" ht="13.5" customHeight="1" thickBot="1" x14ac:dyDescent="0.25">
      <c r="A9" s="1440" t="s">
        <v>477</v>
      </c>
      <c r="B9" s="1441"/>
      <c r="C9" s="993">
        <f>SUM(C5:C8)</f>
        <v>1130073</v>
      </c>
      <c r="D9" s="994">
        <f>SUM(D5:D8)</f>
        <v>1284223.4960000003</v>
      </c>
      <c r="E9" s="993">
        <f>SUM(E5:E8)</f>
        <v>1179862.4352099998</v>
      </c>
      <c r="F9" s="995">
        <f>E9/D9*100</f>
        <v>91.873606026127362</v>
      </c>
      <c r="G9" s="990"/>
      <c r="H9" s="991"/>
    </row>
    <row r="10" spans="1:8" s="982" customFormat="1" ht="10.5" customHeight="1" x14ac:dyDescent="0.2">
      <c r="B10" s="1044"/>
      <c r="C10" s="1212"/>
      <c r="D10" s="1212"/>
      <c r="E10" s="1212"/>
      <c r="F10" s="1213"/>
      <c r="G10" s="980"/>
      <c r="H10" s="981"/>
    </row>
    <row r="11" spans="1:8" s="982" customFormat="1" ht="10.5" customHeight="1" x14ac:dyDescent="0.2">
      <c r="B11" s="1044"/>
      <c r="C11" s="1212"/>
      <c r="D11" s="1212"/>
      <c r="E11" s="1212"/>
      <c r="F11" s="1213"/>
      <c r="G11" s="980"/>
      <c r="H11" s="981"/>
    </row>
    <row r="12" spans="1:8" s="982" customFormat="1" ht="10.5" customHeight="1" thickBot="1" x14ac:dyDescent="0.2">
      <c r="B12" s="1044"/>
      <c r="C12" s="1212"/>
      <c r="D12" s="1212"/>
      <c r="E12" s="1212"/>
      <c r="F12" s="1213"/>
      <c r="G12" s="980"/>
      <c r="H12" s="983" t="s">
        <v>4184</v>
      </c>
    </row>
    <row r="13" spans="1:8" ht="28.5" customHeight="1" thickBot="1" x14ac:dyDescent="0.25">
      <c r="A13" s="1002" t="s">
        <v>4193</v>
      </c>
      <c r="B13" s="1003" t="s">
        <v>665</v>
      </c>
      <c r="C13" s="1004" t="s">
        <v>4185</v>
      </c>
      <c r="D13" s="1004" t="s">
        <v>4186</v>
      </c>
      <c r="E13" s="1004" t="s">
        <v>4187</v>
      </c>
      <c r="F13" s="1004" t="s">
        <v>4188</v>
      </c>
      <c r="G13" s="1004" t="s">
        <v>4194</v>
      </c>
      <c r="H13" s="1005" t="s">
        <v>4195</v>
      </c>
    </row>
    <row r="14" spans="1:8" ht="15" customHeight="1" thickBot="1" x14ac:dyDescent="0.2">
      <c r="A14" s="1196" t="s">
        <v>4196</v>
      </c>
      <c r="B14" s="1208"/>
      <c r="C14" s="1209"/>
      <c r="D14" s="1209"/>
      <c r="E14" s="1210"/>
      <c r="F14" s="1200"/>
      <c r="G14" s="1187"/>
      <c r="H14" s="1211"/>
    </row>
    <row r="15" spans="1:8" s="1019" customFormat="1" ht="84" x14ac:dyDescent="0.2">
      <c r="A15" s="1020">
        <v>1</v>
      </c>
      <c r="B15" s="1153" t="s">
        <v>2893</v>
      </c>
      <c r="C15" s="1154">
        <v>1000</v>
      </c>
      <c r="D15" s="1154">
        <v>820</v>
      </c>
      <c r="E15" s="1154">
        <v>812.8</v>
      </c>
      <c r="F15" s="1082">
        <f t="shared" ref="F15:F25" si="0">E15/D15*100</f>
        <v>99.121951219512198</v>
      </c>
      <c r="G15" s="1125" t="s">
        <v>4197</v>
      </c>
      <c r="H15" s="1214" t="s">
        <v>4615</v>
      </c>
    </row>
    <row r="16" spans="1:8" s="1019" customFormat="1" ht="24" customHeight="1" x14ac:dyDescent="0.2">
      <c r="A16" s="1020">
        <f>A15+1</f>
        <v>2</v>
      </c>
      <c r="B16" s="1153" t="s">
        <v>4616</v>
      </c>
      <c r="C16" s="1154">
        <v>253</v>
      </c>
      <c r="D16" s="1154">
        <v>8.5</v>
      </c>
      <c r="E16" s="1154">
        <v>2.4239999999999999</v>
      </c>
      <c r="F16" s="1082">
        <f t="shared" si="0"/>
        <v>28.517647058823531</v>
      </c>
      <c r="G16" s="1125" t="s">
        <v>4197</v>
      </c>
      <c r="H16" s="1214" t="s">
        <v>4617</v>
      </c>
    </row>
    <row r="17" spans="1:8" s="1019" customFormat="1" ht="63" x14ac:dyDescent="0.2">
      <c r="A17" s="1020">
        <f t="shared" ref="A17:A35" si="1">A16+1</f>
        <v>3</v>
      </c>
      <c r="B17" s="1153" t="s">
        <v>4618</v>
      </c>
      <c r="C17" s="1154">
        <v>4000</v>
      </c>
      <c r="D17" s="1154">
        <v>5498.5940000000001</v>
      </c>
      <c r="E17" s="1154">
        <v>5399.6975999999995</v>
      </c>
      <c r="F17" s="1082">
        <f t="shared" si="0"/>
        <v>98.201423854898167</v>
      </c>
      <c r="G17" s="1125" t="s">
        <v>4197</v>
      </c>
      <c r="H17" s="1214" t="s">
        <v>4619</v>
      </c>
    </row>
    <row r="18" spans="1:8" s="1019" customFormat="1" ht="12.75" customHeight="1" x14ac:dyDescent="0.2">
      <c r="A18" s="1020">
        <f t="shared" si="1"/>
        <v>4</v>
      </c>
      <c r="B18" s="1153" t="s">
        <v>1184</v>
      </c>
      <c r="C18" s="1154">
        <v>3680</v>
      </c>
      <c r="D18" s="1154">
        <v>3680</v>
      </c>
      <c r="E18" s="1154">
        <v>3680</v>
      </c>
      <c r="F18" s="1082">
        <f t="shared" si="0"/>
        <v>100</v>
      </c>
      <c r="G18" s="1215" t="s">
        <v>4197</v>
      </c>
      <c r="H18" s="1025" t="s">
        <v>597</v>
      </c>
    </row>
    <row r="19" spans="1:8" s="1019" customFormat="1" ht="12.75" customHeight="1" x14ac:dyDescent="0.2">
      <c r="A19" s="1020">
        <f t="shared" si="1"/>
        <v>5</v>
      </c>
      <c r="B19" s="1153" t="s">
        <v>1185</v>
      </c>
      <c r="C19" s="1154">
        <v>4620</v>
      </c>
      <c r="D19" s="1154">
        <v>2591</v>
      </c>
      <c r="E19" s="1154">
        <v>2586.5</v>
      </c>
      <c r="F19" s="1082">
        <f t="shared" si="0"/>
        <v>99.826321883442688</v>
      </c>
      <c r="G19" s="1125" t="s">
        <v>4197</v>
      </c>
      <c r="H19" s="1025" t="s">
        <v>597</v>
      </c>
    </row>
    <row r="20" spans="1:8" s="1019" customFormat="1" ht="52.5" x14ac:dyDescent="0.2">
      <c r="A20" s="1020">
        <f t="shared" si="1"/>
        <v>6</v>
      </c>
      <c r="B20" s="1153" t="s">
        <v>4620</v>
      </c>
      <c r="C20" s="1154">
        <v>500</v>
      </c>
      <c r="D20" s="1154">
        <v>100</v>
      </c>
      <c r="E20" s="1154">
        <v>49.56</v>
      </c>
      <c r="F20" s="1082">
        <f t="shared" si="0"/>
        <v>49.56</v>
      </c>
      <c r="G20" s="1125" t="s">
        <v>4197</v>
      </c>
      <c r="H20" s="1214" t="s">
        <v>4621</v>
      </c>
    </row>
    <row r="21" spans="1:8" s="1019" customFormat="1" ht="178.5" x14ac:dyDescent="0.2">
      <c r="A21" s="1020">
        <f t="shared" si="1"/>
        <v>7</v>
      </c>
      <c r="B21" s="1153" t="s">
        <v>4622</v>
      </c>
      <c r="C21" s="1154">
        <v>6015</v>
      </c>
      <c r="D21" s="1154">
        <v>3355.163</v>
      </c>
      <c r="E21" s="1154">
        <v>2371.8239999999996</v>
      </c>
      <c r="F21" s="1082">
        <f t="shared" si="0"/>
        <v>70.691766689129537</v>
      </c>
      <c r="G21" s="1125" t="s">
        <v>4197</v>
      </c>
      <c r="H21" s="1216" t="s">
        <v>4623</v>
      </c>
    </row>
    <row r="22" spans="1:8" s="1019" customFormat="1" ht="24" customHeight="1" x14ac:dyDescent="0.2">
      <c r="A22" s="1020">
        <f t="shared" si="1"/>
        <v>8</v>
      </c>
      <c r="B22" s="1153" t="s">
        <v>4624</v>
      </c>
      <c r="C22" s="1154">
        <v>200</v>
      </c>
      <c r="D22" s="1154">
        <v>185</v>
      </c>
      <c r="E22" s="1154">
        <v>0</v>
      </c>
      <c r="F22" s="1082">
        <f t="shared" si="0"/>
        <v>0</v>
      </c>
      <c r="G22" s="1215" t="s">
        <v>4197</v>
      </c>
      <c r="H22" s="1216" t="s">
        <v>4625</v>
      </c>
    </row>
    <row r="23" spans="1:8" s="1019" customFormat="1" ht="168" x14ac:dyDescent="0.2">
      <c r="A23" s="1020">
        <f t="shared" si="1"/>
        <v>9</v>
      </c>
      <c r="B23" s="1153" t="s">
        <v>4626</v>
      </c>
      <c r="C23" s="1154">
        <v>0</v>
      </c>
      <c r="D23" s="1154">
        <v>100</v>
      </c>
      <c r="E23" s="1154">
        <v>94</v>
      </c>
      <c r="F23" s="1082">
        <f t="shared" si="0"/>
        <v>94</v>
      </c>
      <c r="G23" s="1125" t="s">
        <v>4203</v>
      </c>
      <c r="H23" s="1214" t="s">
        <v>4627</v>
      </c>
    </row>
    <row r="24" spans="1:8" s="1019" customFormat="1" ht="12.75" customHeight="1" x14ac:dyDescent="0.2">
      <c r="A24" s="1020">
        <f t="shared" si="1"/>
        <v>10</v>
      </c>
      <c r="B24" s="1153" t="s">
        <v>4628</v>
      </c>
      <c r="C24" s="1154">
        <v>0</v>
      </c>
      <c r="D24" s="1154">
        <v>674.07100000000003</v>
      </c>
      <c r="E24" s="1154">
        <v>673.48599999999999</v>
      </c>
      <c r="F24" s="1082">
        <f t="shared" si="0"/>
        <v>99.91321388993147</v>
      </c>
      <c r="G24" s="1026" t="s">
        <v>4197</v>
      </c>
      <c r="H24" s="1214" t="s">
        <v>488</v>
      </c>
    </row>
    <row r="25" spans="1:8" s="1019" customFormat="1" ht="12.75" customHeight="1" x14ac:dyDescent="0.2">
      <c r="A25" s="1020">
        <f t="shared" si="1"/>
        <v>11</v>
      </c>
      <c r="B25" s="1153" t="s">
        <v>1179</v>
      </c>
      <c r="C25" s="1154">
        <v>500</v>
      </c>
      <c r="D25" s="1154">
        <v>280</v>
      </c>
      <c r="E25" s="1154">
        <v>280</v>
      </c>
      <c r="F25" s="1082">
        <f t="shared" si="0"/>
        <v>100</v>
      </c>
      <c r="G25" s="1215" t="s">
        <v>4197</v>
      </c>
      <c r="H25" s="1025" t="s">
        <v>597</v>
      </c>
    </row>
    <row r="26" spans="1:8" s="1019" customFormat="1" ht="42" x14ac:dyDescent="0.2">
      <c r="A26" s="1020">
        <f t="shared" si="1"/>
        <v>12</v>
      </c>
      <c r="B26" s="965" t="s">
        <v>1383</v>
      </c>
      <c r="C26" s="1154">
        <v>490</v>
      </c>
      <c r="D26" s="1154">
        <v>0</v>
      </c>
      <c r="E26" s="1154">
        <v>0</v>
      </c>
      <c r="F26" s="1082" t="s">
        <v>279</v>
      </c>
      <c r="G26" s="1027" t="s">
        <v>4199</v>
      </c>
      <c r="H26" s="1025" t="s">
        <v>4629</v>
      </c>
    </row>
    <row r="27" spans="1:8" s="1019" customFormat="1" ht="42" x14ac:dyDescent="0.2">
      <c r="A27" s="1020">
        <f t="shared" si="1"/>
        <v>13</v>
      </c>
      <c r="B27" s="1153" t="s">
        <v>3356</v>
      </c>
      <c r="C27" s="1154">
        <v>1500</v>
      </c>
      <c r="D27" s="1154">
        <v>1493.3</v>
      </c>
      <c r="E27" s="1154">
        <v>1493.2349999999999</v>
      </c>
      <c r="F27" s="1082">
        <f t="shared" ref="F27:F36" si="2">E27/D27*100</f>
        <v>99.995647224268396</v>
      </c>
      <c r="G27" s="1215" t="s">
        <v>4199</v>
      </c>
      <c r="H27" s="1214" t="s">
        <v>4630</v>
      </c>
    </row>
    <row r="28" spans="1:8" s="1019" customFormat="1" ht="84" x14ac:dyDescent="0.2">
      <c r="A28" s="1020">
        <f t="shared" si="1"/>
        <v>14</v>
      </c>
      <c r="B28" s="1153" t="s">
        <v>4631</v>
      </c>
      <c r="C28" s="1154">
        <v>0</v>
      </c>
      <c r="D28" s="1154">
        <v>587.91899999999998</v>
      </c>
      <c r="E28" s="1154">
        <v>542.78899999999999</v>
      </c>
      <c r="F28" s="1082">
        <f t="shared" si="2"/>
        <v>92.323772492469203</v>
      </c>
      <c r="G28" s="1026" t="s">
        <v>4197</v>
      </c>
      <c r="H28" s="1214" t="s">
        <v>4632</v>
      </c>
    </row>
    <row r="29" spans="1:8" s="1019" customFormat="1" ht="115.5" x14ac:dyDescent="0.2">
      <c r="A29" s="1020">
        <f t="shared" si="1"/>
        <v>15</v>
      </c>
      <c r="B29" s="1153" t="s">
        <v>4633</v>
      </c>
      <c r="C29" s="1154">
        <v>0</v>
      </c>
      <c r="D29" s="1154">
        <v>5000</v>
      </c>
      <c r="E29" s="1154">
        <v>593.55050000000006</v>
      </c>
      <c r="F29" s="1082">
        <f t="shared" si="2"/>
        <v>11.871010000000002</v>
      </c>
      <c r="G29" s="1026" t="s">
        <v>4203</v>
      </c>
      <c r="H29" s="1214" t="s">
        <v>4634</v>
      </c>
    </row>
    <row r="30" spans="1:8" s="1019" customFormat="1" ht="84" x14ac:dyDescent="0.2">
      <c r="A30" s="1020">
        <f t="shared" si="1"/>
        <v>16</v>
      </c>
      <c r="B30" s="965" t="s">
        <v>4635</v>
      </c>
      <c r="C30" s="1154">
        <v>2168</v>
      </c>
      <c r="D30" s="1154">
        <v>2658</v>
      </c>
      <c r="E30" s="1154">
        <v>1926.1618800000001</v>
      </c>
      <c r="F30" s="1082">
        <f t="shared" si="2"/>
        <v>72.466586907449212</v>
      </c>
      <c r="G30" s="1026" t="s">
        <v>4203</v>
      </c>
      <c r="H30" s="1214" t="s">
        <v>4636</v>
      </c>
    </row>
    <row r="31" spans="1:8" s="1019" customFormat="1" ht="12.75" customHeight="1" x14ac:dyDescent="0.2">
      <c r="A31" s="1020">
        <f t="shared" si="1"/>
        <v>17</v>
      </c>
      <c r="B31" s="1158" t="s">
        <v>4637</v>
      </c>
      <c r="C31" s="1154">
        <v>0</v>
      </c>
      <c r="D31" s="1154">
        <v>4418.6689999999999</v>
      </c>
      <c r="E31" s="1154">
        <v>4418.6689999999999</v>
      </c>
      <c r="F31" s="1082">
        <f t="shared" si="2"/>
        <v>100</v>
      </c>
      <c r="G31" s="1026" t="s">
        <v>4197</v>
      </c>
      <c r="H31" s="1025" t="s">
        <v>597</v>
      </c>
    </row>
    <row r="32" spans="1:8" s="1019" customFormat="1" ht="24" customHeight="1" x14ac:dyDescent="0.2">
      <c r="A32" s="1020">
        <f t="shared" si="1"/>
        <v>18</v>
      </c>
      <c r="B32" s="1158" t="s">
        <v>4638</v>
      </c>
      <c r="C32" s="1154">
        <v>0</v>
      </c>
      <c r="D32" s="1154">
        <v>188</v>
      </c>
      <c r="E32" s="1154">
        <v>188</v>
      </c>
      <c r="F32" s="1082">
        <f t="shared" si="2"/>
        <v>100</v>
      </c>
      <c r="G32" s="1215" t="s">
        <v>4199</v>
      </c>
      <c r="H32" s="1025" t="s">
        <v>597</v>
      </c>
    </row>
    <row r="33" spans="1:8" s="1019" customFormat="1" ht="24" customHeight="1" x14ac:dyDescent="0.2">
      <c r="A33" s="1020">
        <f t="shared" si="1"/>
        <v>19</v>
      </c>
      <c r="B33" s="1158" t="s">
        <v>4639</v>
      </c>
      <c r="C33" s="1154">
        <v>0</v>
      </c>
      <c r="D33" s="1154">
        <v>50</v>
      </c>
      <c r="E33" s="1154">
        <v>50</v>
      </c>
      <c r="F33" s="1082">
        <f t="shared" si="2"/>
        <v>100</v>
      </c>
      <c r="G33" s="1215" t="s">
        <v>4199</v>
      </c>
      <c r="H33" s="1025" t="s">
        <v>597</v>
      </c>
    </row>
    <row r="34" spans="1:8" s="1019" customFormat="1" ht="31.5" x14ac:dyDescent="0.2">
      <c r="A34" s="1020">
        <f t="shared" si="1"/>
        <v>20</v>
      </c>
      <c r="B34" s="1158" t="s">
        <v>4640</v>
      </c>
      <c r="C34" s="1154">
        <v>0</v>
      </c>
      <c r="D34" s="1154">
        <v>100</v>
      </c>
      <c r="E34" s="1154">
        <v>100</v>
      </c>
      <c r="F34" s="1082">
        <f t="shared" si="2"/>
        <v>100</v>
      </c>
      <c r="G34" s="1215" t="s">
        <v>4199</v>
      </c>
      <c r="H34" s="1025" t="s">
        <v>597</v>
      </c>
    </row>
    <row r="35" spans="1:8" s="1019" customFormat="1" ht="31.5" x14ac:dyDescent="0.2">
      <c r="A35" s="1020">
        <f t="shared" si="1"/>
        <v>21</v>
      </c>
      <c r="B35" s="1158" t="s">
        <v>4641</v>
      </c>
      <c r="C35" s="1154">
        <v>0</v>
      </c>
      <c r="D35" s="1154">
        <v>30</v>
      </c>
      <c r="E35" s="1154">
        <v>30</v>
      </c>
      <c r="F35" s="1082">
        <f t="shared" si="2"/>
        <v>100</v>
      </c>
      <c r="G35" s="1215" t="s">
        <v>4199</v>
      </c>
      <c r="H35" s="1025" t="s">
        <v>597</v>
      </c>
    </row>
    <row r="36" spans="1:8" s="1044" customFormat="1" ht="13.5" customHeight="1" thickBot="1" x14ac:dyDescent="0.25">
      <c r="A36" s="1442" t="s">
        <v>477</v>
      </c>
      <c r="B36" s="1443"/>
      <c r="C36" s="1039">
        <f>SUM(C15:C35)</f>
        <v>24926</v>
      </c>
      <c r="D36" s="1039">
        <f>SUM(D15:D35)</f>
        <v>31818.216</v>
      </c>
      <c r="E36" s="1039">
        <f>SUM(E15:E35)</f>
        <v>25292.696980000001</v>
      </c>
      <c r="F36" s="1041">
        <f t="shared" si="2"/>
        <v>79.491247969402181</v>
      </c>
      <c r="G36" s="1042"/>
      <c r="H36" s="1043"/>
    </row>
    <row r="37" spans="1:8" s="982" customFormat="1" ht="18" customHeight="1" thickBot="1" x14ac:dyDescent="0.2">
      <c r="A37" s="1045" t="s">
        <v>4190</v>
      </c>
      <c r="B37" s="1046"/>
      <c r="C37" s="1047"/>
      <c r="D37" s="1047"/>
      <c r="E37" s="1048"/>
      <c r="F37" s="1049"/>
      <c r="G37" s="1050"/>
      <c r="H37" s="1051"/>
    </row>
    <row r="38" spans="1:8" s="1019" customFormat="1" ht="24.75" customHeight="1" x14ac:dyDescent="0.2">
      <c r="A38" s="1013">
        <f>A35+1</f>
        <v>22</v>
      </c>
      <c r="B38" s="1174" t="s">
        <v>4642</v>
      </c>
      <c r="C38" s="1165">
        <v>379770</v>
      </c>
      <c r="D38" s="1165">
        <v>348964</v>
      </c>
      <c r="E38" s="1165">
        <v>348964</v>
      </c>
      <c r="F38" s="1077">
        <f t="shared" ref="F38:F51" si="3">E38/D38*100</f>
        <v>100</v>
      </c>
      <c r="G38" s="1077" t="s">
        <v>4197</v>
      </c>
      <c r="H38" s="1025" t="s">
        <v>597</v>
      </c>
    </row>
    <row r="39" spans="1:8" s="1019" customFormat="1" ht="24" customHeight="1" x14ac:dyDescent="0.2">
      <c r="A39" s="1020">
        <f t="shared" ref="A39:A50" si="4">A38+1</f>
        <v>23</v>
      </c>
      <c r="B39" s="1153" t="s">
        <v>2531</v>
      </c>
      <c r="C39" s="1154">
        <v>0</v>
      </c>
      <c r="D39" s="1154">
        <v>47086</v>
      </c>
      <c r="E39" s="1154">
        <v>47086</v>
      </c>
      <c r="F39" s="1082">
        <f t="shared" si="3"/>
        <v>100</v>
      </c>
      <c r="G39" s="1217" t="s">
        <v>4197</v>
      </c>
      <c r="H39" s="1025" t="s">
        <v>597</v>
      </c>
    </row>
    <row r="40" spans="1:8" s="1019" customFormat="1" ht="24" customHeight="1" x14ac:dyDescent="0.2">
      <c r="A40" s="1020">
        <f t="shared" si="4"/>
        <v>24</v>
      </c>
      <c r="B40" s="965" t="s">
        <v>2559</v>
      </c>
      <c r="C40" s="1154">
        <v>0</v>
      </c>
      <c r="D40" s="1154">
        <v>252.29000000000002</v>
      </c>
      <c r="E40" s="1154">
        <v>252.28231</v>
      </c>
      <c r="F40" s="1082">
        <f t="shared" si="3"/>
        <v>99.996951920409032</v>
      </c>
      <c r="G40" s="1217" t="s">
        <v>4197</v>
      </c>
      <c r="H40" s="1025" t="s">
        <v>597</v>
      </c>
    </row>
    <row r="41" spans="1:8" s="1019" customFormat="1" ht="24" customHeight="1" x14ac:dyDescent="0.2">
      <c r="A41" s="1020">
        <f t="shared" si="4"/>
        <v>25</v>
      </c>
      <c r="B41" s="1153" t="s">
        <v>4643</v>
      </c>
      <c r="C41" s="1154">
        <v>3916</v>
      </c>
      <c r="D41" s="1154">
        <v>3916</v>
      </c>
      <c r="E41" s="1154">
        <v>3916</v>
      </c>
      <c r="F41" s="1082">
        <f t="shared" si="3"/>
        <v>100</v>
      </c>
      <c r="G41" s="1217" t="s">
        <v>4197</v>
      </c>
      <c r="H41" s="1025" t="s">
        <v>597</v>
      </c>
    </row>
    <row r="42" spans="1:8" s="1019" customFormat="1" ht="42" x14ac:dyDescent="0.2">
      <c r="A42" s="1020">
        <f t="shared" si="4"/>
        <v>26</v>
      </c>
      <c r="B42" s="1153" t="s">
        <v>4644</v>
      </c>
      <c r="C42" s="1154">
        <v>9000</v>
      </c>
      <c r="D42" s="1154">
        <v>9000</v>
      </c>
      <c r="E42" s="1154">
        <v>9000</v>
      </c>
      <c r="F42" s="1082">
        <f t="shared" si="3"/>
        <v>100</v>
      </c>
      <c r="G42" s="1217" t="s">
        <v>4197</v>
      </c>
      <c r="H42" s="1025" t="s">
        <v>597</v>
      </c>
    </row>
    <row r="43" spans="1:8" s="1019" customFormat="1" ht="24" customHeight="1" x14ac:dyDescent="0.2">
      <c r="A43" s="1020">
        <f t="shared" si="4"/>
        <v>27</v>
      </c>
      <c r="B43" s="1153" t="s">
        <v>2548</v>
      </c>
      <c r="C43" s="1154">
        <v>1500</v>
      </c>
      <c r="D43" s="1154">
        <v>540</v>
      </c>
      <c r="E43" s="1154">
        <v>540</v>
      </c>
      <c r="F43" s="1082">
        <f t="shared" si="3"/>
        <v>100</v>
      </c>
      <c r="G43" s="1217" t="s">
        <v>4197</v>
      </c>
      <c r="H43" s="1025" t="s">
        <v>597</v>
      </c>
    </row>
    <row r="44" spans="1:8" s="1019" customFormat="1" ht="21" x14ac:dyDescent="0.2">
      <c r="A44" s="1020">
        <f t="shared" si="4"/>
        <v>28</v>
      </c>
      <c r="B44" s="1153" t="s">
        <v>2533</v>
      </c>
      <c r="C44" s="1154">
        <v>18680</v>
      </c>
      <c r="D44" s="1154">
        <v>18680</v>
      </c>
      <c r="E44" s="1154">
        <v>18680</v>
      </c>
      <c r="F44" s="1082">
        <f t="shared" si="3"/>
        <v>100</v>
      </c>
      <c r="G44" s="1217" t="s">
        <v>4197</v>
      </c>
      <c r="H44" s="1025" t="s">
        <v>597</v>
      </c>
    </row>
    <row r="45" spans="1:8" s="1019" customFormat="1" ht="12.75" customHeight="1" x14ac:dyDescent="0.2">
      <c r="A45" s="1020">
        <f t="shared" si="4"/>
        <v>29</v>
      </c>
      <c r="B45" s="1153" t="s">
        <v>2529</v>
      </c>
      <c r="C45" s="1154">
        <v>10500</v>
      </c>
      <c r="D45" s="1154">
        <v>10500</v>
      </c>
      <c r="E45" s="1154">
        <v>10500</v>
      </c>
      <c r="F45" s="1082">
        <f t="shared" si="3"/>
        <v>100</v>
      </c>
      <c r="G45" s="1217" t="s">
        <v>4197</v>
      </c>
      <c r="H45" s="1025" t="s">
        <v>597</v>
      </c>
    </row>
    <row r="46" spans="1:8" s="1019" customFormat="1" ht="12.75" customHeight="1" x14ac:dyDescent="0.2">
      <c r="A46" s="1020">
        <f t="shared" si="4"/>
        <v>30</v>
      </c>
      <c r="B46" s="1153" t="s">
        <v>2561</v>
      </c>
      <c r="C46" s="1154">
        <v>250</v>
      </c>
      <c r="D46" s="1154">
        <v>250</v>
      </c>
      <c r="E46" s="1154">
        <v>250</v>
      </c>
      <c r="F46" s="1082">
        <f t="shared" si="3"/>
        <v>100</v>
      </c>
      <c r="G46" s="1217" t="s">
        <v>4197</v>
      </c>
      <c r="H46" s="1025" t="s">
        <v>597</v>
      </c>
    </row>
    <row r="47" spans="1:8" s="1019" customFormat="1" ht="12.75" customHeight="1" x14ac:dyDescent="0.2">
      <c r="A47" s="1020">
        <f t="shared" si="4"/>
        <v>31</v>
      </c>
      <c r="B47" s="1153" t="s">
        <v>2540</v>
      </c>
      <c r="C47" s="1154">
        <v>2000</v>
      </c>
      <c r="D47" s="1154">
        <v>1459.2</v>
      </c>
      <c r="E47" s="1154">
        <v>1458.5329999999999</v>
      </c>
      <c r="F47" s="1082">
        <f t="shared" si="3"/>
        <v>99.954290021929808</v>
      </c>
      <c r="G47" s="1217" t="s">
        <v>4197</v>
      </c>
      <c r="H47" s="1218" t="s">
        <v>488</v>
      </c>
    </row>
    <row r="48" spans="1:8" s="1019" customFormat="1" ht="73.5" x14ac:dyDescent="0.2">
      <c r="A48" s="1020">
        <f t="shared" si="4"/>
        <v>32</v>
      </c>
      <c r="B48" s="1193" t="s">
        <v>4645</v>
      </c>
      <c r="C48" s="1154">
        <v>0</v>
      </c>
      <c r="D48" s="1154">
        <v>3348.4760000000001</v>
      </c>
      <c r="E48" s="1154">
        <v>3339.4730000000004</v>
      </c>
      <c r="F48" s="1082">
        <f t="shared" si="3"/>
        <v>99.731131416202487</v>
      </c>
      <c r="G48" s="1217" t="s">
        <v>4197</v>
      </c>
      <c r="H48" s="1214" t="s">
        <v>4646</v>
      </c>
    </row>
    <row r="49" spans="1:8" s="1019" customFormat="1" ht="24" customHeight="1" x14ac:dyDescent="0.2">
      <c r="A49" s="1020">
        <f t="shared" si="4"/>
        <v>33</v>
      </c>
      <c r="B49" s="1193" t="s">
        <v>4647</v>
      </c>
      <c r="C49" s="1154">
        <v>0</v>
      </c>
      <c r="D49" s="1154">
        <v>2416.7600000000002</v>
      </c>
      <c r="E49" s="1154">
        <v>2416.7600000000002</v>
      </c>
      <c r="F49" s="1082">
        <f t="shared" si="3"/>
        <v>100</v>
      </c>
      <c r="G49" s="1217" t="s">
        <v>4197</v>
      </c>
      <c r="H49" s="1025" t="s">
        <v>597</v>
      </c>
    </row>
    <row r="50" spans="1:8" s="1019" customFormat="1" ht="12.75" customHeight="1" x14ac:dyDescent="0.2">
      <c r="A50" s="1020">
        <f t="shared" si="4"/>
        <v>34</v>
      </c>
      <c r="B50" s="1193" t="s">
        <v>4648</v>
      </c>
      <c r="C50" s="1154">
        <v>0</v>
      </c>
      <c r="D50" s="1154">
        <v>1913.2809999999999</v>
      </c>
      <c r="E50" s="1154">
        <v>1913.28</v>
      </c>
      <c r="F50" s="1082">
        <f t="shared" si="3"/>
        <v>99.999947733762056</v>
      </c>
      <c r="G50" s="1217" t="s">
        <v>4197</v>
      </c>
      <c r="H50" s="1214" t="s">
        <v>488</v>
      </c>
    </row>
    <row r="51" spans="1:8" s="977" customFormat="1" ht="13.5" customHeight="1" thickBot="1" x14ac:dyDescent="0.25">
      <c r="A51" s="1442" t="s">
        <v>477</v>
      </c>
      <c r="B51" s="1443"/>
      <c r="C51" s="1039">
        <f>SUM(C38:C50)</f>
        <v>425616</v>
      </c>
      <c r="D51" s="1039">
        <f>SUM(D38:D50)</f>
        <v>448326.00700000004</v>
      </c>
      <c r="E51" s="1039">
        <f>SUM(E38:E50)</f>
        <v>448316.32831000001</v>
      </c>
      <c r="F51" s="1041">
        <f t="shared" si="3"/>
        <v>99.997841149108254</v>
      </c>
      <c r="G51" s="1054"/>
      <c r="H51" s="1043"/>
    </row>
    <row r="52" spans="1:8" ht="18" customHeight="1" thickBot="1" x14ac:dyDescent="0.2">
      <c r="A52" s="1196" t="s">
        <v>4220</v>
      </c>
      <c r="B52" s="1197"/>
      <c r="C52" s="1198"/>
      <c r="D52" s="1198"/>
      <c r="E52" s="1199"/>
      <c r="F52" s="1200"/>
      <c r="G52" s="1201"/>
      <c r="H52" s="1202"/>
    </row>
    <row r="53" spans="1:8" s="1019" customFormat="1" ht="63" x14ac:dyDescent="0.2">
      <c r="A53" s="1013">
        <f>A50+1</f>
        <v>35</v>
      </c>
      <c r="B53" s="1153" t="s">
        <v>533</v>
      </c>
      <c r="C53" s="1154">
        <v>0</v>
      </c>
      <c r="D53" s="1154">
        <v>451.86</v>
      </c>
      <c r="E53" s="1154">
        <v>400</v>
      </c>
      <c r="F53" s="1082">
        <f t="shared" ref="F53:F93" si="5">E53/D53*100</f>
        <v>88.522993847651918</v>
      </c>
      <c r="G53" s="1026" t="s">
        <v>4203</v>
      </c>
      <c r="H53" s="1214" t="s">
        <v>4649</v>
      </c>
    </row>
    <row r="54" spans="1:8" s="1019" customFormat="1" ht="24" customHeight="1" x14ac:dyDescent="0.2">
      <c r="A54" s="1020">
        <f t="shared" ref="A54:A92" si="6">A53+1</f>
        <v>36</v>
      </c>
      <c r="B54" s="1153" t="s">
        <v>532</v>
      </c>
      <c r="C54" s="1154">
        <v>0</v>
      </c>
      <c r="D54" s="1154">
        <v>7688.9</v>
      </c>
      <c r="E54" s="1154">
        <v>7688.8915999999999</v>
      </c>
      <c r="F54" s="1082">
        <f t="shared" si="5"/>
        <v>99.999890751602962</v>
      </c>
      <c r="G54" s="1215" t="s">
        <v>4199</v>
      </c>
      <c r="H54" s="1025" t="s">
        <v>488</v>
      </c>
    </row>
    <row r="55" spans="1:8" s="1019" customFormat="1" ht="168" x14ac:dyDescent="0.2">
      <c r="A55" s="1020">
        <f t="shared" si="6"/>
        <v>37</v>
      </c>
      <c r="B55" s="1153" t="s">
        <v>531</v>
      </c>
      <c r="C55" s="1154">
        <v>7397</v>
      </c>
      <c r="D55" s="1154">
        <v>9643.2099999999991</v>
      </c>
      <c r="E55" s="1154">
        <v>5110.79558</v>
      </c>
      <c r="F55" s="1082">
        <f t="shared" si="5"/>
        <v>52.998903684561469</v>
      </c>
      <c r="G55" s="1026" t="s">
        <v>4203</v>
      </c>
      <c r="H55" s="1025" t="s">
        <v>4650</v>
      </c>
    </row>
    <row r="56" spans="1:8" s="1019" customFormat="1" ht="31.5" x14ac:dyDescent="0.2">
      <c r="A56" s="1020">
        <f t="shared" si="6"/>
        <v>38</v>
      </c>
      <c r="B56" s="1153" t="s">
        <v>530</v>
      </c>
      <c r="C56" s="1154">
        <v>0</v>
      </c>
      <c r="D56" s="1154">
        <v>0.79</v>
      </c>
      <c r="E56" s="1154">
        <v>0.78959999999999997</v>
      </c>
      <c r="F56" s="1082">
        <f t="shared" si="5"/>
        <v>99.949367088607588</v>
      </c>
      <c r="G56" s="1215" t="s">
        <v>4199</v>
      </c>
      <c r="H56" s="1025" t="s">
        <v>597</v>
      </c>
    </row>
    <row r="57" spans="1:8" s="1019" customFormat="1" ht="24" customHeight="1" x14ac:dyDescent="0.2">
      <c r="A57" s="1020">
        <f t="shared" si="6"/>
        <v>39</v>
      </c>
      <c r="B57" s="1153" t="s">
        <v>4651</v>
      </c>
      <c r="C57" s="1154">
        <v>0</v>
      </c>
      <c r="D57" s="1154">
        <v>571.76</v>
      </c>
      <c r="E57" s="1154">
        <v>571.75525000000005</v>
      </c>
      <c r="F57" s="1082">
        <f t="shared" si="5"/>
        <v>99.999169231845542</v>
      </c>
      <c r="G57" s="1215" t="s">
        <v>4199</v>
      </c>
      <c r="H57" s="1025" t="s">
        <v>597</v>
      </c>
    </row>
    <row r="58" spans="1:8" s="1019" customFormat="1" ht="24" customHeight="1" x14ac:dyDescent="0.2">
      <c r="A58" s="1020">
        <f t="shared" si="6"/>
        <v>40</v>
      </c>
      <c r="B58" s="1153" t="s">
        <v>528</v>
      </c>
      <c r="C58" s="1154">
        <v>0</v>
      </c>
      <c r="D58" s="1154">
        <v>93.659000000000006</v>
      </c>
      <c r="E58" s="1154">
        <v>93.65894999999999</v>
      </c>
      <c r="F58" s="1082">
        <f t="shared" si="5"/>
        <v>99.99994661484746</v>
      </c>
      <c r="G58" s="1215" t="s">
        <v>4199</v>
      </c>
      <c r="H58" s="1025" t="s">
        <v>597</v>
      </c>
    </row>
    <row r="59" spans="1:8" s="1019" customFormat="1" ht="24" customHeight="1" x14ac:dyDescent="0.2">
      <c r="A59" s="1020">
        <f t="shared" si="6"/>
        <v>41</v>
      </c>
      <c r="B59" s="1153" t="s">
        <v>527</v>
      </c>
      <c r="C59" s="1154">
        <v>0</v>
      </c>
      <c r="D59" s="1154">
        <v>959.98500000000001</v>
      </c>
      <c r="E59" s="1154">
        <v>959.97731999999996</v>
      </c>
      <c r="F59" s="1082">
        <f t="shared" si="5"/>
        <v>99.999199987499793</v>
      </c>
      <c r="G59" s="1215" t="s">
        <v>4199</v>
      </c>
      <c r="H59" s="1025" t="s">
        <v>597</v>
      </c>
    </row>
    <row r="60" spans="1:8" s="1019" customFormat="1" ht="24" customHeight="1" x14ac:dyDescent="0.2">
      <c r="A60" s="1020">
        <f t="shared" si="6"/>
        <v>42</v>
      </c>
      <c r="B60" s="965" t="s">
        <v>4652</v>
      </c>
      <c r="C60" s="1154">
        <v>0</v>
      </c>
      <c r="D60" s="1154">
        <v>525.98</v>
      </c>
      <c r="E60" s="1154">
        <v>525.97592000000009</v>
      </c>
      <c r="F60" s="1082">
        <f t="shared" si="5"/>
        <v>99.999224305106665</v>
      </c>
      <c r="G60" s="1215" t="s">
        <v>4199</v>
      </c>
      <c r="H60" s="1025" t="s">
        <v>597</v>
      </c>
    </row>
    <row r="61" spans="1:8" s="1019" customFormat="1" ht="157.5" x14ac:dyDescent="0.2">
      <c r="A61" s="1020">
        <f t="shared" si="6"/>
        <v>43</v>
      </c>
      <c r="B61" s="1153" t="s">
        <v>525</v>
      </c>
      <c r="C61" s="1154">
        <v>0</v>
      </c>
      <c r="D61" s="1154">
        <v>12825.712</v>
      </c>
      <c r="E61" s="1154">
        <v>6846.6063600000007</v>
      </c>
      <c r="F61" s="1082">
        <f t="shared" si="5"/>
        <v>53.381881333371595</v>
      </c>
      <c r="G61" s="1026" t="s">
        <v>4203</v>
      </c>
      <c r="H61" s="1025" t="s">
        <v>4653</v>
      </c>
    </row>
    <row r="62" spans="1:8" s="1019" customFormat="1" ht="136.5" x14ac:dyDescent="0.2">
      <c r="A62" s="1020">
        <f t="shared" si="6"/>
        <v>44</v>
      </c>
      <c r="B62" s="1153" t="s">
        <v>524</v>
      </c>
      <c r="C62" s="1154">
        <v>0</v>
      </c>
      <c r="D62" s="1154">
        <v>8784</v>
      </c>
      <c r="E62" s="1154">
        <v>46.207999999999998</v>
      </c>
      <c r="F62" s="1082">
        <f t="shared" si="5"/>
        <v>0.52604735883424403</v>
      </c>
      <c r="G62" s="1026" t="s">
        <v>4203</v>
      </c>
      <c r="H62" s="1025" t="s">
        <v>4654</v>
      </c>
    </row>
    <row r="63" spans="1:8" s="1019" customFormat="1" ht="73.5" x14ac:dyDescent="0.2">
      <c r="A63" s="1020">
        <f t="shared" si="6"/>
        <v>45</v>
      </c>
      <c r="B63" s="1153" t="s">
        <v>523</v>
      </c>
      <c r="C63" s="1154">
        <v>0</v>
      </c>
      <c r="D63" s="1154">
        <v>4780</v>
      </c>
      <c r="E63" s="1154">
        <v>1055.4829999999999</v>
      </c>
      <c r="F63" s="1082">
        <f t="shared" si="5"/>
        <v>22.081234309623429</v>
      </c>
      <c r="G63" s="1026" t="s">
        <v>4203</v>
      </c>
      <c r="H63" s="1214" t="s">
        <v>4655</v>
      </c>
    </row>
    <row r="64" spans="1:8" s="1019" customFormat="1" ht="34.5" customHeight="1" x14ac:dyDescent="0.2">
      <c r="A64" s="1020">
        <f t="shared" si="6"/>
        <v>46</v>
      </c>
      <c r="B64" s="1153" t="s">
        <v>522</v>
      </c>
      <c r="C64" s="1154">
        <v>0</v>
      </c>
      <c r="D64" s="1154">
        <v>1810</v>
      </c>
      <c r="E64" s="1154">
        <v>1810</v>
      </c>
      <c r="F64" s="1082">
        <f t="shared" si="5"/>
        <v>100</v>
      </c>
      <c r="G64" s="1215" t="s">
        <v>4199</v>
      </c>
      <c r="H64" s="1025" t="s">
        <v>488</v>
      </c>
    </row>
    <row r="65" spans="1:8" s="1019" customFormat="1" ht="24" customHeight="1" x14ac:dyDescent="0.2">
      <c r="A65" s="1020">
        <f t="shared" si="6"/>
        <v>47</v>
      </c>
      <c r="B65" s="1153" t="s">
        <v>521</v>
      </c>
      <c r="C65" s="1154">
        <v>0</v>
      </c>
      <c r="D65" s="1154">
        <v>739.05</v>
      </c>
      <c r="E65" s="1154">
        <v>739.04171999999994</v>
      </c>
      <c r="F65" s="1082">
        <f t="shared" si="5"/>
        <v>99.998879642784658</v>
      </c>
      <c r="G65" s="1215" t="s">
        <v>4199</v>
      </c>
      <c r="H65" s="1025" t="s">
        <v>597</v>
      </c>
    </row>
    <row r="66" spans="1:8" s="1019" customFormat="1" ht="199.5" x14ac:dyDescent="0.2">
      <c r="A66" s="1020">
        <f t="shared" si="6"/>
        <v>48</v>
      </c>
      <c r="B66" s="1153" t="s">
        <v>520</v>
      </c>
      <c r="C66" s="1154">
        <v>0</v>
      </c>
      <c r="D66" s="1154">
        <v>6624.55</v>
      </c>
      <c r="E66" s="1154">
        <v>2983.1811899999998</v>
      </c>
      <c r="F66" s="1082">
        <f t="shared" si="5"/>
        <v>45.032208829278964</v>
      </c>
      <c r="G66" s="1026" t="s">
        <v>4203</v>
      </c>
      <c r="H66" s="1025" t="s">
        <v>4656</v>
      </c>
    </row>
    <row r="67" spans="1:8" s="1019" customFormat="1" ht="24" customHeight="1" x14ac:dyDescent="0.2">
      <c r="A67" s="1020">
        <f t="shared" si="6"/>
        <v>49</v>
      </c>
      <c r="B67" s="965" t="s">
        <v>4657</v>
      </c>
      <c r="C67" s="1154">
        <v>0</v>
      </c>
      <c r="D67" s="1154">
        <v>1768.18</v>
      </c>
      <c r="E67" s="1154">
        <v>1768.173</v>
      </c>
      <c r="F67" s="1082">
        <f t="shared" si="5"/>
        <v>99.999604112703452</v>
      </c>
      <c r="G67" s="1215" t="s">
        <v>4199</v>
      </c>
      <c r="H67" s="1025" t="s">
        <v>488</v>
      </c>
    </row>
    <row r="68" spans="1:8" s="1019" customFormat="1" ht="24" customHeight="1" x14ac:dyDescent="0.2">
      <c r="A68" s="1020">
        <f t="shared" si="6"/>
        <v>50</v>
      </c>
      <c r="B68" s="1153" t="s">
        <v>518</v>
      </c>
      <c r="C68" s="1154">
        <v>0</v>
      </c>
      <c r="D68" s="1154">
        <v>4880.55</v>
      </c>
      <c r="E68" s="1154">
        <v>4880.5430100000003</v>
      </c>
      <c r="F68" s="1082">
        <f t="shared" si="5"/>
        <v>99.99985677843685</v>
      </c>
      <c r="G68" s="1215" t="s">
        <v>4199</v>
      </c>
      <c r="H68" s="1025" t="s">
        <v>597</v>
      </c>
    </row>
    <row r="69" spans="1:8" s="1019" customFormat="1" ht="105" x14ac:dyDescent="0.2">
      <c r="A69" s="1020">
        <f t="shared" si="6"/>
        <v>51</v>
      </c>
      <c r="B69" s="1153" t="s">
        <v>517</v>
      </c>
      <c r="C69" s="1154">
        <v>4000</v>
      </c>
      <c r="D69" s="1154">
        <v>4000</v>
      </c>
      <c r="E69" s="1154">
        <v>63</v>
      </c>
      <c r="F69" s="1082">
        <f t="shared" si="5"/>
        <v>1.575</v>
      </c>
      <c r="G69" s="1026" t="s">
        <v>4203</v>
      </c>
      <c r="H69" s="1025" t="s">
        <v>4658</v>
      </c>
    </row>
    <row r="70" spans="1:8" s="1019" customFormat="1" ht="31.5" x14ac:dyDescent="0.2">
      <c r="A70" s="1020">
        <f t="shared" si="6"/>
        <v>52</v>
      </c>
      <c r="B70" s="1153" t="s">
        <v>516</v>
      </c>
      <c r="C70" s="1154">
        <v>2000</v>
      </c>
      <c r="D70" s="1154">
        <v>2000</v>
      </c>
      <c r="E70" s="1154">
        <v>2000</v>
      </c>
      <c r="F70" s="1082">
        <f t="shared" si="5"/>
        <v>100</v>
      </c>
      <c r="G70" s="1215" t="s">
        <v>4199</v>
      </c>
      <c r="H70" s="1025" t="s">
        <v>488</v>
      </c>
    </row>
    <row r="71" spans="1:8" s="1019" customFormat="1" ht="220.5" x14ac:dyDescent="0.2">
      <c r="A71" s="1020">
        <f t="shared" si="6"/>
        <v>53</v>
      </c>
      <c r="B71" s="1153" t="s">
        <v>515</v>
      </c>
      <c r="C71" s="1154">
        <v>7000</v>
      </c>
      <c r="D71" s="1154">
        <v>7000</v>
      </c>
      <c r="E71" s="1154">
        <v>190.57499999999999</v>
      </c>
      <c r="F71" s="1082">
        <f t="shared" si="5"/>
        <v>2.7225000000000001</v>
      </c>
      <c r="G71" s="1026" t="s">
        <v>4203</v>
      </c>
      <c r="H71" s="1025" t="s">
        <v>4659</v>
      </c>
    </row>
    <row r="72" spans="1:8" s="1019" customFormat="1" ht="24" customHeight="1" x14ac:dyDescent="0.2">
      <c r="A72" s="1020">
        <f t="shared" si="6"/>
        <v>54</v>
      </c>
      <c r="B72" s="1153" t="s">
        <v>514</v>
      </c>
      <c r="C72" s="1154">
        <v>7750</v>
      </c>
      <c r="D72" s="1154">
        <v>7750</v>
      </c>
      <c r="E72" s="1154">
        <v>7750</v>
      </c>
      <c r="F72" s="1082">
        <f t="shared" si="5"/>
        <v>100</v>
      </c>
      <c r="G72" s="1215" t="s">
        <v>4199</v>
      </c>
      <c r="H72" s="1025" t="s">
        <v>488</v>
      </c>
    </row>
    <row r="73" spans="1:8" s="1019" customFormat="1" ht="31.5" x14ac:dyDescent="0.2">
      <c r="A73" s="1020">
        <f t="shared" si="6"/>
        <v>55</v>
      </c>
      <c r="B73" s="1153" t="s">
        <v>513</v>
      </c>
      <c r="C73" s="1154">
        <v>0</v>
      </c>
      <c r="D73" s="1154">
        <v>354.2</v>
      </c>
      <c r="E73" s="1154">
        <v>354.16896000000003</v>
      </c>
      <c r="F73" s="1082">
        <f t="shared" si="5"/>
        <v>99.991236589497461</v>
      </c>
      <c r="G73" s="1215" t="s">
        <v>4199</v>
      </c>
      <c r="H73" s="1025" t="s">
        <v>488</v>
      </c>
    </row>
    <row r="74" spans="1:8" s="1019" customFormat="1" ht="31.5" x14ac:dyDescent="0.2">
      <c r="A74" s="1020">
        <f t="shared" si="6"/>
        <v>56</v>
      </c>
      <c r="B74" s="1153" t="s">
        <v>512</v>
      </c>
      <c r="C74" s="1154">
        <v>0</v>
      </c>
      <c r="D74" s="1154">
        <v>546.23</v>
      </c>
      <c r="E74" s="1154">
        <v>546.23</v>
      </c>
      <c r="F74" s="1082">
        <f t="shared" si="5"/>
        <v>100</v>
      </c>
      <c r="G74" s="1215" t="s">
        <v>4199</v>
      </c>
      <c r="H74" s="1025" t="s">
        <v>488</v>
      </c>
    </row>
    <row r="75" spans="1:8" s="1019" customFormat="1" ht="24" customHeight="1" x14ac:dyDescent="0.2">
      <c r="A75" s="1020">
        <f t="shared" si="6"/>
        <v>57</v>
      </c>
      <c r="B75" s="1153" t="s">
        <v>511</v>
      </c>
      <c r="C75" s="1154">
        <v>0</v>
      </c>
      <c r="D75" s="1154">
        <v>2763.08</v>
      </c>
      <c r="E75" s="1154">
        <v>2763.0770000000002</v>
      </c>
      <c r="F75" s="1082">
        <f t="shared" si="5"/>
        <v>99.999891425510668</v>
      </c>
      <c r="G75" s="1215" t="s">
        <v>4199</v>
      </c>
      <c r="H75" s="1025" t="s">
        <v>488</v>
      </c>
    </row>
    <row r="76" spans="1:8" s="1019" customFormat="1" ht="24" customHeight="1" x14ac:dyDescent="0.2">
      <c r="A76" s="1020">
        <f t="shared" si="6"/>
        <v>58</v>
      </c>
      <c r="B76" s="1153" t="s">
        <v>4660</v>
      </c>
      <c r="C76" s="1154">
        <v>0</v>
      </c>
      <c r="D76" s="1154">
        <v>2681</v>
      </c>
      <c r="E76" s="1154">
        <v>2681</v>
      </c>
      <c r="F76" s="1082">
        <f t="shared" si="5"/>
        <v>100</v>
      </c>
      <c r="G76" s="1215" t="s">
        <v>4199</v>
      </c>
      <c r="H76" s="1025" t="s">
        <v>488</v>
      </c>
    </row>
    <row r="77" spans="1:8" s="1019" customFormat="1" ht="24" customHeight="1" x14ac:dyDescent="0.2">
      <c r="A77" s="1020">
        <f t="shared" si="6"/>
        <v>59</v>
      </c>
      <c r="B77" s="1153" t="s">
        <v>509</v>
      </c>
      <c r="C77" s="1154">
        <v>0</v>
      </c>
      <c r="D77" s="1154">
        <v>150</v>
      </c>
      <c r="E77" s="1154">
        <v>150</v>
      </c>
      <c r="F77" s="1082">
        <f t="shared" si="5"/>
        <v>100</v>
      </c>
      <c r="G77" s="1215" t="s">
        <v>4199</v>
      </c>
      <c r="H77" s="1025" t="s">
        <v>488</v>
      </c>
    </row>
    <row r="78" spans="1:8" s="1019" customFormat="1" ht="115.5" x14ac:dyDescent="0.2">
      <c r="A78" s="1020">
        <f t="shared" si="6"/>
        <v>60</v>
      </c>
      <c r="B78" s="1153" t="s">
        <v>4661</v>
      </c>
      <c r="C78" s="1154">
        <v>0</v>
      </c>
      <c r="D78" s="1154">
        <v>4500</v>
      </c>
      <c r="E78" s="1154">
        <v>0</v>
      </c>
      <c r="F78" s="1082">
        <f t="shared" si="5"/>
        <v>0</v>
      </c>
      <c r="G78" s="1026" t="s">
        <v>4203</v>
      </c>
      <c r="H78" s="1025" t="s">
        <v>4662</v>
      </c>
    </row>
    <row r="79" spans="1:8" s="1019" customFormat="1" ht="24" customHeight="1" x14ac:dyDescent="0.2">
      <c r="A79" s="1020">
        <f t="shared" si="6"/>
        <v>61</v>
      </c>
      <c r="B79" s="1153" t="s">
        <v>508</v>
      </c>
      <c r="C79" s="1154">
        <v>0</v>
      </c>
      <c r="D79" s="1154">
        <v>2930</v>
      </c>
      <c r="E79" s="1154">
        <v>2930</v>
      </c>
      <c r="F79" s="1082">
        <f t="shared" si="5"/>
        <v>100</v>
      </c>
      <c r="G79" s="1215" t="s">
        <v>4199</v>
      </c>
      <c r="H79" s="1025" t="s">
        <v>488</v>
      </c>
    </row>
    <row r="80" spans="1:8" s="1019" customFormat="1" ht="24" customHeight="1" x14ac:dyDescent="0.2">
      <c r="A80" s="1020">
        <f t="shared" si="6"/>
        <v>62</v>
      </c>
      <c r="B80" s="1153" t="s">
        <v>507</v>
      </c>
      <c r="C80" s="1154">
        <v>0</v>
      </c>
      <c r="D80" s="1154">
        <v>2397.5</v>
      </c>
      <c r="E80" s="1154">
        <v>2397.4650000000001</v>
      </c>
      <c r="F80" s="1082">
        <f t="shared" si="5"/>
        <v>99.998540145985402</v>
      </c>
      <c r="G80" s="1215" t="s">
        <v>4199</v>
      </c>
      <c r="H80" s="1025" t="s">
        <v>488</v>
      </c>
    </row>
    <row r="81" spans="1:8" s="1019" customFormat="1" ht="42" x14ac:dyDescent="0.2">
      <c r="A81" s="1020">
        <f t="shared" si="6"/>
        <v>63</v>
      </c>
      <c r="B81" s="1153" t="s">
        <v>506</v>
      </c>
      <c r="C81" s="1154">
        <v>0</v>
      </c>
      <c r="D81" s="1154">
        <v>550</v>
      </c>
      <c r="E81" s="1154">
        <v>525.98699999999997</v>
      </c>
      <c r="F81" s="1082">
        <f t="shared" si="5"/>
        <v>95.634</v>
      </c>
      <c r="G81" s="1215" t="s">
        <v>4199</v>
      </c>
      <c r="H81" s="1214" t="s">
        <v>4663</v>
      </c>
    </row>
    <row r="82" spans="1:8" s="1019" customFormat="1" ht="73.5" x14ac:dyDescent="0.2">
      <c r="A82" s="1020">
        <f t="shared" si="6"/>
        <v>64</v>
      </c>
      <c r="B82" s="1153" t="s">
        <v>4664</v>
      </c>
      <c r="C82" s="1154">
        <v>0</v>
      </c>
      <c r="D82" s="1154">
        <v>600</v>
      </c>
      <c r="E82" s="1154">
        <v>0</v>
      </c>
      <c r="F82" s="1082">
        <f t="shared" si="5"/>
        <v>0</v>
      </c>
      <c r="G82" s="1026" t="s">
        <v>4203</v>
      </c>
      <c r="H82" s="1214" t="s">
        <v>4665</v>
      </c>
    </row>
    <row r="83" spans="1:8" s="1019" customFormat="1" ht="24" customHeight="1" x14ac:dyDescent="0.2">
      <c r="A83" s="1020">
        <f t="shared" si="6"/>
        <v>65</v>
      </c>
      <c r="B83" s="1153" t="s">
        <v>505</v>
      </c>
      <c r="C83" s="1154">
        <v>0</v>
      </c>
      <c r="D83" s="1154">
        <v>2442</v>
      </c>
      <c r="E83" s="1154">
        <v>2442</v>
      </c>
      <c r="F83" s="1082">
        <f t="shared" si="5"/>
        <v>100</v>
      </c>
      <c r="G83" s="1215" t="s">
        <v>4199</v>
      </c>
      <c r="H83" s="1025" t="s">
        <v>488</v>
      </c>
    </row>
    <row r="84" spans="1:8" s="1019" customFormat="1" ht="34.5" customHeight="1" x14ac:dyDescent="0.2">
      <c r="A84" s="1020">
        <f t="shared" si="6"/>
        <v>66</v>
      </c>
      <c r="B84" s="1153" t="s">
        <v>504</v>
      </c>
      <c r="C84" s="1154">
        <v>0</v>
      </c>
      <c r="D84" s="1154">
        <v>1797.0360000000001</v>
      </c>
      <c r="E84" s="1154">
        <v>1797.0350000000001</v>
      </c>
      <c r="F84" s="1082">
        <f t="shared" si="5"/>
        <v>99.999944352812079</v>
      </c>
      <c r="G84" s="1215" t="s">
        <v>4199</v>
      </c>
      <c r="H84" s="1025" t="s">
        <v>488</v>
      </c>
    </row>
    <row r="85" spans="1:8" s="1019" customFormat="1" ht="73.5" x14ac:dyDescent="0.2">
      <c r="A85" s="1020">
        <f t="shared" si="6"/>
        <v>67</v>
      </c>
      <c r="B85" s="1153" t="s">
        <v>503</v>
      </c>
      <c r="C85" s="1154">
        <v>0</v>
      </c>
      <c r="D85" s="1154">
        <v>911.54600000000005</v>
      </c>
      <c r="E85" s="1154">
        <v>346.81554</v>
      </c>
      <c r="F85" s="1082">
        <f t="shared" si="5"/>
        <v>38.046959780417005</v>
      </c>
      <c r="G85" s="1026" t="s">
        <v>4203</v>
      </c>
      <c r="H85" s="1214" t="s">
        <v>4666</v>
      </c>
    </row>
    <row r="86" spans="1:8" s="1019" customFormat="1" ht="34.5" customHeight="1" x14ac:dyDescent="0.2">
      <c r="A86" s="1020">
        <f t="shared" si="6"/>
        <v>68</v>
      </c>
      <c r="B86" s="1153" t="s">
        <v>501</v>
      </c>
      <c r="C86" s="1154">
        <v>0</v>
      </c>
      <c r="D86" s="1154">
        <v>665.5</v>
      </c>
      <c r="E86" s="1154">
        <v>665.5</v>
      </c>
      <c r="F86" s="1082">
        <f t="shared" si="5"/>
        <v>100</v>
      </c>
      <c r="G86" s="1026" t="s">
        <v>4199</v>
      </c>
      <c r="H86" s="1025" t="s">
        <v>488</v>
      </c>
    </row>
    <row r="87" spans="1:8" s="1019" customFormat="1" ht="24" customHeight="1" x14ac:dyDescent="0.2">
      <c r="A87" s="1020">
        <f t="shared" si="6"/>
        <v>69</v>
      </c>
      <c r="B87" s="1153" t="s">
        <v>4667</v>
      </c>
      <c r="C87" s="1154">
        <v>0</v>
      </c>
      <c r="D87" s="1154">
        <v>400</v>
      </c>
      <c r="E87" s="1154">
        <v>0</v>
      </c>
      <c r="F87" s="1082">
        <f t="shared" si="5"/>
        <v>0</v>
      </c>
      <c r="G87" s="1215" t="s">
        <v>4199</v>
      </c>
      <c r="H87" s="1025" t="s">
        <v>488</v>
      </c>
    </row>
    <row r="88" spans="1:8" s="1019" customFormat="1" ht="12.75" customHeight="1" x14ac:dyDescent="0.2">
      <c r="A88" s="1020">
        <f t="shared" si="6"/>
        <v>70</v>
      </c>
      <c r="B88" s="1153" t="s">
        <v>4668</v>
      </c>
      <c r="C88" s="1154">
        <v>0</v>
      </c>
      <c r="D88" s="1154">
        <v>320.89999999999998</v>
      </c>
      <c r="E88" s="1154">
        <v>0</v>
      </c>
      <c r="F88" s="1082">
        <f t="shared" si="5"/>
        <v>0</v>
      </c>
      <c r="G88" s="1215" t="s">
        <v>4199</v>
      </c>
      <c r="H88" s="1025" t="s">
        <v>488</v>
      </c>
    </row>
    <row r="89" spans="1:8" s="1019" customFormat="1" ht="94.5" x14ac:dyDescent="0.2">
      <c r="A89" s="1020">
        <f t="shared" si="6"/>
        <v>71</v>
      </c>
      <c r="B89" s="1153" t="s">
        <v>500</v>
      </c>
      <c r="C89" s="1154">
        <v>0</v>
      </c>
      <c r="D89" s="1154">
        <v>1700</v>
      </c>
      <c r="E89" s="1154">
        <v>52.1312</v>
      </c>
      <c r="F89" s="1082">
        <f t="shared" si="5"/>
        <v>3.0665411764705883</v>
      </c>
      <c r="G89" s="1026" t="s">
        <v>4203</v>
      </c>
      <c r="H89" s="1025" t="s">
        <v>4669</v>
      </c>
    </row>
    <row r="90" spans="1:8" s="1019" customFormat="1" ht="21" x14ac:dyDescent="0.2">
      <c r="A90" s="1020">
        <f t="shared" si="6"/>
        <v>72</v>
      </c>
      <c r="B90" s="1153" t="s">
        <v>499</v>
      </c>
      <c r="C90" s="1154">
        <v>0</v>
      </c>
      <c r="D90" s="1154">
        <v>485.74</v>
      </c>
      <c r="E90" s="1154">
        <v>485.73500000000001</v>
      </c>
      <c r="F90" s="1082">
        <f t="shared" si="5"/>
        <v>99.998970642730683</v>
      </c>
      <c r="G90" s="1215" t="s">
        <v>4199</v>
      </c>
      <c r="H90" s="1025" t="s">
        <v>488</v>
      </c>
    </row>
    <row r="91" spans="1:8" s="1019" customFormat="1" ht="67.5" customHeight="1" x14ac:dyDescent="0.2">
      <c r="A91" s="1020">
        <f t="shared" si="6"/>
        <v>73</v>
      </c>
      <c r="B91" s="1153" t="s">
        <v>4670</v>
      </c>
      <c r="C91" s="1154">
        <v>0</v>
      </c>
      <c r="D91" s="1154">
        <v>345.65</v>
      </c>
      <c r="E91" s="1154">
        <v>0</v>
      </c>
      <c r="F91" s="1082">
        <f t="shared" si="5"/>
        <v>0</v>
      </c>
      <c r="G91" s="1026" t="s">
        <v>4203</v>
      </c>
      <c r="H91" s="1025" t="s">
        <v>4671</v>
      </c>
    </row>
    <row r="92" spans="1:8" s="1019" customFormat="1" ht="67.5" customHeight="1" x14ac:dyDescent="0.2">
      <c r="A92" s="1020">
        <f t="shared" si="6"/>
        <v>74</v>
      </c>
      <c r="B92" s="1153" t="s">
        <v>4672</v>
      </c>
      <c r="C92" s="1154">
        <v>0</v>
      </c>
      <c r="D92" s="1154">
        <v>198.62</v>
      </c>
      <c r="E92" s="1154">
        <v>0</v>
      </c>
      <c r="F92" s="1082">
        <f t="shared" si="5"/>
        <v>0</v>
      </c>
      <c r="G92" s="1026" t="s">
        <v>4203</v>
      </c>
      <c r="H92" s="1214" t="s">
        <v>4673</v>
      </c>
    </row>
    <row r="93" spans="1:8" s="977" customFormat="1" ht="13.5" customHeight="1" thickBot="1" x14ac:dyDescent="0.25">
      <c r="A93" s="1442" t="s">
        <v>477</v>
      </c>
      <c r="B93" s="1443"/>
      <c r="C93" s="1039">
        <f>SUM(C53:C92)</f>
        <v>28147</v>
      </c>
      <c r="D93" s="1063">
        <f>SUM(D53:D92)</f>
        <v>109637.18800000001</v>
      </c>
      <c r="E93" s="1063">
        <f>SUM(E53:E92)</f>
        <v>63621.800200000012</v>
      </c>
      <c r="F93" s="1064">
        <f t="shared" si="5"/>
        <v>58.02939801776018</v>
      </c>
      <c r="G93" s="1042"/>
      <c r="H93" s="1065"/>
    </row>
    <row r="94" spans="1:8" ht="18" customHeight="1" thickBot="1" x14ac:dyDescent="0.2">
      <c r="A94" s="1196" t="s">
        <v>4192</v>
      </c>
      <c r="B94" s="1208"/>
      <c r="C94" s="1209"/>
      <c r="D94" s="1209"/>
      <c r="E94" s="1210"/>
      <c r="F94" s="1200"/>
      <c r="G94" s="1187"/>
      <c r="H94" s="1202"/>
    </row>
    <row r="95" spans="1:8" s="1019" customFormat="1" ht="78" customHeight="1" x14ac:dyDescent="0.2">
      <c r="A95" s="1013">
        <f>A92+1</f>
        <v>75</v>
      </c>
      <c r="B95" s="1153" t="s">
        <v>4674</v>
      </c>
      <c r="C95" s="1154">
        <v>0</v>
      </c>
      <c r="D95" s="1154">
        <v>13736</v>
      </c>
      <c r="E95" s="1154">
        <v>10629.217499999999</v>
      </c>
      <c r="F95" s="1082">
        <f t="shared" ref="F95:F101" si="7">E95/D95*100</f>
        <v>77.38218913803145</v>
      </c>
      <c r="G95" s="1215" t="s">
        <v>4199</v>
      </c>
      <c r="H95" s="1025" t="s">
        <v>4675</v>
      </c>
    </row>
    <row r="96" spans="1:8" s="1019" customFormat="1" ht="189" x14ac:dyDescent="0.2">
      <c r="A96" s="1020">
        <f t="shared" ref="A96:A113" si="8">A95+1</f>
        <v>76</v>
      </c>
      <c r="B96" s="1153" t="s">
        <v>1386</v>
      </c>
      <c r="C96" s="1154">
        <v>294227</v>
      </c>
      <c r="D96" s="1154">
        <f>311782.66-18.81</f>
        <v>311763.84999999998</v>
      </c>
      <c r="E96" s="1154">
        <v>302957.12984999997</v>
      </c>
      <c r="F96" s="1082">
        <f t="shared" si="7"/>
        <v>97.175195215866111</v>
      </c>
      <c r="G96" s="1215" t="s">
        <v>4199</v>
      </c>
      <c r="H96" s="1025" t="s">
        <v>4676</v>
      </c>
    </row>
    <row r="97" spans="1:8" s="1019" customFormat="1" ht="45" customHeight="1" x14ac:dyDescent="0.2">
      <c r="A97" s="1020">
        <f t="shared" si="8"/>
        <v>77</v>
      </c>
      <c r="B97" s="1153" t="s">
        <v>1389</v>
      </c>
      <c r="C97" s="1154">
        <v>45150</v>
      </c>
      <c r="D97" s="1154">
        <v>45754.539999999994</v>
      </c>
      <c r="E97" s="1154">
        <v>41344.463540000004</v>
      </c>
      <c r="F97" s="1082">
        <f t="shared" si="7"/>
        <v>90.361445093754654</v>
      </c>
      <c r="G97" s="1215" t="s">
        <v>4199</v>
      </c>
      <c r="H97" s="1025" t="s">
        <v>4677</v>
      </c>
    </row>
    <row r="98" spans="1:8" s="1019" customFormat="1" ht="24" customHeight="1" x14ac:dyDescent="0.2">
      <c r="A98" s="1020">
        <f t="shared" si="8"/>
        <v>78</v>
      </c>
      <c r="B98" s="1153" t="s">
        <v>1384</v>
      </c>
      <c r="C98" s="1154">
        <v>44386</v>
      </c>
      <c r="D98" s="1154">
        <v>45757.440000000002</v>
      </c>
      <c r="E98" s="1154">
        <v>45342.286999999997</v>
      </c>
      <c r="F98" s="1082">
        <f t="shared" si="7"/>
        <v>99.092709294925569</v>
      </c>
      <c r="G98" s="1215" t="s">
        <v>4199</v>
      </c>
      <c r="H98" s="1025" t="s">
        <v>597</v>
      </c>
    </row>
    <row r="99" spans="1:8" s="1019" customFormat="1" ht="52.5" x14ac:dyDescent="0.2">
      <c r="A99" s="1020">
        <f t="shared" si="8"/>
        <v>79</v>
      </c>
      <c r="B99" s="1153" t="s">
        <v>1392</v>
      </c>
      <c r="C99" s="1154">
        <v>94340</v>
      </c>
      <c r="D99" s="1154">
        <v>122120.598</v>
      </c>
      <c r="E99" s="1154">
        <v>108301.46301999998</v>
      </c>
      <c r="F99" s="1082">
        <f t="shared" si="7"/>
        <v>88.684026113268771</v>
      </c>
      <c r="G99" s="1215" t="s">
        <v>4199</v>
      </c>
      <c r="H99" s="1025" t="s">
        <v>4678</v>
      </c>
    </row>
    <row r="100" spans="1:8" s="1019" customFormat="1" ht="12.75" customHeight="1" x14ac:dyDescent="0.2">
      <c r="A100" s="1020">
        <f t="shared" si="8"/>
        <v>80</v>
      </c>
      <c r="B100" s="1153" t="s">
        <v>1390</v>
      </c>
      <c r="C100" s="1154">
        <v>78586</v>
      </c>
      <c r="D100" s="1154">
        <v>91180.89999999998</v>
      </c>
      <c r="E100" s="1154">
        <v>91096.892100000026</v>
      </c>
      <c r="F100" s="1082">
        <f t="shared" si="7"/>
        <v>99.907866779117171</v>
      </c>
      <c r="G100" s="1215" t="s">
        <v>4199</v>
      </c>
      <c r="H100" s="1025" t="s">
        <v>597</v>
      </c>
    </row>
    <row r="101" spans="1:8" s="1019" customFormat="1" ht="52.5" x14ac:dyDescent="0.2">
      <c r="A101" s="1020">
        <f t="shared" si="8"/>
        <v>81</v>
      </c>
      <c r="B101" s="1153" t="s">
        <v>4679</v>
      </c>
      <c r="C101" s="1154">
        <v>36000</v>
      </c>
      <c r="D101" s="1154">
        <v>28636.269999999997</v>
      </c>
      <c r="E101" s="1154">
        <v>25882.852700000003</v>
      </c>
      <c r="F101" s="1082">
        <f t="shared" si="7"/>
        <v>90.384860528274118</v>
      </c>
      <c r="G101" s="1215" t="s">
        <v>4199</v>
      </c>
      <c r="H101" s="1025" t="s">
        <v>4680</v>
      </c>
    </row>
    <row r="102" spans="1:8" s="1019" customFormat="1" ht="105" x14ac:dyDescent="0.2">
      <c r="A102" s="1020">
        <f t="shared" si="8"/>
        <v>82</v>
      </c>
      <c r="B102" s="1153" t="s">
        <v>4681</v>
      </c>
      <c r="C102" s="1154">
        <v>24500</v>
      </c>
      <c r="D102" s="1154">
        <v>0</v>
      </c>
      <c r="E102" s="1154">
        <v>0</v>
      </c>
      <c r="F102" s="1082" t="s">
        <v>279</v>
      </c>
      <c r="G102" s="1215" t="s">
        <v>4199</v>
      </c>
      <c r="H102" s="1025" t="s">
        <v>4682</v>
      </c>
    </row>
    <row r="103" spans="1:8" s="1019" customFormat="1" ht="63" x14ac:dyDescent="0.2">
      <c r="A103" s="1020">
        <f t="shared" si="8"/>
        <v>83</v>
      </c>
      <c r="B103" s="1153" t="s">
        <v>1383</v>
      </c>
      <c r="C103" s="1154">
        <v>34195</v>
      </c>
      <c r="D103" s="1154">
        <v>18660</v>
      </c>
      <c r="E103" s="1154">
        <v>9594.922770000001</v>
      </c>
      <c r="F103" s="1082">
        <f t="shared" ref="F103:F114" si="9">E103/D103*100</f>
        <v>51.419736173633446</v>
      </c>
      <c r="G103" s="1215" t="s">
        <v>4199</v>
      </c>
      <c r="H103" s="1025" t="s">
        <v>4683</v>
      </c>
    </row>
    <row r="104" spans="1:8" s="1019" customFormat="1" ht="24" customHeight="1" x14ac:dyDescent="0.2">
      <c r="A104" s="1020">
        <f t="shared" si="8"/>
        <v>84</v>
      </c>
      <c r="B104" s="1153" t="s">
        <v>2574</v>
      </c>
      <c r="C104" s="1154">
        <v>0</v>
      </c>
      <c r="D104" s="1154">
        <v>6200</v>
      </c>
      <c r="E104" s="1154">
        <v>5999.77826</v>
      </c>
      <c r="F104" s="1082">
        <f t="shared" si="9"/>
        <v>96.770617096774188</v>
      </c>
      <c r="G104" s="1215" t="s">
        <v>4199</v>
      </c>
      <c r="H104" s="1025" t="s">
        <v>597</v>
      </c>
    </row>
    <row r="105" spans="1:8" s="1019" customFormat="1" ht="63" x14ac:dyDescent="0.2">
      <c r="A105" s="1020">
        <f t="shared" si="8"/>
        <v>85</v>
      </c>
      <c r="B105" s="1153" t="s">
        <v>4684</v>
      </c>
      <c r="C105" s="1154">
        <v>0</v>
      </c>
      <c r="D105" s="1154">
        <v>50</v>
      </c>
      <c r="E105" s="1154">
        <v>12.1</v>
      </c>
      <c r="F105" s="1082">
        <f t="shared" si="9"/>
        <v>24.2</v>
      </c>
      <c r="G105" s="1215" t="s">
        <v>4199</v>
      </c>
      <c r="H105" s="1025" t="s">
        <v>4685</v>
      </c>
    </row>
    <row r="106" spans="1:8" s="1019" customFormat="1" ht="63" x14ac:dyDescent="0.2">
      <c r="A106" s="1020">
        <f t="shared" si="8"/>
        <v>86</v>
      </c>
      <c r="B106" s="1153" t="s">
        <v>1393</v>
      </c>
      <c r="C106" s="1154">
        <v>0</v>
      </c>
      <c r="D106" s="1154">
        <v>40.6</v>
      </c>
      <c r="E106" s="1154">
        <v>12.1</v>
      </c>
      <c r="F106" s="1082">
        <f t="shared" si="9"/>
        <v>29.802955665024626</v>
      </c>
      <c r="G106" s="1215" t="s">
        <v>4199</v>
      </c>
      <c r="H106" s="1025" t="s">
        <v>4686</v>
      </c>
    </row>
    <row r="107" spans="1:8" s="1019" customFormat="1" ht="63" x14ac:dyDescent="0.2">
      <c r="A107" s="1020">
        <f t="shared" si="8"/>
        <v>87</v>
      </c>
      <c r="B107" s="1153" t="s">
        <v>1394</v>
      </c>
      <c r="C107" s="1154">
        <v>0</v>
      </c>
      <c r="D107" s="1154">
        <v>63.660000000000004</v>
      </c>
      <c r="E107" s="1154">
        <v>12.1</v>
      </c>
      <c r="F107" s="1082">
        <f t="shared" si="9"/>
        <v>19.007225887527486</v>
      </c>
      <c r="G107" s="1215" t="s">
        <v>4199</v>
      </c>
      <c r="H107" s="1025" t="s">
        <v>4687</v>
      </c>
    </row>
    <row r="108" spans="1:8" s="1019" customFormat="1" ht="78" customHeight="1" x14ac:dyDescent="0.2">
      <c r="A108" s="1020">
        <f t="shared" si="8"/>
        <v>88</v>
      </c>
      <c r="B108" s="1153" t="s">
        <v>4688</v>
      </c>
      <c r="C108" s="1154">
        <v>0</v>
      </c>
      <c r="D108" s="1154">
        <v>1931.3</v>
      </c>
      <c r="E108" s="1154">
        <v>0</v>
      </c>
      <c r="F108" s="1082">
        <f t="shared" si="9"/>
        <v>0</v>
      </c>
      <c r="G108" s="1026" t="s">
        <v>4203</v>
      </c>
      <c r="H108" s="1025" t="s">
        <v>4689</v>
      </c>
    </row>
    <row r="109" spans="1:8" s="1019" customFormat="1" ht="78" customHeight="1" x14ac:dyDescent="0.2">
      <c r="A109" s="1020">
        <f t="shared" si="8"/>
        <v>89</v>
      </c>
      <c r="B109" s="1153" t="s">
        <v>4690</v>
      </c>
      <c r="C109" s="1154">
        <v>0</v>
      </c>
      <c r="D109" s="1154">
        <v>5600.6200000000008</v>
      </c>
      <c r="E109" s="1154">
        <v>0</v>
      </c>
      <c r="F109" s="1082">
        <f t="shared" si="9"/>
        <v>0</v>
      </c>
      <c r="G109" s="1026" t="s">
        <v>4203</v>
      </c>
      <c r="H109" s="1025" t="s">
        <v>4691</v>
      </c>
    </row>
    <row r="110" spans="1:8" s="1019" customFormat="1" ht="78" customHeight="1" x14ac:dyDescent="0.2">
      <c r="A110" s="1020">
        <f t="shared" si="8"/>
        <v>90</v>
      </c>
      <c r="B110" s="1153" t="s">
        <v>4692</v>
      </c>
      <c r="C110" s="1154">
        <v>0</v>
      </c>
      <c r="D110" s="1154">
        <v>1500</v>
      </c>
      <c r="E110" s="1154">
        <v>0</v>
      </c>
      <c r="F110" s="1082">
        <f t="shared" si="9"/>
        <v>0</v>
      </c>
      <c r="G110" s="1026" t="s">
        <v>4203</v>
      </c>
      <c r="H110" s="1025" t="s">
        <v>4693</v>
      </c>
    </row>
    <row r="111" spans="1:8" s="1019" customFormat="1" ht="24" customHeight="1" x14ac:dyDescent="0.2">
      <c r="A111" s="1020">
        <f t="shared" si="8"/>
        <v>91</v>
      </c>
      <c r="B111" s="1153" t="s">
        <v>1387</v>
      </c>
      <c r="C111" s="1154">
        <v>0</v>
      </c>
      <c r="D111" s="1154">
        <v>582.91</v>
      </c>
      <c r="E111" s="1154">
        <v>582.90868</v>
      </c>
      <c r="F111" s="1082">
        <f t="shared" si="9"/>
        <v>99.999773549947676</v>
      </c>
      <c r="G111" s="1215" t="s">
        <v>4199</v>
      </c>
      <c r="H111" s="1025" t="s">
        <v>597</v>
      </c>
    </row>
    <row r="112" spans="1:8" s="1019" customFormat="1" ht="34.5" customHeight="1" x14ac:dyDescent="0.2">
      <c r="A112" s="1020">
        <f t="shared" si="8"/>
        <v>92</v>
      </c>
      <c r="B112" s="1153" t="s">
        <v>1391</v>
      </c>
      <c r="C112" s="1154">
        <v>0</v>
      </c>
      <c r="D112" s="1154">
        <v>189.37899999999999</v>
      </c>
      <c r="E112" s="1154">
        <v>189.37830000000002</v>
      </c>
      <c r="F112" s="1082">
        <f t="shared" si="9"/>
        <v>99.999630370843676</v>
      </c>
      <c r="G112" s="1215" t="s">
        <v>4203</v>
      </c>
      <c r="H112" s="1025" t="s">
        <v>597</v>
      </c>
    </row>
    <row r="113" spans="1:8" s="1019" customFormat="1" ht="45" customHeight="1" x14ac:dyDescent="0.2">
      <c r="A113" s="1020">
        <f t="shared" si="8"/>
        <v>93</v>
      </c>
      <c r="B113" s="1183" t="s">
        <v>4498</v>
      </c>
      <c r="C113" s="1154">
        <v>0</v>
      </c>
      <c r="D113" s="1154">
        <v>674.01800000000003</v>
      </c>
      <c r="E113" s="1154">
        <v>674.01599999999996</v>
      </c>
      <c r="F113" s="1082">
        <f t="shared" si="9"/>
        <v>99.999703272019431</v>
      </c>
      <c r="G113" s="1215" t="s">
        <v>4199</v>
      </c>
      <c r="H113" s="1025" t="s">
        <v>597</v>
      </c>
    </row>
    <row r="114" spans="1:8" s="977" customFormat="1" ht="13.5" customHeight="1" thickBot="1" x14ac:dyDescent="0.25">
      <c r="A114" s="1442" t="s">
        <v>477</v>
      </c>
      <c r="B114" s="1443"/>
      <c r="C114" s="1039">
        <f>SUM(C95:C113)</f>
        <v>651384</v>
      </c>
      <c r="D114" s="1039">
        <f>SUM(D95:D113)</f>
        <v>694442.08500000008</v>
      </c>
      <c r="E114" s="1039">
        <f>SUM(E95:E113)</f>
        <v>642631.60971999983</v>
      </c>
      <c r="F114" s="1064">
        <f t="shared" si="9"/>
        <v>92.539266211090847</v>
      </c>
      <c r="G114" s="1042"/>
      <c r="H114" s="1068"/>
    </row>
    <row r="115" spans="1:8" s="1212" customFormat="1" x14ac:dyDescent="0.2">
      <c r="A115" s="978"/>
      <c r="B115" s="1203"/>
      <c r="C115" s="978"/>
      <c r="D115" s="978"/>
      <c r="E115" s="978"/>
      <c r="F115" s="1219"/>
      <c r="G115" s="1220"/>
      <c r="H115" s="1221"/>
    </row>
  </sheetData>
  <mergeCells count="11">
    <mergeCell ref="A9:B9"/>
    <mergeCell ref="A36:B36"/>
    <mergeCell ref="A51:B51"/>
    <mergeCell ref="A93:B93"/>
    <mergeCell ref="A114:B114"/>
    <mergeCell ref="A8:B8"/>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8" firstPageNumber="297" fitToHeight="0" orientation="landscape" useFirstPageNumber="1" r:id="rId1"/>
  <headerFooter alignWithMargins="0">
    <oddHeader>&amp;L&amp;"Tahoma,Kurzíva"&amp;9Závěrečný účet za rok 2015&amp;R&amp;"Tahoma,Kurzíva"&amp;9Tabulka č. 17</oddHeader>
    <oddFooter>&amp;C&amp;"Tahoma,Obyčejné"&amp;P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zoomScaleNormal="100" zoomScaleSheetLayoutView="100" workbookViewId="0">
      <selection activeCell="K2" sqref="K2"/>
    </sheetView>
  </sheetViews>
  <sheetFormatPr defaultRowHeight="10.5" x14ac:dyDescent="0.2"/>
  <cols>
    <col min="1" max="1" width="6.42578125" style="1223" customWidth="1"/>
    <col min="2" max="2" width="42.7109375" style="1224" customWidth="1"/>
    <col min="3" max="4" width="13.140625" style="1225" customWidth="1"/>
    <col min="5" max="5" width="12.140625" style="1223" customWidth="1"/>
    <col min="6" max="6" width="8" style="1226" customWidth="1"/>
    <col min="7" max="7" width="8.7109375" style="1227" customWidth="1"/>
    <col min="8" max="8" width="42.7109375" style="1228" customWidth="1"/>
    <col min="9" max="16384" width="9.140625" style="1223"/>
  </cols>
  <sheetData>
    <row r="1" spans="1:8" s="1222" customFormat="1" ht="18" customHeight="1" x14ac:dyDescent="0.2">
      <c r="A1" s="1451" t="s">
        <v>4694</v>
      </c>
      <c r="B1" s="1451"/>
      <c r="C1" s="1451"/>
      <c r="D1" s="1451"/>
      <c r="E1" s="1451"/>
      <c r="F1" s="1451"/>
      <c r="G1" s="1451"/>
      <c r="H1" s="1451"/>
    </row>
    <row r="2" spans="1:8" ht="12" customHeight="1" x14ac:dyDescent="0.2"/>
    <row r="3" spans="1:8" ht="12" customHeight="1" thickBot="1" x14ac:dyDescent="0.2">
      <c r="A3" s="1229"/>
      <c r="F3" s="1230" t="s">
        <v>4184</v>
      </c>
    </row>
    <row r="4" spans="1:8" ht="23.25" customHeight="1" x14ac:dyDescent="0.2">
      <c r="A4" s="1452"/>
      <c r="B4" s="1453"/>
      <c r="C4" s="1231" t="s">
        <v>4185</v>
      </c>
      <c r="D4" s="1231" t="s">
        <v>4186</v>
      </c>
      <c r="E4" s="1231" t="s">
        <v>4187</v>
      </c>
      <c r="F4" s="1232" t="s">
        <v>4188</v>
      </c>
      <c r="G4" s="1233"/>
      <c r="H4" s="1234"/>
    </row>
    <row r="5" spans="1:8" ht="12.75" customHeight="1" x14ac:dyDescent="0.2">
      <c r="A5" s="1449" t="s">
        <v>4189</v>
      </c>
      <c r="B5" s="1450"/>
      <c r="C5" s="1235">
        <f>C53</f>
        <v>63700</v>
      </c>
      <c r="D5" s="1235">
        <f>D53</f>
        <v>141997.09700000001</v>
      </c>
      <c r="E5" s="1235">
        <f>E53</f>
        <v>98324.694399999993</v>
      </c>
      <c r="F5" s="1236">
        <f>E5/D5*100</f>
        <v>69.244158139373781</v>
      </c>
      <c r="G5" s="1237"/>
      <c r="H5" s="1238"/>
    </row>
    <row r="6" spans="1:8" ht="12.75" customHeight="1" x14ac:dyDescent="0.2">
      <c r="A6" s="1449" t="s">
        <v>4190</v>
      </c>
      <c r="B6" s="1450"/>
      <c r="C6" s="1235">
        <f>C57</f>
        <v>4500</v>
      </c>
      <c r="D6" s="1235">
        <f>D57</f>
        <v>3695.03</v>
      </c>
      <c r="E6" s="1235">
        <f>E57</f>
        <v>3695.0225</v>
      </c>
      <c r="F6" s="1236">
        <f>E6/D6*100</f>
        <v>99.999797024652025</v>
      </c>
      <c r="G6" s="1237"/>
      <c r="H6" s="1238"/>
    </row>
    <row r="7" spans="1:8" ht="12.75" customHeight="1" x14ac:dyDescent="0.2">
      <c r="A7" s="1449" t="s">
        <v>4191</v>
      </c>
      <c r="B7" s="1450"/>
      <c r="C7" s="1235">
        <f>C61</f>
        <v>0</v>
      </c>
      <c r="D7" s="1235">
        <f>D61</f>
        <v>325</v>
      </c>
      <c r="E7" s="1235">
        <f>E61</f>
        <v>325</v>
      </c>
      <c r="F7" s="1236">
        <f>E7/D7*100</f>
        <v>100</v>
      </c>
      <c r="G7" s="1237"/>
      <c r="H7" s="1238"/>
    </row>
    <row r="8" spans="1:8" ht="12.75" customHeight="1" x14ac:dyDescent="0.2">
      <c r="A8" s="1449" t="s">
        <v>4192</v>
      </c>
      <c r="B8" s="1450"/>
      <c r="C8" s="1235">
        <f>C71</f>
        <v>3306</v>
      </c>
      <c r="D8" s="1235">
        <f>D71</f>
        <v>3527.3499999999995</v>
      </c>
      <c r="E8" s="1235">
        <f>E71</f>
        <v>1663.3478099999998</v>
      </c>
      <c r="F8" s="1236">
        <f>E8/D8*100</f>
        <v>47.155734758388022</v>
      </c>
      <c r="G8" s="1237"/>
      <c r="H8" s="1238"/>
    </row>
    <row r="9" spans="1:8" s="1229" customFormat="1" ht="13.5" customHeight="1" thickBot="1" x14ac:dyDescent="0.25">
      <c r="A9" s="1454" t="s">
        <v>477</v>
      </c>
      <c r="B9" s="1455"/>
      <c r="C9" s="1239">
        <f>SUM(C5:C8)</f>
        <v>71506</v>
      </c>
      <c r="D9" s="994">
        <f>SUM(D5:D8)</f>
        <v>149544.47700000001</v>
      </c>
      <c r="E9" s="1239">
        <f>SUM(E5:E8)</f>
        <v>104008.06471000001</v>
      </c>
      <c r="F9" s="1240">
        <f>E9/D9*100</f>
        <v>69.549920395923408</v>
      </c>
      <c r="G9" s="1237"/>
      <c r="H9" s="1238"/>
    </row>
    <row r="10" spans="1:8" s="1241" customFormat="1" ht="10.5" customHeight="1" x14ac:dyDescent="0.2">
      <c r="B10" s="1242"/>
      <c r="C10" s="1243"/>
      <c r="D10" s="1243"/>
      <c r="E10" s="1243"/>
      <c r="F10" s="1244"/>
      <c r="G10" s="1245"/>
      <c r="H10" s="1246"/>
    </row>
    <row r="11" spans="1:8" s="1241" customFormat="1" ht="10.5" customHeight="1" x14ac:dyDescent="0.2">
      <c r="B11" s="1242"/>
      <c r="C11" s="1243"/>
      <c r="D11" s="1243"/>
      <c r="E11" s="1243"/>
      <c r="F11" s="1244"/>
      <c r="G11" s="1245"/>
      <c r="H11" s="1246"/>
    </row>
    <row r="12" spans="1:8" s="1241" customFormat="1" ht="10.5" customHeight="1" thickBot="1" x14ac:dyDescent="0.2">
      <c r="B12" s="1242"/>
      <c r="C12" s="1243"/>
      <c r="D12" s="1243"/>
      <c r="E12" s="1243"/>
      <c r="F12" s="1244"/>
      <c r="G12" s="1245"/>
      <c r="H12" s="1230" t="s">
        <v>4184</v>
      </c>
    </row>
    <row r="13" spans="1:8" ht="28.5" customHeight="1" thickBot="1" x14ac:dyDescent="0.25">
      <c r="A13" s="1247" t="s">
        <v>4193</v>
      </c>
      <c r="B13" s="1248" t="s">
        <v>665</v>
      </c>
      <c r="C13" s="1249" t="s">
        <v>4185</v>
      </c>
      <c r="D13" s="1249" t="s">
        <v>4186</v>
      </c>
      <c r="E13" s="1249" t="s">
        <v>4187</v>
      </c>
      <c r="F13" s="1249" t="s">
        <v>4188</v>
      </c>
      <c r="G13" s="1249" t="s">
        <v>4194</v>
      </c>
      <c r="H13" s="1250" t="s">
        <v>4195</v>
      </c>
    </row>
    <row r="14" spans="1:8" ht="15" customHeight="1" thickBot="1" x14ac:dyDescent="0.2">
      <c r="A14" s="1251" t="s">
        <v>4196</v>
      </c>
      <c r="B14" s="1252"/>
      <c r="C14" s="1253"/>
      <c r="D14" s="1253"/>
      <c r="E14" s="1254"/>
      <c r="F14" s="1255"/>
      <c r="G14" s="1256"/>
      <c r="H14" s="1257"/>
    </row>
    <row r="15" spans="1:8" s="1224" customFormat="1" ht="115.5" x14ac:dyDescent="0.2">
      <c r="A15" s="1258">
        <v>1</v>
      </c>
      <c r="B15" s="1259" t="s">
        <v>2757</v>
      </c>
      <c r="C15" s="1260">
        <v>15000</v>
      </c>
      <c r="D15" s="1260">
        <v>30992.269999999997</v>
      </c>
      <c r="E15" s="1260">
        <v>15587.68981</v>
      </c>
      <c r="F15" s="1261">
        <f>E15/D15*100</f>
        <v>50.295411759125756</v>
      </c>
      <c r="G15" s="1262" t="s">
        <v>4203</v>
      </c>
      <c r="H15" s="1263" t="s">
        <v>4695</v>
      </c>
    </row>
    <row r="16" spans="1:8" s="1224" customFormat="1" ht="136.5" x14ac:dyDescent="0.2">
      <c r="A16" s="1258">
        <f>A15+1</f>
        <v>2</v>
      </c>
      <c r="B16" s="1259" t="s">
        <v>2733</v>
      </c>
      <c r="C16" s="1260">
        <v>19000</v>
      </c>
      <c r="D16" s="1260">
        <v>19503.206999999999</v>
      </c>
      <c r="E16" s="1260">
        <v>13701.403999999999</v>
      </c>
      <c r="F16" s="1261">
        <f>E16/D16*100</f>
        <v>70.252056495118978</v>
      </c>
      <c r="G16" s="1262" t="s">
        <v>4203</v>
      </c>
      <c r="H16" s="1264" t="s">
        <v>4696</v>
      </c>
    </row>
    <row r="17" spans="1:8" s="1224" customFormat="1" ht="12.75" customHeight="1" x14ac:dyDescent="0.2">
      <c r="A17" s="1258">
        <f t="shared" ref="A17:A52" si="0">A16+1</f>
        <v>3</v>
      </c>
      <c r="B17" s="1259" t="s">
        <v>4697</v>
      </c>
      <c r="C17" s="1260">
        <v>0</v>
      </c>
      <c r="D17" s="1260">
        <v>39935</v>
      </c>
      <c r="E17" s="1260">
        <v>39935</v>
      </c>
      <c r="F17" s="1261">
        <f>E17/D17*100</f>
        <v>100</v>
      </c>
      <c r="G17" s="1262" t="s">
        <v>4199</v>
      </c>
      <c r="H17" s="1263" t="s">
        <v>133</v>
      </c>
    </row>
    <row r="18" spans="1:8" s="1224" customFormat="1" ht="12.75" customHeight="1" x14ac:dyDescent="0.2">
      <c r="A18" s="1258">
        <f t="shared" si="0"/>
        <v>4</v>
      </c>
      <c r="B18" s="1259" t="s">
        <v>2748</v>
      </c>
      <c r="C18" s="1260">
        <v>0</v>
      </c>
      <c r="D18" s="1260">
        <v>1540.0100000000002</v>
      </c>
      <c r="E18" s="1260">
        <v>1539.9995000000001</v>
      </c>
      <c r="F18" s="1261">
        <f>E18/D18*100</f>
        <v>99.999318186245532</v>
      </c>
      <c r="G18" s="1262" t="s">
        <v>4203</v>
      </c>
      <c r="H18" s="1264" t="s">
        <v>133</v>
      </c>
    </row>
    <row r="19" spans="1:8" s="1224" customFormat="1" ht="24" customHeight="1" x14ac:dyDescent="0.2">
      <c r="A19" s="1258">
        <f t="shared" si="0"/>
        <v>5</v>
      </c>
      <c r="B19" s="1259" t="s">
        <v>2744</v>
      </c>
      <c r="C19" s="1260">
        <v>1500</v>
      </c>
      <c r="D19" s="1260">
        <v>1500</v>
      </c>
      <c r="E19" s="1260">
        <v>1475.27826</v>
      </c>
      <c r="F19" s="1261">
        <f>E19/D19*100</f>
        <v>98.351883999999998</v>
      </c>
      <c r="G19" s="1262" t="s">
        <v>4197</v>
      </c>
      <c r="H19" s="1263" t="s">
        <v>133</v>
      </c>
    </row>
    <row r="20" spans="1:8" s="1224" customFormat="1" ht="94.5" x14ac:dyDescent="0.2">
      <c r="A20" s="1258">
        <f t="shared" si="0"/>
        <v>6</v>
      </c>
      <c r="B20" s="1259" t="s">
        <v>4698</v>
      </c>
      <c r="C20" s="1260">
        <v>100</v>
      </c>
      <c r="D20" s="1260">
        <v>0</v>
      </c>
      <c r="E20" s="1260">
        <v>0</v>
      </c>
      <c r="F20" s="1261" t="s">
        <v>279</v>
      </c>
      <c r="G20" s="1262" t="s">
        <v>4199</v>
      </c>
      <c r="H20" s="1264" t="s">
        <v>4699</v>
      </c>
    </row>
    <row r="21" spans="1:8" s="1224" customFormat="1" ht="136.5" x14ac:dyDescent="0.2">
      <c r="A21" s="1258">
        <f t="shared" si="0"/>
        <v>7</v>
      </c>
      <c r="B21" s="1259" t="s">
        <v>4700</v>
      </c>
      <c r="C21" s="1260">
        <v>3000</v>
      </c>
      <c r="D21" s="1260">
        <v>1107</v>
      </c>
      <c r="E21" s="1260">
        <v>338.19499999999999</v>
      </c>
      <c r="F21" s="1261">
        <f t="shared" ref="F21:F35" si="1">E21/D21*100</f>
        <v>30.550587172538389</v>
      </c>
      <c r="G21" s="1262" t="s">
        <v>4203</v>
      </c>
      <c r="H21" s="1264" t="s">
        <v>4701</v>
      </c>
    </row>
    <row r="22" spans="1:8" s="1224" customFormat="1" ht="126" x14ac:dyDescent="0.2">
      <c r="A22" s="1258">
        <f t="shared" si="0"/>
        <v>8</v>
      </c>
      <c r="B22" s="1259" t="s">
        <v>4702</v>
      </c>
      <c r="C22" s="1260">
        <v>0</v>
      </c>
      <c r="D22" s="1260">
        <v>7562.32</v>
      </c>
      <c r="E22" s="1260">
        <v>5654.6154999999999</v>
      </c>
      <c r="F22" s="1261">
        <f t="shared" si="1"/>
        <v>74.77355494081182</v>
      </c>
      <c r="G22" s="1262" t="s">
        <v>4197</v>
      </c>
      <c r="H22" s="1264" t="s">
        <v>4703</v>
      </c>
    </row>
    <row r="23" spans="1:8" s="1224" customFormat="1" ht="115.5" x14ac:dyDescent="0.2">
      <c r="A23" s="1258">
        <f t="shared" si="0"/>
        <v>9</v>
      </c>
      <c r="B23" s="1259" t="s">
        <v>4704</v>
      </c>
      <c r="C23" s="1260">
        <v>1000</v>
      </c>
      <c r="D23" s="1260">
        <v>1107.1500000000001</v>
      </c>
      <c r="E23" s="1260">
        <v>168.22550000000001</v>
      </c>
      <c r="F23" s="1261">
        <f t="shared" si="1"/>
        <v>15.194463261527344</v>
      </c>
      <c r="G23" s="1262" t="s">
        <v>4197</v>
      </c>
      <c r="H23" s="1264" t="s">
        <v>4705</v>
      </c>
    </row>
    <row r="24" spans="1:8" s="1224" customFormat="1" ht="12.75" customHeight="1" x14ac:dyDescent="0.2">
      <c r="A24" s="1258">
        <f t="shared" si="0"/>
        <v>10</v>
      </c>
      <c r="B24" s="1259" t="s">
        <v>4706</v>
      </c>
      <c r="C24" s="1260">
        <v>100</v>
      </c>
      <c r="D24" s="1260">
        <v>100</v>
      </c>
      <c r="E24" s="1260">
        <v>92.686000000000007</v>
      </c>
      <c r="F24" s="1261">
        <f t="shared" si="1"/>
        <v>92.686000000000007</v>
      </c>
      <c r="G24" s="1262" t="s">
        <v>4197</v>
      </c>
      <c r="H24" s="1264" t="s">
        <v>4707</v>
      </c>
    </row>
    <row r="25" spans="1:8" s="1224" customFormat="1" ht="94.5" x14ac:dyDescent="0.2">
      <c r="A25" s="1258">
        <f t="shared" si="0"/>
        <v>11</v>
      </c>
      <c r="B25" s="1259" t="s">
        <v>1191</v>
      </c>
      <c r="C25" s="1260">
        <v>2500</v>
      </c>
      <c r="D25" s="1260">
        <v>2100</v>
      </c>
      <c r="E25" s="1260">
        <v>1900</v>
      </c>
      <c r="F25" s="1261">
        <f t="shared" si="1"/>
        <v>90.476190476190482</v>
      </c>
      <c r="G25" s="1262" t="s">
        <v>4203</v>
      </c>
      <c r="H25" s="1264" t="s">
        <v>4708</v>
      </c>
    </row>
    <row r="26" spans="1:8" s="1224" customFormat="1" ht="115.5" x14ac:dyDescent="0.2">
      <c r="A26" s="1258">
        <f t="shared" si="0"/>
        <v>12</v>
      </c>
      <c r="B26" s="1259" t="s">
        <v>4709</v>
      </c>
      <c r="C26" s="1260">
        <v>350</v>
      </c>
      <c r="D26" s="1260">
        <v>150</v>
      </c>
      <c r="E26" s="1260">
        <v>0</v>
      </c>
      <c r="F26" s="1261">
        <f t="shared" si="1"/>
        <v>0</v>
      </c>
      <c r="G26" s="1262" t="s">
        <v>4197</v>
      </c>
      <c r="H26" s="1264" t="s">
        <v>4710</v>
      </c>
    </row>
    <row r="27" spans="1:8" s="1224" customFormat="1" ht="73.5" x14ac:dyDescent="0.2">
      <c r="A27" s="1258">
        <f t="shared" si="0"/>
        <v>13</v>
      </c>
      <c r="B27" s="1259" t="s">
        <v>427</v>
      </c>
      <c r="C27" s="1260">
        <v>300</v>
      </c>
      <c r="D27" s="1260">
        <v>210</v>
      </c>
      <c r="E27" s="1260">
        <v>172.26</v>
      </c>
      <c r="F27" s="1261">
        <f t="shared" si="1"/>
        <v>82.028571428571425</v>
      </c>
      <c r="G27" s="1262" t="s">
        <v>4197</v>
      </c>
      <c r="H27" s="1264" t="s">
        <v>4711</v>
      </c>
    </row>
    <row r="28" spans="1:8" s="1224" customFormat="1" ht="12.75" customHeight="1" x14ac:dyDescent="0.2">
      <c r="A28" s="1258">
        <f t="shared" si="0"/>
        <v>14</v>
      </c>
      <c r="B28" s="1259" t="s">
        <v>1199</v>
      </c>
      <c r="C28" s="1260">
        <v>1000</v>
      </c>
      <c r="D28" s="1260">
        <v>900</v>
      </c>
      <c r="E28" s="1260">
        <v>900</v>
      </c>
      <c r="F28" s="1261">
        <f t="shared" si="1"/>
        <v>100</v>
      </c>
      <c r="G28" s="1262" t="s">
        <v>4197</v>
      </c>
      <c r="H28" s="1263" t="s">
        <v>133</v>
      </c>
    </row>
    <row r="29" spans="1:8" s="1224" customFormat="1" ht="90" customHeight="1" x14ac:dyDescent="0.2">
      <c r="A29" s="1258">
        <f t="shared" si="0"/>
        <v>15</v>
      </c>
      <c r="B29" s="1259" t="s">
        <v>193</v>
      </c>
      <c r="C29" s="1260">
        <v>3500</v>
      </c>
      <c r="D29" s="1260">
        <v>3623.7049999999999</v>
      </c>
      <c r="E29" s="1260">
        <v>3064.8716699999995</v>
      </c>
      <c r="F29" s="1261">
        <f t="shared" si="1"/>
        <v>84.578398903884278</v>
      </c>
      <c r="G29" s="1262" t="s">
        <v>4197</v>
      </c>
      <c r="H29" s="1264" t="s">
        <v>4712</v>
      </c>
    </row>
    <row r="30" spans="1:8" s="1224" customFormat="1" ht="111" customHeight="1" x14ac:dyDescent="0.2">
      <c r="A30" s="1258">
        <f t="shared" si="0"/>
        <v>16</v>
      </c>
      <c r="B30" s="1259" t="s">
        <v>1198</v>
      </c>
      <c r="C30" s="1260">
        <v>0</v>
      </c>
      <c r="D30" s="1260">
        <v>10000</v>
      </c>
      <c r="E30" s="1260">
        <v>376.43740000000003</v>
      </c>
      <c r="F30" s="1261">
        <f t="shared" si="1"/>
        <v>3.7643740000000001</v>
      </c>
      <c r="G30" s="1262" t="s">
        <v>4197</v>
      </c>
      <c r="H30" s="1264" t="s">
        <v>4713</v>
      </c>
    </row>
    <row r="31" spans="1:8" s="1224" customFormat="1" ht="168" x14ac:dyDescent="0.2">
      <c r="A31" s="1258">
        <f t="shared" si="0"/>
        <v>17</v>
      </c>
      <c r="B31" s="1259" t="s">
        <v>4714</v>
      </c>
      <c r="C31" s="1260">
        <v>3000</v>
      </c>
      <c r="D31" s="1260">
        <v>1807</v>
      </c>
      <c r="E31" s="1260">
        <v>0</v>
      </c>
      <c r="F31" s="1261">
        <f t="shared" si="1"/>
        <v>0</v>
      </c>
      <c r="G31" s="1262" t="s">
        <v>4203</v>
      </c>
      <c r="H31" s="1264" t="s">
        <v>4715</v>
      </c>
    </row>
    <row r="32" spans="1:8" s="1224" customFormat="1" ht="57" customHeight="1" x14ac:dyDescent="0.2">
      <c r="A32" s="1258">
        <f t="shared" si="0"/>
        <v>18</v>
      </c>
      <c r="B32" s="1259" t="s">
        <v>4716</v>
      </c>
      <c r="C32" s="1260">
        <v>1000</v>
      </c>
      <c r="D32" s="1260">
        <v>1150</v>
      </c>
      <c r="E32" s="1260">
        <v>235.99945000000002</v>
      </c>
      <c r="F32" s="1261">
        <f t="shared" si="1"/>
        <v>20.521691304347829</v>
      </c>
      <c r="G32" s="1262" t="s">
        <v>4197</v>
      </c>
      <c r="H32" s="1264" t="s">
        <v>4717</v>
      </c>
    </row>
    <row r="33" spans="1:8" s="1224" customFormat="1" ht="84" x14ac:dyDescent="0.2">
      <c r="A33" s="1258">
        <f t="shared" si="0"/>
        <v>19</v>
      </c>
      <c r="B33" s="1259" t="s">
        <v>4718</v>
      </c>
      <c r="C33" s="1260">
        <v>0</v>
      </c>
      <c r="D33" s="1260">
        <v>913.92</v>
      </c>
      <c r="E33" s="1260">
        <v>856.02099999999996</v>
      </c>
      <c r="F33" s="1261">
        <f t="shared" si="1"/>
        <v>93.664762780112042</v>
      </c>
      <c r="G33" s="1262" t="s">
        <v>4203</v>
      </c>
      <c r="H33" s="1264" t="s">
        <v>4719</v>
      </c>
    </row>
    <row r="34" spans="1:8" s="1224" customFormat="1" ht="84" x14ac:dyDescent="0.2">
      <c r="A34" s="1258">
        <f t="shared" si="0"/>
        <v>20</v>
      </c>
      <c r="B34" s="1259" t="s">
        <v>1217</v>
      </c>
      <c r="C34" s="1260">
        <v>950</v>
      </c>
      <c r="D34" s="1260">
        <v>1380</v>
      </c>
      <c r="E34" s="1260">
        <v>1170.0383999999999</v>
      </c>
      <c r="F34" s="1261">
        <f t="shared" si="1"/>
        <v>84.785391304347826</v>
      </c>
      <c r="G34" s="1262" t="s">
        <v>4197</v>
      </c>
      <c r="H34" s="1264" t="s">
        <v>4720</v>
      </c>
    </row>
    <row r="35" spans="1:8" s="1224" customFormat="1" ht="12.75" customHeight="1" x14ac:dyDescent="0.2">
      <c r="A35" s="1258">
        <f t="shared" si="0"/>
        <v>21</v>
      </c>
      <c r="B35" s="1259" t="s">
        <v>4721</v>
      </c>
      <c r="C35" s="1260">
        <v>250</v>
      </c>
      <c r="D35" s="1260">
        <v>187.07999999999998</v>
      </c>
      <c r="E35" s="1260">
        <v>185.42626000000001</v>
      </c>
      <c r="F35" s="1261">
        <f t="shared" si="1"/>
        <v>99.116025229848205</v>
      </c>
      <c r="G35" s="1262" t="s">
        <v>4197</v>
      </c>
      <c r="H35" s="1264" t="s">
        <v>4707</v>
      </c>
    </row>
    <row r="36" spans="1:8" s="1224" customFormat="1" ht="67.5" customHeight="1" x14ac:dyDescent="0.2">
      <c r="A36" s="1258">
        <f t="shared" si="0"/>
        <v>22</v>
      </c>
      <c r="B36" s="1259" t="s">
        <v>4722</v>
      </c>
      <c r="C36" s="1260">
        <v>3300</v>
      </c>
      <c r="D36" s="1260">
        <v>0</v>
      </c>
      <c r="E36" s="1260">
        <v>0</v>
      </c>
      <c r="F36" s="1261" t="s">
        <v>279</v>
      </c>
      <c r="G36" s="1262" t="s">
        <v>4199</v>
      </c>
      <c r="H36" s="1264" t="s">
        <v>4723</v>
      </c>
    </row>
    <row r="37" spans="1:8" s="1224" customFormat="1" ht="12.75" customHeight="1" x14ac:dyDescent="0.2">
      <c r="A37" s="1258">
        <f t="shared" si="0"/>
        <v>23</v>
      </c>
      <c r="B37" s="1259" t="s">
        <v>2740</v>
      </c>
      <c r="C37" s="1260">
        <v>1100</v>
      </c>
      <c r="D37" s="1260">
        <v>1100</v>
      </c>
      <c r="E37" s="1260">
        <v>1100</v>
      </c>
      <c r="F37" s="1261">
        <f t="shared" ref="F37:F53" si="2">E37/D37*100</f>
        <v>100</v>
      </c>
      <c r="G37" s="1262" t="s">
        <v>4197</v>
      </c>
      <c r="H37" s="1263" t="s">
        <v>133</v>
      </c>
    </row>
    <row r="38" spans="1:8" s="1224" customFormat="1" ht="12.75" customHeight="1" x14ac:dyDescent="0.2">
      <c r="A38" s="1258">
        <f t="shared" si="0"/>
        <v>24</v>
      </c>
      <c r="B38" s="1259" t="s">
        <v>1204</v>
      </c>
      <c r="C38" s="1260">
        <v>1999.9999999999998</v>
      </c>
      <c r="D38" s="1260">
        <v>1523.1</v>
      </c>
      <c r="E38" s="1260">
        <v>1523.1</v>
      </c>
      <c r="F38" s="1261">
        <f t="shared" si="2"/>
        <v>100</v>
      </c>
      <c r="G38" s="1262" t="s">
        <v>4197</v>
      </c>
      <c r="H38" s="1263" t="s">
        <v>133</v>
      </c>
    </row>
    <row r="39" spans="1:8" s="1224" customFormat="1" ht="12.75" customHeight="1" x14ac:dyDescent="0.2">
      <c r="A39" s="1258">
        <f t="shared" si="0"/>
        <v>25</v>
      </c>
      <c r="B39" s="1259" t="s">
        <v>4724</v>
      </c>
      <c r="C39" s="1260">
        <v>0</v>
      </c>
      <c r="D39" s="1260">
        <v>1000</v>
      </c>
      <c r="E39" s="1260">
        <v>1000</v>
      </c>
      <c r="F39" s="1261">
        <f t="shared" si="2"/>
        <v>100</v>
      </c>
      <c r="G39" s="1262" t="s">
        <v>4199</v>
      </c>
      <c r="H39" s="1263" t="s">
        <v>133</v>
      </c>
    </row>
    <row r="40" spans="1:8" s="1224" customFormat="1" ht="12.75" customHeight="1" x14ac:dyDescent="0.2">
      <c r="A40" s="1258">
        <f t="shared" si="0"/>
        <v>26</v>
      </c>
      <c r="B40" s="1259" t="s">
        <v>1194</v>
      </c>
      <c r="C40" s="1260">
        <v>0</v>
      </c>
      <c r="D40" s="1260">
        <v>90.79</v>
      </c>
      <c r="E40" s="1260">
        <v>90.782880000000006</v>
      </c>
      <c r="F40" s="1261">
        <f t="shared" si="2"/>
        <v>99.992157726621883</v>
      </c>
      <c r="G40" s="1262" t="s">
        <v>4197</v>
      </c>
      <c r="H40" s="1263" t="s">
        <v>133</v>
      </c>
    </row>
    <row r="41" spans="1:8" s="1224" customFormat="1" ht="45" customHeight="1" x14ac:dyDescent="0.2">
      <c r="A41" s="1258">
        <f t="shared" si="0"/>
        <v>27</v>
      </c>
      <c r="B41" s="1259" t="s">
        <v>1211</v>
      </c>
      <c r="C41" s="1260">
        <v>0</v>
      </c>
      <c r="D41" s="1260">
        <v>2162.35</v>
      </c>
      <c r="E41" s="1260">
        <v>819.34799999999996</v>
      </c>
      <c r="F41" s="1261">
        <f t="shared" si="2"/>
        <v>37.891553171318243</v>
      </c>
      <c r="G41" s="1262" t="s">
        <v>4203</v>
      </c>
      <c r="H41" s="1264" t="s">
        <v>4725</v>
      </c>
    </row>
    <row r="42" spans="1:8" s="1224" customFormat="1" ht="24" customHeight="1" x14ac:dyDescent="0.2">
      <c r="A42" s="1258">
        <f t="shared" si="0"/>
        <v>28</v>
      </c>
      <c r="B42" s="1259" t="s">
        <v>4726</v>
      </c>
      <c r="C42" s="1260">
        <v>300</v>
      </c>
      <c r="D42" s="1260">
        <v>300</v>
      </c>
      <c r="E42" s="1260">
        <v>297.166</v>
      </c>
      <c r="F42" s="1261">
        <f t="shared" si="2"/>
        <v>99.055333333333323</v>
      </c>
      <c r="G42" s="1262" t="s">
        <v>4197</v>
      </c>
      <c r="H42" s="1264" t="s">
        <v>133</v>
      </c>
    </row>
    <row r="43" spans="1:8" s="1224" customFormat="1" ht="189" x14ac:dyDescent="0.2">
      <c r="A43" s="1258">
        <f t="shared" si="0"/>
        <v>29</v>
      </c>
      <c r="B43" s="1259" t="s">
        <v>1202</v>
      </c>
      <c r="C43" s="1260">
        <v>3750</v>
      </c>
      <c r="D43" s="1260">
        <v>3750</v>
      </c>
      <c r="E43" s="1260">
        <v>0</v>
      </c>
      <c r="F43" s="1261">
        <f t="shared" si="2"/>
        <v>0</v>
      </c>
      <c r="G43" s="1262" t="s">
        <v>4197</v>
      </c>
      <c r="H43" s="1264" t="s">
        <v>4727</v>
      </c>
    </row>
    <row r="44" spans="1:8" s="1224" customFormat="1" ht="12.75" customHeight="1" x14ac:dyDescent="0.2">
      <c r="A44" s="1258">
        <f t="shared" si="0"/>
        <v>30</v>
      </c>
      <c r="B44" s="1259" t="s">
        <v>1195</v>
      </c>
      <c r="C44" s="1260">
        <v>200</v>
      </c>
      <c r="D44" s="1260">
        <v>200</v>
      </c>
      <c r="E44" s="1260">
        <v>200</v>
      </c>
      <c r="F44" s="1261">
        <f t="shared" si="2"/>
        <v>100</v>
      </c>
      <c r="G44" s="1262" t="s">
        <v>4197</v>
      </c>
      <c r="H44" s="1263" t="s">
        <v>133</v>
      </c>
    </row>
    <row r="45" spans="1:8" s="1224" customFormat="1" ht="105" x14ac:dyDescent="0.2">
      <c r="A45" s="1258">
        <f t="shared" si="0"/>
        <v>31</v>
      </c>
      <c r="B45" s="1259" t="s">
        <v>1214</v>
      </c>
      <c r="C45" s="1260">
        <v>300</v>
      </c>
      <c r="D45" s="1260">
        <v>300</v>
      </c>
      <c r="E45" s="1260">
        <v>137.964</v>
      </c>
      <c r="F45" s="1261">
        <f t="shared" si="2"/>
        <v>45.988</v>
      </c>
      <c r="G45" s="1262" t="s">
        <v>4197</v>
      </c>
      <c r="H45" s="1264" t="s">
        <v>4728</v>
      </c>
    </row>
    <row r="46" spans="1:8" s="1224" customFormat="1" ht="12.75" customHeight="1" x14ac:dyDescent="0.2">
      <c r="A46" s="1258">
        <f t="shared" si="0"/>
        <v>32</v>
      </c>
      <c r="B46" s="1259" t="s">
        <v>4729</v>
      </c>
      <c r="C46" s="1260">
        <v>200</v>
      </c>
      <c r="D46" s="1260">
        <v>212.92000000000002</v>
      </c>
      <c r="E46" s="1260">
        <v>212.92000000000002</v>
      </c>
      <c r="F46" s="1261">
        <f t="shared" si="2"/>
        <v>100</v>
      </c>
      <c r="G46" s="1262" t="s">
        <v>4197</v>
      </c>
      <c r="H46" s="1263" t="s">
        <v>133</v>
      </c>
    </row>
    <row r="47" spans="1:8" s="1224" customFormat="1" ht="24" customHeight="1" x14ac:dyDescent="0.2">
      <c r="A47" s="1258">
        <f t="shared" si="0"/>
        <v>33</v>
      </c>
      <c r="B47" s="1259" t="s">
        <v>4730</v>
      </c>
      <c r="C47" s="1260">
        <v>0</v>
      </c>
      <c r="D47" s="1260">
        <v>637</v>
      </c>
      <c r="E47" s="1260">
        <v>637</v>
      </c>
      <c r="F47" s="1261">
        <f t="shared" si="2"/>
        <v>100</v>
      </c>
      <c r="G47" s="1262" t="s">
        <v>4199</v>
      </c>
      <c r="H47" s="1263" t="s">
        <v>133</v>
      </c>
    </row>
    <row r="48" spans="1:8" s="1224" customFormat="1" ht="24" customHeight="1" x14ac:dyDescent="0.2">
      <c r="A48" s="1258">
        <f t="shared" si="0"/>
        <v>34</v>
      </c>
      <c r="B48" s="1259" t="s">
        <v>4731</v>
      </c>
      <c r="C48" s="1260">
        <v>0</v>
      </c>
      <c r="D48" s="1260">
        <v>3578.7049999999999</v>
      </c>
      <c r="E48" s="1260">
        <v>3578.7058900000002</v>
      </c>
      <c r="F48" s="1261">
        <f t="shared" si="2"/>
        <v>100.00002486933124</v>
      </c>
      <c r="G48" s="1262" t="s">
        <v>4199</v>
      </c>
      <c r="H48" s="1263" t="s">
        <v>133</v>
      </c>
    </row>
    <row r="49" spans="1:8" s="1224" customFormat="1" ht="24" customHeight="1" x14ac:dyDescent="0.2">
      <c r="A49" s="1258">
        <f t="shared" si="0"/>
        <v>35</v>
      </c>
      <c r="B49" s="1259" t="s">
        <v>4732</v>
      </c>
      <c r="C49" s="1260">
        <v>0</v>
      </c>
      <c r="D49" s="1260">
        <v>353.1</v>
      </c>
      <c r="E49" s="1260">
        <v>353.1</v>
      </c>
      <c r="F49" s="1261">
        <f t="shared" si="2"/>
        <v>100</v>
      </c>
      <c r="G49" s="1262" t="s">
        <v>4197</v>
      </c>
      <c r="H49" s="1263" t="s">
        <v>133</v>
      </c>
    </row>
    <row r="50" spans="1:8" s="1224" customFormat="1" ht="12.75" customHeight="1" x14ac:dyDescent="0.2">
      <c r="A50" s="1258">
        <f t="shared" si="0"/>
        <v>36</v>
      </c>
      <c r="B50" s="1259" t="s">
        <v>4733</v>
      </c>
      <c r="C50" s="1260">
        <v>0</v>
      </c>
      <c r="D50" s="1260">
        <v>948.47</v>
      </c>
      <c r="E50" s="1260">
        <v>948.45988</v>
      </c>
      <c r="F50" s="1261">
        <f t="shared" si="2"/>
        <v>99.998933018440212</v>
      </c>
      <c r="G50" s="1262" t="s">
        <v>4197</v>
      </c>
      <c r="H50" s="1263" t="s">
        <v>133</v>
      </c>
    </row>
    <row r="51" spans="1:8" s="1224" customFormat="1" ht="24" customHeight="1" x14ac:dyDescent="0.2">
      <c r="A51" s="1258">
        <f t="shared" si="0"/>
        <v>37</v>
      </c>
      <c r="B51" s="1265" t="s">
        <v>4734</v>
      </c>
      <c r="C51" s="1266">
        <v>0</v>
      </c>
      <c r="D51" s="1266">
        <v>22</v>
      </c>
      <c r="E51" s="1266">
        <v>22</v>
      </c>
      <c r="F51" s="1261">
        <f t="shared" si="2"/>
        <v>100</v>
      </c>
      <c r="G51" s="1262" t="s">
        <v>4199</v>
      </c>
      <c r="H51" s="1263" t="s">
        <v>133</v>
      </c>
    </row>
    <row r="52" spans="1:8" s="1224" customFormat="1" ht="24" customHeight="1" x14ac:dyDescent="0.2">
      <c r="A52" s="1258">
        <f t="shared" si="0"/>
        <v>38</v>
      </c>
      <c r="B52" s="1265" t="s">
        <v>4735</v>
      </c>
      <c r="C52" s="1266">
        <v>0</v>
      </c>
      <c r="D52" s="1266">
        <v>50</v>
      </c>
      <c r="E52" s="1266">
        <v>50</v>
      </c>
      <c r="F52" s="1261">
        <f t="shared" si="2"/>
        <v>100</v>
      </c>
      <c r="G52" s="1262" t="s">
        <v>4199</v>
      </c>
      <c r="H52" s="1263" t="s">
        <v>133</v>
      </c>
    </row>
    <row r="53" spans="1:8" s="1271" customFormat="1" ht="13.5" customHeight="1" thickBot="1" x14ac:dyDescent="0.25">
      <c r="A53" s="1456" t="s">
        <v>477</v>
      </c>
      <c r="B53" s="1457"/>
      <c r="C53" s="1267">
        <f>SUM(C15:C52)</f>
        <v>63700</v>
      </c>
      <c r="D53" s="1267">
        <f>SUM(D15:D52)</f>
        <v>141997.09700000001</v>
      </c>
      <c r="E53" s="1267">
        <f>SUM(E15:E52)</f>
        <v>98324.694399999993</v>
      </c>
      <c r="F53" s="1268">
        <f t="shared" si="2"/>
        <v>69.244158139373781</v>
      </c>
      <c r="G53" s="1269"/>
      <c r="H53" s="1270"/>
    </row>
    <row r="54" spans="1:8" s="1229" customFormat="1" ht="18" customHeight="1" thickBot="1" x14ac:dyDescent="0.2">
      <c r="A54" s="1272" t="s">
        <v>4190</v>
      </c>
      <c r="B54" s="1273"/>
      <c r="C54" s="1274"/>
      <c r="D54" s="1274"/>
      <c r="E54" s="1275"/>
      <c r="F54" s="1276"/>
      <c r="G54" s="1277"/>
      <c r="H54" s="1278"/>
    </row>
    <row r="55" spans="1:8" s="1224" customFormat="1" ht="35.25" customHeight="1" x14ac:dyDescent="0.2">
      <c r="A55" s="1279">
        <f>A52+1</f>
        <v>39</v>
      </c>
      <c r="B55" s="1280" t="s">
        <v>4736</v>
      </c>
      <c r="C55" s="1281">
        <v>4500</v>
      </c>
      <c r="D55" s="1281">
        <v>3675</v>
      </c>
      <c r="E55" s="1281">
        <v>3675</v>
      </c>
      <c r="F55" s="1282">
        <f>E55/D55*100</f>
        <v>100</v>
      </c>
      <c r="G55" s="1283" t="s">
        <v>4197</v>
      </c>
      <c r="H55" s="1284" t="s">
        <v>133</v>
      </c>
    </row>
    <row r="56" spans="1:8" s="1224" customFormat="1" ht="24" customHeight="1" x14ac:dyDescent="0.2">
      <c r="A56" s="1258">
        <f t="shared" ref="A56" si="3">A55+1</f>
        <v>40</v>
      </c>
      <c r="B56" s="1259" t="s">
        <v>4737</v>
      </c>
      <c r="C56" s="1260">
        <v>0</v>
      </c>
      <c r="D56" s="1260">
        <v>20.029999999999998</v>
      </c>
      <c r="E56" s="1260">
        <v>20.022500000000001</v>
      </c>
      <c r="F56" s="1261">
        <f>E56/D56*100</f>
        <v>99.962556165751394</v>
      </c>
      <c r="G56" s="1262" t="s">
        <v>4197</v>
      </c>
      <c r="H56" s="1263" t="s">
        <v>133</v>
      </c>
    </row>
    <row r="57" spans="1:8" s="1224" customFormat="1" ht="13.5" customHeight="1" thickBot="1" x14ac:dyDescent="0.25">
      <c r="A57" s="1456" t="s">
        <v>477</v>
      </c>
      <c r="B57" s="1457"/>
      <c r="C57" s="1267">
        <f>SUM(C55:C56)</f>
        <v>4500</v>
      </c>
      <c r="D57" s="1267">
        <f>SUM(D55:D56)</f>
        <v>3695.03</v>
      </c>
      <c r="E57" s="1267">
        <f>SUM(E55:E56)</f>
        <v>3695.0225</v>
      </c>
      <c r="F57" s="1268">
        <f>E57/D57*100</f>
        <v>99.999797024652025</v>
      </c>
      <c r="G57" s="1269"/>
      <c r="H57" s="1270"/>
    </row>
    <row r="58" spans="1:8" ht="18" customHeight="1" thickBot="1" x14ac:dyDescent="0.2">
      <c r="A58" s="1251" t="s">
        <v>4220</v>
      </c>
      <c r="B58" s="1285"/>
      <c r="C58" s="1286"/>
      <c r="D58" s="1286"/>
      <c r="E58" s="1287"/>
      <c r="F58" s="1255"/>
      <c r="G58" s="1256"/>
      <c r="H58" s="1288"/>
    </row>
    <row r="59" spans="1:8" s="1224" customFormat="1" ht="24.75" customHeight="1" x14ac:dyDescent="0.2">
      <c r="A59" s="1279">
        <f>A56+1</f>
        <v>41</v>
      </c>
      <c r="B59" s="1259" t="s">
        <v>496</v>
      </c>
      <c r="C59" s="1260">
        <v>0</v>
      </c>
      <c r="D59" s="1260">
        <v>250</v>
      </c>
      <c r="E59" s="1260">
        <v>250</v>
      </c>
      <c r="F59" s="1261">
        <f>E59/D59*100</f>
        <v>100</v>
      </c>
      <c r="G59" s="1262" t="s">
        <v>4199</v>
      </c>
      <c r="H59" s="1263" t="s">
        <v>133</v>
      </c>
    </row>
    <row r="60" spans="1:8" s="1224" customFormat="1" ht="24" customHeight="1" x14ac:dyDescent="0.2">
      <c r="A60" s="1258">
        <f t="shared" ref="A60" si="4">A59+1</f>
        <v>42</v>
      </c>
      <c r="B60" s="1259" t="s">
        <v>494</v>
      </c>
      <c r="C60" s="1260">
        <v>0</v>
      </c>
      <c r="D60" s="1260">
        <v>75</v>
      </c>
      <c r="E60" s="1260">
        <v>75</v>
      </c>
      <c r="F60" s="1261">
        <f>E60/D60*100</f>
        <v>100</v>
      </c>
      <c r="G60" s="1262" t="s">
        <v>4199</v>
      </c>
      <c r="H60" s="1263" t="s">
        <v>133</v>
      </c>
    </row>
    <row r="61" spans="1:8" s="1224" customFormat="1" ht="13.5" customHeight="1" thickBot="1" x14ac:dyDescent="0.25">
      <c r="A61" s="1456" t="s">
        <v>477</v>
      </c>
      <c r="B61" s="1457"/>
      <c r="C61" s="1267">
        <f>SUM(C59:C60)</f>
        <v>0</v>
      </c>
      <c r="D61" s="1267">
        <f>SUM(D59:D60)</f>
        <v>325</v>
      </c>
      <c r="E61" s="1267">
        <f>SUM(E59:E60)</f>
        <v>325</v>
      </c>
      <c r="F61" s="1289">
        <f>E61/D61*100</f>
        <v>100</v>
      </c>
      <c r="G61" s="1269"/>
      <c r="H61" s="1290"/>
    </row>
    <row r="62" spans="1:8" ht="18" customHeight="1" thickBot="1" x14ac:dyDescent="0.2">
      <c r="A62" s="1251" t="s">
        <v>4192</v>
      </c>
      <c r="B62" s="1252"/>
      <c r="C62" s="1253"/>
      <c r="D62" s="1253"/>
      <c r="E62" s="1254"/>
      <c r="F62" s="1255"/>
      <c r="G62" s="1256"/>
      <c r="H62" s="1288"/>
    </row>
    <row r="63" spans="1:8" s="1224" customFormat="1" ht="31.5" x14ac:dyDescent="0.2">
      <c r="A63" s="1279">
        <f>A60+1</f>
        <v>43</v>
      </c>
      <c r="B63" s="1259" t="s">
        <v>1397</v>
      </c>
      <c r="C63" s="1260">
        <v>2306</v>
      </c>
      <c r="D63" s="1260">
        <v>1972.7499999999998</v>
      </c>
      <c r="E63" s="1260">
        <v>1658.7498099999998</v>
      </c>
      <c r="F63" s="1261">
        <f t="shared" ref="F63:F69" si="5">E63/D63*100</f>
        <v>84.083123051577743</v>
      </c>
      <c r="G63" s="1291" t="s">
        <v>4199</v>
      </c>
      <c r="H63" s="1263" t="s">
        <v>4738</v>
      </c>
    </row>
    <row r="64" spans="1:8" s="1224" customFormat="1" ht="24" customHeight="1" x14ac:dyDescent="0.2">
      <c r="A64" s="1258">
        <f t="shared" ref="A64:A70" si="6">A63+1</f>
        <v>44</v>
      </c>
      <c r="B64" s="1259" t="s">
        <v>1398</v>
      </c>
      <c r="C64" s="1260">
        <v>0</v>
      </c>
      <c r="D64" s="1260">
        <v>4.5999999999999996</v>
      </c>
      <c r="E64" s="1260">
        <v>4.5979999999999999</v>
      </c>
      <c r="F64" s="1261">
        <f t="shared" si="5"/>
        <v>99.956521739130437</v>
      </c>
      <c r="G64" s="1291" t="s">
        <v>4199</v>
      </c>
      <c r="H64" s="1263" t="s">
        <v>133</v>
      </c>
    </row>
    <row r="65" spans="1:8" s="1224" customFormat="1" ht="84" x14ac:dyDescent="0.2">
      <c r="A65" s="1258">
        <f t="shared" si="6"/>
        <v>45</v>
      </c>
      <c r="B65" s="1259" t="s">
        <v>4739</v>
      </c>
      <c r="C65" s="1260">
        <v>0</v>
      </c>
      <c r="D65" s="1260">
        <v>200</v>
      </c>
      <c r="E65" s="1260">
        <v>0</v>
      </c>
      <c r="F65" s="1261">
        <f t="shared" si="5"/>
        <v>0</v>
      </c>
      <c r="G65" s="1292" t="s">
        <v>4203</v>
      </c>
      <c r="H65" s="1263" t="s">
        <v>4740</v>
      </c>
    </row>
    <row r="66" spans="1:8" s="1224" customFormat="1" ht="136.5" x14ac:dyDescent="0.2">
      <c r="A66" s="1258">
        <f t="shared" si="6"/>
        <v>46</v>
      </c>
      <c r="B66" s="1259" t="s">
        <v>4741</v>
      </c>
      <c r="C66" s="1260">
        <v>0</v>
      </c>
      <c r="D66" s="1260">
        <v>250</v>
      </c>
      <c r="E66" s="1260">
        <v>0</v>
      </c>
      <c r="F66" s="1261">
        <f t="shared" si="5"/>
        <v>0</v>
      </c>
      <c r="G66" s="1292" t="s">
        <v>4203</v>
      </c>
      <c r="H66" s="1263" t="s">
        <v>4742</v>
      </c>
    </row>
    <row r="67" spans="1:8" s="1224" customFormat="1" ht="126" x14ac:dyDescent="0.2">
      <c r="A67" s="1258">
        <f t="shared" si="6"/>
        <v>47</v>
      </c>
      <c r="B67" s="1259" t="s">
        <v>4743</v>
      </c>
      <c r="C67" s="1260">
        <v>0</v>
      </c>
      <c r="D67" s="1260">
        <v>500</v>
      </c>
      <c r="E67" s="1260">
        <v>0</v>
      </c>
      <c r="F67" s="1261">
        <f t="shared" si="5"/>
        <v>0</v>
      </c>
      <c r="G67" s="1292" t="s">
        <v>4203</v>
      </c>
      <c r="H67" s="1263" t="s">
        <v>4744</v>
      </c>
    </row>
    <row r="68" spans="1:8" s="1224" customFormat="1" ht="126" x14ac:dyDescent="0.2">
      <c r="A68" s="1258">
        <f t="shared" si="6"/>
        <v>48</v>
      </c>
      <c r="B68" s="1259" t="s">
        <v>4745</v>
      </c>
      <c r="C68" s="1260">
        <v>0</v>
      </c>
      <c r="D68" s="1260">
        <v>200</v>
      </c>
      <c r="E68" s="1260">
        <v>0</v>
      </c>
      <c r="F68" s="1261">
        <f t="shared" si="5"/>
        <v>0</v>
      </c>
      <c r="G68" s="1292" t="s">
        <v>4203</v>
      </c>
      <c r="H68" s="1263" t="s">
        <v>4746</v>
      </c>
    </row>
    <row r="69" spans="1:8" s="1224" customFormat="1" ht="136.5" x14ac:dyDescent="0.2">
      <c r="A69" s="1258">
        <f t="shared" si="6"/>
        <v>49</v>
      </c>
      <c r="B69" s="1259" t="s">
        <v>4747</v>
      </c>
      <c r="C69" s="1260">
        <v>0</v>
      </c>
      <c r="D69" s="1260">
        <v>400</v>
      </c>
      <c r="E69" s="1260">
        <v>0</v>
      </c>
      <c r="F69" s="1261">
        <f t="shared" si="5"/>
        <v>0</v>
      </c>
      <c r="G69" s="1292" t="s">
        <v>4203</v>
      </c>
      <c r="H69" s="1263" t="s">
        <v>4748</v>
      </c>
    </row>
    <row r="70" spans="1:8" s="1224" customFormat="1" ht="31.5" x14ac:dyDescent="0.2">
      <c r="A70" s="1258">
        <f t="shared" si="6"/>
        <v>50</v>
      </c>
      <c r="B70" s="1259" t="s">
        <v>4749</v>
      </c>
      <c r="C70" s="1260">
        <v>1000</v>
      </c>
      <c r="D70" s="1260">
        <v>0</v>
      </c>
      <c r="E70" s="1260">
        <v>0</v>
      </c>
      <c r="F70" s="1261" t="s">
        <v>279</v>
      </c>
      <c r="G70" s="1262" t="s">
        <v>4197</v>
      </c>
      <c r="H70" s="1263" t="s">
        <v>4750</v>
      </c>
    </row>
    <row r="71" spans="1:8" s="1224" customFormat="1" ht="13.5" customHeight="1" thickBot="1" x14ac:dyDescent="0.25">
      <c r="A71" s="1456" t="s">
        <v>477</v>
      </c>
      <c r="B71" s="1457"/>
      <c r="C71" s="1267">
        <f>SUM(C63:C70)</f>
        <v>3306</v>
      </c>
      <c r="D71" s="1267">
        <f>SUM(D63:D70)</f>
        <v>3527.3499999999995</v>
      </c>
      <c r="E71" s="1267">
        <f>SUM(E63:E70)</f>
        <v>1663.3478099999998</v>
      </c>
      <c r="F71" s="1289">
        <f>E71/D71*100</f>
        <v>47.155734758388022</v>
      </c>
      <c r="G71" s="1269"/>
      <c r="H71" s="1293"/>
    </row>
    <row r="72" spans="1:8" s="1243" customFormat="1" x14ac:dyDescent="0.2">
      <c r="A72" s="1294"/>
      <c r="B72" s="1295"/>
      <c r="C72" s="1294"/>
      <c r="D72" s="1294"/>
      <c r="E72" s="1294"/>
      <c r="F72" s="1296"/>
      <c r="G72" s="1297"/>
      <c r="H72" s="1298"/>
    </row>
  </sheetData>
  <mergeCells count="11">
    <mergeCell ref="A9:B9"/>
    <mergeCell ref="A53:B53"/>
    <mergeCell ref="A57:B57"/>
    <mergeCell ref="A61:B61"/>
    <mergeCell ref="A71:B71"/>
    <mergeCell ref="A8:B8"/>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8" firstPageNumber="309" fitToHeight="0" orientation="landscape" useFirstPageNumber="1" r:id="rId1"/>
  <headerFooter alignWithMargins="0">
    <oddHeader>&amp;L&amp;"Tahoma,Kurzíva"&amp;9Závěrečný účet za rok 2015&amp;R&amp;"Tahoma,Kurzíva"&amp;9Tabulka č. 18</oddHeader>
    <oddFooter>&amp;C&amp;"Tahoma,Obyčejné"&amp;P</oddFooter>
  </headerFooter>
  <rowBreaks count="1" manualBreakCount="1">
    <brk id="19"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zoomScaleNormal="100" zoomScaleSheetLayoutView="100" workbookViewId="0">
      <selection activeCell="K2" sqref="K2"/>
    </sheetView>
  </sheetViews>
  <sheetFormatPr defaultRowHeight="10.5" x14ac:dyDescent="0.2"/>
  <cols>
    <col min="1" max="1" width="6.42578125" style="976" customWidth="1"/>
    <col min="2" max="2" width="42.7109375" style="977" customWidth="1"/>
    <col min="3" max="4" width="13.140625" style="978" customWidth="1"/>
    <col min="5" max="5" width="12.140625" style="976" customWidth="1"/>
    <col min="6" max="6" width="8" style="979" customWidth="1"/>
    <col min="7" max="7" width="8.7109375" style="980" customWidth="1"/>
    <col min="8" max="8" width="42.7109375" style="981" customWidth="1"/>
    <col min="9" max="9" width="8.5703125" style="976" customWidth="1"/>
    <col min="10" max="16384" width="9.140625" style="976"/>
  </cols>
  <sheetData>
    <row r="1" spans="1:9" s="975" customFormat="1" ht="18" customHeight="1" x14ac:dyDescent="0.2">
      <c r="A1" s="1325" t="s">
        <v>4751</v>
      </c>
      <c r="B1" s="1325"/>
      <c r="C1" s="1325"/>
      <c r="D1" s="1325"/>
      <c r="E1" s="1325"/>
      <c r="F1" s="1325"/>
      <c r="G1" s="1325"/>
      <c r="H1" s="1325"/>
    </row>
    <row r="2" spans="1:9" ht="12" customHeight="1" x14ac:dyDescent="0.2"/>
    <row r="3" spans="1:9" ht="12" customHeight="1" thickBot="1" x14ac:dyDescent="0.2">
      <c r="A3" s="982"/>
      <c r="F3" s="983" t="s">
        <v>4184</v>
      </c>
    </row>
    <row r="4" spans="1:9" ht="23.25" customHeight="1" x14ac:dyDescent="0.2">
      <c r="A4" s="1438"/>
      <c r="B4" s="1439"/>
      <c r="C4" s="984" t="s">
        <v>4185</v>
      </c>
      <c r="D4" s="984" t="s">
        <v>4186</v>
      </c>
      <c r="E4" s="984" t="s">
        <v>4187</v>
      </c>
      <c r="F4" s="985" t="s">
        <v>4188</v>
      </c>
      <c r="G4" s="986"/>
      <c r="H4" s="987"/>
    </row>
    <row r="5" spans="1:9" ht="12.75" customHeight="1" x14ac:dyDescent="0.2">
      <c r="A5" s="1436" t="s">
        <v>4189</v>
      </c>
      <c r="B5" s="1437"/>
      <c r="C5" s="988">
        <f>C33</f>
        <v>224902</v>
      </c>
      <c r="D5" s="988">
        <f>D33</f>
        <v>485318.17700000003</v>
      </c>
      <c r="E5" s="988">
        <f>E33</f>
        <v>204842.20414000002</v>
      </c>
      <c r="F5" s="989">
        <f>E5/D5*100</f>
        <v>42.207816201370093</v>
      </c>
      <c r="G5" s="990"/>
      <c r="H5" s="991"/>
    </row>
    <row r="6" spans="1:9" ht="12.75" customHeight="1" x14ac:dyDescent="0.2">
      <c r="A6" s="1436" t="s">
        <v>4191</v>
      </c>
      <c r="B6" s="1437"/>
      <c r="C6" s="992">
        <f>C38</f>
        <v>22014</v>
      </c>
      <c r="D6" s="992">
        <f>D38</f>
        <v>25839.919999999998</v>
      </c>
      <c r="E6" s="992">
        <f>E38</f>
        <v>22449.981629999998</v>
      </c>
      <c r="F6" s="989">
        <f>E6/D6*100</f>
        <v>86.88100284366206</v>
      </c>
      <c r="G6" s="990"/>
      <c r="H6" s="991"/>
    </row>
    <row r="7" spans="1:9" s="982" customFormat="1" ht="13.5" customHeight="1" thickBot="1" x14ac:dyDescent="0.25">
      <c r="A7" s="1440" t="s">
        <v>477</v>
      </c>
      <c r="B7" s="1441"/>
      <c r="C7" s="993">
        <f>SUM(C5:C6)</f>
        <v>246916</v>
      </c>
      <c r="D7" s="994">
        <f>SUM(D5:D6)</f>
        <v>511158.09700000001</v>
      </c>
      <c r="E7" s="993">
        <f>SUM(E5:E6)</f>
        <v>227292.18577000001</v>
      </c>
      <c r="F7" s="995">
        <f>E7/D7*100</f>
        <v>44.466122537035737</v>
      </c>
      <c r="G7" s="990"/>
      <c r="H7" s="991"/>
    </row>
    <row r="8" spans="1:9" s="996" customFormat="1" ht="10.5" customHeight="1" x14ac:dyDescent="0.2">
      <c r="B8" s="997"/>
      <c r="C8" s="998"/>
      <c r="D8" s="998"/>
      <c r="E8" s="998"/>
      <c r="F8" s="999"/>
      <c r="G8" s="1000"/>
      <c r="H8" s="1001"/>
      <c r="I8" s="982"/>
    </row>
    <row r="9" spans="1:9" s="996" customFormat="1" ht="10.5" customHeight="1" x14ac:dyDescent="0.2">
      <c r="B9" s="997"/>
      <c r="C9" s="998"/>
      <c r="D9" s="998"/>
      <c r="E9" s="998"/>
      <c r="F9" s="999"/>
      <c r="G9" s="1000"/>
      <c r="H9" s="1001"/>
      <c r="I9" s="982"/>
    </row>
    <row r="10" spans="1:9" s="996" customFormat="1" ht="10.5" customHeight="1" thickBot="1" x14ac:dyDescent="0.2">
      <c r="B10" s="997"/>
      <c r="C10" s="998"/>
      <c r="D10" s="998"/>
      <c r="E10" s="998"/>
      <c r="F10" s="999"/>
      <c r="G10" s="1000"/>
      <c r="H10" s="983" t="s">
        <v>4184</v>
      </c>
      <c r="I10" s="982"/>
    </row>
    <row r="11" spans="1:9" ht="28.5" customHeight="1" thickBot="1" x14ac:dyDescent="0.25">
      <c r="A11" s="1002" t="s">
        <v>4193</v>
      </c>
      <c r="B11" s="1003" t="s">
        <v>665</v>
      </c>
      <c r="C11" s="1004" t="s">
        <v>4185</v>
      </c>
      <c r="D11" s="1004" t="s">
        <v>4186</v>
      </c>
      <c r="E11" s="1004" t="s">
        <v>4187</v>
      </c>
      <c r="F11" s="1004" t="s">
        <v>4188</v>
      </c>
      <c r="G11" s="1004" t="s">
        <v>4194</v>
      </c>
      <c r="H11" s="1005" t="s">
        <v>4195</v>
      </c>
      <c r="I11" s="1134"/>
    </row>
    <row r="12" spans="1:9" ht="15" customHeight="1" thickBot="1" x14ac:dyDescent="0.2">
      <c r="A12" s="1196" t="s">
        <v>4196</v>
      </c>
      <c r="B12" s="1208"/>
      <c r="C12" s="1209"/>
      <c r="D12" s="1209"/>
      <c r="E12" s="1210"/>
      <c r="F12" s="1200"/>
      <c r="G12" s="1187"/>
      <c r="H12" s="1211"/>
      <c r="I12" s="1134"/>
    </row>
    <row r="13" spans="1:9" s="1019" customFormat="1" ht="13.5" customHeight="1" x14ac:dyDescent="0.2">
      <c r="A13" s="1020">
        <v>1</v>
      </c>
      <c r="B13" s="1031" t="s">
        <v>4752</v>
      </c>
      <c r="C13" s="1106">
        <v>1200</v>
      </c>
      <c r="D13" s="1106">
        <v>872.3</v>
      </c>
      <c r="E13" s="1106">
        <v>872.22850000000005</v>
      </c>
      <c r="F13" s="1107">
        <f t="shared" ref="F13:F33" si="0">E13/D13*100</f>
        <v>99.991803278688536</v>
      </c>
      <c r="G13" s="1027" t="s">
        <v>4197</v>
      </c>
      <c r="H13" s="1025" t="s">
        <v>133</v>
      </c>
      <c r="I13" s="1083"/>
    </row>
    <row r="14" spans="1:9" s="1019" customFormat="1" ht="52.5" x14ac:dyDescent="0.15">
      <c r="A14" s="1020">
        <f>A13+1</f>
        <v>2</v>
      </c>
      <c r="B14" s="1031" t="s">
        <v>4753</v>
      </c>
      <c r="C14" s="1106">
        <v>400</v>
      </c>
      <c r="D14" s="1106">
        <v>300</v>
      </c>
      <c r="E14" s="1106">
        <v>218.29415</v>
      </c>
      <c r="F14" s="1107">
        <f t="shared" si="0"/>
        <v>72.764716666666658</v>
      </c>
      <c r="G14" s="1027" t="s">
        <v>4197</v>
      </c>
      <c r="H14" s="1092" t="s">
        <v>4754</v>
      </c>
      <c r="I14" s="1309"/>
    </row>
    <row r="15" spans="1:9" s="1019" customFormat="1" ht="52.5" x14ac:dyDescent="0.15">
      <c r="A15" s="1020">
        <f t="shared" ref="A15:A32" si="1">A14+1</f>
        <v>3</v>
      </c>
      <c r="B15" s="1031" t="s">
        <v>4755</v>
      </c>
      <c r="C15" s="1106">
        <v>55000</v>
      </c>
      <c r="D15" s="1106">
        <v>37306.400000000001</v>
      </c>
      <c r="E15" s="1106">
        <v>36003.647419999994</v>
      </c>
      <c r="F15" s="1107">
        <f t="shared" si="0"/>
        <v>96.50796490682562</v>
      </c>
      <c r="G15" s="1027" t="s">
        <v>4197</v>
      </c>
      <c r="H15" s="1025" t="s">
        <v>4756</v>
      </c>
      <c r="I15" s="1309"/>
    </row>
    <row r="16" spans="1:9" s="1019" customFormat="1" ht="45" customHeight="1" x14ac:dyDescent="0.15">
      <c r="A16" s="1020">
        <f t="shared" si="1"/>
        <v>4</v>
      </c>
      <c r="B16" s="1031" t="s">
        <v>4757</v>
      </c>
      <c r="C16" s="1106">
        <v>36300</v>
      </c>
      <c r="D16" s="1106">
        <v>37576.549999999996</v>
      </c>
      <c r="E16" s="1106">
        <v>-334.82424999999785</v>
      </c>
      <c r="F16" s="1107">
        <f t="shared" si="0"/>
        <v>-0.89104574528528524</v>
      </c>
      <c r="G16" s="1027" t="s">
        <v>4197</v>
      </c>
      <c r="H16" s="1092" t="s">
        <v>4758</v>
      </c>
      <c r="I16" s="1309"/>
    </row>
    <row r="17" spans="1:9" s="1019" customFormat="1" ht="31.5" x14ac:dyDescent="0.2">
      <c r="A17" s="1020">
        <f t="shared" si="1"/>
        <v>5</v>
      </c>
      <c r="B17" s="1031" t="s">
        <v>1233</v>
      </c>
      <c r="C17" s="1106">
        <v>4500</v>
      </c>
      <c r="D17" s="1106">
        <v>4500</v>
      </c>
      <c r="E17" s="1106">
        <v>4500</v>
      </c>
      <c r="F17" s="1107">
        <f t="shared" si="0"/>
        <v>100</v>
      </c>
      <c r="G17" s="1027" t="s">
        <v>4197</v>
      </c>
      <c r="H17" s="1025" t="s">
        <v>133</v>
      </c>
      <c r="I17" s="1083"/>
    </row>
    <row r="18" spans="1:9" s="1019" customFormat="1" ht="12.75" customHeight="1" x14ac:dyDescent="0.2">
      <c r="A18" s="1020">
        <f t="shared" si="1"/>
        <v>6</v>
      </c>
      <c r="B18" s="1031" t="s">
        <v>4759</v>
      </c>
      <c r="C18" s="1106">
        <v>0</v>
      </c>
      <c r="D18" s="1106">
        <v>193.6</v>
      </c>
      <c r="E18" s="1106">
        <v>193.6</v>
      </c>
      <c r="F18" s="1107">
        <f t="shared" si="0"/>
        <v>100</v>
      </c>
      <c r="G18" s="1027" t="s">
        <v>4199</v>
      </c>
      <c r="H18" s="1025" t="s">
        <v>133</v>
      </c>
      <c r="I18" s="1083"/>
    </row>
    <row r="19" spans="1:9" s="1019" customFormat="1" ht="105" x14ac:dyDescent="0.2">
      <c r="A19" s="1020">
        <f t="shared" si="1"/>
        <v>7</v>
      </c>
      <c r="B19" s="1021" t="s">
        <v>4760</v>
      </c>
      <c r="C19" s="1081">
        <v>2510</v>
      </c>
      <c r="D19" s="1081">
        <v>968.07500000000005</v>
      </c>
      <c r="E19" s="1081">
        <v>291.46400000000006</v>
      </c>
      <c r="F19" s="1082">
        <f t="shared" si="0"/>
        <v>30.107584639619866</v>
      </c>
      <c r="G19" s="1026" t="s">
        <v>4197</v>
      </c>
      <c r="H19" s="1025" t="s">
        <v>4761</v>
      </c>
      <c r="I19" s="1083"/>
    </row>
    <row r="20" spans="1:9" s="1019" customFormat="1" ht="45" customHeight="1" x14ac:dyDescent="0.2">
      <c r="A20" s="1020">
        <f t="shared" si="1"/>
        <v>8</v>
      </c>
      <c r="B20" s="1021" t="s">
        <v>4762</v>
      </c>
      <c r="C20" s="1081">
        <v>34500</v>
      </c>
      <c r="D20" s="1081">
        <v>38412.9</v>
      </c>
      <c r="E20" s="1081">
        <v>36318.119500000001</v>
      </c>
      <c r="F20" s="1082">
        <f t="shared" si="0"/>
        <v>94.546674424477189</v>
      </c>
      <c r="G20" s="1026" t="s">
        <v>4197</v>
      </c>
      <c r="H20" s="1025" t="s">
        <v>4763</v>
      </c>
      <c r="I20" s="1083"/>
    </row>
    <row r="21" spans="1:9" s="1019" customFormat="1" ht="12.75" customHeight="1" x14ac:dyDescent="0.2">
      <c r="A21" s="1020">
        <f t="shared" si="1"/>
        <v>9</v>
      </c>
      <c r="B21" s="1021" t="s">
        <v>343</v>
      </c>
      <c r="C21" s="1081">
        <v>100</v>
      </c>
      <c r="D21" s="1081">
        <v>175</v>
      </c>
      <c r="E21" s="1081">
        <v>173.14156</v>
      </c>
      <c r="F21" s="1082">
        <f t="shared" si="0"/>
        <v>98.938034285714281</v>
      </c>
      <c r="G21" s="1026" t="s">
        <v>4197</v>
      </c>
      <c r="H21" s="1025" t="s">
        <v>133</v>
      </c>
      <c r="I21" s="1083"/>
    </row>
    <row r="22" spans="1:9" s="1019" customFormat="1" ht="12.75" customHeight="1" x14ac:dyDescent="0.2">
      <c r="A22" s="1020">
        <f t="shared" si="1"/>
        <v>10</v>
      </c>
      <c r="B22" s="1021" t="s">
        <v>4764</v>
      </c>
      <c r="C22" s="1081">
        <v>2000</v>
      </c>
      <c r="D22" s="1081">
        <v>5209.6000000000004</v>
      </c>
      <c r="E22" s="1081">
        <v>5205.1509999999998</v>
      </c>
      <c r="F22" s="1082">
        <f t="shared" si="0"/>
        <v>99.914599969287451</v>
      </c>
      <c r="G22" s="1026" t="s">
        <v>4197</v>
      </c>
      <c r="H22" s="1025" t="s">
        <v>133</v>
      </c>
      <c r="I22" s="1083"/>
    </row>
    <row r="23" spans="1:9" s="1019" customFormat="1" ht="34.5" customHeight="1" x14ac:dyDescent="0.2">
      <c r="A23" s="1020">
        <f t="shared" si="1"/>
        <v>11</v>
      </c>
      <c r="B23" s="1021" t="s">
        <v>4765</v>
      </c>
      <c r="C23" s="1081">
        <v>1500</v>
      </c>
      <c r="D23" s="1081">
        <v>1200</v>
      </c>
      <c r="E23" s="1081">
        <v>626.52300000000002</v>
      </c>
      <c r="F23" s="1082">
        <f t="shared" si="0"/>
        <v>52.210250000000002</v>
      </c>
      <c r="G23" s="1026" t="s">
        <v>4197</v>
      </c>
      <c r="H23" s="1299" t="s">
        <v>4766</v>
      </c>
      <c r="I23" s="1083"/>
    </row>
    <row r="24" spans="1:9" s="1019" customFormat="1" ht="34.5" customHeight="1" x14ac:dyDescent="0.2">
      <c r="A24" s="1020">
        <f t="shared" si="1"/>
        <v>12</v>
      </c>
      <c r="B24" s="1021" t="s">
        <v>4767</v>
      </c>
      <c r="C24" s="1081">
        <v>200</v>
      </c>
      <c r="D24" s="1081">
        <v>200</v>
      </c>
      <c r="E24" s="1081">
        <v>124.405</v>
      </c>
      <c r="F24" s="1082">
        <f t="shared" si="0"/>
        <v>62.202500000000008</v>
      </c>
      <c r="G24" s="1026" t="s">
        <v>4197</v>
      </c>
      <c r="H24" s="1141" t="s">
        <v>4768</v>
      </c>
      <c r="I24" s="1083"/>
    </row>
    <row r="25" spans="1:9" s="1019" customFormat="1" ht="45" customHeight="1" x14ac:dyDescent="0.2">
      <c r="A25" s="1020">
        <f t="shared" si="1"/>
        <v>13</v>
      </c>
      <c r="B25" s="1021" t="s">
        <v>4769</v>
      </c>
      <c r="C25" s="1081">
        <v>1692</v>
      </c>
      <c r="D25" s="1081">
        <v>1692</v>
      </c>
      <c r="E25" s="1081">
        <v>1373.0930900000001</v>
      </c>
      <c r="F25" s="1082">
        <f t="shared" si="0"/>
        <v>81.15207387706856</v>
      </c>
      <c r="G25" s="1026" t="s">
        <v>4197</v>
      </c>
      <c r="H25" s="1141" t="s">
        <v>4770</v>
      </c>
      <c r="I25" s="1083"/>
    </row>
    <row r="26" spans="1:9" s="1019" customFormat="1" ht="105" x14ac:dyDescent="0.2">
      <c r="A26" s="1020">
        <f t="shared" si="1"/>
        <v>14</v>
      </c>
      <c r="B26" s="1031" t="s">
        <v>4771</v>
      </c>
      <c r="C26" s="1106">
        <v>5000</v>
      </c>
      <c r="D26" s="1106">
        <v>2981.93</v>
      </c>
      <c r="E26" s="1106">
        <v>2409.2549999999997</v>
      </c>
      <c r="F26" s="1107">
        <f t="shared" si="0"/>
        <v>80.795156157253857</v>
      </c>
      <c r="G26" s="1027" t="s">
        <v>4197</v>
      </c>
      <c r="H26" s="1025" t="s">
        <v>4772</v>
      </c>
    </row>
    <row r="27" spans="1:9" s="1019" customFormat="1" ht="45" customHeight="1" x14ac:dyDescent="0.2">
      <c r="A27" s="1020">
        <f t="shared" si="1"/>
        <v>15</v>
      </c>
      <c r="B27" s="1021" t="s">
        <v>4773</v>
      </c>
      <c r="C27" s="1081">
        <v>0</v>
      </c>
      <c r="D27" s="1081">
        <v>36988</v>
      </c>
      <c r="E27" s="1081">
        <v>0</v>
      </c>
      <c r="F27" s="1082">
        <f t="shared" si="0"/>
        <v>0</v>
      </c>
      <c r="G27" s="1027" t="s">
        <v>4197</v>
      </c>
      <c r="H27" s="1025" t="s">
        <v>4774</v>
      </c>
    </row>
    <row r="28" spans="1:9" s="1019" customFormat="1" ht="63" x14ac:dyDescent="0.2">
      <c r="A28" s="1020">
        <f t="shared" si="1"/>
        <v>16</v>
      </c>
      <c r="B28" s="1021" t="s">
        <v>4775</v>
      </c>
      <c r="C28" s="1081">
        <v>50000</v>
      </c>
      <c r="D28" s="1081">
        <v>133517.913</v>
      </c>
      <c r="E28" s="1081">
        <v>0</v>
      </c>
      <c r="F28" s="1082">
        <f t="shared" si="0"/>
        <v>0</v>
      </c>
      <c r="G28" s="1027" t="s">
        <v>4197</v>
      </c>
      <c r="H28" s="1025" t="s">
        <v>4776</v>
      </c>
    </row>
    <row r="29" spans="1:9" s="1019" customFormat="1" ht="63" x14ac:dyDescent="0.2">
      <c r="A29" s="1020">
        <f t="shared" si="1"/>
        <v>17</v>
      </c>
      <c r="B29" s="1021" t="s">
        <v>4777</v>
      </c>
      <c r="C29" s="1081">
        <v>0</v>
      </c>
      <c r="D29" s="1081">
        <v>28872.37</v>
      </c>
      <c r="E29" s="1081">
        <v>0</v>
      </c>
      <c r="F29" s="1082">
        <f t="shared" si="0"/>
        <v>0</v>
      </c>
      <c r="G29" s="1027" t="s">
        <v>4197</v>
      </c>
      <c r="H29" s="1025" t="s">
        <v>4778</v>
      </c>
    </row>
    <row r="30" spans="1:9" s="1019" customFormat="1" ht="52.5" x14ac:dyDescent="0.2">
      <c r="A30" s="1020">
        <f t="shared" si="1"/>
        <v>18</v>
      </c>
      <c r="B30" s="1021" t="s">
        <v>4779</v>
      </c>
      <c r="C30" s="1081">
        <v>30000</v>
      </c>
      <c r="D30" s="1081">
        <v>19695</v>
      </c>
      <c r="E30" s="1081">
        <v>0</v>
      </c>
      <c r="F30" s="1082">
        <f t="shared" si="0"/>
        <v>0</v>
      </c>
      <c r="G30" s="1027" t="s">
        <v>4197</v>
      </c>
      <c r="H30" s="1025" t="s">
        <v>4780</v>
      </c>
    </row>
    <row r="31" spans="1:9" ht="168" x14ac:dyDescent="0.2">
      <c r="A31" s="1020">
        <f t="shared" si="1"/>
        <v>19</v>
      </c>
      <c r="B31" s="1031" t="s">
        <v>4781</v>
      </c>
      <c r="C31" s="1106">
        <v>0</v>
      </c>
      <c r="D31" s="1106">
        <f>21058.69+110568.4-0.025</f>
        <v>131627.065</v>
      </c>
      <c r="E31" s="1106">
        <f>9464.40009+104374.23549</f>
        <v>113838.63558</v>
      </c>
      <c r="F31" s="1107">
        <f t="shared" si="0"/>
        <v>86.485735726159362</v>
      </c>
      <c r="G31" s="1027" t="s">
        <v>4199</v>
      </c>
      <c r="H31" s="1025" t="s">
        <v>4782</v>
      </c>
      <c r="I31" s="1300"/>
    </row>
    <row r="32" spans="1:9" ht="12.75" customHeight="1" x14ac:dyDescent="0.2">
      <c r="A32" s="1020">
        <f t="shared" si="1"/>
        <v>20</v>
      </c>
      <c r="B32" s="1021" t="s">
        <v>4783</v>
      </c>
      <c r="C32" s="1081">
        <v>0</v>
      </c>
      <c r="D32" s="1081">
        <v>3029.4740000000002</v>
      </c>
      <c r="E32" s="1081">
        <v>3029.4705899999999</v>
      </c>
      <c r="F32" s="1082">
        <f t="shared" si="0"/>
        <v>99.999887439205608</v>
      </c>
      <c r="G32" s="1026" t="s">
        <v>4199</v>
      </c>
      <c r="H32" s="1025" t="s">
        <v>133</v>
      </c>
      <c r="I32" s="1134"/>
    </row>
    <row r="33" spans="1:10" s="1044" customFormat="1" ht="13.5" customHeight="1" thickBot="1" x14ac:dyDescent="0.25">
      <c r="A33" s="1442" t="s">
        <v>477</v>
      </c>
      <c r="B33" s="1443"/>
      <c r="C33" s="1039">
        <f>SUM(C13:C32)</f>
        <v>224902</v>
      </c>
      <c r="D33" s="1039">
        <f>SUM(D13:D32)</f>
        <v>485318.17700000003</v>
      </c>
      <c r="E33" s="1039">
        <f>SUM(E13:E32)</f>
        <v>204842.20414000002</v>
      </c>
      <c r="F33" s="1041">
        <f t="shared" si="0"/>
        <v>42.207816201370093</v>
      </c>
      <c r="G33" s="1042"/>
      <c r="H33" s="1043"/>
      <c r="I33" s="1084"/>
    </row>
    <row r="34" spans="1:10" ht="18" customHeight="1" thickBot="1" x14ac:dyDescent="0.2">
      <c r="A34" s="1196" t="s">
        <v>4220</v>
      </c>
      <c r="B34" s="1197"/>
      <c r="C34" s="1198"/>
      <c r="D34" s="1198"/>
      <c r="E34" s="1199"/>
      <c r="F34" s="1200"/>
      <c r="G34" s="1201"/>
      <c r="H34" s="1202"/>
      <c r="I34" s="1134"/>
    </row>
    <row r="35" spans="1:10" s="1019" customFormat="1" ht="199.5" x14ac:dyDescent="0.2">
      <c r="A35" s="1020">
        <f>A32+1</f>
        <v>21</v>
      </c>
      <c r="B35" s="1021" t="s">
        <v>643</v>
      </c>
      <c r="C35" s="1081">
        <v>22014</v>
      </c>
      <c r="D35" s="1081">
        <v>23129.739999999998</v>
      </c>
      <c r="E35" s="1081">
        <v>19772.732</v>
      </c>
      <c r="F35" s="1082">
        <f>E35/D35*100</f>
        <v>85.48618358874765</v>
      </c>
      <c r="G35" s="1026" t="s">
        <v>4203</v>
      </c>
      <c r="H35" s="1025" t="s">
        <v>4784</v>
      </c>
      <c r="I35" s="1083"/>
    </row>
    <row r="36" spans="1:10" s="1019" customFormat="1" ht="24" customHeight="1" x14ac:dyDescent="0.2">
      <c r="A36" s="1020">
        <f t="shared" ref="A36:A37" si="2">A35+1</f>
        <v>22</v>
      </c>
      <c r="B36" s="1031" t="s">
        <v>641</v>
      </c>
      <c r="C36" s="1106">
        <v>0</v>
      </c>
      <c r="D36" s="1106">
        <v>2190.1</v>
      </c>
      <c r="E36" s="1106">
        <v>2157.1880000000001</v>
      </c>
      <c r="F36" s="1107">
        <f>E36/D36*100</f>
        <v>98.497237569060786</v>
      </c>
      <c r="G36" s="1027" t="s">
        <v>4199</v>
      </c>
      <c r="H36" s="1025" t="s">
        <v>4785</v>
      </c>
      <c r="I36" s="1310"/>
      <c r="J36" s="1301"/>
    </row>
    <row r="37" spans="1:10" s="1019" customFormat="1" ht="12.75" customHeight="1" x14ac:dyDescent="0.2">
      <c r="A37" s="1020">
        <f t="shared" si="2"/>
        <v>23</v>
      </c>
      <c r="B37" s="1021" t="s">
        <v>639</v>
      </c>
      <c r="C37" s="1081">
        <v>0</v>
      </c>
      <c r="D37" s="1081">
        <v>520.07999999999993</v>
      </c>
      <c r="E37" s="1081">
        <v>520.06162999999992</v>
      </c>
      <c r="F37" s="1082">
        <f>E37/D37*100</f>
        <v>99.996467851099837</v>
      </c>
      <c r="G37" s="1026" t="s">
        <v>4199</v>
      </c>
      <c r="H37" s="1025" t="s">
        <v>133</v>
      </c>
      <c r="I37" s="1083"/>
      <c r="J37" s="1301"/>
    </row>
    <row r="38" spans="1:10" s="977" customFormat="1" ht="13.5" customHeight="1" thickBot="1" x14ac:dyDescent="0.35">
      <c r="A38" s="1442" t="s">
        <v>477</v>
      </c>
      <c r="B38" s="1443"/>
      <c r="C38" s="1039">
        <f>SUM(C35:C37)</f>
        <v>22014</v>
      </c>
      <c r="D38" s="1063">
        <f>SUM(D35:D37)</f>
        <v>25839.919999999998</v>
      </c>
      <c r="E38" s="1063">
        <f>SUM(E35:E37)</f>
        <v>22449.981629999998</v>
      </c>
      <c r="F38" s="1064">
        <f>E38/D38*100</f>
        <v>86.88100284366206</v>
      </c>
      <c r="G38" s="1042"/>
      <c r="H38" s="1065"/>
      <c r="I38" s="1302"/>
      <c r="J38" s="1303"/>
    </row>
    <row r="39" spans="1:10" x14ac:dyDescent="0.2">
      <c r="H39" s="1304"/>
      <c r="I39" s="1075"/>
    </row>
    <row r="40" spans="1:10" x14ac:dyDescent="0.2">
      <c r="H40" s="1305"/>
      <c r="I40" s="1075"/>
    </row>
  </sheetData>
  <mergeCells count="7">
    <mergeCell ref="A38:B38"/>
    <mergeCell ref="A1:H1"/>
    <mergeCell ref="A4:B4"/>
    <mergeCell ref="A5:B5"/>
    <mergeCell ref="A6:B6"/>
    <mergeCell ref="A7:B7"/>
    <mergeCell ref="A33:B33"/>
  </mergeCells>
  <printOptions horizontalCentered="1"/>
  <pageMargins left="0.31496062992125984" right="0.31496062992125984" top="0.51181102362204722" bottom="0.43307086614173229" header="0.31496062992125984" footer="0.23622047244094491"/>
  <pageSetup paperSize="9" scale="98" firstPageNumber="316" fitToHeight="0" orientation="landscape" useFirstPageNumber="1" r:id="rId1"/>
  <headerFooter alignWithMargins="0">
    <oddHeader>&amp;L&amp;"Tahoma,Kurzíva"&amp;9Závěrečný účet za rok 2015&amp;R&amp;"Tahoma,Kurzíva"&amp;9Tabulka č. 19</oddHeader>
    <oddFooter>&amp;C&amp;"Tahoma,Obyčejné"&amp;P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Normal="100" zoomScaleSheetLayoutView="100" workbookViewId="0">
      <selection activeCell="E2" sqref="E2"/>
    </sheetView>
  </sheetViews>
  <sheetFormatPr defaultRowHeight="15" x14ac:dyDescent="0.2"/>
  <cols>
    <col min="1" max="1" width="11.28515625" style="681" customWidth="1"/>
    <col min="2" max="2" width="60.42578125" style="682" customWidth="1"/>
    <col min="3" max="3" width="16.140625" style="693" customWidth="1"/>
    <col min="4" max="4" width="10.42578125" style="680" bestFit="1" customWidth="1"/>
    <col min="5" max="16384" width="9.140625" style="680"/>
  </cols>
  <sheetData>
    <row r="1" spans="1:4" ht="30" customHeight="1" x14ac:dyDescent="0.2">
      <c r="A1" s="1458" t="s">
        <v>1509</v>
      </c>
      <c r="B1" s="1458"/>
      <c r="C1" s="1458"/>
    </row>
    <row r="2" spans="1:4" ht="15.75" thickBot="1" x14ac:dyDescent="0.25">
      <c r="C2" s="683" t="s">
        <v>2</v>
      </c>
    </row>
    <row r="3" spans="1:4" ht="45.75" customHeight="1" thickBot="1" x14ac:dyDescent="0.25">
      <c r="A3" s="684" t="s">
        <v>1510</v>
      </c>
      <c r="B3" s="685" t="s">
        <v>1511</v>
      </c>
      <c r="C3" s="686" t="s">
        <v>1512</v>
      </c>
    </row>
    <row r="4" spans="1:4" ht="17.25" customHeight="1" thickBot="1" x14ac:dyDescent="0.25">
      <c r="A4" s="687">
        <v>95711</v>
      </c>
      <c r="B4" s="688" t="s">
        <v>1513</v>
      </c>
      <c r="C4" s="689">
        <v>3742.2545399999999</v>
      </c>
      <c r="D4" s="690"/>
    </row>
    <row r="5" spans="1:4" ht="18" customHeight="1" thickBot="1" x14ac:dyDescent="0.25">
      <c r="A5" s="1459" t="s">
        <v>1514</v>
      </c>
      <c r="B5" s="1460"/>
      <c r="C5" s="691">
        <f>SUM(C4)</f>
        <v>3742.2545399999999</v>
      </c>
    </row>
    <row r="11" spans="1:4" x14ac:dyDescent="0.2">
      <c r="C11" s="692"/>
    </row>
  </sheetData>
  <mergeCells count="2">
    <mergeCell ref="A1:C1"/>
    <mergeCell ref="A5:B5"/>
  </mergeCells>
  <printOptions horizontalCentered="1"/>
  <pageMargins left="0.39370078740157483" right="0.39370078740157483" top="0.59055118110236227" bottom="0.39370078740157483" header="0.31496062992125984" footer="0.11811023622047245"/>
  <pageSetup paperSize="9" firstPageNumber="319" fitToHeight="0" orientation="portrait" useFirstPageNumber="1" r:id="rId1"/>
  <headerFooter alignWithMargins="0">
    <oddHeader>&amp;L&amp;"Tahoma,Kurzíva"&amp;9Závěrečný účet za rok 2015&amp;R&amp;"Tahoma,Kurzíva"&amp;9Tabulka č. 20</oddHeader>
    <oddFooter>&amp;C&amp;"Tahoma,Obyčejné"&amp;P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zoomScaleNormal="100" zoomScaleSheetLayoutView="100" workbookViewId="0">
      <selection activeCell="E2" sqref="E2"/>
    </sheetView>
  </sheetViews>
  <sheetFormatPr defaultRowHeight="15" x14ac:dyDescent="0.2"/>
  <cols>
    <col min="1" max="1" width="11.28515625" style="695" customWidth="1"/>
    <col min="2" max="2" width="60.42578125" style="694" customWidth="1"/>
    <col min="3" max="3" width="16.140625" style="702" customWidth="1"/>
    <col min="4" max="4" width="9.140625" style="694" customWidth="1"/>
    <col min="5" max="16384" width="9.140625" style="694"/>
  </cols>
  <sheetData>
    <row r="1" spans="1:3" ht="30" customHeight="1" x14ac:dyDescent="0.2">
      <c r="A1" s="1461" t="s">
        <v>1515</v>
      </c>
      <c r="B1" s="1461"/>
      <c r="C1" s="1461"/>
    </row>
    <row r="2" spans="1:3" ht="15.75" customHeight="1" thickBot="1" x14ac:dyDescent="0.25">
      <c r="C2" s="696" t="s">
        <v>2</v>
      </c>
    </row>
    <row r="3" spans="1:3" ht="45.75" customHeight="1" thickBot="1" x14ac:dyDescent="0.25">
      <c r="A3" s="684" t="s">
        <v>1510</v>
      </c>
      <c r="B3" s="697" t="s">
        <v>1511</v>
      </c>
      <c r="C3" s="686" t="s">
        <v>1512</v>
      </c>
    </row>
    <row r="4" spans="1:3" x14ac:dyDescent="0.2">
      <c r="A4" s="687" t="s">
        <v>1516</v>
      </c>
      <c r="B4" s="688" t="s">
        <v>1517</v>
      </c>
      <c r="C4" s="698">
        <v>209.59190000000001</v>
      </c>
    </row>
    <row r="5" spans="1:3" x14ac:dyDescent="0.2">
      <c r="A5" s="699" t="s">
        <v>1518</v>
      </c>
      <c r="B5" s="700" t="s">
        <v>1519</v>
      </c>
      <c r="C5" s="689">
        <v>0</v>
      </c>
    </row>
    <row r="6" spans="1:3" x14ac:dyDescent="0.2">
      <c r="A6" s="699" t="s">
        <v>1520</v>
      </c>
      <c r="B6" s="700" t="s">
        <v>1521</v>
      </c>
      <c r="C6" s="689">
        <v>4.1900000000000001E-3</v>
      </c>
    </row>
    <row r="7" spans="1:3" x14ac:dyDescent="0.2">
      <c r="A7" s="699" t="s">
        <v>1522</v>
      </c>
      <c r="B7" s="700" t="s">
        <v>1523</v>
      </c>
      <c r="C7" s="689">
        <v>61.38832</v>
      </c>
    </row>
    <row r="8" spans="1:3" x14ac:dyDescent="0.2">
      <c r="A8" s="699" t="s">
        <v>1524</v>
      </c>
      <c r="B8" s="700" t="s">
        <v>1525</v>
      </c>
      <c r="C8" s="689">
        <v>4.0133599999999996</v>
      </c>
    </row>
    <row r="9" spans="1:3" x14ac:dyDescent="0.2">
      <c r="A9" s="699" t="s">
        <v>1526</v>
      </c>
      <c r="B9" s="700" t="s">
        <v>1527</v>
      </c>
      <c r="C9" s="689">
        <v>86.119960000000006</v>
      </c>
    </row>
    <row r="10" spans="1:3" ht="15.75" thickBot="1" x14ac:dyDescent="0.25">
      <c r="A10" s="699" t="s">
        <v>1528</v>
      </c>
      <c r="B10" s="700" t="s">
        <v>1529</v>
      </c>
      <c r="C10" s="689">
        <v>17.75216</v>
      </c>
    </row>
    <row r="11" spans="1:3" ht="15.75" thickBot="1" x14ac:dyDescent="0.25">
      <c r="A11" s="1462" t="s">
        <v>1530</v>
      </c>
      <c r="B11" s="1463"/>
      <c r="C11" s="701">
        <f>SUM(C4:C10)</f>
        <v>378.86989</v>
      </c>
    </row>
  </sheetData>
  <mergeCells count="2">
    <mergeCell ref="A1:C1"/>
    <mergeCell ref="A11:B11"/>
  </mergeCells>
  <printOptions horizontalCentered="1"/>
  <pageMargins left="0.39370078740157483" right="0.39370078740157483" top="0.59055118110236227" bottom="0.39370078740157483" header="0.31496062992125984" footer="0.11811023622047245"/>
  <pageSetup paperSize="9" firstPageNumber="320" fitToHeight="0" orientation="portrait" useFirstPageNumber="1" r:id="rId1"/>
  <headerFooter alignWithMargins="0">
    <oddHeader>&amp;L&amp;"Tahoma,Kurzíva"&amp;9Závěrečný účet za rok 2015&amp;R&amp;"Tahoma,Kurzíva"&amp;9Tabulka č. 21</oddHeader>
    <oddFooter>&amp;C&amp;"Tahoma,Obyčejné"&amp;P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7"/>
  <sheetViews>
    <sheetView zoomScaleNormal="100" zoomScaleSheetLayoutView="100" workbookViewId="0">
      <selection activeCell="E2" sqref="E2"/>
    </sheetView>
  </sheetViews>
  <sheetFormatPr defaultRowHeight="15" x14ac:dyDescent="0.2"/>
  <cols>
    <col min="1" max="1" width="11.28515625" style="703" customWidth="1"/>
    <col min="2" max="2" width="60.42578125" style="682" customWidth="1"/>
    <col min="3" max="3" width="16.140625" style="693" customWidth="1"/>
    <col min="4" max="5" width="9.140625" style="680"/>
    <col min="6" max="6" width="7.85546875" style="680" bestFit="1" customWidth="1"/>
    <col min="7" max="16384" width="9.140625" style="680"/>
  </cols>
  <sheetData>
    <row r="1" spans="1:3" ht="33.75" customHeight="1" x14ac:dyDescent="0.2">
      <c r="A1" s="1461" t="s">
        <v>1531</v>
      </c>
      <c r="B1" s="1461"/>
      <c r="C1" s="1461"/>
    </row>
    <row r="2" spans="1:3" ht="15.75" customHeight="1" thickBot="1" x14ac:dyDescent="0.25">
      <c r="C2" s="704" t="s">
        <v>2</v>
      </c>
    </row>
    <row r="3" spans="1:3" s="705" customFormat="1" ht="45.75" customHeight="1" thickBot="1" x14ac:dyDescent="0.25">
      <c r="A3" s="684" t="s">
        <v>1510</v>
      </c>
      <c r="B3" s="685" t="s">
        <v>1511</v>
      </c>
      <c r="C3" s="686" t="s">
        <v>1512</v>
      </c>
    </row>
    <row r="4" spans="1:3" s="705" customFormat="1" ht="15" customHeight="1" x14ac:dyDescent="0.2">
      <c r="A4" s="706" t="s">
        <v>1532</v>
      </c>
      <c r="B4" s="707" t="s">
        <v>1533</v>
      </c>
      <c r="C4" s="698">
        <v>0</v>
      </c>
    </row>
    <row r="5" spans="1:3" s="705" customFormat="1" ht="15" customHeight="1" x14ac:dyDescent="0.2">
      <c r="A5" s="708" t="s">
        <v>1534</v>
      </c>
      <c r="B5" s="709" t="s">
        <v>1535</v>
      </c>
      <c r="C5" s="710">
        <v>0</v>
      </c>
    </row>
    <row r="6" spans="1:3" s="705" customFormat="1" ht="15" customHeight="1" x14ac:dyDescent="0.2">
      <c r="A6" s="708" t="s">
        <v>1536</v>
      </c>
      <c r="B6" s="709" t="s">
        <v>1537</v>
      </c>
      <c r="C6" s="710">
        <v>90.255340000000004</v>
      </c>
    </row>
    <row r="7" spans="1:3" s="705" customFormat="1" ht="15" customHeight="1" x14ac:dyDescent="0.2">
      <c r="A7" s="708" t="s">
        <v>1538</v>
      </c>
      <c r="B7" s="709" t="s">
        <v>1539</v>
      </c>
      <c r="C7" s="710">
        <v>0</v>
      </c>
    </row>
    <row r="8" spans="1:3" s="705" customFormat="1" ht="15" customHeight="1" x14ac:dyDescent="0.2">
      <c r="A8" s="708" t="s">
        <v>1540</v>
      </c>
      <c r="B8" s="709" t="s">
        <v>1541</v>
      </c>
      <c r="C8" s="710">
        <v>0</v>
      </c>
    </row>
    <row r="9" spans="1:3" s="705" customFormat="1" ht="12.75" x14ac:dyDescent="0.2">
      <c r="A9" s="708" t="s">
        <v>1542</v>
      </c>
      <c r="B9" s="711" t="s">
        <v>1543</v>
      </c>
      <c r="C9" s="712">
        <v>19.385079999999999</v>
      </c>
    </row>
    <row r="10" spans="1:3" s="705" customFormat="1" ht="15" customHeight="1" x14ac:dyDescent="0.2">
      <c r="A10" s="708" t="s">
        <v>1544</v>
      </c>
      <c r="B10" s="709" t="s">
        <v>1545</v>
      </c>
      <c r="C10" s="710">
        <v>0</v>
      </c>
    </row>
    <row r="11" spans="1:3" s="705" customFormat="1" ht="15" customHeight="1" x14ac:dyDescent="0.2">
      <c r="A11" s="708" t="s">
        <v>1546</v>
      </c>
      <c r="B11" s="709" t="s">
        <v>1547</v>
      </c>
      <c r="C11" s="710">
        <v>0</v>
      </c>
    </row>
    <row r="12" spans="1:3" s="705" customFormat="1" ht="15" customHeight="1" x14ac:dyDescent="0.2">
      <c r="A12" s="708" t="s">
        <v>1548</v>
      </c>
      <c r="B12" s="709" t="s">
        <v>1549</v>
      </c>
      <c r="C12" s="710">
        <v>0.97199999999999998</v>
      </c>
    </row>
    <row r="13" spans="1:3" s="705" customFormat="1" ht="15" customHeight="1" x14ac:dyDescent="0.2">
      <c r="A13" s="708" t="s">
        <v>1550</v>
      </c>
      <c r="B13" s="709" t="s">
        <v>1551</v>
      </c>
      <c r="C13" s="710">
        <v>0</v>
      </c>
    </row>
    <row r="14" spans="1:3" s="705" customFormat="1" ht="15" customHeight="1" x14ac:dyDescent="0.2">
      <c r="A14" s="708" t="s">
        <v>1552</v>
      </c>
      <c r="B14" s="709" t="s">
        <v>1553</v>
      </c>
      <c r="C14" s="710">
        <v>0</v>
      </c>
    </row>
    <row r="15" spans="1:3" s="705" customFormat="1" ht="15" customHeight="1" x14ac:dyDescent="0.2">
      <c r="A15" s="708" t="s">
        <v>1554</v>
      </c>
      <c r="B15" s="709" t="s">
        <v>1555</v>
      </c>
      <c r="C15" s="710">
        <v>2.1068600000000002</v>
      </c>
    </row>
    <row r="16" spans="1:3" s="705" customFormat="1" ht="15" customHeight="1" x14ac:dyDescent="0.2">
      <c r="A16" s="708" t="s">
        <v>1556</v>
      </c>
      <c r="B16" s="709" t="s">
        <v>1557</v>
      </c>
      <c r="C16" s="710">
        <v>0</v>
      </c>
    </row>
    <row r="17" spans="1:3" s="705" customFormat="1" ht="15" customHeight="1" x14ac:dyDescent="0.2">
      <c r="A17" s="713" t="s">
        <v>1558</v>
      </c>
      <c r="B17" s="714" t="s">
        <v>1559</v>
      </c>
      <c r="C17" s="710">
        <v>0</v>
      </c>
    </row>
    <row r="18" spans="1:3" s="705" customFormat="1" ht="15" customHeight="1" x14ac:dyDescent="0.2">
      <c r="A18" s="713" t="s">
        <v>1560</v>
      </c>
      <c r="B18" s="714" t="s">
        <v>1561</v>
      </c>
      <c r="C18" s="710">
        <v>0</v>
      </c>
    </row>
    <row r="19" spans="1:3" s="705" customFormat="1" ht="15" customHeight="1" x14ac:dyDescent="0.2">
      <c r="A19" s="713" t="s">
        <v>1562</v>
      </c>
      <c r="B19" s="714" t="s">
        <v>1563</v>
      </c>
      <c r="C19" s="710">
        <v>0</v>
      </c>
    </row>
    <row r="20" spans="1:3" s="705" customFormat="1" ht="15" customHeight="1" x14ac:dyDescent="0.2">
      <c r="A20" s="713" t="s">
        <v>1564</v>
      </c>
      <c r="B20" s="714" t="s">
        <v>1565</v>
      </c>
      <c r="C20" s="710">
        <v>0</v>
      </c>
    </row>
    <row r="21" spans="1:3" s="705" customFormat="1" ht="15" customHeight="1" x14ac:dyDescent="0.2">
      <c r="A21" s="713" t="s">
        <v>1566</v>
      </c>
      <c r="B21" s="714" t="s">
        <v>1567</v>
      </c>
      <c r="C21" s="710">
        <v>33.803629999999998</v>
      </c>
    </row>
    <row r="22" spans="1:3" s="705" customFormat="1" ht="15" customHeight="1" x14ac:dyDescent="0.2">
      <c r="A22" s="713" t="s">
        <v>1568</v>
      </c>
      <c r="B22" s="714" t="s">
        <v>1569</v>
      </c>
      <c r="C22" s="710">
        <v>-0.38238</v>
      </c>
    </row>
    <row r="23" spans="1:3" s="705" customFormat="1" ht="15" customHeight="1" x14ac:dyDescent="0.2">
      <c r="A23" s="713" t="s">
        <v>1570</v>
      </c>
      <c r="B23" s="714" t="s">
        <v>1571</v>
      </c>
      <c r="C23" s="710">
        <v>0</v>
      </c>
    </row>
    <row r="24" spans="1:3" s="705" customFormat="1" ht="15" customHeight="1" x14ac:dyDescent="0.2">
      <c r="A24" s="713" t="s">
        <v>1572</v>
      </c>
      <c r="B24" s="714" t="s">
        <v>1573</v>
      </c>
      <c r="C24" s="710">
        <v>16.388010000000001</v>
      </c>
    </row>
    <row r="25" spans="1:3" s="705" customFormat="1" ht="15" customHeight="1" thickBot="1" x14ac:dyDescent="0.25">
      <c r="A25" s="708" t="s">
        <v>1574</v>
      </c>
      <c r="B25" s="709" t="s">
        <v>1575</v>
      </c>
      <c r="C25" s="710">
        <v>0</v>
      </c>
    </row>
    <row r="26" spans="1:3" s="705" customFormat="1" ht="15" customHeight="1" thickBot="1" x14ac:dyDescent="0.25">
      <c r="A26" s="1462" t="s">
        <v>1576</v>
      </c>
      <c r="B26" s="1463"/>
      <c r="C26" s="701">
        <f>SUM(C4:C25)</f>
        <v>162.52853999999999</v>
      </c>
    </row>
    <row r="27" spans="1:3" ht="15" customHeight="1" x14ac:dyDescent="0.2">
      <c r="A27" s="1464"/>
      <c r="B27" s="1465"/>
      <c r="C27" s="1466"/>
    </row>
    <row r="28" spans="1:3" ht="16.5" customHeight="1" x14ac:dyDescent="0.2"/>
    <row r="37" spans="1:3" x14ac:dyDescent="0.2">
      <c r="A37" s="1467"/>
      <c r="B37" s="1467"/>
      <c r="C37" s="1467"/>
    </row>
  </sheetData>
  <mergeCells count="4">
    <mergeCell ref="A1:C1"/>
    <mergeCell ref="A26:B26"/>
    <mergeCell ref="A27:C27"/>
    <mergeCell ref="A37:C37"/>
  </mergeCells>
  <printOptions horizontalCentered="1"/>
  <pageMargins left="0.39370078740157483" right="0.39370078740157483" top="0.59055118110236227" bottom="0.39370078740157483" header="0.31496062992125984" footer="0.11811023622047245"/>
  <pageSetup paperSize="9" firstPageNumber="321" fitToHeight="0" orientation="portrait" useFirstPageNumber="1" r:id="rId1"/>
  <headerFooter alignWithMargins="0">
    <oddHeader>&amp;L&amp;"Tahoma,Kurzíva"&amp;9Závěrečný účet za rok 2015&amp;R&amp;"Tahoma,Kurzíva"&amp;9Tabulka č. 22</oddHeader>
    <oddFooter>&amp;C&amp;"Tahoma,Obyčejné"&amp;P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1:R31"/>
  <sheetViews>
    <sheetView showGridLines="0" zoomScaleNormal="100" zoomScaleSheetLayoutView="100" workbookViewId="0">
      <selection activeCell="O24" sqref="O24"/>
    </sheetView>
  </sheetViews>
  <sheetFormatPr defaultRowHeight="12.75" x14ac:dyDescent="0.2"/>
  <cols>
    <col min="1" max="14" width="9.140625" style="20"/>
    <col min="15" max="15" width="60" style="21" customWidth="1"/>
    <col min="16" max="16" width="16.7109375" style="21" customWidth="1"/>
    <col min="17" max="17" width="12.140625" style="20" customWidth="1"/>
    <col min="18" max="16384" width="9.140625" style="20"/>
  </cols>
  <sheetData>
    <row r="1" spans="15:16" x14ac:dyDescent="0.2">
      <c r="O1" s="19"/>
      <c r="P1" s="19"/>
    </row>
    <row r="2" spans="15:16" x14ac:dyDescent="0.2">
      <c r="O2" s="19"/>
      <c r="P2" s="19"/>
    </row>
    <row r="10" spans="15:16" x14ac:dyDescent="0.2">
      <c r="O10" s="19"/>
      <c r="P10" s="19"/>
    </row>
    <row r="21" spans="14:18" x14ac:dyDescent="0.2">
      <c r="R21" s="17"/>
    </row>
    <row r="22" spans="14:18" x14ac:dyDescent="0.2">
      <c r="R22" s="17"/>
    </row>
    <row r="23" spans="14:18" x14ac:dyDescent="0.2">
      <c r="N23" s="22"/>
      <c r="R23" s="17"/>
    </row>
    <row r="24" spans="14:18" x14ac:dyDescent="0.2">
      <c r="N24" s="22" t="s">
        <v>21</v>
      </c>
      <c r="R24" s="17"/>
    </row>
    <row r="25" spans="14:18" x14ac:dyDescent="0.2">
      <c r="N25" s="22" t="s">
        <v>22</v>
      </c>
      <c r="R25" s="17"/>
    </row>
    <row r="26" spans="14:18" x14ac:dyDescent="0.2">
      <c r="N26" s="22" t="s">
        <v>23</v>
      </c>
      <c r="R26" s="17"/>
    </row>
    <row r="27" spans="14:18" x14ac:dyDescent="0.2">
      <c r="N27" s="22" t="s">
        <v>24</v>
      </c>
      <c r="R27" s="17"/>
    </row>
    <row r="28" spans="14:18" x14ac:dyDescent="0.2">
      <c r="N28" s="22" t="s">
        <v>25</v>
      </c>
      <c r="R28" s="17"/>
    </row>
    <row r="29" spans="14:18" x14ac:dyDescent="0.2">
      <c r="N29" s="22"/>
      <c r="R29" s="17"/>
    </row>
    <row r="30" spans="14:18" x14ac:dyDescent="0.2">
      <c r="O30" s="23"/>
      <c r="P30" s="23"/>
      <c r="Q30" s="24"/>
      <c r="R30" s="17"/>
    </row>
    <row r="31" spans="14:18" x14ac:dyDescent="0.2">
      <c r="O31" s="25"/>
      <c r="P31" s="25"/>
      <c r="Q31" s="17"/>
      <c r="R31" s="17"/>
    </row>
  </sheetData>
  <customSheetViews>
    <customSheetView guid="{53E72506-0B1D-4F4A-A157-6DE69D2E678D}" showPageBreaks="1" showGridLines="0" printArea="1">
      <selection activeCell="I42" sqref="I42"/>
      <pageMargins left="0.78740157480314965" right="0.78740157480314965" top="0.98425196850393704" bottom="0.98425196850393704" header="0.51181102362204722" footer="0.51181102362204722"/>
      <pageSetup paperSize="9" firstPageNumber="149" orientation="landscape" useFirstPageNumber="1" r:id="rId1"/>
      <headerFooter alignWithMargins="0">
        <oddHeader>&amp;L&amp;"Tahoma,Kurzíva"&amp;9Závěrečný účet za rok 2014&amp;R&amp;"Tahoma,Kurzíva"&amp;9Graf č. 3</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63" orientation="landscape" useFirstPageNumber="1" r:id="rId2"/>
  <headerFooter alignWithMargins="0">
    <oddHeader>&amp;L&amp;"Tahoma,Kurzíva"&amp;9Závěrečný účet za rok 2015&amp;R&amp;"Tahoma,Kurzíva"&amp;9Graf č. 3</oddHeader>
    <oddFooter>&amp;C&amp;"Tahoma,Obyčejné"&amp;P</odd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4"/>
  <sheetViews>
    <sheetView zoomScaleNormal="100" zoomScaleSheetLayoutView="100" workbookViewId="0">
      <selection activeCell="E2" sqref="E2"/>
    </sheetView>
  </sheetViews>
  <sheetFormatPr defaultRowHeight="14.25" x14ac:dyDescent="0.2"/>
  <cols>
    <col min="1" max="1" width="12.7109375" style="717" bestFit="1" customWidth="1"/>
    <col min="2" max="2" width="61.140625" style="718" customWidth="1"/>
    <col min="3" max="3" width="16.140625" style="749" customWidth="1"/>
    <col min="4" max="4" width="5.5703125" style="715" customWidth="1"/>
    <col min="5" max="5" width="9.140625" style="716"/>
    <col min="6" max="16384" width="9.140625" style="715"/>
  </cols>
  <sheetData>
    <row r="1" spans="1:5" ht="30" customHeight="1" x14ac:dyDescent="0.2">
      <c r="A1" s="1458" t="s">
        <v>1577</v>
      </c>
      <c r="B1" s="1458"/>
      <c r="C1" s="1458"/>
    </row>
    <row r="2" spans="1:5" ht="15" thickBot="1" x14ac:dyDescent="0.25">
      <c r="C2" s="704" t="s">
        <v>2</v>
      </c>
    </row>
    <row r="3" spans="1:5" ht="45.75" customHeight="1" thickBot="1" x14ac:dyDescent="0.25">
      <c r="A3" s="684" t="s">
        <v>1510</v>
      </c>
      <c r="B3" s="685" t="s">
        <v>1511</v>
      </c>
      <c r="C3" s="686" t="s">
        <v>1512</v>
      </c>
    </row>
    <row r="4" spans="1:5" s="722" customFormat="1" ht="15" customHeight="1" x14ac:dyDescent="0.2">
      <c r="A4" s="719" t="s">
        <v>1578</v>
      </c>
      <c r="B4" s="720" t="s">
        <v>1579</v>
      </c>
      <c r="C4" s="721">
        <v>0</v>
      </c>
      <c r="E4" s="723"/>
    </row>
    <row r="5" spans="1:5" s="727" customFormat="1" ht="22.5" x14ac:dyDescent="0.2">
      <c r="A5" s="724" t="s">
        <v>1580</v>
      </c>
      <c r="B5" s="725" t="s">
        <v>1581</v>
      </c>
      <c r="C5" s="726">
        <v>513.15841999999998</v>
      </c>
      <c r="E5" s="728"/>
    </row>
    <row r="6" spans="1:5" s="727" customFormat="1" ht="15" customHeight="1" x14ac:dyDescent="0.2">
      <c r="A6" s="724" t="s">
        <v>1582</v>
      </c>
      <c r="B6" s="725" t="s">
        <v>1583</v>
      </c>
      <c r="C6" s="726">
        <v>0</v>
      </c>
      <c r="E6" s="728"/>
    </row>
    <row r="7" spans="1:5" s="722" customFormat="1" ht="15" customHeight="1" x14ac:dyDescent="0.2">
      <c r="A7" s="724" t="s">
        <v>1584</v>
      </c>
      <c r="B7" s="729" t="s">
        <v>1585</v>
      </c>
      <c r="C7" s="726">
        <v>198.67849000000001</v>
      </c>
      <c r="E7" s="723"/>
    </row>
    <row r="8" spans="1:5" s="727" customFormat="1" ht="15" customHeight="1" x14ac:dyDescent="0.2">
      <c r="A8" s="724" t="s">
        <v>1586</v>
      </c>
      <c r="B8" s="725" t="s">
        <v>1587</v>
      </c>
      <c r="C8" s="726">
        <v>165.0583</v>
      </c>
      <c r="E8" s="728"/>
    </row>
    <row r="9" spans="1:5" s="727" customFormat="1" ht="15" customHeight="1" x14ac:dyDescent="0.2">
      <c r="A9" s="724" t="s">
        <v>1588</v>
      </c>
      <c r="B9" s="725" t="s">
        <v>1589</v>
      </c>
      <c r="C9" s="726">
        <v>217.68584000000001</v>
      </c>
      <c r="E9" s="728"/>
    </row>
    <row r="10" spans="1:5" s="727" customFormat="1" ht="15" customHeight="1" x14ac:dyDescent="0.2">
      <c r="A10" s="724" t="s">
        <v>1590</v>
      </c>
      <c r="B10" s="725" t="s">
        <v>1591</v>
      </c>
      <c r="C10" s="726">
        <v>107.00196</v>
      </c>
      <c r="E10" s="728"/>
    </row>
    <row r="11" spans="1:5" s="727" customFormat="1" ht="22.5" x14ac:dyDescent="0.2">
      <c r="A11" s="724" t="s">
        <v>1592</v>
      </c>
      <c r="B11" s="729" t="s">
        <v>1593</v>
      </c>
      <c r="C11" s="726">
        <v>94.083669999999998</v>
      </c>
      <c r="E11" s="728"/>
    </row>
    <row r="12" spans="1:5" s="727" customFormat="1" ht="22.5" x14ac:dyDescent="0.2">
      <c r="A12" s="724">
        <v>62331205</v>
      </c>
      <c r="B12" s="725" t="s">
        <v>1594</v>
      </c>
      <c r="C12" s="726">
        <v>55.490499999999997</v>
      </c>
      <c r="E12" s="728"/>
    </row>
    <row r="13" spans="1:5" s="727" customFormat="1" ht="15" customHeight="1" x14ac:dyDescent="0.2">
      <c r="A13" s="724">
        <v>62331639</v>
      </c>
      <c r="B13" s="725" t="s">
        <v>1595</v>
      </c>
      <c r="C13" s="726">
        <v>3.5983799999999899</v>
      </c>
      <c r="E13" s="728"/>
    </row>
    <row r="14" spans="1:5" s="727" customFormat="1" ht="22.5" x14ac:dyDescent="0.2">
      <c r="A14" s="724">
        <v>62331493</v>
      </c>
      <c r="B14" s="725" t="s">
        <v>1596</v>
      </c>
      <c r="C14" s="726">
        <v>32.538620000000002</v>
      </c>
      <c r="E14" s="728"/>
    </row>
    <row r="15" spans="1:5" s="727" customFormat="1" ht="15" customHeight="1" x14ac:dyDescent="0.2">
      <c r="A15" s="724">
        <v>62331558</v>
      </c>
      <c r="B15" s="725" t="s">
        <v>1597</v>
      </c>
      <c r="C15" s="726">
        <v>127.27200000000001</v>
      </c>
      <c r="E15" s="728"/>
    </row>
    <row r="16" spans="1:5" s="727" customFormat="1" ht="15" customHeight="1" x14ac:dyDescent="0.2">
      <c r="A16" s="724">
        <v>62331582</v>
      </c>
      <c r="B16" s="725" t="s">
        <v>1598</v>
      </c>
      <c r="C16" s="726">
        <v>203.91387</v>
      </c>
      <c r="E16" s="728"/>
    </row>
    <row r="17" spans="1:5" s="727" customFormat="1" ht="15" customHeight="1" x14ac:dyDescent="0.2">
      <c r="A17" s="724">
        <v>62331795</v>
      </c>
      <c r="B17" s="730" t="s">
        <v>1599</v>
      </c>
      <c r="C17" s="726">
        <v>56.530380000000001</v>
      </c>
      <c r="E17" s="728"/>
    </row>
    <row r="18" spans="1:5" s="727" customFormat="1" ht="15" customHeight="1" x14ac:dyDescent="0.2">
      <c r="A18" s="724">
        <v>62331540</v>
      </c>
      <c r="B18" s="725" t="s">
        <v>1600</v>
      </c>
      <c r="C18" s="726">
        <v>290.16190999999998</v>
      </c>
      <c r="E18" s="728"/>
    </row>
    <row r="19" spans="1:5" s="727" customFormat="1" ht="15" customHeight="1" x14ac:dyDescent="0.2">
      <c r="A19" s="724" t="s">
        <v>1601</v>
      </c>
      <c r="B19" s="725" t="s">
        <v>1602</v>
      </c>
      <c r="C19" s="726">
        <v>903.91394000000003</v>
      </c>
      <c r="E19" s="728"/>
    </row>
    <row r="20" spans="1:5" s="727" customFormat="1" ht="22.5" x14ac:dyDescent="0.2">
      <c r="A20" s="724" t="s">
        <v>1603</v>
      </c>
      <c r="B20" s="729" t="s">
        <v>1604</v>
      </c>
      <c r="C20" s="726">
        <v>29.066279999999999</v>
      </c>
      <c r="E20" s="728"/>
    </row>
    <row r="21" spans="1:5" s="727" customFormat="1" ht="15" customHeight="1" x14ac:dyDescent="0.2">
      <c r="A21" s="724" t="s">
        <v>1605</v>
      </c>
      <c r="B21" s="730" t="s">
        <v>1606</v>
      </c>
      <c r="C21" s="726">
        <v>341.83139</v>
      </c>
      <c r="E21" s="728"/>
    </row>
    <row r="22" spans="1:5" s="727" customFormat="1" ht="15" customHeight="1" x14ac:dyDescent="0.2">
      <c r="A22" s="724" t="s">
        <v>1607</v>
      </c>
      <c r="B22" s="729" t="s">
        <v>1608</v>
      </c>
      <c r="C22" s="726">
        <v>0</v>
      </c>
      <c r="E22" s="728"/>
    </row>
    <row r="23" spans="1:5" s="727" customFormat="1" ht="15" customHeight="1" x14ac:dyDescent="0.2">
      <c r="A23" s="724" t="s">
        <v>1609</v>
      </c>
      <c r="B23" s="725" t="s">
        <v>1610</v>
      </c>
      <c r="C23" s="726">
        <v>28.934760000000001</v>
      </c>
      <c r="E23" s="728"/>
    </row>
    <row r="24" spans="1:5" s="727" customFormat="1" ht="15" customHeight="1" x14ac:dyDescent="0.2">
      <c r="A24" s="724">
        <v>47813113</v>
      </c>
      <c r="B24" s="725" t="s">
        <v>1611</v>
      </c>
      <c r="C24" s="726">
        <v>43.241</v>
      </c>
      <c r="E24" s="728"/>
    </row>
    <row r="25" spans="1:5" s="727" customFormat="1" ht="15" customHeight="1" x14ac:dyDescent="0.2">
      <c r="A25" s="724" t="s">
        <v>1612</v>
      </c>
      <c r="B25" s="725" t="s">
        <v>1613</v>
      </c>
      <c r="C25" s="726">
        <v>95.177170000000004</v>
      </c>
      <c r="E25" s="728"/>
    </row>
    <row r="26" spans="1:5" s="727" customFormat="1" ht="15" customHeight="1" x14ac:dyDescent="0.2">
      <c r="A26" s="724" t="s">
        <v>1614</v>
      </c>
      <c r="B26" s="725" t="s">
        <v>1615</v>
      </c>
      <c r="C26" s="726">
        <v>53.66545</v>
      </c>
      <c r="E26" s="728"/>
    </row>
    <row r="27" spans="1:5" s="727" customFormat="1" ht="22.5" x14ac:dyDescent="0.2">
      <c r="A27" s="724" t="s">
        <v>1616</v>
      </c>
      <c r="B27" s="725" t="s">
        <v>1617</v>
      </c>
      <c r="C27" s="726">
        <v>66.618600000000001</v>
      </c>
      <c r="E27" s="728"/>
    </row>
    <row r="28" spans="1:5" s="727" customFormat="1" ht="22.5" x14ac:dyDescent="0.2">
      <c r="A28" s="724" t="s">
        <v>1618</v>
      </c>
      <c r="B28" s="725" t="s">
        <v>1619</v>
      </c>
      <c r="C28" s="726">
        <v>31.8</v>
      </c>
      <c r="E28" s="728"/>
    </row>
    <row r="29" spans="1:5" s="727" customFormat="1" ht="15" customHeight="1" x14ac:dyDescent="0.2">
      <c r="A29" s="724" t="s">
        <v>1620</v>
      </c>
      <c r="B29" s="725" t="s">
        <v>1621</v>
      </c>
      <c r="C29" s="726">
        <v>15.51371</v>
      </c>
      <c r="E29" s="728"/>
    </row>
    <row r="30" spans="1:5" s="727" customFormat="1" ht="15" customHeight="1" x14ac:dyDescent="0.2">
      <c r="A30" s="724" t="s">
        <v>1622</v>
      </c>
      <c r="B30" s="725" t="s">
        <v>1623</v>
      </c>
      <c r="C30" s="726">
        <v>112.2711</v>
      </c>
      <c r="E30" s="728"/>
    </row>
    <row r="31" spans="1:5" s="727" customFormat="1" ht="15" customHeight="1" x14ac:dyDescent="0.2">
      <c r="A31" s="724" t="s">
        <v>1624</v>
      </c>
      <c r="B31" s="725" t="s">
        <v>1625</v>
      </c>
      <c r="C31" s="726">
        <v>45.813380000000002</v>
      </c>
      <c r="E31" s="728"/>
    </row>
    <row r="32" spans="1:5" s="727" customFormat="1" ht="15" customHeight="1" x14ac:dyDescent="0.2">
      <c r="A32" s="724" t="s">
        <v>1626</v>
      </c>
      <c r="B32" s="725" t="s">
        <v>1627</v>
      </c>
      <c r="C32" s="726">
        <v>1382.5508600000001</v>
      </c>
      <c r="E32" s="728"/>
    </row>
    <row r="33" spans="1:5" s="727" customFormat="1" ht="22.5" x14ac:dyDescent="0.2">
      <c r="A33" s="724" t="s">
        <v>1628</v>
      </c>
      <c r="B33" s="725" t="s">
        <v>1629</v>
      </c>
      <c r="C33" s="726">
        <v>145.41955999999999</v>
      </c>
      <c r="E33" s="728"/>
    </row>
    <row r="34" spans="1:5" s="727" customFormat="1" ht="22.5" x14ac:dyDescent="0.2">
      <c r="A34" s="724" t="s">
        <v>1630</v>
      </c>
      <c r="B34" s="725" t="s">
        <v>1631</v>
      </c>
      <c r="C34" s="726">
        <v>96.641859999999994</v>
      </c>
      <c r="E34" s="728"/>
    </row>
    <row r="35" spans="1:5" s="727" customFormat="1" ht="15" customHeight="1" x14ac:dyDescent="0.2">
      <c r="A35" s="724" t="s">
        <v>1632</v>
      </c>
      <c r="B35" s="725" t="s">
        <v>1633</v>
      </c>
      <c r="C35" s="726">
        <v>177.54485</v>
      </c>
      <c r="E35" s="728"/>
    </row>
    <row r="36" spans="1:5" s="727" customFormat="1" ht="15" customHeight="1" x14ac:dyDescent="0.2">
      <c r="A36" s="724" t="s">
        <v>1634</v>
      </c>
      <c r="B36" s="725" t="s">
        <v>1635</v>
      </c>
      <c r="C36" s="726">
        <v>53.281999999999996</v>
      </c>
      <c r="E36" s="728"/>
    </row>
    <row r="37" spans="1:5" s="727" customFormat="1" ht="22.5" x14ac:dyDescent="0.2">
      <c r="A37" s="724" t="s">
        <v>1636</v>
      </c>
      <c r="B37" s="729" t="s">
        <v>1637</v>
      </c>
      <c r="C37" s="726">
        <v>981.53301999999996</v>
      </c>
      <c r="E37" s="728"/>
    </row>
    <row r="38" spans="1:5" s="727" customFormat="1" ht="15" customHeight="1" x14ac:dyDescent="0.2">
      <c r="A38" s="724" t="s">
        <v>1638</v>
      </c>
      <c r="B38" s="725" t="s">
        <v>1639</v>
      </c>
      <c r="C38" s="726">
        <v>111.77736</v>
      </c>
      <c r="E38" s="728"/>
    </row>
    <row r="39" spans="1:5" s="727" customFormat="1" ht="15" customHeight="1" x14ac:dyDescent="0.2">
      <c r="A39" s="724" t="s">
        <v>1640</v>
      </c>
      <c r="B39" s="725" t="s">
        <v>1641</v>
      </c>
      <c r="C39" s="726">
        <v>49.894329999999997</v>
      </c>
      <c r="E39" s="728"/>
    </row>
    <row r="40" spans="1:5" s="727" customFormat="1" ht="15" customHeight="1" x14ac:dyDescent="0.2">
      <c r="A40" s="724" t="s">
        <v>1642</v>
      </c>
      <c r="B40" s="729" t="s">
        <v>1643</v>
      </c>
      <c r="C40" s="726">
        <v>106.00991</v>
      </c>
      <c r="E40" s="728"/>
    </row>
    <row r="41" spans="1:5" s="727" customFormat="1" ht="15" customHeight="1" x14ac:dyDescent="0.2">
      <c r="A41" s="724" t="s">
        <v>1644</v>
      </c>
      <c r="B41" s="725" t="s">
        <v>1645</v>
      </c>
      <c r="C41" s="726">
        <v>222.42939999999999</v>
      </c>
      <c r="E41" s="728"/>
    </row>
    <row r="42" spans="1:5" s="727" customFormat="1" ht="22.5" x14ac:dyDescent="0.2">
      <c r="A42" s="724" t="s">
        <v>1646</v>
      </c>
      <c r="B42" s="725" t="s">
        <v>1647</v>
      </c>
      <c r="C42" s="726">
        <v>0</v>
      </c>
      <c r="E42" s="728"/>
    </row>
    <row r="43" spans="1:5" s="727" customFormat="1" ht="15" customHeight="1" x14ac:dyDescent="0.2">
      <c r="A43" s="724">
        <v>62331574</v>
      </c>
      <c r="B43" s="725" t="s">
        <v>1648</v>
      </c>
      <c r="C43" s="726">
        <v>720.50315000000001</v>
      </c>
      <c r="E43" s="728"/>
    </row>
    <row r="44" spans="1:5" s="727" customFormat="1" ht="15" customHeight="1" x14ac:dyDescent="0.2">
      <c r="A44" s="724">
        <v>62331566</v>
      </c>
      <c r="B44" s="725" t="s">
        <v>1649</v>
      </c>
      <c r="C44" s="726">
        <v>403.74243000000001</v>
      </c>
      <c r="E44" s="728"/>
    </row>
    <row r="45" spans="1:5" s="727" customFormat="1" ht="15" customHeight="1" x14ac:dyDescent="0.2">
      <c r="A45" s="724">
        <v>62331515</v>
      </c>
      <c r="B45" s="725" t="s">
        <v>1650</v>
      </c>
      <c r="C45" s="726">
        <v>1104.50135</v>
      </c>
      <c r="E45" s="728"/>
    </row>
    <row r="46" spans="1:5" s="727" customFormat="1" ht="15" customHeight="1" x14ac:dyDescent="0.2">
      <c r="A46" s="724" t="s">
        <v>4794</v>
      </c>
      <c r="B46" s="725" t="s">
        <v>1651</v>
      </c>
      <c r="C46" s="726">
        <v>54.874699999999997</v>
      </c>
      <c r="E46" s="728"/>
    </row>
    <row r="47" spans="1:5" s="727" customFormat="1" ht="15" customHeight="1" x14ac:dyDescent="0.2">
      <c r="A47" s="724" t="s">
        <v>1652</v>
      </c>
      <c r="B47" s="725" t="s">
        <v>1653</v>
      </c>
      <c r="C47" s="726">
        <v>203.74078</v>
      </c>
      <c r="E47" s="728"/>
    </row>
    <row r="48" spans="1:5" s="727" customFormat="1" ht="22.5" x14ac:dyDescent="0.2">
      <c r="A48" s="724" t="s">
        <v>1654</v>
      </c>
      <c r="B48" s="725" t="s">
        <v>1655</v>
      </c>
      <c r="C48" s="726">
        <v>294.97320000000002</v>
      </c>
      <c r="E48" s="728"/>
    </row>
    <row r="49" spans="1:5" s="727" customFormat="1" ht="15" customHeight="1" x14ac:dyDescent="0.2">
      <c r="A49" s="724" t="s">
        <v>1656</v>
      </c>
      <c r="B49" s="725" t="s">
        <v>1657</v>
      </c>
      <c r="C49" s="726">
        <v>454.79199</v>
      </c>
      <c r="E49" s="728"/>
    </row>
    <row r="50" spans="1:5" s="727" customFormat="1" ht="15" customHeight="1" x14ac:dyDescent="0.2">
      <c r="A50" s="724" t="s">
        <v>1658</v>
      </c>
      <c r="B50" s="725" t="s">
        <v>1659</v>
      </c>
      <c r="C50" s="726">
        <v>152.06223</v>
      </c>
      <c r="E50" s="728"/>
    </row>
    <row r="51" spans="1:5" s="727" customFormat="1" ht="22.5" x14ac:dyDescent="0.2">
      <c r="A51" s="724">
        <v>47813083</v>
      </c>
      <c r="B51" s="725" t="s">
        <v>1660</v>
      </c>
      <c r="C51" s="726">
        <v>87.148799999999994</v>
      </c>
      <c r="E51" s="728"/>
    </row>
    <row r="52" spans="1:5" s="727" customFormat="1" ht="15" customHeight="1" x14ac:dyDescent="0.2">
      <c r="A52" s="724">
        <v>47813148</v>
      </c>
      <c r="B52" s="725" t="s">
        <v>1661</v>
      </c>
      <c r="C52" s="726">
        <v>7.6373899999999999</v>
      </c>
      <c r="E52" s="728"/>
    </row>
    <row r="53" spans="1:5" s="727" customFormat="1" ht="15" customHeight="1" x14ac:dyDescent="0.2">
      <c r="A53" s="724">
        <v>47813121</v>
      </c>
      <c r="B53" s="725" t="s">
        <v>1662</v>
      </c>
      <c r="C53" s="726">
        <v>78.763210000000001</v>
      </c>
      <c r="E53" s="728"/>
    </row>
    <row r="54" spans="1:5" s="727" customFormat="1" ht="22.5" x14ac:dyDescent="0.2">
      <c r="A54" s="724">
        <v>47813130</v>
      </c>
      <c r="B54" s="725" t="s">
        <v>1663</v>
      </c>
      <c r="C54" s="726">
        <v>236.24265</v>
      </c>
      <c r="E54" s="728"/>
    </row>
    <row r="55" spans="1:5" s="727" customFormat="1" ht="22.5" x14ac:dyDescent="0.2">
      <c r="A55" s="724" t="s">
        <v>1664</v>
      </c>
      <c r="B55" s="725" t="s">
        <v>1665</v>
      </c>
      <c r="C55" s="726">
        <v>1321.1910700000001</v>
      </c>
      <c r="E55" s="728"/>
    </row>
    <row r="56" spans="1:5" s="727" customFormat="1" ht="15" customHeight="1" x14ac:dyDescent="0.2">
      <c r="A56" s="724" t="s">
        <v>1666</v>
      </c>
      <c r="B56" s="725" t="s">
        <v>1667</v>
      </c>
      <c r="C56" s="726">
        <v>4.9180000000000001</v>
      </c>
      <c r="E56" s="728"/>
    </row>
    <row r="57" spans="1:5" s="727" customFormat="1" ht="22.5" x14ac:dyDescent="0.2">
      <c r="A57" s="724">
        <v>14450909</v>
      </c>
      <c r="B57" s="725" t="s">
        <v>1668</v>
      </c>
      <c r="C57" s="726">
        <v>99.399730000000005</v>
      </c>
      <c r="E57" s="728"/>
    </row>
    <row r="58" spans="1:5" s="727" customFormat="1" ht="22.5" x14ac:dyDescent="0.2">
      <c r="A58" s="724" t="s">
        <v>1669</v>
      </c>
      <c r="B58" s="725" t="s">
        <v>1670</v>
      </c>
      <c r="C58" s="726">
        <v>132.86157</v>
      </c>
      <c r="E58" s="728"/>
    </row>
    <row r="59" spans="1:5" s="727" customFormat="1" ht="22.5" x14ac:dyDescent="0.2">
      <c r="A59" s="724" t="s">
        <v>1671</v>
      </c>
      <c r="B59" s="725" t="s">
        <v>1672</v>
      </c>
      <c r="C59" s="726">
        <v>3083.5490399999999</v>
      </c>
      <c r="E59" s="728"/>
    </row>
    <row r="60" spans="1:5" s="727" customFormat="1" ht="15" customHeight="1" x14ac:dyDescent="0.2">
      <c r="A60" s="724" t="s">
        <v>1673</v>
      </c>
      <c r="B60" s="725" t="s">
        <v>1674</v>
      </c>
      <c r="C60" s="726">
        <v>57.3371</v>
      </c>
      <c r="E60" s="728"/>
    </row>
    <row r="61" spans="1:5" s="727" customFormat="1" ht="22.5" x14ac:dyDescent="0.2">
      <c r="A61" s="724" t="s">
        <v>1675</v>
      </c>
      <c r="B61" s="725" t="s">
        <v>1676</v>
      </c>
      <c r="C61" s="726">
        <v>111.92504</v>
      </c>
      <c r="E61" s="728"/>
    </row>
    <row r="62" spans="1:5" s="727" customFormat="1" ht="15" customHeight="1" x14ac:dyDescent="0.2">
      <c r="A62" s="724" t="s">
        <v>1677</v>
      </c>
      <c r="B62" s="725" t="s">
        <v>1678</v>
      </c>
      <c r="C62" s="726">
        <v>403.82873000000001</v>
      </c>
      <c r="E62" s="728"/>
    </row>
    <row r="63" spans="1:5" s="727" customFormat="1" ht="15" customHeight="1" x14ac:dyDescent="0.2">
      <c r="A63" s="724" t="s">
        <v>1679</v>
      </c>
      <c r="B63" s="725" t="s">
        <v>1680</v>
      </c>
      <c r="C63" s="726">
        <v>298.54124000000002</v>
      </c>
      <c r="E63" s="728"/>
    </row>
    <row r="64" spans="1:5" s="727" customFormat="1" ht="22.5" x14ac:dyDescent="0.2">
      <c r="A64" s="731" t="s">
        <v>1681</v>
      </c>
      <c r="B64" s="725" t="s">
        <v>1682</v>
      </c>
      <c r="C64" s="726">
        <v>999.20469000000003</v>
      </c>
      <c r="E64" s="728"/>
    </row>
    <row r="65" spans="1:5" s="727" customFormat="1" ht="15" customHeight="1" x14ac:dyDescent="0.2">
      <c r="A65" s="731">
        <v>14451093</v>
      </c>
      <c r="B65" s="732" t="s">
        <v>1683</v>
      </c>
      <c r="C65" s="726">
        <v>69.318790000000007</v>
      </c>
      <c r="E65" s="728"/>
    </row>
    <row r="66" spans="1:5" s="727" customFormat="1" ht="22.5" x14ac:dyDescent="0.2">
      <c r="A66" s="724">
        <v>13644327</v>
      </c>
      <c r="B66" s="725" t="s">
        <v>1684</v>
      </c>
      <c r="C66" s="726">
        <v>147.87127000000001</v>
      </c>
      <c r="E66" s="728"/>
    </row>
    <row r="67" spans="1:5" s="727" customFormat="1" ht="15" customHeight="1" x14ac:dyDescent="0.2">
      <c r="A67" s="731" t="s">
        <v>1685</v>
      </c>
      <c r="B67" s="729" t="s">
        <v>1686</v>
      </c>
      <c r="C67" s="726">
        <v>195.45634999999999</v>
      </c>
      <c r="E67" s="728"/>
    </row>
    <row r="68" spans="1:5" s="727" customFormat="1" ht="15" customHeight="1" x14ac:dyDescent="0.2">
      <c r="A68" s="724">
        <v>66932581</v>
      </c>
      <c r="B68" s="725" t="s">
        <v>1687</v>
      </c>
      <c r="C68" s="726">
        <v>227.96948</v>
      </c>
      <c r="E68" s="728"/>
    </row>
    <row r="69" spans="1:5" s="727" customFormat="1" ht="22.5" x14ac:dyDescent="0.2">
      <c r="A69" s="724">
        <v>68321261</v>
      </c>
      <c r="B69" s="725" t="s">
        <v>1688</v>
      </c>
      <c r="C69" s="726">
        <v>267.88159000000002</v>
      </c>
      <c r="E69" s="728"/>
    </row>
    <row r="70" spans="1:5" s="727" customFormat="1" ht="15" customHeight="1" x14ac:dyDescent="0.2">
      <c r="A70" s="724">
        <v>13644271</v>
      </c>
      <c r="B70" s="725" t="s">
        <v>1689</v>
      </c>
      <c r="C70" s="726">
        <v>260.85568000000001</v>
      </c>
      <c r="E70" s="728"/>
    </row>
    <row r="71" spans="1:5" s="727" customFormat="1" ht="15" customHeight="1" x14ac:dyDescent="0.2">
      <c r="A71" s="733">
        <v>13644289</v>
      </c>
      <c r="B71" s="734" t="s">
        <v>1690</v>
      </c>
      <c r="C71" s="726">
        <v>926.24485000000004</v>
      </c>
      <c r="E71" s="728"/>
    </row>
    <row r="72" spans="1:5" s="727" customFormat="1" ht="15" customHeight="1" x14ac:dyDescent="0.2">
      <c r="A72" s="724" t="s">
        <v>1691</v>
      </c>
      <c r="B72" s="732" t="s">
        <v>1692</v>
      </c>
      <c r="C72" s="726">
        <v>1311.3035600000001</v>
      </c>
      <c r="E72" s="728"/>
    </row>
    <row r="73" spans="1:5" s="727" customFormat="1" ht="15" customHeight="1" x14ac:dyDescent="0.2">
      <c r="A73" s="724">
        <v>13644254</v>
      </c>
      <c r="B73" s="725" t="s">
        <v>1693</v>
      </c>
      <c r="C73" s="726">
        <v>58.050519999999899</v>
      </c>
      <c r="E73" s="728"/>
    </row>
    <row r="74" spans="1:5" s="727" customFormat="1" ht="15" customHeight="1" x14ac:dyDescent="0.2">
      <c r="A74" s="724" t="s">
        <v>1694</v>
      </c>
      <c r="B74" s="732" t="s">
        <v>1695</v>
      </c>
      <c r="C74" s="726">
        <v>35.361759999999997</v>
      </c>
      <c r="E74" s="728"/>
    </row>
    <row r="75" spans="1:5" s="727" customFormat="1" ht="15" customHeight="1" x14ac:dyDescent="0.2">
      <c r="A75" s="724" t="s">
        <v>1696</v>
      </c>
      <c r="B75" s="725" t="s">
        <v>1697</v>
      </c>
      <c r="C75" s="726">
        <v>0</v>
      </c>
      <c r="E75" s="728"/>
    </row>
    <row r="76" spans="1:5" s="727" customFormat="1" ht="15" customHeight="1" x14ac:dyDescent="0.2">
      <c r="A76" s="731" t="s">
        <v>1698</v>
      </c>
      <c r="B76" s="725" t="s">
        <v>1699</v>
      </c>
      <c r="C76" s="726">
        <v>685.96085000000005</v>
      </c>
      <c r="E76" s="728"/>
    </row>
    <row r="77" spans="1:5" s="727" customFormat="1" ht="15" customHeight="1" x14ac:dyDescent="0.2">
      <c r="A77" s="731" t="s">
        <v>1700</v>
      </c>
      <c r="B77" s="735" t="s">
        <v>1701</v>
      </c>
      <c r="C77" s="726">
        <v>226.27099999999999</v>
      </c>
      <c r="E77" s="728"/>
    </row>
    <row r="78" spans="1:5" s="727" customFormat="1" ht="15" customHeight="1" x14ac:dyDescent="0.2">
      <c r="A78" s="724" t="s">
        <v>1702</v>
      </c>
      <c r="B78" s="725" t="s">
        <v>1703</v>
      </c>
      <c r="C78" s="726">
        <v>118.12076999999999</v>
      </c>
      <c r="E78" s="728"/>
    </row>
    <row r="79" spans="1:5" s="727" customFormat="1" ht="15" customHeight="1" x14ac:dyDescent="0.2">
      <c r="A79" s="731">
        <v>18054455</v>
      </c>
      <c r="B79" s="732" t="s">
        <v>1704</v>
      </c>
      <c r="C79" s="726">
        <v>138.88452000000001</v>
      </c>
      <c r="E79" s="728"/>
    </row>
    <row r="80" spans="1:5" s="727" customFormat="1" ht="15" customHeight="1" x14ac:dyDescent="0.2">
      <c r="A80" s="724" t="s">
        <v>1705</v>
      </c>
      <c r="B80" s="725" t="s">
        <v>1706</v>
      </c>
      <c r="C80" s="726">
        <v>96.590199999999996</v>
      </c>
      <c r="E80" s="728"/>
    </row>
    <row r="81" spans="1:5" s="727" customFormat="1" ht="15" customHeight="1" x14ac:dyDescent="0.2">
      <c r="A81" s="724" t="s">
        <v>1707</v>
      </c>
      <c r="B81" s="725" t="s">
        <v>1708</v>
      </c>
      <c r="C81" s="726">
        <v>30</v>
      </c>
      <c r="E81" s="728"/>
    </row>
    <row r="82" spans="1:5" s="727" customFormat="1" ht="15" customHeight="1" x14ac:dyDescent="0.2">
      <c r="A82" s="724" t="s">
        <v>1709</v>
      </c>
      <c r="B82" s="729" t="s">
        <v>1710</v>
      </c>
      <c r="C82" s="726">
        <v>256.03055000000001</v>
      </c>
      <c r="E82" s="728"/>
    </row>
    <row r="83" spans="1:5" s="727" customFormat="1" ht="22.5" x14ac:dyDescent="0.2">
      <c r="A83" s="724" t="s">
        <v>1711</v>
      </c>
      <c r="B83" s="725" t="s">
        <v>1712</v>
      </c>
      <c r="C83" s="726">
        <v>3353.5647600000002</v>
      </c>
      <c r="E83" s="728"/>
    </row>
    <row r="84" spans="1:5" s="727" customFormat="1" ht="22.5" x14ac:dyDescent="0.2">
      <c r="A84" s="724" t="s">
        <v>1713</v>
      </c>
      <c r="B84" s="725" t="s">
        <v>1714</v>
      </c>
      <c r="C84" s="726">
        <v>214.01394999999999</v>
      </c>
      <c r="E84" s="728"/>
    </row>
    <row r="85" spans="1:5" s="727" customFormat="1" ht="15" customHeight="1" x14ac:dyDescent="0.2">
      <c r="A85" s="724" t="s">
        <v>4793</v>
      </c>
      <c r="B85" s="725" t="s">
        <v>1715</v>
      </c>
      <c r="C85" s="726">
        <v>993.46079999999995</v>
      </c>
      <c r="E85" s="728"/>
    </row>
    <row r="86" spans="1:5" s="727" customFormat="1" ht="15" customHeight="1" x14ac:dyDescent="0.2">
      <c r="A86" s="724" t="s">
        <v>1716</v>
      </c>
      <c r="B86" s="725" t="s">
        <v>1717</v>
      </c>
      <c r="C86" s="726">
        <v>695.56955000000005</v>
      </c>
      <c r="E86" s="728"/>
    </row>
    <row r="87" spans="1:5" s="727" customFormat="1" ht="15" customHeight="1" x14ac:dyDescent="0.2">
      <c r="A87" s="724">
        <v>13643479</v>
      </c>
      <c r="B87" s="725" t="s">
        <v>1718</v>
      </c>
      <c r="C87" s="726">
        <v>190.16953000000001</v>
      </c>
      <c r="E87" s="728"/>
    </row>
    <row r="88" spans="1:5" s="727" customFormat="1" ht="15" customHeight="1" x14ac:dyDescent="0.2">
      <c r="A88" s="724" t="s">
        <v>1719</v>
      </c>
      <c r="B88" s="725" t="s">
        <v>1720</v>
      </c>
      <c r="C88" s="726">
        <v>555.27877999999998</v>
      </c>
      <c r="E88" s="728"/>
    </row>
    <row r="89" spans="1:5" s="727" customFormat="1" ht="22.5" x14ac:dyDescent="0.2">
      <c r="A89" s="731" t="s">
        <v>1721</v>
      </c>
      <c r="B89" s="725" t="s">
        <v>1722</v>
      </c>
      <c r="C89" s="726">
        <v>0</v>
      </c>
      <c r="E89" s="728"/>
    </row>
    <row r="90" spans="1:5" s="727" customFormat="1" ht="22.5" x14ac:dyDescent="0.2">
      <c r="A90" s="731">
        <v>64628141</v>
      </c>
      <c r="B90" s="732" t="s">
        <v>1723</v>
      </c>
      <c r="C90" s="726">
        <v>10</v>
      </c>
      <c r="E90" s="728"/>
    </row>
    <row r="91" spans="1:5" s="727" customFormat="1" ht="22.5" x14ac:dyDescent="0.2">
      <c r="A91" s="731">
        <v>64628124</v>
      </c>
      <c r="B91" s="725" t="s">
        <v>1724</v>
      </c>
      <c r="C91" s="726">
        <v>0</v>
      </c>
      <c r="E91" s="728"/>
    </row>
    <row r="92" spans="1:5" s="727" customFormat="1" ht="22.5" x14ac:dyDescent="0.2">
      <c r="A92" s="724" t="s">
        <v>1725</v>
      </c>
      <c r="B92" s="725" t="s">
        <v>1726</v>
      </c>
      <c r="C92" s="726">
        <v>26.786049999999999</v>
      </c>
      <c r="E92" s="728"/>
    </row>
    <row r="93" spans="1:5" s="727" customFormat="1" ht="15" x14ac:dyDescent="0.2">
      <c r="A93" s="731" t="s">
        <v>1727</v>
      </c>
      <c r="B93" s="725" t="s">
        <v>2604</v>
      </c>
      <c r="C93" s="726">
        <v>44.048949999999998</v>
      </c>
      <c r="E93" s="728"/>
    </row>
    <row r="94" spans="1:5" s="727" customFormat="1" ht="22.5" x14ac:dyDescent="0.2">
      <c r="A94" s="731">
        <v>61989258</v>
      </c>
      <c r="B94" s="725" t="s">
        <v>1728</v>
      </c>
      <c r="C94" s="726">
        <v>377.32107000000002</v>
      </c>
      <c r="E94" s="728"/>
    </row>
    <row r="95" spans="1:5" s="727" customFormat="1" ht="15" customHeight="1" x14ac:dyDescent="0.2">
      <c r="A95" s="731" t="s">
        <v>4792</v>
      </c>
      <c r="B95" s="729" t="s">
        <v>1729</v>
      </c>
      <c r="C95" s="726">
        <v>22.1843</v>
      </c>
      <c r="E95" s="728"/>
    </row>
    <row r="96" spans="1:5" s="727" customFormat="1" ht="15" customHeight="1" x14ac:dyDescent="0.2">
      <c r="A96" s="724" t="s">
        <v>4791</v>
      </c>
      <c r="B96" s="725" t="s">
        <v>1730</v>
      </c>
      <c r="C96" s="726">
        <v>68.071709999999996</v>
      </c>
      <c r="E96" s="728"/>
    </row>
    <row r="97" spans="1:5" s="727" customFormat="1" ht="22.5" x14ac:dyDescent="0.2">
      <c r="A97" s="724">
        <v>60337346</v>
      </c>
      <c r="B97" s="725" t="s">
        <v>1731</v>
      </c>
      <c r="C97" s="726">
        <v>72.226870000000005</v>
      </c>
      <c r="E97" s="728"/>
    </row>
    <row r="98" spans="1:5" s="727" customFormat="1" ht="22.5" x14ac:dyDescent="0.2">
      <c r="A98" s="724">
        <v>66741335</v>
      </c>
      <c r="B98" s="732" t="s">
        <v>1732</v>
      </c>
      <c r="C98" s="726">
        <v>38.583199999999998</v>
      </c>
      <c r="E98" s="728"/>
    </row>
    <row r="99" spans="1:5" s="727" customFormat="1" ht="15" customHeight="1" x14ac:dyDescent="0.2">
      <c r="A99" s="724" t="s">
        <v>4790</v>
      </c>
      <c r="B99" s="732" t="s">
        <v>1733</v>
      </c>
      <c r="C99" s="726">
        <v>49.925069999999998</v>
      </c>
      <c r="E99" s="728"/>
    </row>
    <row r="100" spans="1:5" s="727" customFormat="1" ht="22.5" x14ac:dyDescent="0.2">
      <c r="A100" s="724">
        <v>64628159</v>
      </c>
      <c r="B100" s="732" t="s">
        <v>1734</v>
      </c>
      <c r="C100" s="726">
        <v>44.090969999999999</v>
      </c>
      <c r="E100" s="728"/>
    </row>
    <row r="101" spans="1:5" s="727" customFormat="1" ht="15" customHeight="1" x14ac:dyDescent="0.2">
      <c r="A101" s="724">
        <v>61989274</v>
      </c>
      <c r="B101" s="732" t="s">
        <v>1735</v>
      </c>
      <c r="C101" s="726">
        <v>25.143999999999998</v>
      </c>
      <c r="E101" s="728"/>
    </row>
    <row r="102" spans="1:5" s="727" customFormat="1" ht="15" customHeight="1" x14ac:dyDescent="0.2">
      <c r="A102" s="724">
        <v>61989266</v>
      </c>
      <c r="B102" s="732" t="s">
        <v>1736</v>
      </c>
      <c r="C102" s="726">
        <v>34.134</v>
      </c>
      <c r="E102" s="728"/>
    </row>
    <row r="103" spans="1:5" s="727" customFormat="1" ht="15" customHeight="1" x14ac:dyDescent="0.2">
      <c r="A103" s="724" t="s">
        <v>1737</v>
      </c>
      <c r="B103" s="725" t="s">
        <v>1738</v>
      </c>
      <c r="C103" s="726">
        <v>51.644269999999999</v>
      </c>
      <c r="E103" s="728"/>
    </row>
    <row r="104" spans="1:5" s="727" customFormat="1" ht="15" customHeight="1" x14ac:dyDescent="0.2">
      <c r="A104" s="724">
        <v>64628183</v>
      </c>
      <c r="B104" s="725" t="s">
        <v>1739</v>
      </c>
      <c r="C104" s="726">
        <v>12.48953</v>
      </c>
      <c r="E104" s="728"/>
    </row>
    <row r="105" spans="1:5" s="727" customFormat="1" ht="15" customHeight="1" x14ac:dyDescent="0.2">
      <c r="A105" s="736">
        <v>63024616</v>
      </c>
      <c r="B105" s="732" t="s">
        <v>1740</v>
      </c>
      <c r="C105" s="726">
        <v>18.724029999999999</v>
      </c>
      <c r="E105" s="728"/>
    </row>
    <row r="106" spans="1:5" s="727" customFormat="1" ht="15" customHeight="1" x14ac:dyDescent="0.2">
      <c r="A106" s="736">
        <v>70640700</v>
      </c>
      <c r="B106" s="725" t="s">
        <v>1741</v>
      </c>
      <c r="C106" s="726">
        <v>58.604849999999999</v>
      </c>
      <c r="E106" s="728"/>
    </row>
    <row r="107" spans="1:5" s="727" customFormat="1" ht="15" customHeight="1" x14ac:dyDescent="0.2">
      <c r="A107" s="736" t="s">
        <v>4789</v>
      </c>
      <c r="B107" s="725" t="s">
        <v>2606</v>
      </c>
      <c r="C107" s="726">
        <v>21.60087</v>
      </c>
      <c r="E107" s="728"/>
    </row>
    <row r="108" spans="1:5" s="727" customFormat="1" ht="22.5" x14ac:dyDescent="0.2">
      <c r="A108" s="736">
        <v>64125912</v>
      </c>
      <c r="B108" s="725" t="s">
        <v>1742</v>
      </c>
      <c r="C108" s="726">
        <v>298.09102999999999</v>
      </c>
      <c r="E108" s="728"/>
    </row>
    <row r="109" spans="1:5" s="727" customFormat="1" ht="22.5" x14ac:dyDescent="0.2">
      <c r="A109" s="736">
        <v>70640718</v>
      </c>
      <c r="B109" s="725" t="s">
        <v>1743</v>
      </c>
      <c r="C109" s="726">
        <v>1.43163</v>
      </c>
      <c r="E109" s="728"/>
    </row>
    <row r="110" spans="1:5" s="727" customFormat="1" ht="15" customHeight="1" x14ac:dyDescent="0.2">
      <c r="A110" s="736">
        <v>62330268</v>
      </c>
      <c r="B110" s="725" t="s">
        <v>1744</v>
      </c>
      <c r="C110" s="726">
        <v>281.23961000000003</v>
      </c>
      <c r="E110" s="728"/>
    </row>
    <row r="111" spans="1:5" s="727" customFormat="1" ht="22.5" x14ac:dyDescent="0.2">
      <c r="A111" s="736">
        <v>62330390</v>
      </c>
      <c r="B111" s="725" t="s">
        <v>1745</v>
      </c>
      <c r="C111" s="726">
        <v>52.124169999999999</v>
      </c>
      <c r="E111" s="728"/>
    </row>
    <row r="112" spans="1:5" s="727" customFormat="1" ht="15" customHeight="1" x14ac:dyDescent="0.2">
      <c r="A112" s="736">
        <v>47813482</v>
      </c>
      <c r="B112" s="725" t="s">
        <v>1746</v>
      </c>
      <c r="C112" s="726">
        <v>74.653540000000007</v>
      </c>
      <c r="E112" s="728"/>
    </row>
    <row r="113" spans="1:5" s="727" customFormat="1" ht="22.5" x14ac:dyDescent="0.2">
      <c r="A113" s="724">
        <v>47813491</v>
      </c>
      <c r="B113" s="725" t="s">
        <v>1747</v>
      </c>
      <c r="C113" s="726">
        <v>4.5938299999999996</v>
      </c>
      <c r="E113" s="728"/>
    </row>
    <row r="114" spans="1:5" s="727" customFormat="1" ht="15" customHeight="1" x14ac:dyDescent="0.2">
      <c r="A114" s="724">
        <v>47813199</v>
      </c>
      <c r="B114" s="725" t="s">
        <v>1748</v>
      </c>
      <c r="C114" s="726">
        <v>0</v>
      </c>
      <c r="E114" s="728"/>
    </row>
    <row r="115" spans="1:5" s="727" customFormat="1" ht="22.5" x14ac:dyDescent="0.2">
      <c r="A115" s="724">
        <v>47813211</v>
      </c>
      <c r="B115" s="725" t="s">
        <v>1749</v>
      </c>
      <c r="C115" s="726">
        <v>60.099629999999998</v>
      </c>
      <c r="E115" s="728"/>
    </row>
    <row r="116" spans="1:5" s="727" customFormat="1" ht="15" customHeight="1" x14ac:dyDescent="0.2">
      <c r="A116" s="736">
        <v>47813563</v>
      </c>
      <c r="B116" s="725" t="s">
        <v>1750</v>
      </c>
      <c r="C116" s="726">
        <v>86.705650000000006</v>
      </c>
      <c r="E116" s="728"/>
    </row>
    <row r="117" spans="1:5" s="727" customFormat="1" ht="22.5" x14ac:dyDescent="0.2">
      <c r="A117" s="724">
        <v>47813571</v>
      </c>
      <c r="B117" s="725" t="s">
        <v>1751</v>
      </c>
      <c r="C117" s="726">
        <v>0</v>
      </c>
      <c r="E117" s="728"/>
    </row>
    <row r="118" spans="1:5" s="727" customFormat="1" ht="15" customHeight="1" x14ac:dyDescent="0.2">
      <c r="A118" s="736">
        <v>47813172</v>
      </c>
      <c r="B118" s="725" t="s">
        <v>1752</v>
      </c>
      <c r="C118" s="726">
        <v>114.25302000000001</v>
      </c>
      <c r="E118" s="728"/>
    </row>
    <row r="119" spans="1:5" s="727" customFormat="1" ht="22.5" x14ac:dyDescent="0.2">
      <c r="A119" s="724" t="s">
        <v>1753</v>
      </c>
      <c r="B119" s="732" t="s">
        <v>1754</v>
      </c>
      <c r="C119" s="726">
        <v>70.373419999999996</v>
      </c>
      <c r="E119" s="728"/>
    </row>
    <row r="120" spans="1:5" s="727" customFormat="1" ht="22.5" x14ac:dyDescent="0.2">
      <c r="A120" s="736">
        <v>70632090</v>
      </c>
      <c r="B120" s="725" t="s">
        <v>1755</v>
      </c>
      <c r="C120" s="726">
        <v>60</v>
      </c>
      <c r="E120" s="728"/>
    </row>
    <row r="121" spans="1:5" s="727" customFormat="1" ht="22.5" x14ac:dyDescent="0.2">
      <c r="A121" s="736">
        <v>69610126</v>
      </c>
      <c r="B121" s="725" t="s">
        <v>1756</v>
      </c>
      <c r="C121" s="726">
        <v>8.5358699999999992</v>
      </c>
      <c r="E121" s="728"/>
    </row>
    <row r="122" spans="1:5" s="727" customFormat="1" ht="22.5" x14ac:dyDescent="0.2">
      <c r="A122" s="737" t="s">
        <v>1757</v>
      </c>
      <c r="B122" s="738" t="s">
        <v>1758</v>
      </c>
      <c r="C122" s="726">
        <v>0.57889000000000002</v>
      </c>
      <c r="E122" s="728"/>
    </row>
    <row r="123" spans="1:5" s="727" customFormat="1" ht="15" customHeight="1" x14ac:dyDescent="0.2">
      <c r="A123" s="736" t="s">
        <v>1759</v>
      </c>
      <c r="B123" s="725" t="s">
        <v>1760</v>
      </c>
      <c r="C123" s="726">
        <v>94.944770000000005</v>
      </c>
      <c r="E123" s="728"/>
    </row>
    <row r="124" spans="1:5" s="727" customFormat="1" ht="15" customHeight="1" x14ac:dyDescent="0.2">
      <c r="A124" s="724">
        <v>60802791</v>
      </c>
      <c r="B124" s="730" t="s">
        <v>1761</v>
      </c>
      <c r="C124" s="726">
        <v>22.266999999999999</v>
      </c>
      <c r="E124" s="728"/>
    </row>
    <row r="125" spans="1:5" s="727" customFormat="1" ht="15" customHeight="1" x14ac:dyDescent="0.2">
      <c r="A125" s="724">
        <v>60802561</v>
      </c>
      <c r="B125" s="730" t="s">
        <v>1762</v>
      </c>
      <c r="C125" s="726">
        <v>3.52305</v>
      </c>
      <c r="E125" s="728"/>
    </row>
    <row r="126" spans="1:5" s="727" customFormat="1" ht="15" customHeight="1" x14ac:dyDescent="0.2">
      <c r="A126" s="731" t="s">
        <v>1763</v>
      </c>
      <c r="B126" s="725" t="s">
        <v>1764</v>
      </c>
      <c r="C126" s="726">
        <v>2.5767000000000002</v>
      </c>
      <c r="E126" s="728"/>
    </row>
    <row r="127" spans="1:5" s="727" customFormat="1" ht="22.5" x14ac:dyDescent="0.2">
      <c r="A127" s="724" t="s">
        <v>1765</v>
      </c>
      <c r="B127" s="725" t="s">
        <v>1766</v>
      </c>
      <c r="C127" s="726">
        <v>101.30302</v>
      </c>
      <c r="E127" s="728"/>
    </row>
    <row r="128" spans="1:5" s="727" customFormat="1" ht="22.5" x14ac:dyDescent="0.2">
      <c r="A128" s="724" t="s">
        <v>1767</v>
      </c>
      <c r="B128" s="732" t="s">
        <v>1768</v>
      </c>
      <c r="C128" s="726">
        <v>105.11958</v>
      </c>
      <c r="E128" s="728"/>
    </row>
    <row r="129" spans="1:5" s="727" customFormat="1" ht="22.5" x14ac:dyDescent="0.2">
      <c r="A129" s="724" t="s">
        <v>1769</v>
      </c>
      <c r="B129" s="725" t="s">
        <v>1770</v>
      </c>
      <c r="C129" s="726">
        <v>44.902090000000001</v>
      </c>
      <c r="E129" s="728"/>
    </row>
    <row r="130" spans="1:5" s="727" customFormat="1" ht="22.5" x14ac:dyDescent="0.2">
      <c r="A130" s="724" t="s">
        <v>1771</v>
      </c>
      <c r="B130" s="732" t="s">
        <v>1772</v>
      </c>
      <c r="C130" s="726">
        <v>158.35830000000001</v>
      </c>
      <c r="E130" s="728"/>
    </row>
    <row r="131" spans="1:5" s="727" customFormat="1" ht="22.5" x14ac:dyDescent="0.2">
      <c r="A131" s="724" t="s">
        <v>1773</v>
      </c>
      <c r="B131" s="725" t="s">
        <v>1774</v>
      </c>
      <c r="C131" s="726">
        <v>29.99165</v>
      </c>
      <c r="E131" s="728"/>
    </row>
    <row r="132" spans="1:5" s="727" customFormat="1" ht="22.5" x14ac:dyDescent="0.2">
      <c r="A132" s="724" t="s">
        <v>1775</v>
      </c>
      <c r="B132" s="725" t="s">
        <v>1776</v>
      </c>
      <c r="C132" s="726">
        <v>81.578130000000002</v>
      </c>
      <c r="E132" s="728"/>
    </row>
    <row r="133" spans="1:5" s="727" customFormat="1" ht="22.5" x14ac:dyDescent="0.2">
      <c r="A133" s="724" t="s">
        <v>1777</v>
      </c>
      <c r="B133" s="725" t="s">
        <v>1778</v>
      </c>
      <c r="C133" s="726">
        <v>27.701350000000001</v>
      </c>
      <c r="E133" s="728"/>
    </row>
    <row r="134" spans="1:5" s="727" customFormat="1" ht="22.5" x14ac:dyDescent="0.2">
      <c r="A134" s="739" t="s">
        <v>1779</v>
      </c>
      <c r="B134" s="740" t="s">
        <v>1780</v>
      </c>
      <c r="C134" s="726">
        <v>0.38867000000000002</v>
      </c>
      <c r="E134" s="728"/>
    </row>
    <row r="135" spans="1:5" s="727" customFormat="1" ht="22.5" x14ac:dyDescent="0.2">
      <c r="A135" s="731" t="s">
        <v>1781</v>
      </c>
      <c r="B135" s="725" t="s">
        <v>1782</v>
      </c>
      <c r="C135" s="726">
        <v>72.577020000000005</v>
      </c>
      <c r="E135" s="728"/>
    </row>
    <row r="136" spans="1:5" s="727" customFormat="1" ht="22.5" x14ac:dyDescent="0.2">
      <c r="A136" s="724" t="s">
        <v>1783</v>
      </c>
      <c r="B136" s="725" t="s">
        <v>1784</v>
      </c>
      <c r="C136" s="726">
        <v>0</v>
      </c>
      <c r="E136" s="728"/>
    </row>
    <row r="137" spans="1:5" s="727" customFormat="1" ht="15" customHeight="1" x14ac:dyDescent="0.2">
      <c r="A137" s="724" t="s">
        <v>1785</v>
      </c>
      <c r="B137" s="725" t="s">
        <v>1786</v>
      </c>
      <c r="C137" s="726">
        <v>299.37504000000001</v>
      </c>
      <c r="E137" s="728"/>
    </row>
    <row r="138" spans="1:5" s="727" customFormat="1" ht="22.5" x14ac:dyDescent="0.2">
      <c r="A138" s="724" t="s">
        <v>1787</v>
      </c>
      <c r="B138" s="725" t="s">
        <v>1788</v>
      </c>
      <c r="C138" s="726">
        <v>172.02191999999999</v>
      </c>
      <c r="E138" s="728"/>
    </row>
    <row r="139" spans="1:5" s="727" customFormat="1" ht="15" customHeight="1" x14ac:dyDescent="0.2">
      <c r="A139" s="724" t="s">
        <v>1789</v>
      </c>
      <c r="B139" s="729" t="s">
        <v>1790</v>
      </c>
      <c r="C139" s="726">
        <v>158.49863999999999</v>
      </c>
      <c r="E139" s="728"/>
    </row>
    <row r="140" spans="1:5" s="727" customFormat="1" ht="22.5" x14ac:dyDescent="0.2">
      <c r="A140" s="724">
        <v>68899092</v>
      </c>
      <c r="B140" s="725" t="s">
        <v>1791</v>
      </c>
      <c r="C140" s="726">
        <v>12.959199999999999</v>
      </c>
      <c r="E140" s="728"/>
    </row>
    <row r="141" spans="1:5" s="727" customFormat="1" ht="15" customHeight="1" x14ac:dyDescent="0.2">
      <c r="A141" s="724">
        <v>62331680</v>
      </c>
      <c r="B141" s="725" t="s">
        <v>1792</v>
      </c>
      <c r="C141" s="726">
        <v>34.706470000000003</v>
      </c>
      <c r="E141" s="728"/>
    </row>
    <row r="142" spans="1:5" s="727" customFormat="1" ht="15" customHeight="1" x14ac:dyDescent="0.2">
      <c r="A142" s="724">
        <v>62331698</v>
      </c>
      <c r="B142" s="725" t="s">
        <v>1793</v>
      </c>
      <c r="C142" s="726">
        <v>172.47398000000001</v>
      </c>
      <c r="E142" s="728"/>
    </row>
    <row r="143" spans="1:5" s="727" customFormat="1" ht="15" customHeight="1" x14ac:dyDescent="0.2">
      <c r="A143" s="724">
        <v>62330276</v>
      </c>
      <c r="B143" s="725" t="s">
        <v>1794</v>
      </c>
      <c r="C143" s="726">
        <v>32.757010000000001</v>
      </c>
      <c r="E143" s="728"/>
    </row>
    <row r="144" spans="1:5" s="727" customFormat="1" ht="22.5" x14ac:dyDescent="0.2">
      <c r="A144" s="724">
        <v>62330357</v>
      </c>
      <c r="B144" s="725" t="s">
        <v>1795</v>
      </c>
      <c r="C144" s="726">
        <v>24.293769999999999</v>
      </c>
      <c r="E144" s="728"/>
    </row>
    <row r="145" spans="1:5" s="727" customFormat="1" ht="15" customHeight="1" x14ac:dyDescent="0.2">
      <c r="A145" s="724">
        <v>62330420</v>
      </c>
      <c r="B145" s="725" t="s">
        <v>1796</v>
      </c>
      <c r="C145" s="726">
        <v>83.801490000000001</v>
      </c>
      <c r="E145" s="728"/>
    </row>
    <row r="146" spans="1:5" s="727" customFormat="1" ht="15" customHeight="1" x14ac:dyDescent="0.2">
      <c r="A146" s="724">
        <v>62330322</v>
      </c>
      <c r="B146" s="725" t="s">
        <v>1797</v>
      </c>
      <c r="C146" s="726">
        <v>44.73921</v>
      </c>
      <c r="E146" s="728"/>
    </row>
    <row r="147" spans="1:5" s="727" customFormat="1" ht="15" customHeight="1" x14ac:dyDescent="0.2">
      <c r="A147" s="724">
        <v>62330292</v>
      </c>
      <c r="B147" s="725" t="s">
        <v>1798</v>
      </c>
      <c r="C147" s="726">
        <v>71.528490000000005</v>
      </c>
      <c r="E147" s="728"/>
    </row>
    <row r="148" spans="1:5" s="727" customFormat="1" ht="15" customHeight="1" x14ac:dyDescent="0.2">
      <c r="A148" s="724">
        <v>62330373</v>
      </c>
      <c r="B148" s="725" t="s">
        <v>1799</v>
      </c>
      <c r="C148" s="726">
        <v>1.4656499999999999</v>
      </c>
      <c r="E148" s="728"/>
    </row>
    <row r="149" spans="1:5" s="727" customFormat="1" ht="15" customHeight="1" x14ac:dyDescent="0.2">
      <c r="A149" s="724">
        <v>49590928</v>
      </c>
      <c r="B149" s="725" t="s">
        <v>1800</v>
      </c>
      <c r="C149" s="726">
        <v>149.90227999999999</v>
      </c>
      <c r="E149" s="728"/>
    </row>
    <row r="150" spans="1:5" s="727" customFormat="1" ht="15" customHeight="1" x14ac:dyDescent="0.2">
      <c r="A150" s="724">
        <v>62330349</v>
      </c>
      <c r="B150" s="732" t="s">
        <v>1801</v>
      </c>
      <c r="C150" s="726">
        <v>27.143239999999999</v>
      </c>
      <c r="E150" s="728"/>
    </row>
    <row r="151" spans="1:5" s="727" customFormat="1" ht="22.5" x14ac:dyDescent="0.2">
      <c r="A151" s="724">
        <v>47813539</v>
      </c>
      <c r="B151" s="729" t="s">
        <v>1802</v>
      </c>
      <c r="C151" s="726">
        <v>0</v>
      </c>
      <c r="E151" s="728"/>
    </row>
    <row r="152" spans="1:5" s="727" customFormat="1" ht="22.5" x14ac:dyDescent="0.2">
      <c r="A152" s="724" t="s">
        <v>1803</v>
      </c>
      <c r="B152" s="725" t="s">
        <v>1804</v>
      </c>
      <c r="C152" s="726">
        <v>285.49835999999999</v>
      </c>
      <c r="E152" s="728"/>
    </row>
    <row r="153" spans="1:5" s="727" customFormat="1" ht="22.5" x14ac:dyDescent="0.2">
      <c r="A153" s="724">
        <v>47813504</v>
      </c>
      <c r="B153" s="725" t="s">
        <v>1805</v>
      </c>
      <c r="C153" s="726">
        <v>17.835760000000001</v>
      </c>
      <c r="E153" s="728"/>
    </row>
    <row r="154" spans="1:5" s="727" customFormat="1" ht="22.5" x14ac:dyDescent="0.2">
      <c r="A154" s="724">
        <v>47813521</v>
      </c>
      <c r="B154" s="725" t="s">
        <v>1806</v>
      </c>
      <c r="C154" s="726">
        <v>130.10164</v>
      </c>
      <c r="E154" s="728"/>
    </row>
    <row r="155" spans="1:5" s="727" customFormat="1" ht="15" customHeight="1" x14ac:dyDescent="0.2">
      <c r="A155" s="724">
        <v>47813512</v>
      </c>
      <c r="B155" s="725" t="s">
        <v>1807</v>
      </c>
      <c r="C155" s="726">
        <v>216.24118000000001</v>
      </c>
      <c r="E155" s="728"/>
    </row>
    <row r="156" spans="1:5" s="727" customFormat="1" ht="15" customHeight="1" x14ac:dyDescent="0.2">
      <c r="A156" s="724">
        <v>47813598</v>
      </c>
      <c r="B156" s="725" t="s">
        <v>1808</v>
      </c>
      <c r="C156" s="726">
        <v>0</v>
      </c>
      <c r="E156" s="728"/>
    </row>
    <row r="157" spans="1:5" s="727" customFormat="1" ht="22.5" x14ac:dyDescent="0.2">
      <c r="A157" s="724">
        <v>64120384</v>
      </c>
      <c r="B157" s="738" t="s">
        <v>1809</v>
      </c>
      <c r="C157" s="726">
        <v>34.49653</v>
      </c>
      <c r="E157" s="728"/>
    </row>
    <row r="158" spans="1:5" s="727" customFormat="1" ht="22.5" x14ac:dyDescent="0.2">
      <c r="A158" s="724">
        <v>64120392</v>
      </c>
      <c r="B158" s="725" t="s">
        <v>1810</v>
      </c>
      <c r="C158" s="726">
        <v>49.415050000000001</v>
      </c>
      <c r="E158" s="728"/>
    </row>
    <row r="159" spans="1:5" s="727" customFormat="1" ht="15" customHeight="1" x14ac:dyDescent="0.2">
      <c r="A159" s="724">
        <v>61955574</v>
      </c>
      <c r="B159" s="725" t="s">
        <v>1811</v>
      </c>
      <c r="C159" s="726">
        <v>0</v>
      </c>
      <c r="E159" s="728"/>
    </row>
    <row r="160" spans="1:5" s="727" customFormat="1" ht="15" customHeight="1" x14ac:dyDescent="0.2">
      <c r="A160" s="724">
        <v>60780568</v>
      </c>
      <c r="B160" s="725" t="s">
        <v>1812</v>
      </c>
      <c r="C160" s="726">
        <v>61.197020000000002</v>
      </c>
      <c r="E160" s="728"/>
    </row>
    <row r="161" spans="1:5" s="727" customFormat="1" ht="15" customHeight="1" x14ac:dyDescent="0.2">
      <c r="A161" s="724">
        <v>60780541</v>
      </c>
      <c r="B161" s="725" t="s">
        <v>1813</v>
      </c>
      <c r="C161" s="726">
        <v>224.74974</v>
      </c>
      <c r="E161" s="728"/>
    </row>
    <row r="162" spans="1:5" s="727" customFormat="1" ht="22.5" x14ac:dyDescent="0.2">
      <c r="A162" s="724" t="s">
        <v>1814</v>
      </c>
      <c r="B162" s="725" t="s">
        <v>1815</v>
      </c>
      <c r="C162" s="726">
        <v>6.1683199999999996</v>
      </c>
      <c r="E162" s="728"/>
    </row>
    <row r="163" spans="1:5" s="727" customFormat="1" ht="15" customHeight="1" x14ac:dyDescent="0.2">
      <c r="A163" s="724" t="s">
        <v>1816</v>
      </c>
      <c r="B163" s="725" t="s">
        <v>1817</v>
      </c>
      <c r="C163" s="726">
        <v>0</v>
      </c>
      <c r="E163" s="728"/>
    </row>
    <row r="164" spans="1:5" s="727" customFormat="1" ht="15" customHeight="1" x14ac:dyDescent="0.2">
      <c r="A164" s="724" t="s">
        <v>1818</v>
      </c>
      <c r="B164" s="725" t="s">
        <v>1819</v>
      </c>
      <c r="C164" s="726">
        <v>5.8288099999999998</v>
      </c>
      <c r="E164" s="728"/>
    </row>
    <row r="165" spans="1:5" s="727" customFormat="1" ht="15" customHeight="1" x14ac:dyDescent="0.2">
      <c r="A165" s="724">
        <v>45234370</v>
      </c>
      <c r="B165" s="725" t="s">
        <v>1820</v>
      </c>
      <c r="C165" s="726">
        <v>0</v>
      </c>
      <c r="E165" s="728"/>
    </row>
    <row r="166" spans="1:5" s="727" customFormat="1" ht="22.5" x14ac:dyDescent="0.2">
      <c r="A166" s="724" t="s">
        <v>1821</v>
      </c>
      <c r="B166" s="725" t="s">
        <v>1822</v>
      </c>
      <c r="C166" s="726">
        <v>248.34460999999999</v>
      </c>
      <c r="E166" s="728"/>
    </row>
    <row r="167" spans="1:5" s="727" customFormat="1" ht="15" customHeight="1" x14ac:dyDescent="0.2">
      <c r="A167" s="724">
        <v>62331752</v>
      </c>
      <c r="B167" s="725" t="s">
        <v>1823</v>
      </c>
      <c r="C167" s="726">
        <v>62.80545</v>
      </c>
      <c r="E167" s="728"/>
    </row>
    <row r="168" spans="1:5" s="727" customFormat="1" ht="15" customHeight="1" x14ac:dyDescent="0.2">
      <c r="A168" s="724">
        <v>62330381</v>
      </c>
      <c r="B168" s="725" t="s">
        <v>1824</v>
      </c>
      <c r="C168" s="726">
        <v>100.35605</v>
      </c>
      <c r="E168" s="728"/>
    </row>
    <row r="169" spans="1:5" s="727" customFormat="1" ht="22.5" x14ac:dyDescent="0.2">
      <c r="A169" s="724" t="s">
        <v>1825</v>
      </c>
      <c r="B169" s="725" t="s">
        <v>1826</v>
      </c>
      <c r="C169" s="726">
        <v>33.307560000000002</v>
      </c>
      <c r="E169" s="728"/>
    </row>
    <row r="170" spans="1:5" s="727" customFormat="1" ht="15" customHeight="1" x14ac:dyDescent="0.2">
      <c r="A170" s="724" t="s">
        <v>1827</v>
      </c>
      <c r="B170" s="725" t="s">
        <v>1828</v>
      </c>
      <c r="C170" s="726">
        <v>1.33582</v>
      </c>
      <c r="E170" s="728"/>
    </row>
    <row r="171" spans="1:5" s="727" customFormat="1" ht="15" customHeight="1" x14ac:dyDescent="0.2">
      <c r="A171" s="724" t="s">
        <v>1829</v>
      </c>
      <c r="B171" s="730" t="s">
        <v>1830</v>
      </c>
      <c r="C171" s="726">
        <v>54.256639999999997</v>
      </c>
      <c r="E171" s="728"/>
    </row>
    <row r="172" spans="1:5" s="727" customFormat="1" ht="22.5" x14ac:dyDescent="0.2">
      <c r="A172" s="724" t="s">
        <v>1831</v>
      </c>
      <c r="B172" s="725" t="s">
        <v>1832</v>
      </c>
      <c r="C172" s="726">
        <v>191.18458000000001</v>
      </c>
      <c r="E172" s="728"/>
    </row>
    <row r="173" spans="1:5" s="727" customFormat="1" ht="15" customHeight="1" x14ac:dyDescent="0.2">
      <c r="A173" s="724">
        <v>60045922</v>
      </c>
      <c r="B173" s="730" t="s">
        <v>1833</v>
      </c>
      <c r="C173" s="726">
        <v>68.647450000000006</v>
      </c>
      <c r="E173" s="728"/>
    </row>
    <row r="174" spans="1:5" s="727" customFormat="1" ht="15" customHeight="1" x14ac:dyDescent="0.2">
      <c r="A174" s="724">
        <v>60802774</v>
      </c>
      <c r="B174" s="730" t="s">
        <v>1834</v>
      </c>
      <c r="C174" s="726">
        <v>0</v>
      </c>
      <c r="E174" s="728"/>
    </row>
    <row r="175" spans="1:5" s="727" customFormat="1" ht="22.5" x14ac:dyDescent="0.2">
      <c r="A175" s="724" t="s">
        <v>4788</v>
      </c>
      <c r="B175" s="730" t="s">
        <v>2648</v>
      </c>
      <c r="C175" s="726">
        <v>0</v>
      </c>
      <c r="E175" s="728"/>
    </row>
    <row r="176" spans="1:5" s="727" customFormat="1" ht="22.5" x14ac:dyDescent="0.2">
      <c r="A176" s="724">
        <v>61989339</v>
      </c>
      <c r="B176" s="725" t="s">
        <v>1835</v>
      </c>
      <c r="C176" s="726">
        <v>0</v>
      </c>
      <c r="E176" s="728"/>
    </row>
    <row r="177" spans="1:5" s="727" customFormat="1" ht="22.5" x14ac:dyDescent="0.2">
      <c r="A177" s="724">
        <v>48004774</v>
      </c>
      <c r="B177" s="725" t="s">
        <v>1836</v>
      </c>
      <c r="C177" s="726">
        <v>13.816929999999999</v>
      </c>
      <c r="E177" s="728"/>
    </row>
    <row r="178" spans="1:5" s="727" customFormat="1" ht="22.5" x14ac:dyDescent="0.2">
      <c r="A178" s="724">
        <v>48004898</v>
      </c>
      <c r="B178" s="725" t="s">
        <v>1837</v>
      </c>
      <c r="C178" s="726">
        <v>91.219750000000005</v>
      </c>
      <c r="E178" s="728"/>
    </row>
    <row r="179" spans="1:5" s="727" customFormat="1" ht="22.5" x14ac:dyDescent="0.2">
      <c r="A179" s="724">
        <v>47658061</v>
      </c>
      <c r="B179" s="725" t="s">
        <v>1838</v>
      </c>
      <c r="C179" s="726">
        <v>90.348380000000006</v>
      </c>
      <c r="E179" s="728"/>
    </row>
    <row r="180" spans="1:5" s="727" customFormat="1" ht="22.5" x14ac:dyDescent="0.2">
      <c r="A180" s="724">
        <v>47998296</v>
      </c>
      <c r="B180" s="729" t="s">
        <v>1839</v>
      </c>
      <c r="C180" s="726">
        <v>0</v>
      </c>
      <c r="E180" s="728"/>
    </row>
    <row r="181" spans="1:5" s="727" customFormat="1" ht="22.5" x14ac:dyDescent="0.2">
      <c r="A181" s="724">
        <v>47813466</v>
      </c>
      <c r="B181" s="729" t="s">
        <v>1840</v>
      </c>
      <c r="C181" s="726">
        <v>29.752579999999998</v>
      </c>
      <c r="E181" s="728"/>
    </row>
    <row r="182" spans="1:5" s="727" customFormat="1" ht="15" customHeight="1" x14ac:dyDescent="0.2">
      <c r="A182" s="724">
        <v>47811927</v>
      </c>
      <c r="B182" s="725" t="s">
        <v>1841</v>
      </c>
      <c r="C182" s="726">
        <v>119.20923000000001</v>
      </c>
      <c r="E182" s="728"/>
    </row>
    <row r="183" spans="1:5" s="727" customFormat="1" ht="15" customHeight="1" x14ac:dyDescent="0.2">
      <c r="A183" s="724">
        <v>47811919</v>
      </c>
      <c r="B183" s="725" t="s">
        <v>1842</v>
      </c>
      <c r="C183" s="726">
        <v>118.17468</v>
      </c>
      <c r="E183" s="728"/>
    </row>
    <row r="184" spans="1:5" s="727" customFormat="1" ht="15" customHeight="1" x14ac:dyDescent="0.2">
      <c r="A184" s="724">
        <v>68334222</v>
      </c>
      <c r="B184" s="730" t="s">
        <v>1843</v>
      </c>
      <c r="C184" s="726">
        <v>60.859560000000002</v>
      </c>
      <c r="E184" s="728"/>
    </row>
    <row r="185" spans="1:5" s="727" customFormat="1" ht="15" customHeight="1" x14ac:dyDescent="0.2">
      <c r="A185" s="724">
        <v>60043661</v>
      </c>
      <c r="B185" s="725" t="s">
        <v>1844</v>
      </c>
      <c r="C185" s="726">
        <v>61.426960000000001</v>
      </c>
      <c r="E185" s="728"/>
    </row>
    <row r="186" spans="1:5" s="727" customFormat="1" ht="15" customHeight="1" x14ac:dyDescent="0.2">
      <c r="A186" s="724" t="s">
        <v>1845</v>
      </c>
      <c r="B186" s="730" t="s">
        <v>1846</v>
      </c>
      <c r="C186" s="726">
        <v>0</v>
      </c>
      <c r="E186" s="728"/>
    </row>
    <row r="187" spans="1:5" s="727" customFormat="1" ht="35.25" customHeight="1" x14ac:dyDescent="0.2">
      <c r="A187" s="736">
        <v>47813181</v>
      </c>
      <c r="B187" s="732" t="s">
        <v>4797</v>
      </c>
      <c r="C187" s="726">
        <v>0</v>
      </c>
      <c r="E187" s="728"/>
    </row>
    <row r="188" spans="1:5" s="727" customFormat="1" ht="22.5" x14ac:dyDescent="0.2">
      <c r="A188" s="724">
        <v>14616068</v>
      </c>
      <c r="B188" s="1306" t="s">
        <v>4795</v>
      </c>
      <c r="C188" s="726">
        <v>0</v>
      </c>
      <c r="E188" s="728"/>
    </row>
    <row r="189" spans="1:5" s="727" customFormat="1" ht="23.25" thickBot="1" x14ac:dyDescent="0.25">
      <c r="A189" s="736">
        <v>70640726</v>
      </c>
      <c r="B189" s="732" t="s">
        <v>4796</v>
      </c>
      <c r="C189" s="726">
        <v>0</v>
      </c>
      <c r="E189" s="728"/>
    </row>
    <row r="190" spans="1:5" ht="15" thickBot="1" x14ac:dyDescent="0.25">
      <c r="A190" s="1468" t="s">
        <v>1849</v>
      </c>
      <c r="B190" s="1469"/>
      <c r="C190" s="741">
        <f>SUM(C4:C189)</f>
        <v>35021.805859999993</v>
      </c>
    </row>
    <row r="191" spans="1:5" s="743" customFormat="1" ht="12.75" customHeight="1" x14ac:dyDescent="0.2">
      <c r="A191" s="742"/>
      <c r="B191" s="742"/>
      <c r="C191" s="742"/>
      <c r="E191" s="744"/>
    </row>
    <row r="192" spans="1:5" s="743" customFormat="1" ht="15" x14ac:dyDescent="0.2">
      <c r="A192" s="742"/>
      <c r="B192" s="742"/>
      <c r="C192" s="742"/>
      <c r="E192" s="744"/>
    </row>
    <row r="193" spans="1:5" s="743" customFormat="1" ht="15" x14ac:dyDescent="0.2">
      <c r="A193" s="742"/>
      <c r="B193" s="742"/>
      <c r="C193" s="742"/>
      <c r="E193" s="745"/>
    </row>
    <row r="194" spans="1:5" x14ac:dyDescent="0.2">
      <c r="A194" s="746"/>
      <c r="B194" s="747"/>
      <c r="C194" s="748"/>
    </row>
  </sheetData>
  <mergeCells count="2">
    <mergeCell ref="A1:C1"/>
    <mergeCell ref="A190:B190"/>
  </mergeCells>
  <printOptions horizontalCentered="1"/>
  <pageMargins left="0.39370078740157483" right="0.39370078740157483" top="0.59055118110236227" bottom="0.39370078740157483" header="0.31496062992125984" footer="0.11811023622047245"/>
  <pageSetup paperSize="9" firstPageNumber="322" fitToHeight="0" orientation="portrait" useFirstPageNumber="1" r:id="rId1"/>
  <headerFooter alignWithMargins="0">
    <oddHeader>&amp;L&amp;"Tahoma,Kurzíva"&amp;9Závěrečný účet za rok 2015&amp;R&amp;"Tahoma,Kurzíva"&amp;9Tabulka č. 23</oddHeader>
    <oddFooter>&amp;C&amp;"Tahoma,Obyčejné"&amp;P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Normal="100" zoomScaleSheetLayoutView="100" workbookViewId="0">
      <selection activeCell="E2" sqref="E2"/>
    </sheetView>
  </sheetViews>
  <sheetFormatPr defaultRowHeight="15" x14ac:dyDescent="0.2"/>
  <cols>
    <col min="1" max="1" width="11.28515625" style="750" customWidth="1"/>
    <col min="2" max="2" width="60.42578125" style="751" customWidth="1"/>
    <col min="3" max="3" width="16.140625" style="702" customWidth="1"/>
    <col min="4" max="16384" width="9.140625" style="694"/>
  </cols>
  <sheetData>
    <row r="1" spans="1:3" ht="33.75" customHeight="1" x14ac:dyDescent="0.2">
      <c r="A1" s="1461" t="s">
        <v>1850</v>
      </c>
      <c r="B1" s="1461"/>
      <c r="C1" s="1461"/>
    </row>
    <row r="2" spans="1:3" ht="15.75" thickBot="1" x14ac:dyDescent="0.25">
      <c r="C2" s="752" t="s">
        <v>2</v>
      </c>
    </row>
    <row r="3" spans="1:3" s="753" customFormat="1" ht="45.75" customHeight="1" thickBot="1" x14ac:dyDescent="0.25">
      <c r="A3" s="684" t="s">
        <v>1510</v>
      </c>
      <c r="B3" s="685" t="s">
        <v>1511</v>
      </c>
      <c r="C3" s="686" t="s">
        <v>1512</v>
      </c>
    </row>
    <row r="4" spans="1:3" s="753" customFormat="1" ht="15" customHeight="1" x14ac:dyDescent="0.2">
      <c r="A4" s="754" t="s">
        <v>1851</v>
      </c>
      <c r="B4" s="755" t="s">
        <v>1852</v>
      </c>
      <c r="C4" s="756">
        <v>2420.6298000000002</v>
      </c>
    </row>
    <row r="5" spans="1:3" s="753" customFormat="1" ht="15" customHeight="1" x14ac:dyDescent="0.2">
      <c r="A5" s="757" t="s">
        <v>1853</v>
      </c>
      <c r="B5" s="758" t="s">
        <v>1854</v>
      </c>
      <c r="C5" s="756">
        <v>25.373729999999998</v>
      </c>
    </row>
    <row r="6" spans="1:3" s="753" customFormat="1" ht="15" customHeight="1" x14ac:dyDescent="0.2">
      <c r="A6" s="757" t="s">
        <v>1855</v>
      </c>
      <c r="B6" s="758" t="s">
        <v>1856</v>
      </c>
      <c r="C6" s="756">
        <v>-13949.1909</v>
      </c>
    </row>
    <row r="7" spans="1:3" s="753" customFormat="1" ht="15" customHeight="1" x14ac:dyDescent="0.2">
      <c r="A7" s="757" t="s">
        <v>1857</v>
      </c>
      <c r="B7" s="758" t="s">
        <v>1858</v>
      </c>
      <c r="C7" s="756">
        <v>-4535.0203499999998</v>
      </c>
    </row>
    <row r="8" spans="1:3" s="753" customFormat="1" ht="25.5" x14ac:dyDescent="0.2">
      <c r="A8" s="757" t="s">
        <v>1859</v>
      </c>
      <c r="B8" s="758" t="s">
        <v>1860</v>
      </c>
      <c r="C8" s="756">
        <v>636.59639000000004</v>
      </c>
    </row>
    <row r="9" spans="1:3" s="753" customFormat="1" ht="15" customHeight="1" x14ac:dyDescent="0.2">
      <c r="A9" s="757" t="s">
        <v>1861</v>
      </c>
      <c r="B9" s="758" t="s">
        <v>1862</v>
      </c>
      <c r="C9" s="756">
        <v>-8750.4889299999995</v>
      </c>
    </row>
    <row r="10" spans="1:3" s="753" customFormat="1" ht="15" customHeight="1" x14ac:dyDescent="0.2">
      <c r="A10" s="757" t="s">
        <v>1863</v>
      </c>
      <c r="B10" s="758" t="s">
        <v>1864</v>
      </c>
      <c r="C10" s="756">
        <v>-19290.274659999999</v>
      </c>
    </row>
    <row r="11" spans="1:3" s="753" customFormat="1" ht="15" customHeight="1" x14ac:dyDescent="0.2">
      <c r="A11" s="757" t="s">
        <v>1865</v>
      </c>
      <c r="B11" s="758" t="s">
        <v>1866</v>
      </c>
      <c r="C11" s="756">
        <v>-5244.7133800000001</v>
      </c>
    </row>
    <row r="12" spans="1:3" s="753" customFormat="1" ht="15" customHeight="1" x14ac:dyDescent="0.2">
      <c r="A12" s="757" t="s">
        <v>1867</v>
      </c>
      <c r="B12" s="758" t="s">
        <v>1868</v>
      </c>
      <c r="C12" s="756">
        <v>70.845780000000005</v>
      </c>
    </row>
    <row r="13" spans="1:3" s="753" customFormat="1" ht="26.25" thickBot="1" x14ac:dyDescent="0.25">
      <c r="A13" s="757">
        <v>48804525</v>
      </c>
      <c r="B13" s="758" t="s">
        <v>1869</v>
      </c>
      <c r="C13" s="756">
        <v>2782.8975099999998</v>
      </c>
    </row>
    <row r="14" spans="1:3" s="753" customFormat="1" ht="17.25" customHeight="1" thickBot="1" x14ac:dyDescent="0.25">
      <c r="A14" s="1459" t="s">
        <v>1870</v>
      </c>
      <c r="B14" s="1460"/>
      <c r="C14" s="691">
        <f>SUM(C3:C13)</f>
        <v>-45833.345009999997</v>
      </c>
    </row>
    <row r="17" spans="1:3" x14ac:dyDescent="0.2">
      <c r="A17" s="1470"/>
      <c r="B17" s="1470"/>
      <c r="C17" s="1470"/>
    </row>
  </sheetData>
  <mergeCells count="3">
    <mergeCell ref="A1:C1"/>
    <mergeCell ref="A14:B14"/>
    <mergeCell ref="A17:C17"/>
  </mergeCells>
  <printOptions horizontalCentered="1"/>
  <pageMargins left="0.39370078740157483" right="0.39370078740157483" top="0.59055118110236227" bottom="0.39370078740157483" header="0.31496062992125984" footer="0.11811023622047245"/>
  <pageSetup paperSize="9" firstPageNumber="327" fitToHeight="0" orientation="portrait" useFirstPageNumber="1" r:id="rId1"/>
  <headerFooter alignWithMargins="0">
    <oddHeader>&amp;L&amp;"Tahoma,Kurzíva"&amp;9Závěrečný účet za rok 2015&amp;R&amp;"Tahoma,Kurzíva"&amp;9Tabulka č. 24</oddHeader>
    <oddFooter>&amp;C&amp;"Tahoma,Obyčejné"&amp;P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Normal="100" zoomScaleSheetLayoutView="100" workbookViewId="0">
      <selection activeCell="E2" sqref="E2"/>
    </sheetView>
  </sheetViews>
  <sheetFormatPr defaultRowHeight="15" x14ac:dyDescent="0.2"/>
  <cols>
    <col min="1" max="1" width="11.28515625" style="681" customWidth="1"/>
    <col min="2" max="2" width="60.42578125" style="682" customWidth="1"/>
    <col min="3" max="3" width="16.140625" style="693" customWidth="1"/>
    <col min="4" max="4" width="10.42578125" style="680" bestFit="1" customWidth="1"/>
    <col min="5" max="16384" width="9.140625" style="680"/>
  </cols>
  <sheetData>
    <row r="1" spans="1:4" ht="30" customHeight="1" x14ac:dyDescent="0.2">
      <c r="A1" s="1458" t="s">
        <v>1871</v>
      </c>
      <c r="B1" s="1458"/>
      <c r="C1" s="1458"/>
    </row>
    <row r="2" spans="1:4" ht="15.75" thickBot="1" x14ac:dyDescent="0.25">
      <c r="C2" s="683" t="s">
        <v>2</v>
      </c>
    </row>
    <row r="3" spans="1:4" ht="45.75" customHeight="1" thickBot="1" x14ac:dyDescent="0.25">
      <c r="A3" s="684" t="s">
        <v>1510</v>
      </c>
      <c r="B3" s="685" t="s">
        <v>1511</v>
      </c>
      <c r="C3" s="686" t="s">
        <v>1512</v>
      </c>
    </row>
    <row r="4" spans="1:4" ht="17.25" customHeight="1" thickBot="1" x14ac:dyDescent="0.25">
      <c r="A4" s="687">
        <v>3103820</v>
      </c>
      <c r="B4" s="688" t="s">
        <v>1872</v>
      </c>
      <c r="C4" s="689">
        <v>16.27506</v>
      </c>
      <c r="D4" s="690"/>
    </row>
    <row r="5" spans="1:4" ht="18" customHeight="1" thickBot="1" x14ac:dyDescent="0.25">
      <c r="A5" s="1459" t="s">
        <v>1873</v>
      </c>
      <c r="B5" s="1460"/>
      <c r="C5" s="691">
        <f>SUM(C4)</f>
        <v>16.27506</v>
      </c>
    </row>
    <row r="11" spans="1:4" x14ac:dyDescent="0.2">
      <c r="C11" s="692"/>
    </row>
  </sheetData>
  <mergeCells count="2">
    <mergeCell ref="A1:C1"/>
    <mergeCell ref="A5:B5"/>
  </mergeCells>
  <printOptions horizontalCentered="1"/>
  <pageMargins left="0.39370078740157483" right="0.39370078740157483" top="0.59055118110236227" bottom="0.39370078740157483" header="0.31496062992125984" footer="0.11811023622047245"/>
  <pageSetup paperSize="9" firstPageNumber="328" fitToHeight="0" orientation="portrait" useFirstPageNumber="1" r:id="rId1"/>
  <headerFooter alignWithMargins="0">
    <oddHeader>&amp;L&amp;"Tahoma,Kurzíva"&amp;9Závěrečný účet za rok 2015&amp;R&amp;"Tahoma,Kurzíva"&amp;9Tabulka č. 25</oddHeader>
    <oddFooter>&amp;C&amp;"Tahoma,Obyčejné"&amp;P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49"/>
  <sheetViews>
    <sheetView zoomScaleNormal="100" zoomScaleSheetLayoutView="100" workbookViewId="0">
      <selection activeCell="E2" sqref="E2"/>
    </sheetView>
  </sheetViews>
  <sheetFormatPr defaultRowHeight="15" x14ac:dyDescent="0.25"/>
  <cols>
    <col min="1" max="1" width="38.5703125" style="862" customWidth="1"/>
    <col min="2" max="3" width="11.5703125" style="862" customWidth="1"/>
    <col min="4" max="4" width="85.28515625" style="862" customWidth="1"/>
    <col min="5" max="16384" width="9.140625" style="862"/>
  </cols>
  <sheetData>
    <row r="1" spans="1:4" s="863" customFormat="1" ht="21" customHeight="1" x14ac:dyDescent="0.15">
      <c r="A1" s="1474" t="s">
        <v>2730</v>
      </c>
      <c r="B1" s="1474"/>
      <c r="C1" s="1474"/>
      <c r="D1" s="1474"/>
    </row>
    <row r="2" spans="1:4" s="901" customFormat="1" ht="12.75" customHeight="1" x14ac:dyDescent="0.15">
      <c r="A2" s="903"/>
      <c r="B2" s="903"/>
      <c r="C2" s="903"/>
      <c r="D2" s="902" t="s">
        <v>2</v>
      </c>
    </row>
    <row r="3" spans="1:4" s="899" customFormat="1" ht="12.75" customHeight="1" x14ac:dyDescent="0.2">
      <c r="A3" s="900" t="s">
        <v>717</v>
      </c>
      <c r="B3" s="900" t="s">
        <v>2729</v>
      </c>
      <c r="C3" s="900" t="s">
        <v>2728</v>
      </c>
      <c r="D3" s="900" t="s">
        <v>2727</v>
      </c>
    </row>
    <row r="4" spans="1:4" s="863" customFormat="1" ht="24.75" customHeight="1" x14ac:dyDescent="0.15">
      <c r="A4" s="892" t="s">
        <v>2726</v>
      </c>
      <c r="B4" s="898"/>
      <c r="C4" s="898"/>
      <c r="D4" s="894"/>
    </row>
    <row r="5" spans="1:4" s="896" customFormat="1" ht="11.25" customHeight="1" x14ac:dyDescent="0.25">
      <c r="A5" s="1472" t="s">
        <v>2725</v>
      </c>
      <c r="B5" s="888">
        <v>14000</v>
      </c>
      <c r="C5" s="888">
        <v>14000</v>
      </c>
      <c r="D5" s="882" t="s">
        <v>2724</v>
      </c>
    </row>
    <row r="6" spans="1:4" s="896" customFormat="1" ht="11.25" customHeight="1" x14ac:dyDescent="0.25">
      <c r="A6" s="1471"/>
      <c r="B6" s="885">
        <v>51300</v>
      </c>
      <c r="C6" s="885">
        <v>46307</v>
      </c>
      <c r="D6" s="880" t="s">
        <v>2723</v>
      </c>
    </row>
    <row r="7" spans="1:4" s="896" customFormat="1" ht="11.25" customHeight="1" x14ac:dyDescent="0.25">
      <c r="A7" s="1471"/>
      <c r="B7" s="885">
        <v>370544</v>
      </c>
      <c r="C7" s="885">
        <v>370544</v>
      </c>
      <c r="D7" s="880" t="s">
        <v>2722</v>
      </c>
    </row>
    <row r="8" spans="1:4" s="896" customFormat="1" ht="11.25" customHeight="1" x14ac:dyDescent="0.25">
      <c r="A8" s="1471"/>
      <c r="B8" s="885">
        <v>190000</v>
      </c>
      <c r="C8" s="885">
        <v>190000</v>
      </c>
      <c r="D8" s="880" t="s">
        <v>2721</v>
      </c>
    </row>
    <row r="9" spans="1:4" s="896" customFormat="1" ht="11.25" customHeight="1" x14ac:dyDescent="0.25">
      <c r="A9" s="1471"/>
      <c r="B9" s="885">
        <v>11000</v>
      </c>
      <c r="C9" s="885">
        <v>10620</v>
      </c>
      <c r="D9" s="880" t="s">
        <v>2720</v>
      </c>
    </row>
    <row r="10" spans="1:4" s="896" customFormat="1" ht="11.25" customHeight="1" x14ac:dyDescent="0.25">
      <c r="A10" s="1471"/>
      <c r="B10" s="885">
        <v>47600</v>
      </c>
      <c r="C10" s="885">
        <v>47600</v>
      </c>
      <c r="D10" s="880" t="s">
        <v>2719</v>
      </c>
    </row>
    <row r="11" spans="1:4" s="896" customFormat="1" ht="21" x14ac:dyDescent="0.25">
      <c r="A11" s="1471"/>
      <c r="B11" s="885">
        <v>10</v>
      </c>
      <c r="C11" s="885">
        <v>2.9</v>
      </c>
      <c r="D11" s="880" t="s">
        <v>2718</v>
      </c>
    </row>
    <row r="12" spans="1:4" s="896" customFormat="1" ht="11.25" customHeight="1" x14ac:dyDescent="0.25">
      <c r="A12" s="1471"/>
      <c r="B12" s="885">
        <v>441.61</v>
      </c>
      <c r="C12" s="885">
        <v>441.60602</v>
      </c>
      <c r="D12" s="880" t="s">
        <v>1262</v>
      </c>
    </row>
    <row r="13" spans="1:4" s="896" customFormat="1" ht="11.25" customHeight="1" x14ac:dyDescent="0.25">
      <c r="A13" s="1473"/>
      <c r="B13" s="887">
        <v>684895.61</v>
      </c>
      <c r="C13" s="887">
        <v>679515.50601999997</v>
      </c>
      <c r="D13" s="886" t="s">
        <v>11</v>
      </c>
    </row>
    <row r="14" spans="1:4" s="896" customFormat="1" ht="24" customHeight="1" x14ac:dyDescent="0.25">
      <c r="A14" s="879" t="s">
        <v>2717</v>
      </c>
      <c r="B14" s="897">
        <v>684895.61</v>
      </c>
      <c r="C14" s="878">
        <v>679515.50601999997</v>
      </c>
      <c r="D14" s="893"/>
    </row>
    <row r="15" spans="1:4" s="863" customFormat="1" ht="24.75" customHeight="1" x14ac:dyDescent="0.15">
      <c r="A15" s="892" t="s">
        <v>2716</v>
      </c>
      <c r="B15" s="895"/>
      <c r="C15" s="895"/>
      <c r="D15" s="894"/>
    </row>
    <row r="16" spans="1:4" s="891" customFormat="1" ht="11.25" customHeight="1" x14ac:dyDescent="0.2">
      <c r="A16" s="1472" t="s">
        <v>1519</v>
      </c>
      <c r="B16" s="888">
        <v>19</v>
      </c>
      <c r="C16" s="888">
        <v>19</v>
      </c>
      <c r="D16" s="882" t="s">
        <v>2708</v>
      </c>
    </row>
    <row r="17" spans="1:4" s="891" customFormat="1" ht="11.25" customHeight="1" x14ac:dyDescent="0.2">
      <c r="A17" s="1471"/>
      <c r="B17" s="885">
        <v>150</v>
      </c>
      <c r="C17" s="885">
        <v>150</v>
      </c>
      <c r="D17" s="880" t="s">
        <v>2712</v>
      </c>
    </row>
    <row r="18" spans="1:4" s="891" customFormat="1" ht="11.25" customHeight="1" x14ac:dyDescent="0.2">
      <c r="A18" s="1471"/>
      <c r="B18" s="885">
        <v>1008</v>
      </c>
      <c r="C18" s="885">
        <v>1008</v>
      </c>
      <c r="D18" s="880" t="s">
        <v>2707</v>
      </c>
    </row>
    <row r="19" spans="1:4" s="891" customFormat="1" ht="11.25" customHeight="1" x14ac:dyDescent="0.2">
      <c r="A19" s="1471"/>
      <c r="B19" s="885">
        <v>18431.689999999999</v>
      </c>
      <c r="C19" s="885">
        <v>18431.694</v>
      </c>
      <c r="D19" s="880" t="s">
        <v>2703</v>
      </c>
    </row>
    <row r="20" spans="1:4" s="891" customFormat="1" ht="11.25" customHeight="1" x14ac:dyDescent="0.2">
      <c r="A20" s="1471"/>
      <c r="B20" s="885">
        <v>871.81</v>
      </c>
      <c r="C20" s="885">
        <v>871.80600000000004</v>
      </c>
      <c r="D20" s="880" t="s">
        <v>2702</v>
      </c>
    </row>
    <row r="21" spans="1:4" s="891" customFormat="1" ht="11.25" customHeight="1" x14ac:dyDescent="0.2">
      <c r="A21" s="1471"/>
      <c r="B21" s="885">
        <v>410</v>
      </c>
      <c r="C21" s="885">
        <v>410</v>
      </c>
      <c r="D21" s="880" t="s">
        <v>2705</v>
      </c>
    </row>
    <row r="22" spans="1:4" s="891" customFormat="1" ht="11.25" customHeight="1" x14ac:dyDescent="0.2">
      <c r="A22" s="1473"/>
      <c r="B22" s="887">
        <v>20890.5</v>
      </c>
      <c r="C22" s="887">
        <v>20890.5</v>
      </c>
      <c r="D22" s="886" t="s">
        <v>11</v>
      </c>
    </row>
    <row r="23" spans="1:4" s="891" customFormat="1" ht="11.25" customHeight="1" x14ac:dyDescent="0.2">
      <c r="A23" s="1471" t="s">
        <v>1517</v>
      </c>
      <c r="B23" s="885">
        <v>4</v>
      </c>
      <c r="C23" s="885">
        <v>4</v>
      </c>
      <c r="D23" s="880" t="s">
        <v>2708</v>
      </c>
    </row>
    <row r="24" spans="1:4" s="891" customFormat="1" ht="11.25" customHeight="1" x14ac:dyDescent="0.2">
      <c r="A24" s="1471"/>
      <c r="B24" s="885">
        <v>6000</v>
      </c>
      <c r="C24" s="885">
        <v>6000</v>
      </c>
      <c r="D24" s="880" t="s">
        <v>2715</v>
      </c>
    </row>
    <row r="25" spans="1:4" s="891" customFormat="1" ht="11.25" customHeight="1" x14ac:dyDescent="0.2">
      <c r="A25" s="1471"/>
      <c r="B25" s="885">
        <v>957</v>
      </c>
      <c r="C25" s="885">
        <v>957</v>
      </c>
      <c r="D25" s="880" t="s">
        <v>2639</v>
      </c>
    </row>
    <row r="26" spans="1:4" s="891" customFormat="1" ht="11.25" customHeight="1" x14ac:dyDescent="0.2">
      <c r="A26" s="1471"/>
      <c r="B26" s="885">
        <v>160</v>
      </c>
      <c r="C26" s="885">
        <v>160</v>
      </c>
      <c r="D26" s="880" t="s">
        <v>2712</v>
      </c>
    </row>
    <row r="27" spans="1:4" s="891" customFormat="1" ht="11.25" customHeight="1" x14ac:dyDescent="0.2">
      <c r="A27" s="1471"/>
      <c r="B27" s="885">
        <v>27846.1</v>
      </c>
      <c r="C27" s="885">
        <v>27846.102999999999</v>
      </c>
      <c r="D27" s="880" t="s">
        <v>2703</v>
      </c>
    </row>
    <row r="28" spans="1:4" s="891" customFormat="1" ht="11.25" customHeight="1" x14ac:dyDescent="0.2">
      <c r="A28" s="1471"/>
      <c r="B28" s="885">
        <v>809.9</v>
      </c>
      <c r="C28" s="885">
        <v>809.89700000000005</v>
      </c>
      <c r="D28" s="880" t="s">
        <v>2702</v>
      </c>
    </row>
    <row r="29" spans="1:4" s="891" customFormat="1" ht="11.25" customHeight="1" x14ac:dyDescent="0.2">
      <c r="A29" s="1471"/>
      <c r="B29" s="885">
        <v>940</v>
      </c>
      <c r="C29" s="885">
        <v>940</v>
      </c>
      <c r="D29" s="880" t="s">
        <v>2714</v>
      </c>
    </row>
    <row r="30" spans="1:4" s="891" customFormat="1" ht="11.25" customHeight="1" x14ac:dyDescent="0.2">
      <c r="A30" s="1471"/>
      <c r="B30" s="885">
        <v>166</v>
      </c>
      <c r="C30" s="885">
        <v>166</v>
      </c>
      <c r="D30" s="880" t="s">
        <v>2711</v>
      </c>
    </row>
    <row r="31" spans="1:4" s="891" customFormat="1" ht="11.25" customHeight="1" x14ac:dyDescent="0.2">
      <c r="A31" s="1471"/>
      <c r="B31" s="885">
        <v>36883</v>
      </c>
      <c r="C31" s="885">
        <v>36883</v>
      </c>
      <c r="D31" s="880" t="s">
        <v>11</v>
      </c>
    </row>
    <row r="32" spans="1:4" s="891" customFormat="1" ht="11.25" customHeight="1" x14ac:dyDescent="0.2">
      <c r="A32" s="1472" t="s">
        <v>1525</v>
      </c>
      <c r="B32" s="888">
        <v>19</v>
      </c>
      <c r="C32" s="888">
        <v>19</v>
      </c>
      <c r="D32" s="882" t="s">
        <v>2708</v>
      </c>
    </row>
    <row r="33" spans="1:4" s="891" customFormat="1" ht="11.25" customHeight="1" x14ac:dyDescent="0.2">
      <c r="A33" s="1471"/>
      <c r="B33" s="885">
        <v>23</v>
      </c>
      <c r="C33" s="885">
        <v>23</v>
      </c>
      <c r="D33" s="880" t="s">
        <v>2707</v>
      </c>
    </row>
    <row r="34" spans="1:4" s="891" customFormat="1" ht="11.25" customHeight="1" x14ac:dyDescent="0.2">
      <c r="A34" s="1471"/>
      <c r="B34" s="885">
        <v>20867.43</v>
      </c>
      <c r="C34" s="885">
        <v>20867.428</v>
      </c>
      <c r="D34" s="880" t="s">
        <v>2703</v>
      </c>
    </row>
    <row r="35" spans="1:4" s="891" customFormat="1" ht="11.25" customHeight="1" x14ac:dyDescent="0.2">
      <c r="A35" s="1471"/>
      <c r="B35" s="885">
        <v>532.57000000000005</v>
      </c>
      <c r="C35" s="885">
        <v>525.42528000000004</v>
      </c>
      <c r="D35" s="880" t="s">
        <v>2702</v>
      </c>
    </row>
    <row r="36" spans="1:4" s="891" customFormat="1" ht="11.25" customHeight="1" x14ac:dyDescent="0.2">
      <c r="A36" s="1473"/>
      <c r="B36" s="887">
        <v>21442</v>
      </c>
      <c r="C36" s="887">
        <v>21434.853279999999</v>
      </c>
      <c r="D36" s="886" t="s">
        <v>11</v>
      </c>
    </row>
    <row r="37" spans="1:4" s="891" customFormat="1" ht="11.25" customHeight="1" x14ac:dyDescent="0.2">
      <c r="A37" s="1471" t="s">
        <v>1529</v>
      </c>
      <c r="B37" s="885">
        <v>19</v>
      </c>
      <c r="C37" s="885">
        <v>19</v>
      </c>
      <c r="D37" s="880" t="s">
        <v>2708</v>
      </c>
    </row>
    <row r="38" spans="1:4" s="891" customFormat="1" ht="11.25" customHeight="1" x14ac:dyDescent="0.2">
      <c r="A38" s="1471"/>
      <c r="B38" s="885">
        <v>50</v>
      </c>
      <c r="C38" s="885">
        <v>50</v>
      </c>
      <c r="D38" s="880" t="s">
        <v>1424</v>
      </c>
    </row>
    <row r="39" spans="1:4" s="891" customFormat="1" ht="11.25" customHeight="1" x14ac:dyDescent="0.2">
      <c r="A39" s="1471"/>
      <c r="B39" s="885">
        <v>500</v>
      </c>
      <c r="C39" s="885">
        <v>500</v>
      </c>
      <c r="D39" s="880" t="s">
        <v>2707</v>
      </c>
    </row>
    <row r="40" spans="1:4" s="891" customFormat="1" ht="11.25" customHeight="1" x14ac:dyDescent="0.2">
      <c r="A40" s="1471"/>
      <c r="B40" s="885">
        <v>24153.81</v>
      </c>
      <c r="C40" s="885">
        <v>24153.812999999998</v>
      </c>
      <c r="D40" s="880" t="s">
        <v>2703</v>
      </c>
    </row>
    <row r="41" spans="1:4" s="891" customFormat="1" ht="11.25" customHeight="1" x14ac:dyDescent="0.2">
      <c r="A41" s="1471"/>
      <c r="B41" s="885">
        <v>1046.19</v>
      </c>
      <c r="C41" s="885">
        <v>1017.9099999999999</v>
      </c>
      <c r="D41" s="880" t="s">
        <v>2702</v>
      </c>
    </row>
    <row r="42" spans="1:4" s="891" customFormat="1" ht="11.25" customHeight="1" x14ac:dyDescent="0.2">
      <c r="A42" s="1471"/>
      <c r="B42" s="885">
        <v>25769</v>
      </c>
      <c r="C42" s="885">
        <v>25740.723000000002</v>
      </c>
      <c r="D42" s="880" t="s">
        <v>11</v>
      </c>
    </row>
    <row r="43" spans="1:4" s="891" customFormat="1" ht="11.25" customHeight="1" x14ac:dyDescent="0.2">
      <c r="A43" s="1472" t="s">
        <v>1523</v>
      </c>
      <c r="B43" s="888">
        <v>20</v>
      </c>
      <c r="C43" s="888">
        <v>20</v>
      </c>
      <c r="D43" s="882" t="s">
        <v>2708</v>
      </c>
    </row>
    <row r="44" spans="1:4" s="891" customFormat="1" ht="11.25" customHeight="1" x14ac:dyDescent="0.2">
      <c r="A44" s="1471"/>
      <c r="B44" s="885">
        <v>2000</v>
      </c>
      <c r="C44" s="885">
        <v>2000</v>
      </c>
      <c r="D44" s="880" t="s">
        <v>2713</v>
      </c>
    </row>
    <row r="45" spans="1:4" s="891" customFormat="1" ht="11.25" customHeight="1" x14ac:dyDescent="0.2">
      <c r="A45" s="1471"/>
      <c r="B45" s="885">
        <v>100</v>
      </c>
      <c r="C45" s="885">
        <v>100</v>
      </c>
      <c r="D45" s="880" t="s">
        <v>2712</v>
      </c>
    </row>
    <row r="46" spans="1:4" s="891" customFormat="1" ht="11.25" customHeight="1" x14ac:dyDescent="0.2">
      <c r="A46" s="1471"/>
      <c r="B46" s="885">
        <v>140</v>
      </c>
      <c r="C46" s="885">
        <v>140</v>
      </c>
      <c r="D46" s="880" t="s">
        <v>2707</v>
      </c>
    </row>
    <row r="47" spans="1:4" s="891" customFormat="1" ht="11.25" customHeight="1" x14ac:dyDescent="0.2">
      <c r="A47" s="1471"/>
      <c r="B47" s="885">
        <v>24140</v>
      </c>
      <c r="C47" s="885">
        <v>24140</v>
      </c>
      <c r="D47" s="880" t="s">
        <v>2703</v>
      </c>
    </row>
    <row r="48" spans="1:4" s="891" customFormat="1" ht="11.25" customHeight="1" x14ac:dyDescent="0.2">
      <c r="A48" s="1471"/>
      <c r="B48" s="885">
        <v>2700</v>
      </c>
      <c r="C48" s="885">
        <v>2700</v>
      </c>
      <c r="D48" s="880" t="s">
        <v>2702</v>
      </c>
    </row>
    <row r="49" spans="1:4" s="891" customFormat="1" ht="11.25" customHeight="1" x14ac:dyDescent="0.2">
      <c r="A49" s="1471"/>
      <c r="B49" s="885">
        <v>20</v>
      </c>
      <c r="C49" s="885">
        <v>20</v>
      </c>
      <c r="D49" s="880" t="s">
        <v>2705</v>
      </c>
    </row>
    <row r="50" spans="1:4" s="891" customFormat="1" ht="11.25" customHeight="1" x14ac:dyDescent="0.2">
      <c r="A50" s="1471"/>
      <c r="B50" s="885">
        <v>17</v>
      </c>
      <c r="C50" s="885">
        <v>17</v>
      </c>
      <c r="D50" s="880" t="s">
        <v>2711</v>
      </c>
    </row>
    <row r="51" spans="1:4" s="891" customFormat="1" ht="11.25" customHeight="1" x14ac:dyDescent="0.2">
      <c r="A51" s="1471"/>
      <c r="B51" s="885">
        <v>1050</v>
      </c>
      <c r="C51" s="885">
        <v>1050</v>
      </c>
      <c r="D51" s="880" t="s">
        <v>2710</v>
      </c>
    </row>
    <row r="52" spans="1:4" s="891" customFormat="1" ht="11.25" customHeight="1" x14ac:dyDescent="0.2">
      <c r="A52" s="1473"/>
      <c r="B52" s="887">
        <v>30187</v>
      </c>
      <c r="C52" s="887">
        <v>30187</v>
      </c>
      <c r="D52" s="886" t="s">
        <v>11</v>
      </c>
    </row>
    <row r="53" spans="1:4" s="891" customFormat="1" ht="11.25" customHeight="1" x14ac:dyDescent="0.2">
      <c r="A53" s="1471" t="s">
        <v>1527</v>
      </c>
      <c r="B53" s="885">
        <v>339.4</v>
      </c>
      <c r="C53" s="885">
        <v>334.58799999999997</v>
      </c>
      <c r="D53" s="880" t="s">
        <v>2709</v>
      </c>
    </row>
    <row r="54" spans="1:4" s="891" customFormat="1" ht="11.25" customHeight="1" x14ac:dyDescent="0.2">
      <c r="A54" s="1471"/>
      <c r="B54" s="885">
        <v>19</v>
      </c>
      <c r="C54" s="885">
        <v>19</v>
      </c>
      <c r="D54" s="880" t="s">
        <v>2708</v>
      </c>
    </row>
    <row r="55" spans="1:4" s="891" customFormat="1" ht="11.25" customHeight="1" x14ac:dyDescent="0.2">
      <c r="A55" s="1471"/>
      <c r="B55" s="885">
        <v>150</v>
      </c>
      <c r="C55" s="885">
        <v>150</v>
      </c>
      <c r="D55" s="880" t="s">
        <v>2707</v>
      </c>
    </row>
    <row r="56" spans="1:4" s="891" customFormat="1" ht="11.25" customHeight="1" x14ac:dyDescent="0.2">
      <c r="A56" s="1471"/>
      <c r="B56" s="885">
        <v>200</v>
      </c>
      <c r="C56" s="885">
        <v>200</v>
      </c>
      <c r="D56" s="880" t="s">
        <v>2706</v>
      </c>
    </row>
    <row r="57" spans="1:4" s="891" customFormat="1" ht="11.25" customHeight="1" x14ac:dyDescent="0.2">
      <c r="A57" s="1471"/>
      <c r="B57" s="885">
        <v>14479.92</v>
      </c>
      <c r="C57" s="885">
        <v>14479.922</v>
      </c>
      <c r="D57" s="880" t="s">
        <v>2703</v>
      </c>
    </row>
    <row r="58" spans="1:4" s="891" customFormat="1" ht="11.25" customHeight="1" x14ac:dyDescent="0.2">
      <c r="A58" s="1471"/>
      <c r="B58" s="885">
        <v>1623.08</v>
      </c>
      <c r="C58" s="885">
        <v>1623.078</v>
      </c>
      <c r="D58" s="880" t="s">
        <v>2702</v>
      </c>
    </row>
    <row r="59" spans="1:4" s="891" customFormat="1" ht="11.25" customHeight="1" x14ac:dyDescent="0.2">
      <c r="A59" s="1471"/>
      <c r="B59" s="885">
        <v>1055</v>
      </c>
      <c r="C59" s="885">
        <v>1055</v>
      </c>
      <c r="D59" s="880" t="s">
        <v>2705</v>
      </c>
    </row>
    <row r="60" spans="1:4" s="891" customFormat="1" ht="11.25" customHeight="1" x14ac:dyDescent="0.2">
      <c r="A60" s="1471"/>
      <c r="B60" s="885">
        <v>17866.400000000001</v>
      </c>
      <c r="C60" s="885">
        <v>17861.588</v>
      </c>
      <c r="D60" s="880" t="s">
        <v>11</v>
      </c>
    </row>
    <row r="61" spans="1:4" s="891" customFormat="1" ht="11.25" customHeight="1" x14ac:dyDescent="0.2">
      <c r="A61" s="1472" t="s">
        <v>1521</v>
      </c>
      <c r="B61" s="888">
        <v>500</v>
      </c>
      <c r="C61" s="888">
        <v>500</v>
      </c>
      <c r="D61" s="882" t="s">
        <v>2704</v>
      </c>
    </row>
    <row r="62" spans="1:4" s="891" customFormat="1" ht="11.25" customHeight="1" x14ac:dyDescent="0.2">
      <c r="A62" s="1471"/>
      <c r="B62" s="885">
        <v>2165</v>
      </c>
      <c r="C62" s="885">
        <v>2165</v>
      </c>
      <c r="D62" s="880" t="s">
        <v>1427</v>
      </c>
    </row>
    <row r="63" spans="1:4" s="891" customFormat="1" ht="11.25" customHeight="1" x14ac:dyDescent="0.2">
      <c r="A63" s="1471"/>
      <c r="B63" s="885">
        <v>42861.66</v>
      </c>
      <c r="C63" s="885">
        <v>42861.656999999999</v>
      </c>
      <c r="D63" s="880" t="s">
        <v>2703</v>
      </c>
    </row>
    <row r="64" spans="1:4" s="891" customFormat="1" ht="11.25" customHeight="1" x14ac:dyDescent="0.2">
      <c r="A64" s="1471"/>
      <c r="B64" s="885">
        <v>1688.34</v>
      </c>
      <c r="C64" s="885">
        <v>1688.3430000000001</v>
      </c>
      <c r="D64" s="880" t="s">
        <v>2702</v>
      </c>
    </row>
    <row r="65" spans="1:4" s="891" customFormat="1" ht="11.25" customHeight="1" x14ac:dyDescent="0.2">
      <c r="A65" s="1471"/>
      <c r="B65" s="885">
        <v>50</v>
      </c>
      <c r="C65" s="885">
        <v>0</v>
      </c>
      <c r="D65" s="880" t="s">
        <v>2701</v>
      </c>
    </row>
    <row r="66" spans="1:4" s="891" customFormat="1" ht="11.25" customHeight="1" x14ac:dyDescent="0.2">
      <c r="A66" s="1473"/>
      <c r="B66" s="887">
        <v>47265</v>
      </c>
      <c r="C66" s="887">
        <v>47215</v>
      </c>
      <c r="D66" s="886" t="s">
        <v>11</v>
      </c>
    </row>
    <row r="67" spans="1:4" s="891" customFormat="1" ht="23.25" customHeight="1" x14ac:dyDescent="0.2">
      <c r="A67" s="879" t="s">
        <v>2700</v>
      </c>
      <c r="B67" s="890">
        <v>200302.9</v>
      </c>
      <c r="C67" s="890">
        <v>200212.66428</v>
      </c>
      <c r="D67" s="886"/>
    </row>
    <row r="68" spans="1:4" s="863" customFormat="1" ht="24.75" customHeight="1" x14ac:dyDescent="0.15">
      <c r="A68" s="892" t="s">
        <v>2699</v>
      </c>
      <c r="B68" s="874"/>
      <c r="C68" s="874"/>
      <c r="D68" s="873"/>
    </row>
    <row r="69" spans="1:4" s="891" customFormat="1" ht="11.25" customHeight="1" x14ac:dyDescent="0.2">
      <c r="A69" s="1472" t="s">
        <v>2698</v>
      </c>
      <c r="B69" s="888">
        <v>19287</v>
      </c>
      <c r="C69" s="888">
        <v>19287</v>
      </c>
      <c r="D69" s="882" t="s">
        <v>2549</v>
      </c>
    </row>
    <row r="70" spans="1:4" s="891" customFormat="1" ht="11.25" customHeight="1" x14ac:dyDescent="0.2">
      <c r="A70" s="1471"/>
      <c r="B70" s="885">
        <v>200</v>
      </c>
      <c r="C70" s="885">
        <v>200</v>
      </c>
      <c r="D70" s="880" t="s">
        <v>2697</v>
      </c>
    </row>
    <row r="71" spans="1:4" s="891" customFormat="1" ht="11.25" customHeight="1" x14ac:dyDescent="0.2">
      <c r="A71" s="1471"/>
      <c r="B71" s="885">
        <v>1500</v>
      </c>
      <c r="C71" s="885">
        <v>1500</v>
      </c>
      <c r="D71" s="880" t="s">
        <v>2660</v>
      </c>
    </row>
    <row r="72" spans="1:4" s="891" customFormat="1" ht="11.25" customHeight="1" x14ac:dyDescent="0.2">
      <c r="A72" s="1471"/>
      <c r="B72" s="885">
        <v>500</v>
      </c>
      <c r="C72" s="885">
        <v>500</v>
      </c>
      <c r="D72" s="880" t="s">
        <v>2659</v>
      </c>
    </row>
    <row r="73" spans="1:4" s="891" customFormat="1" ht="11.25" customHeight="1" x14ac:dyDescent="0.2">
      <c r="A73" s="1471"/>
      <c r="B73" s="885">
        <v>2150</v>
      </c>
      <c r="C73" s="885">
        <v>2150</v>
      </c>
      <c r="D73" s="880" t="s">
        <v>2658</v>
      </c>
    </row>
    <row r="74" spans="1:4" s="891" customFormat="1" ht="11.25" customHeight="1" x14ac:dyDescent="0.2">
      <c r="A74" s="1473"/>
      <c r="B74" s="887">
        <v>23637</v>
      </c>
      <c r="C74" s="887">
        <v>23637</v>
      </c>
      <c r="D74" s="886" t="s">
        <v>11</v>
      </c>
    </row>
    <row r="75" spans="1:4" s="891" customFormat="1" ht="11.25" customHeight="1" x14ac:dyDescent="0.2">
      <c r="A75" s="1472" t="s">
        <v>2696</v>
      </c>
      <c r="B75" s="888">
        <v>5335</v>
      </c>
      <c r="C75" s="888">
        <v>5335</v>
      </c>
      <c r="D75" s="882" t="s">
        <v>2549</v>
      </c>
    </row>
    <row r="76" spans="1:4" s="891" customFormat="1" ht="11.25" customHeight="1" x14ac:dyDescent="0.2">
      <c r="A76" s="1471"/>
      <c r="B76" s="885">
        <v>350</v>
      </c>
      <c r="C76" s="885">
        <v>350</v>
      </c>
      <c r="D76" s="880" t="s">
        <v>592</v>
      </c>
    </row>
    <row r="77" spans="1:4" s="891" customFormat="1" ht="11.25" customHeight="1" x14ac:dyDescent="0.2">
      <c r="A77" s="1471"/>
      <c r="B77" s="885">
        <v>7900</v>
      </c>
      <c r="C77" s="885">
        <v>7900</v>
      </c>
      <c r="D77" s="880" t="s">
        <v>2695</v>
      </c>
    </row>
    <row r="78" spans="1:4" s="891" customFormat="1" ht="11.25" customHeight="1" x14ac:dyDescent="0.2">
      <c r="A78" s="1471"/>
      <c r="B78" s="885">
        <v>1900</v>
      </c>
      <c r="C78" s="885">
        <v>1900</v>
      </c>
      <c r="D78" s="880" t="s">
        <v>2660</v>
      </c>
    </row>
    <row r="79" spans="1:4" s="891" customFormat="1" ht="11.25" customHeight="1" x14ac:dyDescent="0.2">
      <c r="A79" s="1471"/>
      <c r="B79" s="885">
        <v>100</v>
      </c>
      <c r="C79" s="885">
        <v>100</v>
      </c>
      <c r="D79" s="880" t="s">
        <v>2659</v>
      </c>
    </row>
    <row r="80" spans="1:4" s="891" customFormat="1" ht="11.25" customHeight="1" x14ac:dyDescent="0.2">
      <c r="A80" s="1471"/>
      <c r="B80" s="885">
        <v>2000</v>
      </c>
      <c r="C80" s="885">
        <v>4.2350000000000003</v>
      </c>
      <c r="D80" s="880" t="s">
        <v>2694</v>
      </c>
    </row>
    <row r="81" spans="1:4" s="891" customFormat="1" ht="11.25" customHeight="1" x14ac:dyDescent="0.2">
      <c r="A81" s="1471"/>
      <c r="B81" s="885">
        <v>700</v>
      </c>
      <c r="C81" s="885">
        <v>671.91917000000001</v>
      </c>
      <c r="D81" s="880" t="s">
        <v>2693</v>
      </c>
    </row>
    <row r="82" spans="1:4" s="891" customFormat="1" ht="11.25" customHeight="1" x14ac:dyDescent="0.2">
      <c r="A82" s="1473"/>
      <c r="B82" s="887">
        <v>18285</v>
      </c>
      <c r="C82" s="887">
        <v>16261.15417</v>
      </c>
      <c r="D82" s="886" t="s">
        <v>11</v>
      </c>
    </row>
    <row r="83" spans="1:4" s="891" customFormat="1" ht="11.25" customHeight="1" x14ac:dyDescent="0.2">
      <c r="A83" s="1472" t="s">
        <v>2692</v>
      </c>
      <c r="B83" s="888">
        <v>16615</v>
      </c>
      <c r="C83" s="888">
        <v>16615</v>
      </c>
      <c r="D83" s="882" t="s">
        <v>2549</v>
      </c>
    </row>
    <row r="84" spans="1:4" s="891" customFormat="1" ht="11.25" customHeight="1" x14ac:dyDescent="0.2">
      <c r="A84" s="1471"/>
      <c r="B84" s="885">
        <v>1000</v>
      </c>
      <c r="C84" s="885">
        <v>1000</v>
      </c>
      <c r="D84" s="880" t="s">
        <v>2659</v>
      </c>
    </row>
    <row r="85" spans="1:4" s="891" customFormat="1" ht="11.25" customHeight="1" x14ac:dyDescent="0.2">
      <c r="A85" s="1473"/>
      <c r="B85" s="887">
        <v>17615</v>
      </c>
      <c r="C85" s="887">
        <v>17615</v>
      </c>
      <c r="D85" s="886" t="s">
        <v>11</v>
      </c>
    </row>
    <row r="86" spans="1:4" s="891" customFormat="1" ht="11.25" customHeight="1" x14ac:dyDescent="0.2">
      <c r="A86" s="1472" t="s">
        <v>2691</v>
      </c>
      <c r="B86" s="888">
        <v>15960.88</v>
      </c>
      <c r="C86" s="888">
        <v>15960.876</v>
      </c>
      <c r="D86" s="882" t="s">
        <v>2549</v>
      </c>
    </row>
    <row r="87" spans="1:4" s="891" customFormat="1" ht="11.25" customHeight="1" x14ac:dyDescent="0.2">
      <c r="A87" s="1471"/>
      <c r="B87" s="885">
        <v>1820</v>
      </c>
      <c r="C87" s="885">
        <v>1820</v>
      </c>
      <c r="D87" s="880" t="s">
        <v>2659</v>
      </c>
    </row>
    <row r="88" spans="1:4" s="891" customFormat="1" ht="11.25" customHeight="1" x14ac:dyDescent="0.2">
      <c r="A88" s="1473"/>
      <c r="B88" s="887">
        <v>17780.879999999997</v>
      </c>
      <c r="C88" s="887">
        <v>17780.876</v>
      </c>
      <c r="D88" s="886" t="s">
        <v>11</v>
      </c>
    </row>
    <row r="89" spans="1:4" s="891" customFormat="1" ht="11.25" customHeight="1" x14ac:dyDescent="0.2">
      <c r="A89" s="1472" t="s">
        <v>2690</v>
      </c>
      <c r="B89" s="888">
        <v>9754</v>
      </c>
      <c r="C89" s="888">
        <v>9754</v>
      </c>
      <c r="D89" s="882" t="s">
        <v>2549</v>
      </c>
    </row>
    <row r="90" spans="1:4" s="891" customFormat="1" ht="11.25" customHeight="1" x14ac:dyDescent="0.2">
      <c r="A90" s="1471"/>
      <c r="B90" s="885">
        <v>600</v>
      </c>
      <c r="C90" s="885">
        <v>600</v>
      </c>
      <c r="D90" s="880" t="s">
        <v>2660</v>
      </c>
    </row>
    <row r="91" spans="1:4" s="891" customFormat="1" ht="11.25" customHeight="1" x14ac:dyDescent="0.2">
      <c r="A91" s="1471"/>
      <c r="B91" s="885">
        <v>900</v>
      </c>
      <c r="C91" s="885">
        <v>900</v>
      </c>
      <c r="D91" s="880" t="s">
        <v>2659</v>
      </c>
    </row>
    <row r="92" spans="1:4" s="891" customFormat="1" ht="11.25" customHeight="1" x14ac:dyDescent="0.2">
      <c r="A92" s="1471"/>
      <c r="B92" s="885">
        <v>800</v>
      </c>
      <c r="C92" s="885">
        <v>800</v>
      </c>
      <c r="D92" s="880" t="s">
        <v>2658</v>
      </c>
    </row>
    <row r="93" spans="1:4" s="891" customFormat="1" ht="11.25" customHeight="1" x14ac:dyDescent="0.2">
      <c r="A93" s="1471"/>
      <c r="B93" s="885">
        <v>600</v>
      </c>
      <c r="C93" s="885">
        <v>600</v>
      </c>
      <c r="D93" s="880" t="s">
        <v>2663</v>
      </c>
    </row>
    <row r="94" spans="1:4" s="891" customFormat="1" ht="11.25" customHeight="1" x14ac:dyDescent="0.2">
      <c r="A94" s="1473"/>
      <c r="B94" s="887">
        <v>12654</v>
      </c>
      <c r="C94" s="887">
        <v>12654</v>
      </c>
      <c r="D94" s="886" t="s">
        <v>11</v>
      </c>
    </row>
    <row r="95" spans="1:4" s="891" customFormat="1" ht="11.25" customHeight="1" x14ac:dyDescent="0.2">
      <c r="A95" s="1472" t="s">
        <v>2689</v>
      </c>
      <c r="B95" s="888">
        <v>8200</v>
      </c>
      <c r="C95" s="888">
        <v>8200</v>
      </c>
      <c r="D95" s="882" t="s">
        <v>2549</v>
      </c>
    </row>
    <row r="96" spans="1:4" s="891" customFormat="1" ht="11.25" customHeight="1" x14ac:dyDescent="0.2">
      <c r="A96" s="1471"/>
      <c r="B96" s="885">
        <v>300</v>
      </c>
      <c r="C96" s="885">
        <v>300</v>
      </c>
      <c r="D96" s="880" t="s">
        <v>2660</v>
      </c>
    </row>
    <row r="97" spans="1:4" s="891" customFormat="1" ht="11.25" customHeight="1" x14ac:dyDescent="0.2">
      <c r="A97" s="1471"/>
      <c r="B97" s="885">
        <v>1100</v>
      </c>
      <c r="C97" s="885">
        <v>1100</v>
      </c>
      <c r="D97" s="880" t="s">
        <v>2659</v>
      </c>
    </row>
    <row r="98" spans="1:4" s="891" customFormat="1" ht="11.25" customHeight="1" x14ac:dyDescent="0.2">
      <c r="A98" s="1473"/>
      <c r="B98" s="887">
        <v>9600</v>
      </c>
      <c r="C98" s="887">
        <v>9600</v>
      </c>
      <c r="D98" s="886" t="s">
        <v>11</v>
      </c>
    </row>
    <row r="99" spans="1:4" s="891" customFormat="1" ht="11.25" customHeight="1" x14ac:dyDescent="0.2">
      <c r="A99" s="1472" t="s">
        <v>2688</v>
      </c>
      <c r="B99" s="888">
        <v>17826</v>
      </c>
      <c r="C99" s="888">
        <v>17826</v>
      </c>
      <c r="D99" s="882" t="s">
        <v>2549</v>
      </c>
    </row>
    <row r="100" spans="1:4" s="891" customFormat="1" ht="11.25" customHeight="1" x14ac:dyDescent="0.2">
      <c r="A100" s="1471"/>
      <c r="B100" s="885">
        <v>1157.03</v>
      </c>
      <c r="C100" s="885">
        <v>1157.0088500000002</v>
      </c>
      <c r="D100" s="880" t="s">
        <v>2543</v>
      </c>
    </row>
    <row r="101" spans="1:4" s="891" customFormat="1" ht="11.25" customHeight="1" x14ac:dyDescent="0.2">
      <c r="A101" s="1471"/>
      <c r="B101" s="885">
        <v>300</v>
      </c>
      <c r="C101" s="885">
        <v>0</v>
      </c>
      <c r="D101" s="880" t="s">
        <v>2687</v>
      </c>
    </row>
    <row r="102" spans="1:4" s="891" customFormat="1" ht="11.25" customHeight="1" x14ac:dyDescent="0.2">
      <c r="A102" s="1471"/>
      <c r="B102" s="885">
        <v>250</v>
      </c>
      <c r="C102" s="885">
        <v>0</v>
      </c>
      <c r="D102" s="880" t="s">
        <v>604</v>
      </c>
    </row>
    <row r="103" spans="1:4" s="891" customFormat="1" ht="11.25" customHeight="1" x14ac:dyDescent="0.2">
      <c r="A103" s="1471"/>
      <c r="B103" s="885">
        <v>300</v>
      </c>
      <c r="C103" s="885">
        <v>300</v>
      </c>
      <c r="D103" s="880" t="s">
        <v>2660</v>
      </c>
    </row>
    <row r="104" spans="1:4" s="891" customFormat="1" ht="11.25" customHeight="1" x14ac:dyDescent="0.2">
      <c r="A104" s="1471"/>
      <c r="B104" s="885">
        <v>1200</v>
      </c>
      <c r="C104" s="885">
        <v>1200</v>
      </c>
      <c r="D104" s="880" t="s">
        <v>2659</v>
      </c>
    </row>
    <row r="105" spans="1:4" s="891" customFormat="1" ht="11.25" customHeight="1" x14ac:dyDescent="0.2">
      <c r="A105" s="1471"/>
      <c r="B105" s="885">
        <v>350</v>
      </c>
      <c r="C105" s="885">
        <v>350</v>
      </c>
      <c r="D105" s="880" t="s">
        <v>2658</v>
      </c>
    </row>
    <row r="106" spans="1:4" s="891" customFormat="1" ht="11.25" customHeight="1" x14ac:dyDescent="0.2">
      <c r="A106" s="1471"/>
      <c r="B106" s="885">
        <v>900</v>
      </c>
      <c r="C106" s="885">
        <v>0</v>
      </c>
      <c r="D106" s="880" t="s">
        <v>2686</v>
      </c>
    </row>
    <row r="107" spans="1:4" s="891" customFormat="1" ht="11.25" customHeight="1" x14ac:dyDescent="0.2">
      <c r="A107" s="1473"/>
      <c r="B107" s="887">
        <v>22283.03</v>
      </c>
      <c r="C107" s="887">
        <v>20833.008849999998</v>
      </c>
      <c r="D107" s="886" t="s">
        <v>11</v>
      </c>
    </row>
    <row r="108" spans="1:4" s="891" customFormat="1" ht="11.25" customHeight="1" x14ac:dyDescent="0.2">
      <c r="A108" s="1472" t="s">
        <v>2685</v>
      </c>
      <c r="B108" s="888">
        <v>3500</v>
      </c>
      <c r="C108" s="888">
        <v>3500</v>
      </c>
      <c r="D108" s="882" t="s">
        <v>2549</v>
      </c>
    </row>
    <row r="109" spans="1:4" s="891" customFormat="1" ht="11.25" customHeight="1" x14ac:dyDescent="0.2">
      <c r="A109" s="1471"/>
      <c r="B109" s="885">
        <v>400</v>
      </c>
      <c r="C109" s="885">
        <v>400</v>
      </c>
      <c r="D109" s="880" t="s">
        <v>2659</v>
      </c>
    </row>
    <row r="110" spans="1:4" s="891" customFormat="1" ht="11.25" customHeight="1" x14ac:dyDescent="0.2">
      <c r="A110" s="1471"/>
      <c r="B110" s="885">
        <v>500</v>
      </c>
      <c r="C110" s="885">
        <v>500</v>
      </c>
      <c r="D110" s="880" t="s">
        <v>2658</v>
      </c>
    </row>
    <row r="111" spans="1:4" s="891" customFormat="1" ht="11.25" customHeight="1" x14ac:dyDescent="0.2">
      <c r="A111" s="1471"/>
      <c r="B111" s="885">
        <v>4400</v>
      </c>
      <c r="C111" s="885">
        <v>4400</v>
      </c>
      <c r="D111" s="880" t="s">
        <v>11</v>
      </c>
    </row>
    <row r="112" spans="1:4" s="891" customFormat="1" ht="11.25" customHeight="1" x14ac:dyDescent="0.2">
      <c r="A112" s="1472" t="s">
        <v>2684</v>
      </c>
      <c r="B112" s="888">
        <v>1500</v>
      </c>
      <c r="C112" s="888">
        <v>1500</v>
      </c>
      <c r="D112" s="882" t="s">
        <v>2683</v>
      </c>
    </row>
    <row r="113" spans="1:4" s="891" customFormat="1" ht="11.25" customHeight="1" x14ac:dyDescent="0.2">
      <c r="A113" s="1471"/>
      <c r="B113" s="885">
        <v>9832</v>
      </c>
      <c r="C113" s="885">
        <v>9832</v>
      </c>
      <c r="D113" s="880" t="s">
        <v>2549</v>
      </c>
    </row>
    <row r="114" spans="1:4" s="891" customFormat="1" ht="11.25" customHeight="1" x14ac:dyDescent="0.2">
      <c r="A114" s="1471"/>
      <c r="B114" s="885">
        <v>1000</v>
      </c>
      <c r="C114" s="885">
        <v>0</v>
      </c>
      <c r="D114" s="880" t="s">
        <v>2682</v>
      </c>
    </row>
    <row r="115" spans="1:4" s="891" customFormat="1" ht="11.25" customHeight="1" x14ac:dyDescent="0.2">
      <c r="A115" s="1471"/>
      <c r="B115" s="885">
        <v>1100</v>
      </c>
      <c r="C115" s="885">
        <v>1100</v>
      </c>
      <c r="D115" s="880" t="s">
        <v>2659</v>
      </c>
    </row>
    <row r="116" spans="1:4" s="891" customFormat="1" ht="11.25" customHeight="1" x14ac:dyDescent="0.2">
      <c r="A116" s="1471"/>
      <c r="B116" s="885">
        <v>3500</v>
      </c>
      <c r="C116" s="885">
        <v>0</v>
      </c>
      <c r="D116" s="880" t="s">
        <v>2681</v>
      </c>
    </row>
    <row r="117" spans="1:4" s="891" customFormat="1" ht="11.25" customHeight="1" x14ac:dyDescent="0.2">
      <c r="A117" s="1473"/>
      <c r="B117" s="887">
        <v>16932</v>
      </c>
      <c r="C117" s="887">
        <v>12432</v>
      </c>
      <c r="D117" s="886" t="s">
        <v>11</v>
      </c>
    </row>
    <row r="118" spans="1:4" s="891" customFormat="1" ht="11.25" customHeight="1" x14ac:dyDescent="0.2">
      <c r="A118" s="1471" t="s">
        <v>1553</v>
      </c>
      <c r="B118" s="885">
        <v>7972</v>
      </c>
      <c r="C118" s="885">
        <v>7972</v>
      </c>
      <c r="D118" s="880" t="s">
        <v>2549</v>
      </c>
    </row>
    <row r="119" spans="1:4" s="891" customFormat="1" ht="11.25" customHeight="1" x14ac:dyDescent="0.2">
      <c r="A119" s="1471"/>
      <c r="B119" s="885">
        <v>343.97</v>
      </c>
      <c r="C119" s="885">
        <v>343.96604000000002</v>
      </c>
      <c r="D119" s="880" t="s">
        <v>2543</v>
      </c>
    </row>
    <row r="120" spans="1:4" s="891" customFormat="1" ht="11.25" customHeight="1" x14ac:dyDescent="0.2">
      <c r="A120" s="1471"/>
      <c r="B120" s="885">
        <v>300</v>
      </c>
      <c r="C120" s="885">
        <v>300</v>
      </c>
      <c r="D120" s="880" t="s">
        <v>2660</v>
      </c>
    </row>
    <row r="121" spans="1:4" s="891" customFormat="1" ht="11.25" customHeight="1" x14ac:dyDescent="0.2">
      <c r="A121" s="1471"/>
      <c r="B121" s="885">
        <v>800</v>
      </c>
      <c r="C121" s="885">
        <v>800</v>
      </c>
      <c r="D121" s="880" t="s">
        <v>2659</v>
      </c>
    </row>
    <row r="122" spans="1:4" s="891" customFormat="1" ht="11.25" customHeight="1" x14ac:dyDescent="0.2">
      <c r="A122" s="1471"/>
      <c r="B122" s="885">
        <v>950</v>
      </c>
      <c r="C122" s="885">
        <v>950</v>
      </c>
      <c r="D122" s="880" t="s">
        <v>2658</v>
      </c>
    </row>
    <row r="123" spans="1:4" s="891" customFormat="1" ht="11.25" customHeight="1" x14ac:dyDescent="0.2">
      <c r="A123" s="1471"/>
      <c r="B123" s="885">
        <v>1900</v>
      </c>
      <c r="C123" s="885">
        <v>1084.7514799999999</v>
      </c>
      <c r="D123" s="880" t="s">
        <v>602</v>
      </c>
    </row>
    <row r="124" spans="1:4" s="891" customFormat="1" ht="11.25" customHeight="1" x14ac:dyDescent="0.2">
      <c r="A124" s="1473"/>
      <c r="B124" s="887">
        <v>12265.97</v>
      </c>
      <c r="C124" s="887">
        <v>11450.717519999998</v>
      </c>
      <c r="D124" s="886" t="s">
        <v>11</v>
      </c>
    </row>
    <row r="125" spans="1:4" s="891" customFormat="1" ht="11.25" customHeight="1" x14ac:dyDescent="0.2">
      <c r="A125" s="1472" t="s">
        <v>2680</v>
      </c>
      <c r="B125" s="888">
        <v>7879</v>
      </c>
      <c r="C125" s="888">
        <v>7879</v>
      </c>
      <c r="D125" s="882" t="s">
        <v>2549</v>
      </c>
    </row>
    <row r="126" spans="1:4" s="891" customFormat="1" ht="11.25" customHeight="1" x14ac:dyDescent="0.2">
      <c r="A126" s="1471"/>
      <c r="B126" s="885">
        <v>1000</v>
      </c>
      <c r="C126" s="885">
        <v>1000</v>
      </c>
      <c r="D126" s="880" t="s">
        <v>2659</v>
      </c>
    </row>
    <row r="127" spans="1:4" s="891" customFormat="1" ht="11.25" customHeight="1" x14ac:dyDescent="0.2">
      <c r="A127" s="1471"/>
      <c r="B127" s="885">
        <v>1100</v>
      </c>
      <c r="C127" s="885">
        <v>0</v>
      </c>
      <c r="D127" s="880" t="s">
        <v>2679</v>
      </c>
    </row>
    <row r="128" spans="1:4" s="891" customFormat="1" ht="11.25" customHeight="1" x14ac:dyDescent="0.2">
      <c r="A128" s="1473"/>
      <c r="B128" s="887">
        <v>9979</v>
      </c>
      <c r="C128" s="887">
        <v>8879</v>
      </c>
      <c r="D128" s="886" t="s">
        <v>11</v>
      </c>
    </row>
    <row r="129" spans="1:4" s="891" customFormat="1" ht="11.25" customHeight="1" x14ac:dyDescent="0.2">
      <c r="A129" s="1472" t="s">
        <v>1551</v>
      </c>
      <c r="B129" s="888">
        <v>3999</v>
      </c>
      <c r="C129" s="888">
        <v>3999</v>
      </c>
      <c r="D129" s="882" t="s">
        <v>2549</v>
      </c>
    </row>
    <row r="130" spans="1:4" s="891" customFormat="1" ht="11.25" customHeight="1" x14ac:dyDescent="0.2">
      <c r="A130" s="1471"/>
      <c r="B130" s="885">
        <v>350</v>
      </c>
      <c r="C130" s="885">
        <v>350</v>
      </c>
      <c r="D130" s="880" t="s">
        <v>592</v>
      </c>
    </row>
    <row r="131" spans="1:4" s="891" customFormat="1" ht="11.25" customHeight="1" x14ac:dyDescent="0.2">
      <c r="A131" s="1471"/>
      <c r="B131" s="885">
        <v>100</v>
      </c>
      <c r="C131" s="885">
        <v>100</v>
      </c>
      <c r="D131" s="880" t="s">
        <v>2660</v>
      </c>
    </row>
    <row r="132" spans="1:4" s="891" customFormat="1" ht="11.25" customHeight="1" x14ac:dyDescent="0.2">
      <c r="A132" s="1471"/>
      <c r="B132" s="885">
        <v>450</v>
      </c>
      <c r="C132" s="885">
        <v>444.56599999999997</v>
      </c>
      <c r="D132" s="880" t="s">
        <v>2659</v>
      </c>
    </row>
    <row r="133" spans="1:4" s="891" customFormat="1" ht="11.25" customHeight="1" x14ac:dyDescent="0.2">
      <c r="A133" s="1471"/>
      <c r="B133" s="885">
        <v>50</v>
      </c>
      <c r="C133" s="885">
        <v>50</v>
      </c>
      <c r="D133" s="880" t="s">
        <v>2658</v>
      </c>
    </row>
    <row r="134" spans="1:4" s="891" customFormat="1" ht="11.25" customHeight="1" x14ac:dyDescent="0.2">
      <c r="A134" s="1473"/>
      <c r="B134" s="887">
        <v>4949</v>
      </c>
      <c r="C134" s="887">
        <v>4943.5659999999998</v>
      </c>
      <c r="D134" s="886" t="s">
        <v>11</v>
      </c>
    </row>
    <row r="135" spans="1:4" s="891" customFormat="1" ht="11.25" customHeight="1" x14ac:dyDescent="0.2">
      <c r="A135" s="1472" t="s">
        <v>1573</v>
      </c>
      <c r="B135" s="888">
        <v>8261</v>
      </c>
      <c r="C135" s="888">
        <v>8261</v>
      </c>
      <c r="D135" s="882" t="s">
        <v>2549</v>
      </c>
    </row>
    <row r="136" spans="1:4" s="891" customFormat="1" ht="11.25" customHeight="1" x14ac:dyDescent="0.2">
      <c r="A136" s="1471"/>
      <c r="B136" s="885">
        <v>350</v>
      </c>
      <c r="C136" s="885">
        <v>350</v>
      </c>
      <c r="D136" s="880" t="s">
        <v>592</v>
      </c>
    </row>
    <row r="137" spans="1:4" s="891" customFormat="1" ht="11.25" customHeight="1" x14ac:dyDescent="0.2">
      <c r="A137" s="1471"/>
      <c r="B137" s="885">
        <v>250</v>
      </c>
      <c r="C137" s="885">
        <v>250</v>
      </c>
      <c r="D137" s="880" t="s">
        <v>604</v>
      </c>
    </row>
    <row r="138" spans="1:4" s="891" customFormat="1" ht="11.25" customHeight="1" x14ac:dyDescent="0.2">
      <c r="A138" s="1471"/>
      <c r="B138" s="885">
        <v>200</v>
      </c>
      <c r="C138" s="885">
        <v>200</v>
      </c>
      <c r="D138" s="880" t="s">
        <v>2660</v>
      </c>
    </row>
    <row r="139" spans="1:4" s="891" customFormat="1" ht="11.25" customHeight="1" x14ac:dyDescent="0.2">
      <c r="A139" s="1471"/>
      <c r="B139" s="885">
        <v>1000</v>
      </c>
      <c r="C139" s="885">
        <v>1000</v>
      </c>
      <c r="D139" s="880" t="s">
        <v>2659</v>
      </c>
    </row>
    <row r="140" spans="1:4" s="891" customFormat="1" ht="11.25" customHeight="1" x14ac:dyDescent="0.2">
      <c r="A140" s="1473"/>
      <c r="B140" s="887">
        <v>10061</v>
      </c>
      <c r="C140" s="887">
        <v>10061</v>
      </c>
      <c r="D140" s="886" t="s">
        <v>11</v>
      </c>
    </row>
    <row r="141" spans="1:4" s="891" customFormat="1" ht="11.25" customHeight="1" x14ac:dyDescent="0.2">
      <c r="A141" s="1471" t="s">
        <v>2678</v>
      </c>
      <c r="B141" s="885">
        <v>14382</v>
      </c>
      <c r="C141" s="885">
        <v>14382</v>
      </c>
      <c r="D141" s="880" t="s">
        <v>2549</v>
      </c>
    </row>
    <row r="142" spans="1:4" s="891" customFormat="1" ht="11.25" customHeight="1" x14ac:dyDescent="0.2">
      <c r="A142" s="1471"/>
      <c r="B142" s="885">
        <v>3000</v>
      </c>
      <c r="C142" s="885">
        <v>3000</v>
      </c>
      <c r="D142" s="880" t="s">
        <v>2659</v>
      </c>
    </row>
    <row r="143" spans="1:4" s="891" customFormat="1" ht="11.25" customHeight="1" x14ac:dyDescent="0.2">
      <c r="A143" s="1471"/>
      <c r="B143" s="885">
        <v>600</v>
      </c>
      <c r="C143" s="885">
        <v>600</v>
      </c>
      <c r="D143" s="880" t="s">
        <v>2658</v>
      </c>
    </row>
    <row r="144" spans="1:4" s="891" customFormat="1" ht="11.25" customHeight="1" x14ac:dyDescent="0.2">
      <c r="A144" s="1471"/>
      <c r="B144" s="885">
        <v>17982</v>
      </c>
      <c r="C144" s="885">
        <v>17982</v>
      </c>
      <c r="D144" s="880" t="s">
        <v>11</v>
      </c>
    </row>
    <row r="145" spans="1:4" s="891" customFormat="1" ht="11.25" customHeight="1" x14ac:dyDescent="0.2">
      <c r="A145" s="1472" t="s">
        <v>2677</v>
      </c>
      <c r="B145" s="888">
        <v>23621</v>
      </c>
      <c r="C145" s="888">
        <v>23621</v>
      </c>
      <c r="D145" s="882" t="s">
        <v>2549</v>
      </c>
    </row>
    <row r="146" spans="1:4" s="891" customFormat="1" ht="11.25" customHeight="1" x14ac:dyDescent="0.2">
      <c r="A146" s="1471"/>
      <c r="B146" s="885">
        <v>1100</v>
      </c>
      <c r="C146" s="885">
        <v>1100</v>
      </c>
      <c r="D146" s="880" t="s">
        <v>2676</v>
      </c>
    </row>
    <row r="147" spans="1:4" s="891" customFormat="1" ht="11.25" customHeight="1" x14ac:dyDescent="0.2">
      <c r="A147" s="1471"/>
      <c r="B147" s="885">
        <v>350</v>
      </c>
      <c r="C147" s="885">
        <v>350</v>
      </c>
      <c r="D147" s="880" t="s">
        <v>592</v>
      </c>
    </row>
    <row r="148" spans="1:4" s="891" customFormat="1" ht="11.25" customHeight="1" x14ac:dyDescent="0.2">
      <c r="A148" s="1471"/>
      <c r="B148" s="885">
        <v>1800</v>
      </c>
      <c r="C148" s="885">
        <v>1800</v>
      </c>
      <c r="D148" s="880" t="s">
        <v>2659</v>
      </c>
    </row>
    <row r="149" spans="1:4" s="891" customFormat="1" ht="11.25" customHeight="1" x14ac:dyDescent="0.2">
      <c r="A149" s="1471"/>
      <c r="B149" s="885">
        <v>960</v>
      </c>
      <c r="C149" s="885">
        <v>960</v>
      </c>
      <c r="D149" s="880" t="s">
        <v>2658</v>
      </c>
    </row>
    <row r="150" spans="1:4" s="891" customFormat="1" ht="11.25" customHeight="1" x14ac:dyDescent="0.2">
      <c r="A150" s="1471"/>
      <c r="B150" s="885">
        <v>700</v>
      </c>
      <c r="C150" s="885">
        <v>700</v>
      </c>
      <c r="D150" s="880" t="s">
        <v>2675</v>
      </c>
    </row>
    <row r="151" spans="1:4" s="891" customFormat="1" ht="11.25" customHeight="1" x14ac:dyDescent="0.2">
      <c r="A151" s="1473"/>
      <c r="B151" s="887">
        <v>28531</v>
      </c>
      <c r="C151" s="887">
        <v>28531</v>
      </c>
      <c r="D151" s="886" t="s">
        <v>11</v>
      </c>
    </row>
    <row r="152" spans="1:4" s="891" customFormat="1" ht="11.25" customHeight="1" x14ac:dyDescent="0.2">
      <c r="A152" s="1471" t="s">
        <v>2674</v>
      </c>
      <c r="B152" s="885">
        <v>19059</v>
      </c>
      <c r="C152" s="885">
        <v>19059</v>
      </c>
      <c r="D152" s="880" t="s">
        <v>2549</v>
      </c>
    </row>
    <row r="153" spans="1:4" s="891" customFormat="1" ht="11.25" customHeight="1" x14ac:dyDescent="0.2">
      <c r="A153" s="1471"/>
      <c r="B153" s="885">
        <v>1378.78</v>
      </c>
      <c r="C153" s="885">
        <v>1378.7756000000002</v>
      </c>
      <c r="D153" s="880" t="s">
        <v>2543</v>
      </c>
    </row>
    <row r="154" spans="1:4" s="891" customFormat="1" ht="11.25" customHeight="1" x14ac:dyDescent="0.2">
      <c r="A154" s="1471"/>
      <c r="B154" s="885">
        <v>1000</v>
      </c>
      <c r="C154" s="885">
        <v>1000</v>
      </c>
      <c r="D154" s="880" t="s">
        <v>2659</v>
      </c>
    </row>
    <row r="155" spans="1:4" s="891" customFormat="1" ht="11.25" customHeight="1" x14ac:dyDescent="0.2">
      <c r="A155" s="1471"/>
      <c r="B155" s="885">
        <v>5900</v>
      </c>
      <c r="C155" s="885">
        <v>5450</v>
      </c>
      <c r="D155" s="880" t="s">
        <v>2658</v>
      </c>
    </row>
    <row r="156" spans="1:4" s="891" customFormat="1" ht="11.25" customHeight="1" x14ac:dyDescent="0.2">
      <c r="A156" s="1473"/>
      <c r="B156" s="887">
        <v>27337.78</v>
      </c>
      <c r="C156" s="887">
        <v>26887.775600000001</v>
      </c>
      <c r="D156" s="886" t="s">
        <v>11</v>
      </c>
    </row>
    <row r="157" spans="1:4" s="891" customFormat="1" ht="11.25" customHeight="1" x14ac:dyDescent="0.2">
      <c r="A157" s="1472" t="s">
        <v>2673</v>
      </c>
      <c r="B157" s="888">
        <v>30230</v>
      </c>
      <c r="C157" s="888">
        <v>30230</v>
      </c>
      <c r="D157" s="882" t="s">
        <v>2549</v>
      </c>
    </row>
    <row r="158" spans="1:4" s="891" customFormat="1" ht="11.25" customHeight="1" x14ac:dyDescent="0.2">
      <c r="A158" s="1471"/>
      <c r="B158" s="885">
        <v>500.1</v>
      </c>
      <c r="C158" s="885">
        <v>500.1</v>
      </c>
      <c r="D158" s="880" t="s">
        <v>2668</v>
      </c>
    </row>
    <row r="159" spans="1:4" s="891" customFormat="1" ht="11.25" customHeight="1" x14ac:dyDescent="0.2">
      <c r="A159" s="1471"/>
      <c r="B159" s="885">
        <v>436.98</v>
      </c>
      <c r="C159" s="885">
        <v>436.96956999999998</v>
      </c>
      <c r="D159" s="880" t="s">
        <v>2543</v>
      </c>
    </row>
    <row r="160" spans="1:4" s="891" customFormat="1" ht="11.25" customHeight="1" x14ac:dyDescent="0.2">
      <c r="A160" s="1471"/>
      <c r="B160" s="885">
        <v>350</v>
      </c>
      <c r="C160" s="885">
        <v>350</v>
      </c>
      <c r="D160" s="880" t="s">
        <v>592</v>
      </c>
    </row>
    <row r="161" spans="1:4" s="891" customFormat="1" ht="11.25" customHeight="1" x14ac:dyDescent="0.2">
      <c r="A161" s="1471"/>
      <c r="B161" s="885">
        <v>477.29999999999995</v>
      </c>
      <c r="C161" s="885">
        <v>477.28</v>
      </c>
      <c r="D161" s="880" t="s">
        <v>1295</v>
      </c>
    </row>
    <row r="162" spans="1:4" s="891" customFormat="1" ht="11.25" customHeight="1" x14ac:dyDescent="0.2">
      <c r="A162" s="1471"/>
      <c r="B162" s="885">
        <v>800</v>
      </c>
      <c r="C162" s="885">
        <v>800</v>
      </c>
      <c r="D162" s="880" t="s">
        <v>2660</v>
      </c>
    </row>
    <row r="163" spans="1:4" s="891" customFormat="1" ht="11.25" customHeight="1" x14ac:dyDescent="0.2">
      <c r="A163" s="1471"/>
      <c r="B163" s="885">
        <v>4000</v>
      </c>
      <c r="C163" s="885">
        <v>4000</v>
      </c>
      <c r="D163" s="880" t="s">
        <v>2659</v>
      </c>
    </row>
    <row r="164" spans="1:4" s="891" customFormat="1" ht="11.25" customHeight="1" x14ac:dyDescent="0.2">
      <c r="A164" s="1471"/>
      <c r="B164" s="885">
        <v>150</v>
      </c>
      <c r="C164" s="885">
        <v>150</v>
      </c>
      <c r="D164" s="880" t="s">
        <v>2672</v>
      </c>
    </row>
    <row r="165" spans="1:4" s="891" customFormat="1" ht="11.25" customHeight="1" x14ac:dyDescent="0.2">
      <c r="A165" s="1473"/>
      <c r="B165" s="887">
        <v>36944.379999999997</v>
      </c>
      <c r="C165" s="887">
        <v>36944.349569999998</v>
      </c>
      <c r="D165" s="886" t="s">
        <v>11</v>
      </c>
    </row>
    <row r="166" spans="1:4" s="891" customFormat="1" ht="11.25" customHeight="1" x14ac:dyDescent="0.2">
      <c r="A166" s="1471" t="s">
        <v>2671</v>
      </c>
      <c r="B166" s="885">
        <v>19704</v>
      </c>
      <c r="C166" s="885">
        <v>19704</v>
      </c>
      <c r="D166" s="880" t="s">
        <v>2549</v>
      </c>
    </row>
    <row r="167" spans="1:4" s="891" customFormat="1" ht="11.25" customHeight="1" x14ac:dyDescent="0.2">
      <c r="A167" s="1471"/>
      <c r="B167" s="885">
        <v>700</v>
      </c>
      <c r="C167" s="885">
        <v>700</v>
      </c>
      <c r="D167" s="880" t="s">
        <v>2660</v>
      </c>
    </row>
    <row r="168" spans="1:4" s="891" customFormat="1" ht="11.25" customHeight="1" x14ac:dyDescent="0.2">
      <c r="A168" s="1471"/>
      <c r="B168" s="885">
        <v>2400</v>
      </c>
      <c r="C168" s="885">
        <v>2400</v>
      </c>
      <c r="D168" s="880" t="s">
        <v>2659</v>
      </c>
    </row>
    <row r="169" spans="1:4" s="891" customFormat="1" ht="11.25" customHeight="1" x14ac:dyDescent="0.2">
      <c r="A169" s="1471"/>
      <c r="B169" s="885">
        <v>1000</v>
      </c>
      <c r="C169" s="885">
        <v>1000</v>
      </c>
      <c r="D169" s="880" t="s">
        <v>2658</v>
      </c>
    </row>
    <row r="170" spans="1:4" s="891" customFormat="1" ht="11.25" customHeight="1" x14ac:dyDescent="0.2">
      <c r="A170" s="1471"/>
      <c r="B170" s="885">
        <v>11.12</v>
      </c>
      <c r="C170" s="885">
        <v>11.12</v>
      </c>
      <c r="D170" s="880" t="s">
        <v>643</v>
      </c>
    </row>
    <row r="171" spans="1:4" s="891" customFormat="1" ht="11.25" customHeight="1" x14ac:dyDescent="0.2">
      <c r="A171" s="1471"/>
      <c r="B171" s="885">
        <v>600</v>
      </c>
      <c r="C171" s="885">
        <v>599.15</v>
      </c>
      <c r="D171" s="880" t="s">
        <v>2663</v>
      </c>
    </row>
    <row r="172" spans="1:4" s="891" customFormat="1" ht="11.25" customHeight="1" x14ac:dyDescent="0.2">
      <c r="A172" s="1471"/>
      <c r="B172" s="885">
        <v>24415.119999999999</v>
      </c>
      <c r="C172" s="885">
        <v>24414.27</v>
      </c>
      <c r="D172" s="880" t="s">
        <v>11</v>
      </c>
    </row>
    <row r="173" spans="1:4" s="891" customFormat="1" ht="11.25" customHeight="1" x14ac:dyDescent="0.2">
      <c r="A173" s="1472" t="s">
        <v>2670</v>
      </c>
      <c r="B173" s="888">
        <v>250</v>
      </c>
      <c r="C173" s="888">
        <v>0</v>
      </c>
      <c r="D173" s="882" t="s">
        <v>2669</v>
      </c>
    </row>
    <row r="174" spans="1:4" s="891" customFormat="1" ht="11.25" customHeight="1" x14ac:dyDescent="0.2">
      <c r="A174" s="1471"/>
      <c r="B174" s="885">
        <v>15798</v>
      </c>
      <c r="C174" s="885">
        <v>15798</v>
      </c>
      <c r="D174" s="880" t="s">
        <v>2549</v>
      </c>
    </row>
    <row r="175" spans="1:4" s="891" customFormat="1" ht="11.25" customHeight="1" x14ac:dyDescent="0.2">
      <c r="A175" s="1471"/>
      <c r="B175" s="885">
        <v>1174</v>
      </c>
      <c r="C175" s="885">
        <v>891.87113999999997</v>
      </c>
      <c r="D175" s="880" t="s">
        <v>2668</v>
      </c>
    </row>
    <row r="176" spans="1:4" s="891" customFormat="1" ht="11.25" customHeight="1" x14ac:dyDescent="0.2">
      <c r="A176" s="1471"/>
      <c r="B176" s="885">
        <v>200</v>
      </c>
      <c r="C176" s="885">
        <v>0</v>
      </c>
      <c r="D176" s="880" t="s">
        <v>2667</v>
      </c>
    </row>
    <row r="177" spans="1:4" s="891" customFormat="1" ht="11.25" customHeight="1" x14ac:dyDescent="0.2">
      <c r="A177" s="1471"/>
      <c r="B177" s="885">
        <v>520.1</v>
      </c>
      <c r="C177" s="885">
        <v>520.05927999999994</v>
      </c>
      <c r="D177" s="880" t="s">
        <v>1295</v>
      </c>
    </row>
    <row r="178" spans="1:4" s="891" customFormat="1" ht="11.25" customHeight="1" x14ac:dyDescent="0.2">
      <c r="A178" s="1471"/>
      <c r="B178" s="885">
        <v>1800</v>
      </c>
      <c r="C178" s="885">
        <v>1800</v>
      </c>
      <c r="D178" s="880" t="s">
        <v>2660</v>
      </c>
    </row>
    <row r="179" spans="1:4" s="891" customFormat="1" ht="11.25" customHeight="1" x14ac:dyDescent="0.2">
      <c r="A179" s="1471"/>
      <c r="B179" s="885">
        <v>200</v>
      </c>
      <c r="C179" s="885">
        <v>200</v>
      </c>
      <c r="D179" s="880" t="s">
        <v>2659</v>
      </c>
    </row>
    <row r="180" spans="1:4" s="891" customFormat="1" ht="11.25" customHeight="1" x14ac:dyDescent="0.2">
      <c r="A180" s="1471"/>
      <c r="B180" s="885">
        <v>1500</v>
      </c>
      <c r="C180" s="885">
        <v>1037.16311</v>
      </c>
      <c r="D180" s="880" t="s">
        <v>2658</v>
      </c>
    </row>
    <row r="181" spans="1:4" s="891" customFormat="1" ht="11.25" customHeight="1" x14ac:dyDescent="0.2">
      <c r="A181" s="1471"/>
      <c r="B181" s="885">
        <v>300</v>
      </c>
      <c r="C181" s="885">
        <v>0</v>
      </c>
      <c r="D181" s="880" t="s">
        <v>2666</v>
      </c>
    </row>
    <row r="182" spans="1:4" s="891" customFormat="1" ht="11.25" customHeight="1" x14ac:dyDescent="0.2">
      <c r="A182" s="1473"/>
      <c r="B182" s="887">
        <v>21742.1</v>
      </c>
      <c r="C182" s="887">
        <v>20247.093530000002</v>
      </c>
      <c r="D182" s="886" t="s">
        <v>11</v>
      </c>
    </row>
    <row r="183" spans="1:4" s="891" customFormat="1" ht="11.25" customHeight="1" x14ac:dyDescent="0.2">
      <c r="A183" s="1471" t="s">
        <v>2665</v>
      </c>
      <c r="B183" s="885">
        <v>9095</v>
      </c>
      <c r="C183" s="885">
        <v>9095</v>
      </c>
      <c r="D183" s="880" t="s">
        <v>2549</v>
      </c>
    </row>
    <row r="184" spans="1:4" s="891" customFormat="1" ht="11.25" customHeight="1" x14ac:dyDescent="0.2">
      <c r="A184" s="1471"/>
      <c r="B184" s="885">
        <v>537.18000000000006</v>
      </c>
      <c r="C184" s="885">
        <v>537.17717000000005</v>
      </c>
      <c r="D184" s="880" t="s">
        <v>2543</v>
      </c>
    </row>
    <row r="185" spans="1:4" s="891" customFormat="1" ht="11.25" customHeight="1" x14ac:dyDescent="0.2">
      <c r="A185" s="1471"/>
      <c r="B185" s="885">
        <v>26.599999999999998</v>
      </c>
      <c r="C185" s="885">
        <v>13.998999999999999</v>
      </c>
      <c r="D185" s="880" t="s">
        <v>1342</v>
      </c>
    </row>
    <row r="186" spans="1:4" s="891" customFormat="1" ht="11.25" customHeight="1" x14ac:dyDescent="0.2">
      <c r="A186" s="1471"/>
      <c r="B186" s="885">
        <v>150</v>
      </c>
      <c r="C186" s="885">
        <v>150</v>
      </c>
      <c r="D186" s="880" t="s">
        <v>2664</v>
      </c>
    </row>
    <row r="187" spans="1:4" s="891" customFormat="1" ht="11.25" customHeight="1" x14ac:dyDescent="0.2">
      <c r="A187" s="1471"/>
      <c r="B187" s="885">
        <v>730</v>
      </c>
      <c r="C187" s="885">
        <v>730</v>
      </c>
      <c r="D187" s="880" t="s">
        <v>2660</v>
      </c>
    </row>
    <row r="188" spans="1:4" s="891" customFormat="1" ht="11.25" customHeight="1" x14ac:dyDescent="0.2">
      <c r="A188" s="1471"/>
      <c r="B188" s="885">
        <v>270</v>
      </c>
      <c r="C188" s="885">
        <v>270</v>
      </c>
      <c r="D188" s="880" t="s">
        <v>2659</v>
      </c>
    </row>
    <row r="189" spans="1:4" s="891" customFormat="1" ht="11.25" customHeight="1" x14ac:dyDescent="0.2">
      <c r="A189" s="1471"/>
      <c r="B189" s="885">
        <v>10808.78</v>
      </c>
      <c r="C189" s="885">
        <v>10796.176170000001</v>
      </c>
      <c r="D189" s="880" t="s">
        <v>11</v>
      </c>
    </row>
    <row r="190" spans="1:4" s="891" customFormat="1" ht="11.25" customHeight="1" x14ac:dyDescent="0.2">
      <c r="A190" s="1472" t="s">
        <v>1563</v>
      </c>
      <c r="B190" s="888">
        <v>16873</v>
      </c>
      <c r="C190" s="888">
        <v>16873</v>
      </c>
      <c r="D190" s="882" t="s">
        <v>2549</v>
      </c>
    </row>
    <row r="191" spans="1:4" s="891" customFormat="1" ht="11.25" customHeight="1" x14ac:dyDescent="0.2">
      <c r="A191" s="1471"/>
      <c r="B191" s="885">
        <v>521.01</v>
      </c>
      <c r="C191" s="885">
        <v>521.01326000000006</v>
      </c>
      <c r="D191" s="880" t="s">
        <v>2543</v>
      </c>
    </row>
    <row r="192" spans="1:4" s="891" customFormat="1" ht="11.25" customHeight="1" x14ac:dyDescent="0.2">
      <c r="A192" s="1471"/>
      <c r="B192" s="885">
        <v>276</v>
      </c>
      <c r="C192" s="885">
        <v>276</v>
      </c>
      <c r="D192" s="880" t="s">
        <v>1295</v>
      </c>
    </row>
    <row r="193" spans="1:4" s="891" customFormat="1" ht="11.25" customHeight="1" x14ac:dyDescent="0.2">
      <c r="A193" s="1471"/>
      <c r="B193" s="885">
        <v>1500</v>
      </c>
      <c r="C193" s="885">
        <v>1500</v>
      </c>
      <c r="D193" s="880" t="s">
        <v>2660</v>
      </c>
    </row>
    <row r="194" spans="1:4" s="891" customFormat="1" ht="11.25" customHeight="1" x14ac:dyDescent="0.2">
      <c r="A194" s="1471"/>
      <c r="B194" s="885">
        <v>1000</v>
      </c>
      <c r="C194" s="885">
        <v>1000</v>
      </c>
      <c r="D194" s="880" t="s">
        <v>2659</v>
      </c>
    </row>
    <row r="195" spans="1:4" s="891" customFormat="1" ht="11.25" customHeight="1" x14ac:dyDescent="0.2">
      <c r="A195" s="1471"/>
      <c r="B195" s="885">
        <v>500</v>
      </c>
      <c r="C195" s="885">
        <v>500</v>
      </c>
      <c r="D195" s="880" t="s">
        <v>2658</v>
      </c>
    </row>
    <row r="196" spans="1:4" s="891" customFormat="1" ht="11.25" customHeight="1" x14ac:dyDescent="0.2">
      <c r="A196" s="1471"/>
      <c r="B196" s="885">
        <v>600</v>
      </c>
      <c r="C196" s="885">
        <v>424.63799999999998</v>
      </c>
      <c r="D196" s="880" t="s">
        <v>2663</v>
      </c>
    </row>
    <row r="197" spans="1:4" s="891" customFormat="1" ht="11.25" customHeight="1" x14ac:dyDescent="0.2">
      <c r="A197" s="1473"/>
      <c r="B197" s="887">
        <v>21270.01</v>
      </c>
      <c r="C197" s="887">
        <v>21094.651259999999</v>
      </c>
      <c r="D197" s="886" t="s">
        <v>11</v>
      </c>
    </row>
    <row r="198" spans="1:4" s="891" customFormat="1" ht="11.25" customHeight="1" x14ac:dyDescent="0.2">
      <c r="A198" s="1472" t="s">
        <v>2662</v>
      </c>
      <c r="B198" s="888">
        <v>150</v>
      </c>
      <c r="C198" s="888">
        <v>150</v>
      </c>
      <c r="D198" s="882" t="s">
        <v>2661</v>
      </c>
    </row>
    <row r="199" spans="1:4" s="891" customFormat="1" ht="11.25" customHeight="1" x14ac:dyDescent="0.2">
      <c r="A199" s="1471"/>
      <c r="B199" s="885">
        <v>7756</v>
      </c>
      <c r="C199" s="885">
        <v>7756</v>
      </c>
      <c r="D199" s="880" t="s">
        <v>2549</v>
      </c>
    </row>
    <row r="200" spans="1:4" s="891" customFormat="1" ht="11.25" customHeight="1" x14ac:dyDescent="0.2">
      <c r="A200" s="1471"/>
      <c r="B200" s="885">
        <v>2302.81</v>
      </c>
      <c r="C200" s="885">
        <v>2302.8075899999999</v>
      </c>
      <c r="D200" s="880" t="s">
        <v>2543</v>
      </c>
    </row>
    <row r="201" spans="1:4" s="891" customFormat="1" ht="11.25" customHeight="1" x14ac:dyDescent="0.2">
      <c r="A201" s="1471"/>
      <c r="B201" s="885">
        <v>500</v>
      </c>
      <c r="C201" s="885">
        <v>500</v>
      </c>
      <c r="D201" s="880" t="s">
        <v>2660</v>
      </c>
    </row>
    <row r="202" spans="1:4" s="891" customFormat="1" ht="11.25" customHeight="1" x14ac:dyDescent="0.2">
      <c r="A202" s="1471"/>
      <c r="B202" s="885">
        <v>500</v>
      </c>
      <c r="C202" s="885">
        <v>500</v>
      </c>
      <c r="D202" s="880" t="s">
        <v>2659</v>
      </c>
    </row>
    <row r="203" spans="1:4" s="891" customFormat="1" ht="11.25" customHeight="1" x14ac:dyDescent="0.2">
      <c r="A203" s="1471"/>
      <c r="B203" s="885">
        <v>400</v>
      </c>
      <c r="C203" s="885">
        <v>400</v>
      </c>
      <c r="D203" s="880" t="s">
        <v>2658</v>
      </c>
    </row>
    <row r="204" spans="1:4" s="891" customFormat="1" ht="11.25" customHeight="1" x14ac:dyDescent="0.2">
      <c r="A204" s="1471"/>
      <c r="B204" s="885">
        <v>450</v>
      </c>
      <c r="C204" s="885">
        <v>450</v>
      </c>
      <c r="D204" s="880" t="s">
        <v>2657</v>
      </c>
    </row>
    <row r="205" spans="1:4" s="891" customFormat="1" ht="11.25" customHeight="1" x14ac:dyDescent="0.2">
      <c r="A205" s="1473"/>
      <c r="B205" s="887">
        <v>12058.81</v>
      </c>
      <c r="C205" s="887">
        <v>12058.80759</v>
      </c>
      <c r="D205" s="886" t="s">
        <v>11</v>
      </c>
    </row>
    <row r="206" spans="1:4" s="891" customFormat="1" ht="23.25" customHeight="1" x14ac:dyDescent="0.2">
      <c r="A206" s="879" t="s">
        <v>2656</v>
      </c>
      <c r="B206" s="878">
        <v>381531.85999999993</v>
      </c>
      <c r="C206" s="878">
        <v>369503.44626</v>
      </c>
      <c r="D206" s="893"/>
    </row>
    <row r="207" spans="1:4" s="863" customFormat="1" ht="24.75" customHeight="1" x14ac:dyDescent="0.15">
      <c r="A207" s="892" t="s">
        <v>2655</v>
      </c>
      <c r="B207" s="874"/>
      <c r="C207" s="874"/>
      <c r="D207" s="873"/>
    </row>
    <row r="208" spans="1:4" s="891" customFormat="1" ht="11.25" customHeight="1" x14ac:dyDescent="0.2">
      <c r="A208" s="1472" t="s">
        <v>1692</v>
      </c>
      <c r="B208" s="888">
        <v>177.45000000000002</v>
      </c>
      <c r="C208" s="888">
        <v>177.381</v>
      </c>
      <c r="D208" s="882" t="s">
        <v>2619</v>
      </c>
    </row>
    <row r="209" spans="1:4" s="891" customFormat="1" ht="11.25" customHeight="1" x14ac:dyDescent="0.2">
      <c r="A209" s="1471"/>
      <c r="B209" s="885">
        <v>4.09</v>
      </c>
      <c r="C209" s="885">
        <v>4.0756699999999997</v>
      </c>
      <c r="D209" s="880" t="s">
        <v>2608</v>
      </c>
    </row>
    <row r="210" spans="1:4" s="891" customFormat="1" ht="11.25" customHeight="1" x14ac:dyDescent="0.2">
      <c r="A210" s="1471"/>
      <c r="B210" s="885">
        <v>201.95</v>
      </c>
      <c r="C210" s="885">
        <v>201.94899999999998</v>
      </c>
      <c r="D210" s="880" t="s">
        <v>2597</v>
      </c>
    </row>
    <row r="211" spans="1:4" s="891" customFormat="1" ht="11.25" customHeight="1" x14ac:dyDescent="0.2">
      <c r="A211" s="1471"/>
      <c r="B211" s="885">
        <v>362</v>
      </c>
      <c r="C211" s="885">
        <v>362</v>
      </c>
      <c r="D211" s="880" t="s">
        <v>2596</v>
      </c>
    </row>
    <row r="212" spans="1:4" s="891" customFormat="1" ht="11.25" customHeight="1" x14ac:dyDescent="0.2">
      <c r="A212" s="1471"/>
      <c r="B212" s="885">
        <v>40</v>
      </c>
      <c r="C212" s="885">
        <v>40</v>
      </c>
      <c r="D212" s="880" t="s">
        <v>2640</v>
      </c>
    </row>
    <row r="213" spans="1:4" s="891" customFormat="1" ht="11.25" customHeight="1" x14ac:dyDescent="0.2">
      <c r="A213" s="1471"/>
      <c r="B213" s="885">
        <v>503.02</v>
      </c>
      <c r="C213" s="885">
        <v>503.01799999999997</v>
      </c>
      <c r="D213" s="880" t="s">
        <v>1451</v>
      </c>
    </row>
    <row r="214" spans="1:4" s="891" customFormat="1" ht="11.25" customHeight="1" x14ac:dyDescent="0.2">
      <c r="A214" s="1471"/>
      <c r="B214" s="885">
        <v>320.38</v>
      </c>
      <c r="C214" s="885">
        <v>320.37900000000002</v>
      </c>
      <c r="D214" s="880" t="s">
        <v>1339</v>
      </c>
    </row>
    <row r="215" spans="1:4" s="891" customFormat="1" ht="11.25" customHeight="1" x14ac:dyDescent="0.2">
      <c r="A215" s="1471"/>
      <c r="B215" s="885">
        <v>190</v>
      </c>
      <c r="C215" s="885">
        <v>0</v>
      </c>
      <c r="D215" s="880" t="s">
        <v>2654</v>
      </c>
    </row>
    <row r="216" spans="1:4" s="891" customFormat="1" ht="11.25" customHeight="1" x14ac:dyDescent="0.2">
      <c r="A216" s="1471"/>
      <c r="B216" s="885">
        <v>40033</v>
      </c>
      <c r="C216" s="885">
        <v>40033</v>
      </c>
      <c r="D216" s="880" t="s">
        <v>1465</v>
      </c>
    </row>
    <row r="217" spans="1:4" s="891" customFormat="1" ht="11.25" customHeight="1" x14ac:dyDescent="0.2">
      <c r="A217" s="1471"/>
      <c r="B217" s="885">
        <v>8334</v>
      </c>
      <c r="C217" s="885">
        <v>8334</v>
      </c>
      <c r="D217" s="880" t="s">
        <v>2587</v>
      </c>
    </row>
    <row r="218" spans="1:4" s="891" customFormat="1" ht="11.25" customHeight="1" x14ac:dyDescent="0.2">
      <c r="A218" s="1471"/>
      <c r="B218" s="885">
        <v>1240</v>
      </c>
      <c r="C218" s="885">
        <v>1240</v>
      </c>
      <c r="D218" s="880" t="s">
        <v>2586</v>
      </c>
    </row>
    <row r="219" spans="1:4" s="891" customFormat="1" ht="11.25" customHeight="1" x14ac:dyDescent="0.2">
      <c r="A219" s="1471"/>
      <c r="B219" s="885">
        <v>4243</v>
      </c>
      <c r="C219" s="885">
        <v>4243</v>
      </c>
      <c r="D219" s="880" t="s">
        <v>2653</v>
      </c>
    </row>
    <row r="220" spans="1:4" s="891" customFormat="1" ht="11.25" customHeight="1" x14ac:dyDescent="0.2">
      <c r="A220" s="1471"/>
      <c r="B220" s="885">
        <v>199.28</v>
      </c>
      <c r="C220" s="885">
        <v>199.27500000000001</v>
      </c>
      <c r="D220" s="880" t="s">
        <v>1456</v>
      </c>
    </row>
    <row r="221" spans="1:4" s="891" customFormat="1" ht="11.25" customHeight="1" x14ac:dyDescent="0.2">
      <c r="A221" s="1471"/>
      <c r="B221" s="885">
        <v>1360.13</v>
      </c>
      <c r="C221" s="885">
        <v>1360.1279999999999</v>
      </c>
      <c r="D221" s="880" t="s">
        <v>1453</v>
      </c>
    </row>
    <row r="222" spans="1:4" s="891" customFormat="1" ht="11.25" customHeight="1" x14ac:dyDescent="0.2">
      <c r="A222" s="1473"/>
      <c r="B222" s="887">
        <v>57208.299999999996</v>
      </c>
      <c r="C222" s="887">
        <v>57018.205669999996</v>
      </c>
      <c r="D222" s="886" t="s">
        <v>11</v>
      </c>
    </row>
    <row r="223" spans="1:4" s="891" customFormat="1" ht="11.25" customHeight="1" x14ac:dyDescent="0.2">
      <c r="A223" s="1471" t="s">
        <v>1840</v>
      </c>
      <c r="B223" s="885">
        <v>8121</v>
      </c>
      <c r="C223" s="885">
        <v>8121</v>
      </c>
      <c r="D223" s="880" t="s">
        <v>1465</v>
      </c>
    </row>
    <row r="224" spans="1:4" s="891" customFormat="1" ht="11.25" customHeight="1" x14ac:dyDescent="0.2">
      <c r="A224" s="1471"/>
      <c r="B224" s="885">
        <v>2500</v>
      </c>
      <c r="C224" s="885">
        <v>2500</v>
      </c>
      <c r="D224" s="880" t="s">
        <v>2587</v>
      </c>
    </row>
    <row r="225" spans="1:4" s="891" customFormat="1" ht="11.25" customHeight="1" x14ac:dyDescent="0.2">
      <c r="A225" s="1471"/>
      <c r="B225" s="885">
        <v>461</v>
      </c>
      <c r="C225" s="885">
        <v>461</v>
      </c>
      <c r="D225" s="880" t="s">
        <v>2586</v>
      </c>
    </row>
    <row r="226" spans="1:4" s="891" customFormat="1" ht="11.25" customHeight="1" x14ac:dyDescent="0.2">
      <c r="A226" s="1471"/>
      <c r="B226" s="885">
        <v>41.83</v>
      </c>
      <c r="C226" s="885">
        <v>41.826000000000001</v>
      </c>
      <c r="D226" s="880" t="s">
        <v>1456</v>
      </c>
    </row>
    <row r="227" spans="1:4" s="891" customFormat="1" ht="11.25" customHeight="1" x14ac:dyDescent="0.2">
      <c r="A227" s="1471"/>
      <c r="B227" s="885">
        <v>147.12</v>
      </c>
      <c r="C227" s="885">
        <v>147.12100000000001</v>
      </c>
      <c r="D227" s="880" t="s">
        <v>1453</v>
      </c>
    </row>
    <row r="228" spans="1:4" s="891" customFormat="1" ht="11.25" customHeight="1" x14ac:dyDescent="0.2">
      <c r="A228" s="1471"/>
      <c r="B228" s="885">
        <v>11270.95</v>
      </c>
      <c r="C228" s="885">
        <v>11270.946999999998</v>
      </c>
      <c r="D228" s="880" t="s">
        <v>11</v>
      </c>
    </row>
    <row r="229" spans="1:4" s="891" customFormat="1" ht="11.25" customHeight="1" x14ac:dyDescent="0.2">
      <c r="A229" s="1472" t="s">
        <v>1844</v>
      </c>
      <c r="B229" s="888">
        <v>11673</v>
      </c>
      <c r="C229" s="888">
        <v>11673</v>
      </c>
      <c r="D229" s="882" t="s">
        <v>1465</v>
      </c>
    </row>
    <row r="230" spans="1:4" s="891" customFormat="1" ht="11.25" customHeight="1" x14ac:dyDescent="0.2">
      <c r="A230" s="1471"/>
      <c r="B230" s="885">
        <v>4343</v>
      </c>
      <c r="C230" s="885">
        <v>4343</v>
      </c>
      <c r="D230" s="880" t="s">
        <v>2587</v>
      </c>
    </row>
    <row r="231" spans="1:4" s="891" customFormat="1" ht="11.25" customHeight="1" x14ac:dyDescent="0.2">
      <c r="A231" s="1471"/>
      <c r="B231" s="885">
        <v>326</v>
      </c>
      <c r="C231" s="885">
        <v>326</v>
      </c>
      <c r="D231" s="880" t="s">
        <v>2586</v>
      </c>
    </row>
    <row r="232" spans="1:4" s="891" customFormat="1" ht="11.25" customHeight="1" x14ac:dyDescent="0.2">
      <c r="A232" s="1471"/>
      <c r="B232" s="885">
        <v>59.94</v>
      </c>
      <c r="C232" s="885">
        <v>59.935000000000002</v>
      </c>
      <c r="D232" s="880" t="s">
        <v>1456</v>
      </c>
    </row>
    <row r="233" spans="1:4" s="891" customFormat="1" ht="11.25" customHeight="1" x14ac:dyDescent="0.2">
      <c r="A233" s="1471"/>
      <c r="B233" s="885">
        <v>215.29</v>
      </c>
      <c r="C233" s="885">
        <v>215.29</v>
      </c>
      <c r="D233" s="880" t="s">
        <v>1453</v>
      </c>
    </row>
    <row r="234" spans="1:4" s="891" customFormat="1" ht="11.25" customHeight="1" x14ac:dyDescent="0.2">
      <c r="A234" s="1473"/>
      <c r="B234" s="887">
        <v>16617.23</v>
      </c>
      <c r="C234" s="887">
        <v>16617.225000000002</v>
      </c>
      <c r="D234" s="886" t="s">
        <v>11</v>
      </c>
    </row>
    <row r="235" spans="1:4" s="891" customFormat="1" ht="11.25" customHeight="1" x14ac:dyDescent="0.2">
      <c r="A235" s="1471" t="s">
        <v>1843</v>
      </c>
      <c r="B235" s="885">
        <v>14211</v>
      </c>
      <c r="C235" s="885">
        <v>14211</v>
      </c>
      <c r="D235" s="880" t="s">
        <v>1465</v>
      </c>
    </row>
    <row r="236" spans="1:4" s="891" customFormat="1" ht="11.25" customHeight="1" x14ac:dyDescent="0.2">
      <c r="A236" s="1471"/>
      <c r="B236" s="885">
        <v>4904</v>
      </c>
      <c r="C236" s="885">
        <v>4904</v>
      </c>
      <c r="D236" s="880" t="s">
        <v>2587</v>
      </c>
    </row>
    <row r="237" spans="1:4" s="891" customFormat="1" ht="11.25" customHeight="1" x14ac:dyDescent="0.2">
      <c r="A237" s="1471"/>
      <c r="B237" s="885">
        <v>599</v>
      </c>
      <c r="C237" s="885">
        <v>599</v>
      </c>
      <c r="D237" s="880" t="s">
        <v>2586</v>
      </c>
    </row>
    <row r="238" spans="1:4" s="891" customFormat="1" ht="11.25" customHeight="1" x14ac:dyDescent="0.2">
      <c r="A238" s="1471"/>
      <c r="B238" s="885">
        <v>73.319999999999993</v>
      </c>
      <c r="C238" s="885">
        <v>73.316999999999993</v>
      </c>
      <c r="D238" s="880" t="s">
        <v>1456</v>
      </c>
    </row>
    <row r="239" spans="1:4" s="891" customFormat="1" ht="11.25" customHeight="1" x14ac:dyDescent="0.2">
      <c r="A239" s="1471"/>
      <c r="B239" s="885">
        <v>273.77</v>
      </c>
      <c r="C239" s="885">
        <v>273.77199999999999</v>
      </c>
      <c r="D239" s="880" t="s">
        <v>1453</v>
      </c>
    </row>
    <row r="240" spans="1:4" s="891" customFormat="1" ht="11.25" customHeight="1" x14ac:dyDescent="0.2">
      <c r="A240" s="1471"/>
      <c r="B240" s="885">
        <v>20061.09</v>
      </c>
      <c r="C240" s="885">
        <v>20061.089</v>
      </c>
      <c r="D240" s="880" t="s">
        <v>11</v>
      </c>
    </row>
    <row r="241" spans="1:4" s="891" customFormat="1" ht="11.25" customHeight="1" x14ac:dyDescent="0.2">
      <c r="A241" s="1472" t="s">
        <v>1836</v>
      </c>
      <c r="B241" s="888">
        <v>6547</v>
      </c>
      <c r="C241" s="888">
        <v>6547</v>
      </c>
      <c r="D241" s="882" t="s">
        <v>1465</v>
      </c>
    </row>
    <row r="242" spans="1:4" s="891" customFormat="1" ht="11.25" customHeight="1" x14ac:dyDescent="0.2">
      <c r="A242" s="1471"/>
      <c r="B242" s="885">
        <v>2286</v>
      </c>
      <c r="C242" s="885">
        <v>2286</v>
      </c>
      <c r="D242" s="880" t="s">
        <v>2587</v>
      </c>
    </row>
    <row r="243" spans="1:4" s="891" customFormat="1" ht="11.25" customHeight="1" x14ac:dyDescent="0.2">
      <c r="A243" s="1471"/>
      <c r="B243" s="885">
        <v>99</v>
      </c>
      <c r="C243" s="885">
        <v>99</v>
      </c>
      <c r="D243" s="880" t="s">
        <v>2586</v>
      </c>
    </row>
    <row r="244" spans="1:4" s="891" customFormat="1" ht="11.25" customHeight="1" x14ac:dyDescent="0.2">
      <c r="A244" s="1471"/>
      <c r="B244" s="885">
        <v>33.369999999999997</v>
      </c>
      <c r="C244" s="885">
        <v>33.365000000000002</v>
      </c>
      <c r="D244" s="880" t="s">
        <v>1456</v>
      </c>
    </row>
    <row r="245" spans="1:4" s="891" customFormat="1" ht="11.25" customHeight="1" x14ac:dyDescent="0.2">
      <c r="A245" s="1471"/>
      <c r="B245" s="885">
        <v>112.39</v>
      </c>
      <c r="C245" s="885">
        <v>112.38800000000001</v>
      </c>
      <c r="D245" s="880" t="s">
        <v>1453</v>
      </c>
    </row>
    <row r="246" spans="1:4" s="891" customFormat="1" ht="11.25" customHeight="1" x14ac:dyDescent="0.2">
      <c r="A246" s="1473"/>
      <c r="B246" s="887">
        <v>9077.76</v>
      </c>
      <c r="C246" s="887">
        <v>9077.7530000000006</v>
      </c>
      <c r="D246" s="886" t="s">
        <v>11</v>
      </c>
    </row>
    <row r="247" spans="1:4" s="891" customFormat="1" ht="11.25" customHeight="1" x14ac:dyDescent="0.2">
      <c r="A247" s="1471" t="s">
        <v>1846</v>
      </c>
      <c r="B247" s="885">
        <v>8121</v>
      </c>
      <c r="C247" s="885">
        <v>8121</v>
      </c>
      <c r="D247" s="880" t="s">
        <v>1465</v>
      </c>
    </row>
    <row r="248" spans="1:4" s="891" customFormat="1" ht="11.25" customHeight="1" x14ac:dyDescent="0.2">
      <c r="A248" s="1471"/>
      <c r="B248" s="885">
        <v>3635</v>
      </c>
      <c r="C248" s="885">
        <v>3635</v>
      </c>
      <c r="D248" s="880" t="s">
        <v>2587</v>
      </c>
    </row>
    <row r="249" spans="1:4" s="891" customFormat="1" ht="11.25" customHeight="1" x14ac:dyDescent="0.2">
      <c r="A249" s="1471"/>
      <c r="B249" s="885">
        <v>342</v>
      </c>
      <c r="C249" s="885">
        <v>342</v>
      </c>
      <c r="D249" s="880" t="s">
        <v>2586</v>
      </c>
    </row>
    <row r="250" spans="1:4" s="891" customFormat="1" ht="11.25" customHeight="1" x14ac:dyDescent="0.2">
      <c r="A250" s="1471"/>
      <c r="B250" s="885">
        <v>41.9</v>
      </c>
      <c r="C250" s="885">
        <v>41.896000000000001</v>
      </c>
      <c r="D250" s="880" t="s">
        <v>1456</v>
      </c>
    </row>
    <row r="251" spans="1:4" s="891" customFormat="1" ht="11.25" customHeight="1" x14ac:dyDescent="0.2">
      <c r="A251" s="1471"/>
      <c r="B251" s="885">
        <v>177.87</v>
      </c>
      <c r="C251" s="885">
        <v>177.86799999999999</v>
      </c>
      <c r="D251" s="880" t="s">
        <v>1453</v>
      </c>
    </row>
    <row r="252" spans="1:4" s="891" customFormat="1" ht="11.25" customHeight="1" x14ac:dyDescent="0.2">
      <c r="A252" s="1471"/>
      <c r="B252" s="885">
        <v>12317.77</v>
      </c>
      <c r="C252" s="885">
        <v>12317.764000000001</v>
      </c>
      <c r="D252" s="880" t="s">
        <v>11</v>
      </c>
    </row>
    <row r="253" spans="1:4" s="891" customFormat="1" ht="11.25" customHeight="1" x14ac:dyDescent="0.2">
      <c r="A253" s="1472" t="s">
        <v>1841</v>
      </c>
      <c r="B253" s="888">
        <v>10151</v>
      </c>
      <c r="C253" s="888">
        <v>10151</v>
      </c>
      <c r="D253" s="882" t="s">
        <v>1465</v>
      </c>
    </row>
    <row r="254" spans="1:4" s="891" customFormat="1" ht="11.25" customHeight="1" x14ac:dyDescent="0.2">
      <c r="A254" s="1471"/>
      <c r="B254" s="885">
        <v>3746</v>
      </c>
      <c r="C254" s="885">
        <v>3746</v>
      </c>
      <c r="D254" s="880" t="s">
        <v>2587</v>
      </c>
    </row>
    <row r="255" spans="1:4" s="891" customFormat="1" ht="11.25" customHeight="1" x14ac:dyDescent="0.2">
      <c r="A255" s="1471"/>
      <c r="B255" s="885">
        <v>256</v>
      </c>
      <c r="C255" s="885">
        <v>256</v>
      </c>
      <c r="D255" s="880" t="s">
        <v>2586</v>
      </c>
    </row>
    <row r="256" spans="1:4" s="891" customFormat="1" ht="11.25" customHeight="1" x14ac:dyDescent="0.2">
      <c r="A256" s="1471"/>
      <c r="B256" s="885">
        <v>800</v>
      </c>
      <c r="C256" s="885">
        <v>800</v>
      </c>
      <c r="D256" s="880" t="s">
        <v>2652</v>
      </c>
    </row>
    <row r="257" spans="1:4" s="891" customFormat="1" ht="11.25" customHeight="1" x14ac:dyDescent="0.2">
      <c r="A257" s="1471"/>
      <c r="B257" s="885">
        <v>51.92</v>
      </c>
      <c r="C257" s="885">
        <v>51.914999999999999</v>
      </c>
      <c r="D257" s="880" t="s">
        <v>1456</v>
      </c>
    </row>
    <row r="258" spans="1:4" s="891" customFormat="1" ht="11.25" customHeight="1" x14ac:dyDescent="0.2">
      <c r="A258" s="1471"/>
      <c r="B258" s="885">
        <v>205.18</v>
      </c>
      <c r="C258" s="885">
        <v>205.18100000000001</v>
      </c>
      <c r="D258" s="880" t="s">
        <v>1453</v>
      </c>
    </row>
    <row r="259" spans="1:4" s="891" customFormat="1" ht="11.25" customHeight="1" x14ac:dyDescent="0.2">
      <c r="A259" s="1473"/>
      <c r="B259" s="887">
        <v>15210.1</v>
      </c>
      <c r="C259" s="887">
        <v>15210.096000000001</v>
      </c>
      <c r="D259" s="886" t="s">
        <v>11</v>
      </c>
    </row>
    <row r="260" spans="1:4" s="891" customFormat="1" ht="11.25" customHeight="1" x14ac:dyDescent="0.2">
      <c r="A260" s="1472" t="s">
        <v>1838</v>
      </c>
      <c r="B260" s="888">
        <v>300</v>
      </c>
      <c r="C260" s="888">
        <v>214.69358</v>
      </c>
      <c r="D260" s="882" t="s">
        <v>2651</v>
      </c>
    </row>
    <row r="261" spans="1:4" s="891" customFormat="1" ht="11.25" customHeight="1" x14ac:dyDescent="0.2">
      <c r="A261" s="1471"/>
      <c r="B261" s="885">
        <v>8121</v>
      </c>
      <c r="C261" s="885">
        <v>8121</v>
      </c>
      <c r="D261" s="880" t="s">
        <v>1465</v>
      </c>
    </row>
    <row r="262" spans="1:4" s="891" customFormat="1" ht="11.25" customHeight="1" x14ac:dyDescent="0.2">
      <c r="A262" s="1471"/>
      <c r="B262" s="885">
        <v>2462</v>
      </c>
      <c r="C262" s="885">
        <v>2462</v>
      </c>
      <c r="D262" s="880" t="s">
        <v>2587</v>
      </c>
    </row>
    <row r="263" spans="1:4" s="891" customFormat="1" ht="11.25" customHeight="1" x14ac:dyDescent="0.2">
      <c r="A263" s="1471"/>
      <c r="B263" s="885">
        <v>149</v>
      </c>
      <c r="C263" s="885">
        <v>149</v>
      </c>
      <c r="D263" s="880" t="s">
        <v>2586</v>
      </c>
    </row>
    <row r="264" spans="1:4" s="891" customFormat="1" ht="11.25" customHeight="1" x14ac:dyDescent="0.2">
      <c r="A264" s="1471"/>
      <c r="B264" s="885">
        <v>41.62</v>
      </c>
      <c r="C264" s="885">
        <v>41.615000000000002</v>
      </c>
      <c r="D264" s="880" t="s">
        <v>1456</v>
      </c>
    </row>
    <row r="265" spans="1:4" s="891" customFormat="1" ht="11.25" customHeight="1" x14ac:dyDescent="0.2">
      <c r="A265" s="1471"/>
      <c r="B265" s="885">
        <v>154.65</v>
      </c>
      <c r="C265" s="885">
        <v>154.654</v>
      </c>
      <c r="D265" s="880" t="s">
        <v>1453</v>
      </c>
    </row>
    <row r="266" spans="1:4" s="891" customFormat="1" ht="11.25" customHeight="1" x14ac:dyDescent="0.2">
      <c r="A266" s="1473"/>
      <c r="B266" s="887">
        <v>11228.27</v>
      </c>
      <c r="C266" s="887">
        <v>11142.962579999999</v>
      </c>
      <c r="D266" s="886" t="s">
        <v>11</v>
      </c>
    </row>
    <row r="267" spans="1:4" s="891" customFormat="1" ht="11.25" customHeight="1" x14ac:dyDescent="0.2">
      <c r="A267" s="1472" t="s">
        <v>1842</v>
      </c>
      <c r="B267" s="888">
        <v>12181</v>
      </c>
      <c r="C267" s="888">
        <v>12181</v>
      </c>
      <c r="D267" s="882" t="s">
        <v>1465</v>
      </c>
    </row>
    <row r="268" spans="1:4" s="891" customFormat="1" ht="11.25" customHeight="1" x14ac:dyDescent="0.2">
      <c r="A268" s="1471"/>
      <c r="B268" s="885">
        <v>4507</v>
      </c>
      <c r="C268" s="885">
        <v>4507</v>
      </c>
      <c r="D268" s="880" t="s">
        <v>2587</v>
      </c>
    </row>
    <row r="269" spans="1:4" s="891" customFormat="1" ht="11.25" customHeight="1" x14ac:dyDescent="0.2">
      <c r="A269" s="1471"/>
      <c r="B269" s="885">
        <v>179</v>
      </c>
      <c r="C269" s="885">
        <v>179</v>
      </c>
      <c r="D269" s="880" t="s">
        <v>2586</v>
      </c>
    </row>
    <row r="270" spans="1:4" s="891" customFormat="1" ht="11.25" customHeight="1" x14ac:dyDescent="0.2">
      <c r="A270" s="1471"/>
      <c r="B270" s="885">
        <v>62.84</v>
      </c>
      <c r="C270" s="885">
        <v>62.843000000000004</v>
      </c>
      <c r="D270" s="880" t="s">
        <v>1456</v>
      </c>
    </row>
    <row r="271" spans="1:4" s="891" customFormat="1" ht="11.25" customHeight="1" x14ac:dyDescent="0.2">
      <c r="A271" s="1471"/>
      <c r="B271" s="885">
        <v>242.41</v>
      </c>
      <c r="C271" s="885">
        <v>242.40899999999999</v>
      </c>
      <c r="D271" s="880" t="s">
        <v>1453</v>
      </c>
    </row>
    <row r="272" spans="1:4" s="891" customFormat="1" ht="11.25" customHeight="1" x14ac:dyDescent="0.2">
      <c r="A272" s="1473"/>
      <c r="B272" s="887">
        <v>17172.25</v>
      </c>
      <c r="C272" s="887">
        <v>17172.252</v>
      </c>
      <c r="D272" s="886" t="s">
        <v>11</v>
      </c>
    </row>
    <row r="273" spans="1:4" s="891" customFormat="1" ht="11.25" customHeight="1" x14ac:dyDescent="0.2">
      <c r="A273" s="1471" t="s">
        <v>2650</v>
      </c>
      <c r="B273" s="885">
        <v>8121</v>
      </c>
      <c r="C273" s="885">
        <v>8121</v>
      </c>
      <c r="D273" s="880" t="s">
        <v>1465</v>
      </c>
    </row>
    <row r="274" spans="1:4" s="891" customFormat="1" ht="11.25" customHeight="1" x14ac:dyDescent="0.2">
      <c r="A274" s="1471"/>
      <c r="B274" s="885">
        <v>2946</v>
      </c>
      <c r="C274" s="885">
        <v>2946</v>
      </c>
      <c r="D274" s="880" t="s">
        <v>2587</v>
      </c>
    </row>
    <row r="275" spans="1:4" s="891" customFormat="1" ht="11.25" customHeight="1" x14ac:dyDescent="0.2">
      <c r="A275" s="1471"/>
      <c r="B275" s="885">
        <v>615</v>
      </c>
      <c r="C275" s="885">
        <v>615</v>
      </c>
      <c r="D275" s="880" t="s">
        <v>2586</v>
      </c>
    </row>
    <row r="276" spans="1:4" s="891" customFormat="1" ht="11.25" customHeight="1" x14ac:dyDescent="0.2">
      <c r="A276" s="1471"/>
      <c r="B276" s="885">
        <v>41.86</v>
      </c>
      <c r="C276" s="885">
        <v>41.860999999999997</v>
      </c>
      <c r="D276" s="880" t="s">
        <v>1456</v>
      </c>
    </row>
    <row r="277" spans="1:4" s="891" customFormat="1" ht="11.25" customHeight="1" x14ac:dyDescent="0.2">
      <c r="A277" s="1471"/>
      <c r="B277" s="885">
        <v>158.1</v>
      </c>
      <c r="C277" s="885">
        <v>158.10400000000001</v>
      </c>
      <c r="D277" s="880" t="s">
        <v>1453</v>
      </c>
    </row>
    <row r="278" spans="1:4" s="891" customFormat="1" ht="11.25" customHeight="1" x14ac:dyDescent="0.2">
      <c r="A278" s="1471"/>
      <c r="B278" s="885">
        <v>11881.960000000001</v>
      </c>
      <c r="C278" s="885">
        <v>11881.965</v>
      </c>
      <c r="D278" s="880" t="s">
        <v>11</v>
      </c>
    </row>
    <row r="279" spans="1:4" s="891" customFormat="1" ht="11.25" customHeight="1" x14ac:dyDescent="0.2">
      <c r="A279" s="1472" t="s">
        <v>1728</v>
      </c>
      <c r="B279" s="888">
        <v>70</v>
      </c>
      <c r="C279" s="888">
        <v>70</v>
      </c>
      <c r="D279" s="882" t="s">
        <v>2631</v>
      </c>
    </row>
    <row r="280" spans="1:4" s="891" customFormat="1" ht="11.25" customHeight="1" x14ac:dyDescent="0.2">
      <c r="A280" s="1471"/>
      <c r="B280" s="885">
        <v>12312</v>
      </c>
      <c r="C280" s="885">
        <v>12312</v>
      </c>
      <c r="D280" s="880" t="s">
        <v>1465</v>
      </c>
    </row>
    <row r="281" spans="1:4" s="891" customFormat="1" ht="11.25" customHeight="1" x14ac:dyDescent="0.2">
      <c r="A281" s="1471"/>
      <c r="B281" s="885">
        <v>3932</v>
      </c>
      <c r="C281" s="885">
        <v>3932</v>
      </c>
      <c r="D281" s="880" t="s">
        <v>2587</v>
      </c>
    </row>
    <row r="282" spans="1:4" s="891" customFormat="1" ht="11.25" customHeight="1" x14ac:dyDescent="0.2">
      <c r="A282" s="1471"/>
      <c r="B282" s="885">
        <v>926</v>
      </c>
      <c r="C282" s="885">
        <v>926</v>
      </c>
      <c r="D282" s="880" t="s">
        <v>2586</v>
      </c>
    </row>
    <row r="283" spans="1:4" s="891" customFormat="1" ht="11.25" customHeight="1" x14ac:dyDescent="0.2">
      <c r="A283" s="1471"/>
      <c r="B283" s="885">
        <v>125</v>
      </c>
      <c r="C283" s="885">
        <v>125</v>
      </c>
      <c r="D283" s="880" t="s">
        <v>1461</v>
      </c>
    </row>
    <row r="284" spans="1:4" s="891" customFormat="1" ht="11.25" customHeight="1" x14ac:dyDescent="0.2">
      <c r="A284" s="1471"/>
      <c r="B284" s="885">
        <v>63.35</v>
      </c>
      <c r="C284" s="885">
        <v>63.345999999999997</v>
      </c>
      <c r="D284" s="880" t="s">
        <v>1456</v>
      </c>
    </row>
    <row r="285" spans="1:4" s="891" customFormat="1" ht="11.25" customHeight="1" x14ac:dyDescent="0.2">
      <c r="A285" s="1471"/>
      <c r="B285" s="885">
        <v>223.86</v>
      </c>
      <c r="C285" s="885">
        <v>223.85900000000001</v>
      </c>
      <c r="D285" s="880" t="s">
        <v>1453</v>
      </c>
    </row>
    <row r="286" spans="1:4" s="891" customFormat="1" ht="11.25" customHeight="1" x14ac:dyDescent="0.2">
      <c r="A286" s="1473"/>
      <c r="B286" s="887">
        <v>17652.21</v>
      </c>
      <c r="C286" s="887">
        <v>17652.205000000002</v>
      </c>
      <c r="D286" s="886" t="s">
        <v>11</v>
      </c>
    </row>
    <row r="287" spans="1:4" s="891" customFormat="1" ht="11.25" customHeight="1" x14ac:dyDescent="0.2">
      <c r="A287" s="1471" t="s">
        <v>1839</v>
      </c>
      <c r="B287" s="885">
        <v>6547</v>
      </c>
      <c r="C287" s="885">
        <v>6547</v>
      </c>
      <c r="D287" s="880" t="s">
        <v>1465</v>
      </c>
    </row>
    <row r="288" spans="1:4" s="891" customFormat="1" ht="11.25" customHeight="1" x14ac:dyDescent="0.2">
      <c r="A288" s="1471"/>
      <c r="B288" s="885">
        <v>1858</v>
      </c>
      <c r="C288" s="885">
        <v>1858</v>
      </c>
      <c r="D288" s="880" t="s">
        <v>2587</v>
      </c>
    </row>
    <row r="289" spans="1:4" s="891" customFormat="1" ht="11.25" customHeight="1" x14ac:dyDescent="0.2">
      <c r="A289" s="1471"/>
      <c r="B289" s="885">
        <v>246</v>
      </c>
      <c r="C289" s="885">
        <v>246</v>
      </c>
      <c r="D289" s="880" t="s">
        <v>2586</v>
      </c>
    </row>
    <row r="290" spans="1:4" s="891" customFormat="1" ht="11.25" customHeight="1" x14ac:dyDescent="0.2">
      <c r="A290" s="1471"/>
      <c r="B290" s="885">
        <v>250</v>
      </c>
      <c r="C290" s="885">
        <v>250</v>
      </c>
      <c r="D290" s="880" t="s">
        <v>580</v>
      </c>
    </row>
    <row r="291" spans="1:4" s="891" customFormat="1" ht="11.25" customHeight="1" x14ac:dyDescent="0.2">
      <c r="A291" s="1471"/>
      <c r="B291" s="885">
        <v>33.58</v>
      </c>
      <c r="C291" s="885">
        <v>33.575000000000003</v>
      </c>
      <c r="D291" s="880" t="s">
        <v>1456</v>
      </c>
    </row>
    <row r="292" spans="1:4" s="891" customFormat="1" ht="11.25" customHeight="1" x14ac:dyDescent="0.2">
      <c r="A292" s="1471"/>
      <c r="B292" s="885">
        <v>144.9</v>
      </c>
      <c r="C292" s="885">
        <v>144.90100000000001</v>
      </c>
      <c r="D292" s="880" t="s">
        <v>1453</v>
      </c>
    </row>
    <row r="293" spans="1:4" s="891" customFormat="1" ht="11.25" customHeight="1" x14ac:dyDescent="0.2">
      <c r="A293" s="1471"/>
      <c r="B293" s="885">
        <v>9079.48</v>
      </c>
      <c r="C293" s="885">
        <v>9079.4760000000006</v>
      </c>
      <c r="D293" s="880" t="s">
        <v>11</v>
      </c>
    </row>
    <row r="294" spans="1:4" s="891" customFormat="1" ht="11.25" customHeight="1" x14ac:dyDescent="0.2">
      <c r="A294" s="1472" t="s">
        <v>1750</v>
      </c>
      <c r="B294" s="888">
        <v>7446</v>
      </c>
      <c r="C294" s="888">
        <v>7446</v>
      </c>
      <c r="D294" s="882" t="s">
        <v>1465</v>
      </c>
    </row>
    <row r="295" spans="1:4" s="891" customFormat="1" ht="11.25" customHeight="1" x14ac:dyDescent="0.2">
      <c r="A295" s="1471"/>
      <c r="B295" s="885">
        <v>3553</v>
      </c>
      <c r="C295" s="885">
        <v>3553</v>
      </c>
      <c r="D295" s="880" t="s">
        <v>2587</v>
      </c>
    </row>
    <row r="296" spans="1:4" s="891" customFormat="1" ht="11.25" customHeight="1" x14ac:dyDescent="0.2">
      <c r="A296" s="1471"/>
      <c r="B296" s="885">
        <v>94</v>
      </c>
      <c r="C296" s="885">
        <v>94</v>
      </c>
      <c r="D296" s="880" t="s">
        <v>2586</v>
      </c>
    </row>
    <row r="297" spans="1:4" s="891" customFormat="1" ht="11.25" customHeight="1" x14ac:dyDescent="0.2">
      <c r="A297" s="1471"/>
      <c r="B297" s="885">
        <v>37.840000000000003</v>
      </c>
      <c r="C297" s="885">
        <v>37.840000000000003</v>
      </c>
      <c r="D297" s="880" t="s">
        <v>1456</v>
      </c>
    </row>
    <row r="298" spans="1:4" s="891" customFormat="1" ht="11.25" customHeight="1" x14ac:dyDescent="0.2">
      <c r="A298" s="1471"/>
      <c r="B298" s="885">
        <v>149.16</v>
      </c>
      <c r="C298" s="885">
        <v>149.16200000000001</v>
      </c>
      <c r="D298" s="880" t="s">
        <v>1453</v>
      </c>
    </row>
    <row r="299" spans="1:4" s="891" customFormat="1" ht="11.25" customHeight="1" x14ac:dyDescent="0.2">
      <c r="A299" s="1473"/>
      <c r="B299" s="887">
        <v>11280</v>
      </c>
      <c r="C299" s="887">
        <v>11280.002</v>
      </c>
      <c r="D299" s="886" t="s">
        <v>11</v>
      </c>
    </row>
    <row r="300" spans="1:4" s="891" customFormat="1" ht="11.25" customHeight="1" x14ac:dyDescent="0.2">
      <c r="A300" s="1471" t="s">
        <v>1744</v>
      </c>
      <c r="B300" s="885">
        <v>8121</v>
      </c>
      <c r="C300" s="885">
        <v>8121</v>
      </c>
      <c r="D300" s="880" t="s">
        <v>1465</v>
      </c>
    </row>
    <row r="301" spans="1:4" s="891" customFormat="1" ht="11.25" customHeight="1" x14ac:dyDescent="0.2">
      <c r="A301" s="1471"/>
      <c r="B301" s="885">
        <v>2594</v>
      </c>
      <c r="C301" s="885">
        <v>2594</v>
      </c>
      <c r="D301" s="880" t="s">
        <v>2587</v>
      </c>
    </row>
    <row r="302" spans="1:4" s="891" customFormat="1" ht="11.25" customHeight="1" x14ac:dyDescent="0.2">
      <c r="A302" s="1471"/>
      <c r="B302" s="885">
        <v>352</v>
      </c>
      <c r="C302" s="885">
        <v>352</v>
      </c>
      <c r="D302" s="880" t="s">
        <v>2586</v>
      </c>
    </row>
    <row r="303" spans="1:4" s="891" customFormat="1" ht="11.25" customHeight="1" x14ac:dyDescent="0.2">
      <c r="A303" s="1471"/>
      <c r="B303" s="885">
        <v>1300</v>
      </c>
      <c r="C303" s="885">
        <v>1300</v>
      </c>
      <c r="D303" s="880" t="s">
        <v>2649</v>
      </c>
    </row>
    <row r="304" spans="1:4" s="891" customFormat="1" ht="11.25" customHeight="1" x14ac:dyDescent="0.2">
      <c r="A304" s="1471"/>
      <c r="B304" s="885">
        <v>41.2</v>
      </c>
      <c r="C304" s="885">
        <v>41.195999999999998</v>
      </c>
      <c r="D304" s="880" t="s">
        <v>1456</v>
      </c>
    </row>
    <row r="305" spans="1:4" s="891" customFormat="1" ht="11.25" customHeight="1" x14ac:dyDescent="0.2">
      <c r="A305" s="1471"/>
      <c r="B305" s="885">
        <v>183.86</v>
      </c>
      <c r="C305" s="885">
        <v>183.86199999999999</v>
      </c>
      <c r="D305" s="880" t="s">
        <v>1453</v>
      </c>
    </row>
    <row r="306" spans="1:4" s="891" customFormat="1" ht="11.25" customHeight="1" x14ac:dyDescent="0.2">
      <c r="A306" s="1471"/>
      <c r="B306" s="885">
        <v>12592.060000000001</v>
      </c>
      <c r="C306" s="885">
        <v>12592.057999999999</v>
      </c>
      <c r="D306" s="880" t="s">
        <v>11</v>
      </c>
    </row>
    <row r="307" spans="1:4" s="891" customFormat="1" ht="11.25" customHeight="1" x14ac:dyDescent="0.2">
      <c r="A307" s="1472" t="s">
        <v>1837</v>
      </c>
      <c r="B307" s="888">
        <v>12286</v>
      </c>
      <c r="C307" s="888">
        <v>12286</v>
      </c>
      <c r="D307" s="882" t="s">
        <v>1465</v>
      </c>
    </row>
    <row r="308" spans="1:4" s="891" customFormat="1" ht="11.25" customHeight="1" x14ac:dyDescent="0.2">
      <c r="A308" s="1471"/>
      <c r="B308" s="885">
        <v>4885</v>
      </c>
      <c r="C308" s="885">
        <v>4885</v>
      </c>
      <c r="D308" s="880" t="s">
        <v>2587</v>
      </c>
    </row>
    <row r="309" spans="1:4" s="891" customFormat="1" ht="11.25" customHeight="1" x14ac:dyDescent="0.2">
      <c r="A309" s="1471"/>
      <c r="B309" s="885">
        <v>373</v>
      </c>
      <c r="C309" s="885">
        <v>373</v>
      </c>
      <c r="D309" s="880" t="s">
        <v>2586</v>
      </c>
    </row>
    <row r="310" spans="1:4" s="891" customFormat="1" ht="11.25" customHeight="1" x14ac:dyDescent="0.2">
      <c r="A310" s="1471"/>
      <c r="B310" s="885">
        <v>1900</v>
      </c>
      <c r="C310" s="885">
        <v>1649.96</v>
      </c>
      <c r="D310" s="880" t="s">
        <v>2582</v>
      </c>
    </row>
    <row r="311" spans="1:4" s="891" customFormat="1" ht="11.25" customHeight="1" x14ac:dyDescent="0.2">
      <c r="A311" s="1471"/>
      <c r="B311" s="885">
        <v>62.87</v>
      </c>
      <c r="C311" s="885">
        <v>62.871000000000002</v>
      </c>
      <c r="D311" s="880" t="s">
        <v>1456</v>
      </c>
    </row>
    <row r="312" spans="1:4" s="891" customFormat="1" ht="11.25" customHeight="1" x14ac:dyDescent="0.2">
      <c r="A312" s="1471"/>
      <c r="B312" s="885">
        <v>267.42</v>
      </c>
      <c r="C312" s="885">
        <v>267.42200000000003</v>
      </c>
      <c r="D312" s="880" t="s">
        <v>1453</v>
      </c>
    </row>
    <row r="313" spans="1:4" s="891" customFormat="1" ht="11.25" customHeight="1" x14ac:dyDescent="0.2">
      <c r="A313" s="1473"/>
      <c r="B313" s="887">
        <v>19774.289999999997</v>
      </c>
      <c r="C313" s="887">
        <v>19524.252999999997</v>
      </c>
      <c r="D313" s="886" t="s">
        <v>11</v>
      </c>
    </row>
    <row r="314" spans="1:4" s="891" customFormat="1" ht="11.25" customHeight="1" x14ac:dyDescent="0.2">
      <c r="A314" s="1471" t="s">
        <v>2648</v>
      </c>
      <c r="B314" s="885">
        <v>6557</v>
      </c>
      <c r="C314" s="885">
        <v>6557</v>
      </c>
      <c r="D314" s="880" t="s">
        <v>1465</v>
      </c>
    </row>
    <row r="315" spans="1:4" s="891" customFormat="1" ht="11.25" customHeight="1" x14ac:dyDescent="0.2">
      <c r="A315" s="1471"/>
      <c r="B315" s="885">
        <v>2600</v>
      </c>
      <c r="C315" s="885">
        <v>2600</v>
      </c>
      <c r="D315" s="880" t="s">
        <v>2587</v>
      </c>
    </row>
    <row r="316" spans="1:4" s="891" customFormat="1" ht="11.25" customHeight="1" x14ac:dyDescent="0.2">
      <c r="A316" s="1471"/>
      <c r="B316" s="885">
        <v>64</v>
      </c>
      <c r="C316" s="885">
        <v>64</v>
      </c>
      <c r="D316" s="880" t="s">
        <v>2586</v>
      </c>
    </row>
    <row r="317" spans="1:4" s="891" customFormat="1" ht="11.25" customHeight="1" x14ac:dyDescent="0.2">
      <c r="A317" s="1471"/>
      <c r="B317" s="885">
        <v>33.26</v>
      </c>
      <c r="C317" s="885">
        <v>33.26</v>
      </c>
      <c r="D317" s="880" t="s">
        <v>1456</v>
      </c>
    </row>
    <row r="318" spans="1:4" s="891" customFormat="1" ht="11.25" customHeight="1" x14ac:dyDescent="0.2">
      <c r="A318" s="1471"/>
      <c r="B318" s="885">
        <v>133.03</v>
      </c>
      <c r="C318" s="885">
        <v>133.02600000000001</v>
      </c>
      <c r="D318" s="880" t="s">
        <v>1453</v>
      </c>
    </row>
    <row r="319" spans="1:4" s="891" customFormat="1" ht="11.25" customHeight="1" x14ac:dyDescent="0.2">
      <c r="A319" s="1471"/>
      <c r="B319" s="885">
        <v>9387.2900000000009</v>
      </c>
      <c r="C319" s="885">
        <v>9387.2860000000001</v>
      </c>
      <c r="D319" s="880" t="s">
        <v>11</v>
      </c>
    </row>
    <row r="320" spans="1:4" s="891" customFormat="1" ht="11.25" customHeight="1" x14ac:dyDescent="0.2">
      <c r="A320" s="1472" t="s">
        <v>1822</v>
      </c>
      <c r="B320" s="888">
        <v>6513</v>
      </c>
      <c r="C320" s="888">
        <v>6513</v>
      </c>
      <c r="D320" s="882" t="s">
        <v>1465</v>
      </c>
    </row>
    <row r="321" spans="1:4" s="891" customFormat="1" ht="11.25" customHeight="1" x14ac:dyDescent="0.2">
      <c r="A321" s="1471"/>
      <c r="B321" s="885">
        <v>1739</v>
      </c>
      <c r="C321" s="885">
        <v>1739</v>
      </c>
      <c r="D321" s="880" t="s">
        <v>2587</v>
      </c>
    </row>
    <row r="322" spans="1:4" s="891" customFormat="1" ht="11.25" customHeight="1" x14ac:dyDescent="0.2">
      <c r="A322" s="1471"/>
      <c r="B322" s="885">
        <v>117</v>
      </c>
      <c r="C322" s="885">
        <v>117</v>
      </c>
      <c r="D322" s="880" t="s">
        <v>2586</v>
      </c>
    </row>
    <row r="323" spans="1:4" s="891" customFormat="1" ht="11.25" customHeight="1" x14ac:dyDescent="0.2">
      <c r="A323" s="1471"/>
      <c r="B323" s="885">
        <v>33.409999999999997</v>
      </c>
      <c r="C323" s="885">
        <v>33.406999999999996</v>
      </c>
      <c r="D323" s="880" t="s">
        <v>1456</v>
      </c>
    </row>
    <row r="324" spans="1:4" s="891" customFormat="1" ht="11.25" customHeight="1" x14ac:dyDescent="0.2">
      <c r="A324" s="1471"/>
      <c r="B324" s="885">
        <v>149.5</v>
      </c>
      <c r="C324" s="885">
        <v>149.501</v>
      </c>
      <c r="D324" s="880" t="s">
        <v>1453</v>
      </c>
    </row>
    <row r="325" spans="1:4" s="891" customFormat="1" ht="11.25" customHeight="1" x14ac:dyDescent="0.2">
      <c r="A325" s="1473"/>
      <c r="B325" s="887">
        <v>8551.91</v>
      </c>
      <c r="C325" s="887">
        <v>8551.9079999999994</v>
      </c>
      <c r="D325" s="886" t="s">
        <v>11</v>
      </c>
    </row>
    <row r="326" spans="1:4" s="891" customFormat="1" ht="11.25" customHeight="1" x14ac:dyDescent="0.2">
      <c r="A326" s="1471" t="s">
        <v>1600</v>
      </c>
      <c r="B326" s="885">
        <v>18.149999999999999</v>
      </c>
      <c r="C326" s="885">
        <v>18.154</v>
      </c>
      <c r="D326" s="880" t="s">
        <v>1447</v>
      </c>
    </row>
    <row r="327" spans="1:4" s="891" customFormat="1" ht="11.25" customHeight="1" x14ac:dyDescent="0.2">
      <c r="A327" s="1471"/>
      <c r="B327" s="885">
        <v>969.01</v>
      </c>
      <c r="C327" s="885">
        <v>969.01</v>
      </c>
      <c r="D327" s="880" t="s">
        <v>2597</v>
      </c>
    </row>
    <row r="328" spans="1:4" s="891" customFormat="1" ht="11.25" customHeight="1" x14ac:dyDescent="0.2">
      <c r="A328" s="1471"/>
      <c r="B328" s="885">
        <v>95</v>
      </c>
      <c r="C328" s="885">
        <v>95</v>
      </c>
      <c r="D328" s="880" t="s">
        <v>2596</v>
      </c>
    </row>
    <row r="329" spans="1:4" s="891" customFormat="1" ht="21" x14ac:dyDescent="0.2">
      <c r="A329" s="1471"/>
      <c r="B329" s="885">
        <v>67.08</v>
      </c>
      <c r="C329" s="885">
        <v>66.325999999999993</v>
      </c>
      <c r="D329" s="880" t="s">
        <v>1446</v>
      </c>
    </row>
    <row r="330" spans="1:4" s="891" customFormat="1" ht="11.25" customHeight="1" x14ac:dyDescent="0.2">
      <c r="A330" s="1471"/>
      <c r="B330" s="885">
        <v>990.5</v>
      </c>
      <c r="C330" s="885">
        <v>622.40363000000002</v>
      </c>
      <c r="D330" s="880" t="s">
        <v>1339</v>
      </c>
    </row>
    <row r="331" spans="1:4" s="891" customFormat="1" ht="11.25" customHeight="1" x14ac:dyDescent="0.2">
      <c r="A331" s="1471"/>
      <c r="B331" s="885">
        <v>9</v>
      </c>
      <c r="C331" s="885">
        <v>9</v>
      </c>
      <c r="D331" s="880" t="s">
        <v>1459</v>
      </c>
    </row>
    <row r="332" spans="1:4" s="891" customFormat="1" ht="11.25" customHeight="1" x14ac:dyDescent="0.2">
      <c r="A332" s="1471"/>
      <c r="B332" s="885">
        <v>34270</v>
      </c>
      <c r="C332" s="885">
        <v>34270</v>
      </c>
      <c r="D332" s="880" t="s">
        <v>1465</v>
      </c>
    </row>
    <row r="333" spans="1:4" s="891" customFormat="1" ht="11.25" customHeight="1" x14ac:dyDescent="0.2">
      <c r="A333" s="1471"/>
      <c r="B333" s="885">
        <v>6465</v>
      </c>
      <c r="C333" s="885">
        <v>6465</v>
      </c>
      <c r="D333" s="880" t="s">
        <v>2587</v>
      </c>
    </row>
    <row r="334" spans="1:4" s="891" customFormat="1" ht="11.25" customHeight="1" x14ac:dyDescent="0.2">
      <c r="A334" s="1471"/>
      <c r="B334" s="885">
        <v>3373</v>
      </c>
      <c r="C334" s="885">
        <v>3373</v>
      </c>
      <c r="D334" s="880" t="s">
        <v>2586</v>
      </c>
    </row>
    <row r="335" spans="1:4" s="891" customFormat="1" ht="11.25" customHeight="1" x14ac:dyDescent="0.2">
      <c r="A335" s="1471"/>
      <c r="B335" s="885">
        <v>172.57</v>
      </c>
      <c r="C335" s="885">
        <v>172.57300000000001</v>
      </c>
      <c r="D335" s="880" t="s">
        <v>1456</v>
      </c>
    </row>
    <row r="336" spans="1:4" s="891" customFormat="1" ht="11.25" customHeight="1" x14ac:dyDescent="0.2">
      <c r="A336" s="1471"/>
      <c r="B336" s="885">
        <v>1157.19</v>
      </c>
      <c r="C336" s="885">
        <v>1157.191</v>
      </c>
      <c r="D336" s="880" t="s">
        <v>1453</v>
      </c>
    </row>
    <row r="337" spans="1:4" s="891" customFormat="1" ht="11.25" customHeight="1" x14ac:dyDescent="0.2">
      <c r="A337" s="1471"/>
      <c r="B337" s="885">
        <v>47586.5</v>
      </c>
      <c r="C337" s="885">
        <v>47217.657629999994</v>
      </c>
      <c r="D337" s="880" t="s">
        <v>11</v>
      </c>
    </row>
    <row r="338" spans="1:4" s="891" customFormat="1" ht="11.25" customHeight="1" x14ac:dyDescent="0.2">
      <c r="A338" s="1472" t="s">
        <v>1617</v>
      </c>
      <c r="B338" s="888">
        <v>285.25</v>
      </c>
      <c r="C338" s="888">
        <v>285.24669</v>
      </c>
      <c r="D338" s="882" t="s">
        <v>2608</v>
      </c>
    </row>
    <row r="339" spans="1:4" s="891" customFormat="1" ht="11.25" customHeight="1" x14ac:dyDescent="0.2">
      <c r="A339" s="1471"/>
      <c r="B339" s="885">
        <v>13.5</v>
      </c>
      <c r="C339" s="885">
        <v>13.5</v>
      </c>
      <c r="D339" s="880" t="s">
        <v>2596</v>
      </c>
    </row>
    <row r="340" spans="1:4" s="891" customFormat="1" ht="11.25" customHeight="1" x14ac:dyDescent="0.2">
      <c r="A340" s="1471"/>
      <c r="B340" s="885">
        <v>18817</v>
      </c>
      <c r="C340" s="885">
        <v>18817</v>
      </c>
      <c r="D340" s="880" t="s">
        <v>1465</v>
      </c>
    </row>
    <row r="341" spans="1:4" s="891" customFormat="1" ht="11.25" customHeight="1" x14ac:dyDescent="0.2">
      <c r="A341" s="1471"/>
      <c r="B341" s="885">
        <v>3045</v>
      </c>
      <c r="C341" s="885">
        <v>3045</v>
      </c>
      <c r="D341" s="880" t="s">
        <v>2587</v>
      </c>
    </row>
    <row r="342" spans="1:4" s="891" customFormat="1" ht="11.25" customHeight="1" x14ac:dyDescent="0.2">
      <c r="A342" s="1471"/>
      <c r="B342" s="885">
        <v>1009</v>
      </c>
      <c r="C342" s="885">
        <v>1009</v>
      </c>
      <c r="D342" s="880" t="s">
        <v>2586</v>
      </c>
    </row>
    <row r="343" spans="1:4" s="891" customFormat="1" ht="11.25" customHeight="1" x14ac:dyDescent="0.2">
      <c r="A343" s="1471"/>
      <c r="B343" s="885">
        <v>1107.27</v>
      </c>
      <c r="C343" s="885">
        <v>1107.2739999999999</v>
      </c>
      <c r="D343" s="880" t="s">
        <v>2647</v>
      </c>
    </row>
    <row r="344" spans="1:4" s="891" customFormat="1" ht="11.25" customHeight="1" x14ac:dyDescent="0.2">
      <c r="A344" s="1471"/>
      <c r="B344" s="885">
        <v>95.29</v>
      </c>
      <c r="C344" s="885">
        <v>95.293000000000006</v>
      </c>
      <c r="D344" s="880" t="s">
        <v>1456</v>
      </c>
    </row>
    <row r="345" spans="1:4" s="891" customFormat="1" ht="11.25" customHeight="1" x14ac:dyDescent="0.2">
      <c r="A345" s="1471"/>
      <c r="B345" s="885">
        <v>530.92999999999995</v>
      </c>
      <c r="C345" s="885">
        <v>530.93100000000004</v>
      </c>
      <c r="D345" s="880" t="s">
        <v>1453</v>
      </c>
    </row>
    <row r="346" spans="1:4" s="891" customFormat="1" ht="11.25" customHeight="1" x14ac:dyDescent="0.2">
      <c r="A346" s="1473"/>
      <c r="B346" s="887">
        <v>24903.24</v>
      </c>
      <c r="C346" s="887">
        <v>24903.244690000003</v>
      </c>
      <c r="D346" s="886" t="s">
        <v>11</v>
      </c>
    </row>
    <row r="347" spans="1:4" s="891" customFormat="1" ht="11.25" customHeight="1" x14ac:dyDescent="0.2">
      <c r="A347" s="1471" t="s">
        <v>1606</v>
      </c>
      <c r="B347" s="885">
        <v>34.49</v>
      </c>
      <c r="C347" s="885">
        <v>34.493000000000002</v>
      </c>
      <c r="D347" s="880" t="s">
        <v>1447</v>
      </c>
    </row>
    <row r="348" spans="1:4" s="891" customFormat="1" ht="11.25" customHeight="1" x14ac:dyDescent="0.2">
      <c r="A348" s="1471"/>
      <c r="B348" s="885">
        <v>958.27</v>
      </c>
      <c r="C348" s="885">
        <v>958.27300000000002</v>
      </c>
      <c r="D348" s="880" t="s">
        <v>2597</v>
      </c>
    </row>
    <row r="349" spans="1:4" s="891" customFormat="1" ht="11.25" customHeight="1" x14ac:dyDescent="0.2">
      <c r="A349" s="1471"/>
      <c r="B349" s="885">
        <v>1500</v>
      </c>
      <c r="C349" s="885">
        <v>1500</v>
      </c>
      <c r="D349" s="880" t="s">
        <v>2646</v>
      </c>
    </row>
    <row r="350" spans="1:4" s="891" customFormat="1" ht="11.25" customHeight="1" x14ac:dyDescent="0.2">
      <c r="A350" s="1471"/>
      <c r="B350" s="885">
        <v>18909</v>
      </c>
      <c r="C350" s="885">
        <v>18909</v>
      </c>
      <c r="D350" s="880" t="s">
        <v>1465</v>
      </c>
    </row>
    <row r="351" spans="1:4" s="891" customFormat="1" ht="11.25" customHeight="1" x14ac:dyDescent="0.2">
      <c r="A351" s="1471"/>
      <c r="B351" s="885">
        <v>3158</v>
      </c>
      <c r="C351" s="885">
        <v>3158</v>
      </c>
      <c r="D351" s="880" t="s">
        <v>2587</v>
      </c>
    </row>
    <row r="352" spans="1:4" s="891" customFormat="1" ht="11.25" customHeight="1" x14ac:dyDescent="0.2">
      <c r="A352" s="1471"/>
      <c r="B352" s="885">
        <v>649</v>
      </c>
      <c r="C352" s="885">
        <v>649</v>
      </c>
      <c r="D352" s="880" t="s">
        <v>2586</v>
      </c>
    </row>
    <row r="353" spans="1:4" s="891" customFormat="1" ht="11.25" customHeight="1" x14ac:dyDescent="0.2">
      <c r="A353" s="1471"/>
      <c r="B353" s="885">
        <v>95.31</v>
      </c>
      <c r="C353" s="885">
        <v>95.313000000000002</v>
      </c>
      <c r="D353" s="880" t="s">
        <v>1456</v>
      </c>
    </row>
    <row r="354" spans="1:4" s="891" customFormat="1" ht="11.25" customHeight="1" x14ac:dyDescent="0.2">
      <c r="A354" s="1471"/>
      <c r="B354" s="885">
        <v>612.21</v>
      </c>
      <c r="C354" s="885">
        <v>612.20600000000002</v>
      </c>
      <c r="D354" s="880" t="s">
        <v>1453</v>
      </c>
    </row>
    <row r="355" spans="1:4" s="891" customFormat="1" ht="11.25" customHeight="1" x14ac:dyDescent="0.2">
      <c r="A355" s="1471"/>
      <c r="B355" s="885">
        <v>25916.280000000002</v>
      </c>
      <c r="C355" s="885">
        <v>25916.284999999996</v>
      </c>
      <c r="D355" s="880" t="s">
        <v>11</v>
      </c>
    </row>
    <row r="356" spans="1:4" s="891" customFormat="1" ht="11.25" customHeight="1" x14ac:dyDescent="0.2">
      <c r="A356" s="1472" t="s">
        <v>1325</v>
      </c>
      <c r="B356" s="888">
        <v>1204.81</v>
      </c>
      <c r="C356" s="888">
        <v>1204.8050000000001</v>
      </c>
      <c r="D356" s="882" t="s">
        <v>2597</v>
      </c>
    </row>
    <row r="357" spans="1:4" s="891" customFormat="1" ht="11.25" customHeight="1" x14ac:dyDescent="0.2">
      <c r="A357" s="1471"/>
      <c r="B357" s="885">
        <v>350</v>
      </c>
      <c r="C357" s="885">
        <v>350</v>
      </c>
      <c r="D357" s="880" t="s">
        <v>573</v>
      </c>
    </row>
    <row r="358" spans="1:4" s="891" customFormat="1" ht="11.25" customHeight="1" x14ac:dyDescent="0.2">
      <c r="A358" s="1471"/>
      <c r="B358" s="885">
        <v>30</v>
      </c>
      <c r="C358" s="885">
        <v>30</v>
      </c>
      <c r="D358" s="880" t="s">
        <v>2596</v>
      </c>
    </row>
    <row r="359" spans="1:4" s="891" customFormat="1" ht="11.25" customHeight="1" x14ac:dyDescent="0.2">
      <c r="A359" s="1471"/>
      <c r="B359" s="885">
        <v>134.02000000000001</v>
      </c>
      <c r="C359" s="885">
        <v>134.02099999999999</v>
      </c>
      <c r="D359" s="880" t="s">
        <v>1451</v>
      </c>
    </row>
    <row r="360" spans="1:4" s="891" customFormat="1" ht="11.25" customHeight="1" x14ac:dyDescent="0.2">
      <c r="A360" s="1471"/>
      <c r="B360" s="885">
        <v>18.8</v>
      </c>
      <c r="C360" s="885">
        <v>17.588000000000001</v>
      </c>
      <c r="D360" s="880" t="s">
        <v>1459</v>
      </c>
    </row>
    <row r="361" spans="1:4" s="891" customFormat="1" ht="11.25" customHeight="1" x14ac:dyDescent="0.2">
      <c r="A361" s="1471"/>
      <c r="B361" s="885">
        <v>18143</v>
      </c>
      <c r="C361" s="885">
        <v>18143</v>
      </c>
      <c r="D361" s="880" t="s">
        <v>1465</v>
      </c>
    </row>
    <row r="362" spans="1:4" s="891" customFormat="1" ht="11.25" customHeight="1" x14ac:dyDescent="0.2">
      <c r="A362" s="1471"/>
      <c r="B362" s="885">
        <v>4822</v>
      </c>
      <c r="C362" s="885">
        <v>4822</v>
      </c>
      <c r="D362" s="880" t="s">
        <v>2587</v>
      </c>
    </row>
    <row r="363" spans="1:4" s="891" customFormat="1" ht="11.25" customHeight="1" x14ac:dyDescent="0.2">
      <c r="A363" s="1471"/>
      <c r="B363" s="885">
        <v>1119</v>
      </c>
      <c r="C363" s="885">
        <v>1119</v>
      </c>
      <c r="D363" s="880" t="s">
        <v>2586</v>
      </c>
    </row>
    <row r="364" spans="1:4" s="891" customFormat="1" ht="21" x14ac:dyDescent="0.2">
      <c r="A364" s="1471"/>
      <c r="B364" s="885">
        <v>824</v>
      </c>
      <c r="C364" s="885">
        <v>824</v>
      </c>
      <c r="D364" s="880" t="s">
        <v>2591</v>
      </c>
    </row>
    <row r="365" spans="1:4" s="891" customFormat="1" ht="11.25" customHeight="1" x14ac:dyDescent="0.2">
      <c r="A365" s="1471"/>
      <c r="B365" s="885">
        <v>87.29</v>
      </c>
      <c r="C365" s="885">
        <v>87.29</v>
      </c>
      <c r="D365" s="880" t="s">
        <v>1455</v>
      </c>
    </row>
    <row r="366" spans="1:4" s="891" customFormat="1" ht="11.25" customHeight="1" x14ac:dyDescent="0.2">
      <c r="A366" s="1471"/>
      <c r="B366" s="885">
        <v>91.24</v>
      </c>
      <c r="C366" s="885">
        <v>91.244</v>
      </c>
      <c r="D366" s="880" t="s">
        <v>1456</v>
      </c>
    </row>
    <row r="367" spans="1:4" s="891" customFormat="1" ht="11.25" customHeight="1" x14ac:dyDescent="0.2">
      <c r="A367" s="1471"/>
      <c r="B367" s="885">
        <v>614.57000000000005</v>
      </c>
      <c r="C367" s="885">
        <v>614.57100000000003</v>
      </c>
      <c r="D367" s="880" t="s">
        <v>1453</v>
      </c>
    </row>
    <row r="368" spans="1:4" s="891" customFormat="1" ht="11.25" customHeight="1" x14ac:dyDescent="0.2">
      <c r="A368" s="1473"/>
      <c r="B368" s="887">
        <v>27438.730000000003</v>
      </c>
      <c r="C368" s="887">
        <v>27437.519</v>
      </c>
      <c r="D368" s="886" t="s">
        <v>11</v>
      </c>
    </row>
    <row r="369" spans="1:4" s="891" customFormat="1" ht="11.25" customHeight="1" x14ac:dyDescent="0.2">
      <c r="A369" s="1471" t="s">
        <v>1604</v>
      </c>
      <c r="B369" s="885">
        <v>98.03</v>
      </c>
      <c r="C369" s="885">
        <v>98.034000000000006</v>
      </c>
      <c r="D369" s="880" t="s">
        <v>1447</v>
      </c>
    </row>
    <row r="370" spans="1:4" s="891" customFormat="1" ht="11.25" customHeight="1" x14ac:dyDescent="0.2">
      <c r="A370" s="1471"/>
      <c r="B370" s="885">
        <v>830.58</v>
      </c>
      <c r="C370" s="885">
        <v>830.58</v>
      </c>
      <c r="D370" s="880" t="s">
        <v>2597</v>
      </c>
    </row>
    <row r="371" spans="1:4" s="891" customFormat="1" ht="11.25" customHeight="1" x14ac:dyDescent="0.2">
      <c r="A371" s="1471"/>
      <c r="B371" s="885">
        <v>200</v>
      </c>
      <c r="C371" s="885">
        <v>200</v>
      </c>
      <c r="D371" s="880" t="s">
        <v>2596</v>
      </c>
    </row>
    <row r="372" spans="1:4" s="891" customFormat="1" ht="11.25" customHeight="1" x14ac:dyDescent="0.2">
      <c r="A372" s="1471"/>
      <c r="B372" s="885">
        <v>195.53</v>
      </c>
      <c r="C372" s="885">
        <v>195.52500000000001</v>
      </c>
      <c r="D372" s="880" t="s">
        <v>1451</v>
      </c>
    </row>
    <row r="373" spans="1:4" s="891" customFormat="1" ht="11.25" customHeight="1" x14ac:dyDescent="0.2">
      <c r="A373" s="1471"/>
      <c r="B373" s="885">
        <v>30540</v>
      </c>
      <c r="C373" s="885">
        <v>30540</v>
      </c>
      <c r="D373" s="880" t="s">
        <v>1465</v>
      </c>
    </row>
    <row r="374" spans="1:4" s="891" customFormat="1" ht="11.25" customHeight="1" x14ac:dyDescent="0.2">
      <c r="A374" s="1471"/>
      <c r="B374" s="885">
        <v>6947</v>
      </c>
      <c r="C374" s="885">
        <v>6947</v>
      </c>
      <c r="D374" s="880" t="s">
        <v>2587</v>
      </c>
    </row>
    <row r="375" spans="1:4" s="891" customFormat="1" ht="11.25" customHeight="1" x14ac:dyDescent="0.2">
      <c r="A375" s="1471"/>
      <c r="B375" s="885">
        <v>1419</v>
      </c>
      <c r="C375" s="885">
        <v>1419</v>
      </c>
      <c r="D375" s="880" t="s">
        <v>2586</v>
      </c>
    </row>
    <row r="376" spans="1:4" s="891" customFormat="1" ht="11.25" customHeight="1" x14ac:dyDescent="0.2">
      <c r="A376" s="1471"/>
      <c r="B376" s="885">
        <v>154.94999999999999</v>
      </c>
      <c r="C376" s="885">
        <v>154.94800000000001</v>
      </c>
      <c r="D376" s="880" t="s">
        <v>1456</v>
      </c>
    </row>
    <row r="377" spans="1:4" s="891" customFormat="1" ht="11.25" customHeight="1" x14ac:dyDescent="0.2">
      <c r="A377" s="1471"/>
      <c r="B377" s="885">
        <v>975.3</v>
      </c>
      <c r="C377" s="885">
        <v>975.29600000000005</v>
      </c>
      <c r="D377" s="880" t="s">
        <v>1453</v>
      </c>
    </row>
    <row r="378" spans="1:4" s="891" customFormat="1" ht="11.25" customHeight="1" x14ac:dyDescent="0.2">
      <c r="A378" s="1471"/>
      <c r="B378" s="885">
        <v>41360.39</v>
      </c>
      <c r="C378" s="885">
        <v>41360.382999999994</v>
      </c>
      <c r="D378" s="880" t="s">
        <v>11</v>
      </c>
    </row>
    <row r="379" spans="1:4" s="891" customFormat="1" ht="11.25" customHeight="1" x14ac:dyDescent="0.2">
      <c r="A379" s="1472" t="s">
        <v>1594</v>
      </c>
      <c r="B379" s="888">
        <v>49.02</v>
      </c>
      <c r="C379" s="888">
        <v>49.017000000000003</v>
      </c>
      <c r="D379" s="882" t="s">
        <v>1447</v>
      </c>
    </row>
    <row r="380" spans="1:4" s="891" customFormat="1" ht="11.25" customHeight="1" x14ac:dyDescent="0.2">
      <c r="A380" s="1471"/>
      <c r="B380" s="885">
        <v>467.42</v>
      </c>
      <c r="C380" s="885">
        <v>467.41700000000003</v>
      </c>
      <c r="D380" s="880" t="s">
        <v>2597</v>
      </c>
    </row>
    <row r="381" spans="1:4" s="891" customFormat="1" ht="11.25" customHeight="1" x14ac:dyDescent="0.2">
      <c r="A381" s="1471"/>
      <c r="B381" s="885">
        <v>190</v>
      </c>
      <c r="C381" s="885">
        <v>190</v>
      </c>
      <c r="D381" s="880" t="s">
        <v>540</v>
      </c>
    </row>
    <row r="382" spans="1:4" s="891" customFormat="1" ht="11.25" customHeight="1" x14ac:dyDescent="0.2">
      <c r="A382" s="1471"/>
      <c r="B382" s="885">
        <v>13433</v>
      </c>
      <c r="C382" s="885">
        <v>13433</v>
      </c>
      <c r="D382" s="880" t="s">
        <v>1465</v>
      </c>
    </row>
    <row r="383" spans="1:4" s="891" customFormat="1" ht="11.25" customHeight="1" x14ac:dyDescent="0.2">
      <c r="A383" s="1471"/>
      <c r="B383" s="885">
        <v>2389</v>
      </c>
      <c r="C383" s="885">
        <v>2389</v>
      </c>
      <c r="D383" s="880" t="s">
        <v>2587</v>
      </c>
    </row>
    <row r="384" spans="1:4" s="891" customFormat="1" ht="11.25" customHeight="1" x14ac:dyDescent="0.2">
      <c r="A384" s="1471"/>
      <c r="B384" s="885">
        <v>240</v>
      </c>
      <c r="C384" s="885">
        <v>240</v>
      </c>
      <c r="D384" s="880" t="s">
        <v>2586</v>
      </c>
    </row>
    <row r="385" spans="1:4" s="891" customFormat="1" ht="11.25" customHeight="1" x14ac:dyDescent="0.2">
      <c r="A385" s="1471"/>
      <c r="B385" s="885">
        <v>10</v>
      </c>
      <c r="C385" s="885">
        <v>10</v>
      </c>
      <c r="D385" s="880" t="s">
        <v>2615</v>
      </c>
    </row>
    <row r="386" spans="1:4" s="891" customFormat="1" ht="11.25" customHeight="1" x14ac:dyDescent="0.2">
      <c r="A386" s="1471"/>
      <c r="B386" s="885">
        <v>67.69</v>
      </c>
      <c r="C386" s="885">
        <v>67.688999999999993</v>
      </c>
      <c r="D386" s="880" t="s">
        <v>1456</v>
      </c>
    </row>
    <row r="387" spans="1:4" s="891" customFormat="1" ht="11.25" customHeight="1" x14ac:dyDescent="0.2">
      <c r="A387" s="1471"/>
      <c r="B387" s="885">
        <v>402.37</v>
      </c>
      <c r="C387" s="885">
        <v>402.36799999999999</v>
      </c>
      <c r="D387" s="880" t="s">
        <v>1453</v>
      </c>
    </row>
    <row r="388" spans="1:4" s="891" customFormat="1" ht="11.25" customHeight="1" x14ac:dyDescent="0.2">
      <c r="A388" s="1473"/>
      <c r="B388" s="887">
        <v>17248.5</v>
      </c>
      <c r="C388" s="887">
        <v>17248.490999999998</v>
      </c>
      <c r="D388" s="886" t="s">
        <v>11</v>
      </c>
    </row>
    <row r="389" spans="1:4" s="891" customFormat="1" ht="11.25" customHeight="1" x14ac:dyDescent="0.2">
      <c r="A389" s="1471" t="s">
        <v>1581</v>
      </c>
      <c r="B389" s="885">
        <v>200</v>
      </c>
      <c r="C389" s="885">
        <v>200</v>
      </c>
      <c r="D389" s="880" t="s">
        <v>1464</v>
      </c>
    </row>
    <row r="390" spans="1:4" s="891" customFormat="1" ht="11.25" customHeight="1" x14ac:dyDescent="0.2">
      <c r="A390" s="1471"/>
      <c r="B390" s="885">
        <v>36.22</v>
      </c>
      <c r="C390" s="885">
        <v>36.218000000000004</v>
      </c>
      <c r="D390" s="880" t="s">
        <v>1447</v>
      </c>
    </row>
    <row r="391" spans="1:4" s="891" customFormat="1" ht="11.25" customHeight="1" x14ac:dyDescent="0.2">
      <c r="A391" s="1471"/>
      <c r="B391" s="885">
        <v>617.24</v>
      </c>
      <c r="C391" s="885">
        <v>617.23900000000003</v>
      </c>
      <c r="D391" s="880" t="s">
        <v>2597</v>
      </c>
    </row>
    <row r="392" spans="1:4" s="891" customFormat="1" ht="11.25" customHeight="1" x14ac:dyDescent="0.2">
      <c r="A392" s="1471"/>
      <c r="B392" s="885">
        <v>20</v>
      </c>
      <c r="C392" s="885">
        <v>20</v>
      </c>
      <c r="D392" s="880" t="s">
        <v>2589</v>
      </c>
    </row>
    <row r="393" spans="1:4" s="891" customFormat="1" ht="11.25" customHeight="1" x14ac:dyDescent="0.2">
      <c r="A393" s="1471"/>
      <c r="B393" s="885">
        <v>21870</v>
      </c>
      <c r="C393" s="885">
        <v>21870</v>
      </c>
      <c r="D393" s="880" t="s">
        <v>1465</v>
      </c>
    </row>
    <row r="394" spans="1:4" s="891" customFormat="1" ht="11.25" customHeight="1" x14ac:dyDescent="0.2">
      <c r="A394" s="1471"/>
      <c r="B394" s="885">
        <v>2690</v>
      </c>
      <c r="C394" s="885">
        <v>2690</v>
      </c>
      <c r="D394" s="880" t="s">
        <v>2587</v>
      </c>
    </row>
    <row r="395" spans="1:4" s="891" customFormat="1" ht="11.25" customHeight="1" x14ac:dyDescent="0.2">
      <c r="A395" s="1471"/>
      <c r="B395" s="885">
        <v>467</v>
      </c>
      <c r="C395" s="885">
        <v>465.86700000000002</v>
      </c>
      <c r="D395" s="880" t="s">
        <v>2586</v>
      </c>
    </row>
    <row r="396" spans="1:4" s="891" customFormat="1" ht="11.25" customHeight="1" x14ac:dyDescent="0.2">
      <c r="A396" s="1471"/>
      <c r="B396" s="885">
        <v>800</v>
      </c>
      <c r="C396" s="885">
        <v>0</v>
      </c>
      <c r="D396" s="880" t="s">
        <v>2645</v>
      </c>
    </row>
    <row r="397" spans="1:4" s="891" customFormat="1" ht="11.25" customHeight="1" x14ac:dyDescent="0.2">
      <c r="A397" s="1471"/>
      <c r="B397" s="885">
        <v>143.33000000000001</v>
      </c>
      <c r="C397" s="885">
        <v>138.626</v>
      </c>
      <c r="D397" s="880" t="s">
        <v>2644</v>
      </c>
    </row>
    <row r="398" spans="1:4" s="891" customFormat="1" ht="11.25" customHeight="1" x14ac:dyDescent="0.2">
      <c r="A398" s="1471"/>
      <c r="B398" s="885">
        <v>167.3</v>
      </c>
      <c r="C398" s="885">
        <v>167.3</v>
      </c>
      <c r="D398" s="880" t="s">
        <v>2603</v>
      </c>
    </row>
    <row r="399" spans="1:4" s="891" customFormat="1" ht="11.25" customHeight="1" x14ac:dyDescent="0.2">
      <c r="A399" s="1471"/>
      <c r="B399" s="885">
        <v>109.67</v>
      </c>
      <c r="C399" s="885">
        <v>109.667</v>
      </c>
      <c r="D399" s="880" t="s">
        <v>1456</v>
      </c>
    </row>
    <row r="400" spans="1:4" s="891" customFormat="1" ht="11.25" customHeight="1" x14ac:dyDescent="0.2">
      <c r="A400" s="1471"/>
      <c r="B400" s="885">
        <v>611.38</v>
      </c>
      <c r="C400" s="885">
        <v>611.38</v>
      </c>
      <c r="D400" s="880" t="s">
        <v>1453</v>
      </c>
    </row>
    <row r="401" spans="1:4" s="891" customFormat="1" ht="11.25" customHeight="1" x14ac:dyDescent="0.2">
      <c r="A401" s="1471"/>
      <c r="B401" s="885">
        <v>27732.14</v>
      </c>
      <c r="C401" s="885">
        <v>26926.296999999999</v>
      </c>
      <c r="D401" s="880" t="s">
        <v>11</v>
      </c>
    </row>
    <row r="402" spans="1:4" s="891" customFormat="1" ht="11.25" customHeight="1" x14ac:dyDescent="0.2">
      <c r="A402" s="1472" t="s">
        <v>1610</v>
      </c>
      <c r="B402" s="888">
        <v>21.79</v>
      </c>
      <c r="C402" s="888">
        <v>21.785</v>
      </c>
      <c r="D402" s="882" t="s">
        <v>1447</v>
      </c>
    </row>
    <row r="403" spans="1:4" s="891" customFormat="1" ht="11.25" customHeight="1" x14ac:dyDescent="0.2">
      <c r="A403" s="1471"/>
      <c r="B403" s="885">
        <v>453.26</v>
      </c>
      <c r="C403" s="885">
        <v>453.25063</v>
      </c>
      <c r="D403" s="880" t="s">
        <v>2608</v>
      </c>
    </row>
    <row r="404" spans="1:4" s="891" customFormat="1" ht="11.25" customHeight="1" x14ac:dyDescent="0.2">
      <c r="A404" s="1471"/>
      <c r="B404" s="885">
        <v>1178.52</v>
      </c>
      <c r="C404" s="885">
        <v>1178.519</v>
      </c>
      <c r="D404" s="880" t="s">
        <v>2597</v>
      </c>
    </row>
    <row r="405" spans="1:4" s="891" customFormat="1" ht="11.25" customHeight="1" x14ac:dyDescent="0.2">
      <c r="A405" s="1471"/>
      <c r="B405" s="885">
        <v>11847</v>
      </c>
      <c r="C405" s="885">
        <v>11847</v>
      </c>
      <c r="D405" s="880" t="s">
        <v>1465</v>
      </c>
    </row>
    <row r="406" spans="1:4" s="891" customFormat="1" ht="11.25" customHeight="1" x14ac:dyDescent="0.2">
      <c r="A406" s="1471"/>
      <c r="B406" s="885">
        <v>2397</v>
      </c>
      <c r="C406" s="885">
        <v>2397</v>
      </c>
      <c r="D406" s="880" t="s">
        <v>2587</v>
      </c>
    </row>
    <row r="407" spans="1:4" s="891" customFormat="1" ht="11.25" customHeight="1" x14ac:dyDescent="0.2">
      <c r="A407" s="1471"/>
      <c r="B407" s="885">
        <v>173</v>
      </c>
      <c r="C407" s="885">
        <v>173</v>
      </c>
      <c r="D407" s="880" t="s">
        <v>2586</v>
      </c>
    </row>
    <row r="408" spans="1:4" s="891" customFormat="1" ht="11.25" customHeight="1" x14ac:dyDescent="0.2">
      <c r="A408" s="1471"/>
      <c r="B408" s="885">
        <v>59.19</v>
      </c>
      <c r="C408" s="885">
        <v>59.192999999999998</v>
      </c>
      <c r="D408" s="880" t="s">
        <v>1456</v>
      </c>
    </row>
    <row r="409" spans="1:4" s="891" customFormat="1" ht="11.25" customHeight="1" x14ac:dyDescent="0.2">
      <c r="A409" s="1471"/>
      <c r="B409" s="885">
        <v>401.61</v>
      </c>
      <c r="C409" s="885">
        <v>401.60599999999999</v>
      </c>
      <c r="D409" s="880" t="s">
        <v>1453</v>
      </c>
    </row>
    <row r="410" spans="1:4" s="891" customFormat="1" ht="11.25" customHeight="1" x14ac:dyDescent="0.2">
      <c r="A410" s="1473"/>
      <c r="B410" s="887">
        <v>16531.37</v>
      </c>
      <c r="C410" s="887">
        <v>16531.353630000001</v>
      </c>
      <c r="D410" s="886" t="s">
        <v>11</v>
      </c>
    </row>
    <row r="411" spans="1:4" s="891" customFormat="1" ht="11.25" customHeight="1" x14ac:dyDescent="0.2">
      <c r="A411" s="1471" t="s">
        <v>1602</v>
      </c>
      <c r="B411" s="885">
        <v>56.28</v>
      </c>
      <c r="C411" s="885">
        <v>56.279000000000003</v>
      </c>
      <c r="D411" s="880" t="s">
        <v>1447</v>
      </c>
    </row>
    <row r="412" spans="1:4" s="891" customFormat="1" ht="11.25" customHeight="1" x14ac:dyDescent="0.2">
      <c r="A412" s="1471"/>
      <c r="B412" s="885">
        <v>6.72</v>
      </c>
      <c r="C412" s="885">
        <v>6.7102600000000008</v>
      </c>
      <c r="D412" s="880" t="s">
        <v>2619</v>
      </c>
    </row>
    <row r="413" spans="1:4" s="891" customFormat="1" ht="11.25" customHeight="1" x14ac:dyDescent="0.2">
      <c r="A413" s="1471"/>
      <c r="B413" s="885">
        <v>695.73</v>
      </c>
      <c r="C413" s="885">
        <v>695.72397000000001</v>
      </c>
      <c r="D413" s="880" t="s">
        <v>2608</v>
      </c>
    </row>
    <row r="414" spans="1:4" s="891" customFormat="1" ht="11.25" customHeight="1" x14ac:dyDescent="0.2">
      <c r="A414" s="1471"/>
      <c r="B414" s="885">
        <v>1956.8999999999999</v>
      </c>
      <c r="C414" s="885">
        <v>1956.8960000000002</v>
      </c>
      <c r="D414" s="880" t="s">
        <v>2597</v>
      </c>
    </row>
    <row r="415" spans="1:4" s="891" customFormat="1" ht="11.25" customHeight="1" x14ac:dyDescent="0.2">
      <c r="A415" s="1471"/>
      <c r="B415" s="885">
        <v>13.5</v>
      </c>
      <c r="C415" s="885">
        <v>13.5</v>
      </c>
      <c r="D415" s="880" t="s">
        <v>2596</v>
      </c>
    </row>
    <row r="416" spans="1:4" s="891" customFormat="1" ht="11.25" customHeight="1" x14ac:dyDescent="0.2">
      <c r="A416" s="1471"/>
      <c r="B416" s="885">
        <v>19697</v>
      </c>
      <c r="C416" s="885">
        <v>19697</v>
      </c>
      <c r="D416" s="880" t="s">
        <v>1465</v>
      </c>
    </row>
    <row r="417" spans="1:4" s="891" customFormat="1" ht="11.25" customHeight="1" x14ac:dyDescent="0.2">
      <c r="A417" s="1471"/>
      <c r="B417" s="885">
        <v>3573</v>
      </c>
      <c r="C417" s="885">
        <v>3573</v>
      </c>
      <c r="D417" s="880" t="s">
        <v>2587</v>
      </c>
    </row>
    <row r="418" spans="1:4" s="891" customFormat="1" ht="11.25" customHeight="1" x14ac:dyDescent="0.2">
      <c r="A418" s="1471"/>
      <c r="B418" s="885">
        <v>824</v>
      </c>
      <c r="C418" s="885">
        <v>824</v>
      </c>
      <c r="D418" s="880" t="s">
        <v>2586</v>
      </c>
    </row>
    <row r="419" spans="1:4" s="891" customFormat="1" ht="11.25" customHeight="1" x14ac:dyDescent="0.2">
      <c r="A419" s="1471"/>
      <c r="B419" s="885">
        <v>234.6</v>
      </c>
      <c r="C419" s="885">
        <v>234.6</v>
      </c>
      <c r="D419" s="880" t="s">
        <v>2603</v>
      </c>
    </row>
    <row r="420" spans="1:4" s="891" customFormat="1" ht="11.25" customHeight="1" x14ac:dyDescent="0.2">
      <c r="A420" s="1471"/>
      <c r="B420" s="885">
        <v>98.84</v>
      </c>
      <c r="C420" s="885">
        <v>98.843999999999994</v>
      </c>
      <c r="D420" s="880" t="s">
        <v>1456</v>
      </c>
    </row>
    <row r="421" spans="1:4" s="891" customFormat="1" ht="11.25" customHeight="1" x14ac:dyDescent="0.2">
      <c r="A421" s="1471"/>
      <c r="B421" s="885">
        <v>608.03</v>
      </c>
      <c r="C421" s="885">
        <v>608.02700000000004</v>
      </c>
      <c r="D421" s="880" t="s">
        <v>1453</v>
      </c>
    </row>
    <row r="422" spans="1:4" s="891" customFormat="1" ht="11.25" customHeight="1" x14ac:dyDescent="0.2">
      <c r="A422" s="1471"/>
      <c r="B422" s="885">
        <v>27764.6</v>
      </c>
      <c r="C422" s="885">
        <v>27764.58023</v>
      </c>
      <c r="D422" s="880" t="s">
        <v>11</v>
      </c>
    </row>
    <row r="423" spans="1:4" s="891" customFormat="1" ht="11.25" customHeight="1" x14ac:dyDescent="0.2">
      <c r="A423" s="1472" t="s">
        <v>2643</v>
      </c>
      <c r="B423" s="888">
        <v>78.7</v>
      </c>
      <c r="C423" s="888">
        <v>78.698999999999998</v>
      </c>
      <c r="D423" s="882" t="s">
        <v>1447</v>
      </c>
    </row>
    <row r="424" spans="1:4" s="891" customFormat="1" ht="11.25" customHeight="1" x14ac:dyDescent="0.2">
      <c r="A424" s="1471"/>
      <c r="B424" s="885">
        <v>983.71</v>
      </c>
      <c r="C424" s="885">
        <v>983.69899999999996</v>
      </c>
      <c r="D424" s="880" t="s">
        <v>2597</v>
      </c>
    </row>
    <row r="425" spans="1:4" s="891" customFormat="1" ht="11.25" customHeight="1" x14ac:dyDescent="0.2">
      <c r="A425" s="1471"/>
      <c r="B425" s="885">
        <v>146</v>
      </c>
      <c r="C425" s="885">
        <v>146</v>
      </c>
      <c r="D425" s="880" t="s">
        <v>540</v>
      </c>
    </row>
    <row r="426" spans="1:4" s="891" customFormat="1" ht="11.25" customHeight="1" x14ac:dyDescent="0.2">
      <c r="A426" s="1471"/>
      <c r="B426" s="885">
        <v>26048</v>
      </c>
      <c r="C426" s="885">
        <v>26048</v>
      </c>
      <c r="D426" s="880" t="s">
        <v>1465</v>
      </c>
    </row>
    <row r="427" spans="1:4" s="891" customFormat="1" ht="11.25" customHeight="1" x14ac:dyDescent="0.2">
      <c r="A427" s="1471"/>
      <c r="B427" s="885">
        <v>2907</v>
      </c>
      <c r="C427" s="885">
        <v>2907</v>
      </c>
      <c r="D427" s="880" t="s">
        <v>2587</v>
      </c>
    </row>
    <row r="428" spans="1:4" s="891" customFormat="1" ht="11.25" customHeight="1" x14ac:dyDescent="0.2">
      <c r="A428" s="1471"/>
      <c r="B428" s="885">
        <v>618</v>
      </c>
      <c r="C428" s="885">
        <v>618</v>
      </c>
      <c r="D428" s="880" t="s">
        <v>2586</v>
      </c>
    </row>
    <row r="429" spans="1:4" s="891" customFormat="1" ht="11.25" customHeight="1" x14ac:dyDescent="0.2">
      <c r="A429" s="1471"/>
      <c r="B429" s="885">
        <v>100</v>
      </c>
      <c r="C429" s="885">
        <v>100</v>
      </c>
      <c r="D429" s="880" t="s">
        <v>2642</v>
      </c>
    </row>
    <row r="430" spans="1:4" s="891" customFormat="1" ht="11.25" customHeight="1" x14ac:dyDescent="0.2">
      <c r="A430" s="1471"/>
      <c r="B430" s="885">
        <v>131.01</v>
      </c>
      <c r="C430" s="885">
        <v>131.01300000000001</v>
      </c>
      <c r="D430" s="880" t="s">
        <v>1456</v>
      </c>
    </row>
    <row r="431" spans="1:4" s="891" customFormat="1" ht="11.25" customHeight="1" x14ac:dyDescent="0.2">
      <c r="A431" s="1471"/>
      <c r="B431" s="885">
        <v>682.22</v>
      </c>
      <c r="C431" s="885">
        <v>682.22299999999996</v>
      </c>
      <c r="D431" s="880" t="s">
        <v>1453</v>
      </c>
    </row>
    <row r="432" spans="1:4" s="891" customFormat="1" ht="11.25" customHeight="1" x14ac:dyDescent="0.2">
      <c r="A432" s="1473"/>
      <c r="B432" s="887">
        <v>31694.639999999999</v>
      </c>
      <c r="C432" s="887">
        <v>31694.633999999998</v>
      </c>
      <c r="D432" s="886" t="s">
        <v>11</v>
      </c>
    </row>
    <row r="433" spans="1:4" s="891" customFormat="1" ht="11.25" customHeight="1" x14ac:dyDescent="0.2">
      <c r="A433" s="1471" t="s">
        <v>1615</v>
      </c>
      <c r="B433" s="885">
        <v>54.46</v>
      </c>
      <c r="C433" s="885">
        <v>54.463000000000001</v>
      </c>
      <c r="D433" s="880" t="s">
        <v>1447</v>
      </c>
    </row>
    <row r="434" spans="1:4" s="891" customFormat="1" ht="11.25" customHeight="1" x14ac:dyDescent="0.2">
      <c r="A434" s="1471"/>
      <c r="B434" s="885">
        <v>560.27</v>
      </c>
      <c r="C434" s="885">
        <v>560.26499999999999</v>
      </c>
      <c r="D434" s="880" t="s">
        <v>2597</v>
      </c>
    </row>
    <row r="435" spans="1:4" s="891" customFormat="1" ht="11.25" customHeight="1" x14ac:dyDescent="0.2">
      <c r="A435" s="1471"/>
      <c r="B435" s="885">
        <v>19054</v>
      </c>
      <c r="C435" s="885">
        <v>19054</v>
      </c>
      <c r="D435" s="880" t="s">
        <v>1465</v>
      </c>
    </row>
    <row r="436" spans="1:4" s="891" customFormat="1" ht="11.25" customHeight="1" x14ac:dyDescent="0.2">
      <c r="A436" s="1471"/>
      <c r="B436" s="885">
        <v>3606</v>
      </c>
      <c r="C436" s="885">
        <v>3606</v>
      </c>
      <c r="D436" s="880" t="s">
        <v>2587</v>
      </c>
    </row>
    <row r="437" spans="1:4" s="891" customFormat="1" ht="11.25" customHeight="1" x14ac:dyDescent="0.2">
      <c r="A437" s="1471"/>
      <c r="B437" s="885">
        <v>659</v>
      </c>
      <c r="C437" s="885">
        <v>659</v>
      </c>
      <c r="D437" s="880" t="s">
        <v>2586</v>
      </c>
    </row>
    <row r="438" spans="1:4" s="891" customFormat="1" ht="11.25" customHeight="1" x14ac:dyDescent="0.2">
      <c r="A438" s="1471"/>
      <c r="B438" s="885">
        <v>3000</v>
      </c>
      <c r="C438" s="885">
        <v>3000</v>
      </c>
      <c r="D438" s="880" t="s">
        <v>2590</v>
      </c>
    </row>
    <row r="439" spans="1:4" s="891" customFormat="1" ht="11.25" customHeight="1" x14ac:dyDescent="0.2">
      <c r="A439" s="1471"/>
      <c r="B439" s="885">
        <v>96.21</v>
      </c>
      <c r="C439" s="885">
        <v>96.207999999999998</v>
      </c>
      <c r="D439" s="880" t="s">
        <v>1456</v>
      </c>
    </row>
    <row r="440" spans="1:4" s="891" customFormat="1" ht="11.25" customHeight="1" x14ac:dyDescent="0.2">
      <c r="A440" s="1471"/>
      <c r="B440" s="885">
        <v>616.42999999999995</v>
      </c>
      <c r="C440" s="885">
        <v>616.43399999999997</v>
      </c>
      <c r="D440" s="880" t="s">
        <v>1453</v>
      </c>
    </row>
    <row r="441" spans="1:4" s="891" customFormat="1" ht="11.25" customHeight="1" x14ac:dyDescent="0.2">
      <c r="A441" s="1471"/>
      <c r="B441" s="885">
        <v>27646.37</v>
      </c>
      <c r="C441" s="885">
        <v>27646.37</v>
      </c>
      <c r="D441" s="880" t="s">
        <v>11</v>
      </c>
    </row>
    <row r="442" spans="1:4" s="891" customFormat="1" ht="11.25" customHeight="1" x14ac:dyDescent="0.2">
      <c r="A442" s="1472" t="s">
        <v>1595</v>
      </c>
      <c r="B442" s="888">
        <v>1035.31</v>
      </c>
      <c r="C442" s="888">
        <v>1035.3040000000001</v>
      </c>
      <c r="D442" s="882" t="s">
        <v>2597</v>
      </c>
    </row>
    <row r="443" spans="1:4" s="891" customFormat="1" ht="11.25" customHeight="1" x14ac:dyDescent="0.2">
      <c r="A443" s="1471"/>
      <c r="B443" s="885">
        <v>16285</v>
      </c>
      <c r="C443" s="885">
        <v>16285</v>
      </c>
      <c r="D443" s="880" t="s">
        <v>1465</v>
      </c>
    </row>
    <row r="444" spans="1:4" s="891" customFormat="1" ht="11.25" customHeight="1" x14ac:dyDescent="0.2">
      <c r="A444" s="1471"/>
      <c r="B444" s="885">
        <v>3531</v>
      </c>
      <c r="C444" s="885">
        <v>3531</v>
      </c>
      <c r="D444" s="880" t="s">
        <v>2587</v>
      </c>
    </row>
    <row r="445" spans="1:4" s="891" customFormat="1" ht="11.25" customHeight="1" x14ac:dyDescent="0.2">
      <c r="A445" s="1471"/>
      <c r="B445" s="885">
        <v>707</v>
      </c>
      <c r="C445" s="885">
        <v>707</v>
      </c>
      <c r="D445" s="880" t="s">
        <v>2586</v>
      </c>
    </row>
    <row r="446" spans="1:4" s="891" customFormat="1" ht="11.25" customHeight="1" x14ac:dyDescent="0.2">
      <c r="A446" s="1471"/>
      <c r="B446" s="885">
        <v>82.11</v>
      </c>
      <c r="C446" s="885">
        <v>82.105000000000004</v>
      </c>
      <c r="D446" s="880" t="s">
        <v>1456</v>
      </c>
    </row>
    <row r="447" spans="1:4" s="891" customFormat="1" ht="11.25" customHeight="1" x14ac:dyDescent="0.2">
      <c r="A447" s="1471"/>
      <c r="B447" s="885">
        <v>530.95000000000005</v>
      </c>
      <c r="C447" s="885">
        <v>530.947</v>
      </c>
      <c r="D447" s="880" t="s">
        <v>1453</v>
      </c>
    </row>
    <row r="448" spans="1:4" s="891" customFormat="1" ht="11.25" customHeight="1" x14ac:dyDescent="0.2">
      <c r="A448" s="1473"/>
      <c r="B448" s="887">
        <v>22171.370000000003</v>
      </c>
      <c r="C448" s="887">
        <v>22171.356</v>
      </c>
      <c r="D448" s="886" t="s">
        <v>11</v>
      </c>
    </row>
    <row r="449" spans="1:4" s="891" customFormat="1" ht="11.25" customHeight="1" x14ac:dyDescent="0.2">
      <c r="A449" s="1471" t="s">
        <v>1619</v>
      </c>
      <c r="B449" s="885">
        <v>21.79</v>
      </c>
      <c r="C449" s="885">
        <v>21.785</v>
      </c>
      <c r="D449" s="880" t="s">
        <v>1447</v>
      </c>
    </row>
    <row r="450" spans="1:4" s="891" customFormat="1" ht="11.25" customHeight="1" x14ac:dyDescent="0.2">
      <c r="A450" s="1471"/>
      <c r="B450" s="885">
        <v>237.34</v>
      </c>
      <c r="C450" s="885">
        <v>237.34399999999999</v>
      </c>
      <c r="D450" s="880" t="s">
        <v>2597</v>
      </c>
    </row>
    <row r="451" spans="1:4" s="891" customFormat="1" ht="11.25" customHeight="1" x14ac:dyDescent="0.2">
      <c r="A451" s="1471"/>
      <c r="B451" s="885">
        <v>240</v>
      </c>
      <c r="C451" s="885">
        <v>240</v>
      </c>
      <c r="D451" s="880" t="s">
        <v>2596</v>
      </c>
    </row>
    <row r="452" spans="1:4" s="891" customFormat="1" ht="11.25" customHeight="1" x14ac:dyDescent="0.2">
      <c r="A452" s="1471"/>
      <c r="B452" s="885">
        <v>11610</v>
      </c>
      <c r="C452" s="885">
        <v>11610</v>
      </c>
      <c r="D452" s="880" t="s">
        <v>1465</v>
      </c>
    </row>
    <row r="453" spans="1:4" s="891" customFormat="1" ht="11.25" customHeight="1" x14ac:dyDescent="0.2">
      <c r="A453" s="1471"/>
      <c r="B453" s="885">
        <v>2406</v>
      </c>
      <c r="C453" s="885">
        <v>2406</v>
      </c>
      <c r="D453" s="880" t="s">
        <v>2587</v>
      </c>
    </row>
    <row r="454" spans="1:4" s="891" customFormat="1" ht="11.25" customHeight="1" x14ac:dyDescent="0.2">
      <c r="A454" s="1471"/>
      <c r="B454" s="885">
        <v>472</v>
      </c>
      <c r="C454" s="885">
        <v>472</v>
      </c>
      <c r="D454" s="880" t="s">
        <v>2586</v>
      </c>
    </row>
    <row r="455" spans="1:4" s="891" customFormat="1" ht="11.25" customHeight="1" x14ac:dyDescent="0.2">
      <c r="A455" s="1471"/>
      <c r="B455" s="885">
        <v>58.98</v>
      </c>
      <c r="C455" s="885">
        <v>58.975999999999999</v>
      </c>
      <c r="D455" s="880" t="s">
        <v>1456</v>
      </c>
    </row>
    <row r="456" spans="1:4" s="891" customFormat="1" ht="11.25" customHeight="1" x14ac:dyDescent="0.2">
      <c r="A456" s="1471"/>
      <c r="B456" s="885">
        <v>403.81</v>
      </c>
      <c r="C456" s="885">
        <v>403.80900000000003</v>
      </c>
      <c r="D456" s="880" t="s">
        <v>1453</v>
      </c>
    </row>
    <row r="457" spans="1:4" s="891" customFormat="1" ht="11.25" customHeight="1" x14ac:dyDescent="0.2">
      <c r="A457" s="1471"/>
      <c r="B457" s="885">
        <v>15449.919999999998</v>
      </c>
      <c r="C457" s="885">
        <v>15449.914000000001</v>
      </c>
      <c r="D457" s="880" t="s">
        <v>11</v>
      </c>
    </row>
    <row r="458" spans="1:4" s="891" customFormat="1" ht="11.25" customHeight="1" x14ac:dyDescent="0.2">
      <c r="A458" s="1472" t="s">
        <v>1597</v>
      </c>
      <c r="B458" s="888">
        <v>29.05</v>
      </c>
      <c r="C458" s="888">
        <v>29.047000000000001</v>
      </c>
      <c r="D458" s="882" t="s">
        <v>1447</v>
      </c>
    </row>
    <row r="459" spans="1:4" s="891" customFormat="1" ht="11.25" customHeight="1" x14ac:dyDescent="0.2">
      <c r="A459" s="1471"/>
      <c r="B459" s="885">
        <v>304.07</v>
      </c>
      <c r="C459" s="885">
        <v>304.06899999999996</v>
      </c>
      <c r="D459" s="880" t="s">
        <v>2597</v>
      </c>
    </row>
    <row r="460" spans="1:4" s="891" customFormat="1" ht="11.25" customHeight="1" x14ac:dyDescent="0.2">
      <c r="A460" s="1471"/>
      <c r="B460" s="885">
        <v>35</v>
      </c>
      <c r="C460" s="885">
        <v>35</v>
      </c>
      <c r="D460" s="880" t="s">
        <v>540</v>
      </c>
    </row>
    <row r="461" spans="1:4" s="891" customFormat="1" ht="11.25" customHeight="1" x14ac:dyDescent="0.2">
      <c r="A461" s="1471"/>
      <c r="B461" s="885">
        <v>16188</v>
      </c>
      <c r="C461" s="885">
        <v>16188</v>
      </c>
      <c r="D461" s="880" t="s">
        <v>1465</v>
      </c>
    </row>
    <row r="462" spans="1:4" s="891" customFormat="1" ht="11.25" customHeight="1" x14ac:dyDescent="0.2">
      <c r="A462" s="1471"/>
      <c r="B462" s="885">
        <v>2762</v>
      </c>
      <c r="C462" s="885">
        <v>2762</v>
      </c>
      <c r="D462" s="880" t="s">
        <v>2587</v>
      </c>
    </row>
    <row r="463" spans="1:4" s="891" customFormat="1" ht="11.25" customHeight="1" x14ac:dyDescent="0.2">
      <c r="A463" s="1471"/>
      <c r="B463" s="885">
        <v>201</v>
      </c>
      <c r="C463" s="885">
        <v>201</v>
      </c>
      <c r="D463" s="880" t="s">
        <v>2586</v>
      </c>
    </row>
    <row r="464" spans="1:4" s="891" customFormat="1" ht="11.25" customHeight="1" x14ac:dyDescent="0.2">
      <c r="A464" s="1471"/>
      <c r="B464" s="885">
        <v>81.75</v>
      </c>
      <c r="C464" s="885">
        <v>81.75</v>
      </c>
      <c r="D464" s="880" t="s">
        <v>1456</v>
      </c>
    </row>
    <row r="465" spans="1:4" s="891" customFormat="1" ht="11.25" customHeight="1" x14ac:dyDescent="0.2">
      <c r="A465" s="1471"/>
      <c r="B465" s="885">
        <v>477.21</v>
      </c>
      <c r="C465" s="885">
        <v>477.21199999999999</v>
      </c>
      <c r="D465" s="880" t="s">
        <v>1453</v>
      </c>
    </row>
    <row r="466" spans="1:4" s="891" customFormat="1" ht="11.25" customHeight="1" x14ac:dyDescent="0.2">
      <c r="A466" s="1473"/>
      <c r="B466" s="887">
        <v>20078.079999999998</v>
      </c>
      <c r="C466" s="887">
        <v>20078.078000000001</v>
      </c>
      <c r="D466" s="886" t="s">
        <v>11</v>
      </c>
    </row>
    <row r="467" spans="1:4" s="891" customFormat="1" ht="11.25" customHeight="1" x14ac:dyDescent="0.2">
      <c r="A467" s="1471" t="s">
        <v>1598</v>
      </c>
      <c r="B467" s="885">
        <v>63.54</v>
      </c>
      <c r="C467" s="885">
        <v>63.54</v>
      </c>
      <c r="D467" s="880" t="s">
        <v>1447</v>
      </c>
    </row>
    <row r="468" spans="1:4" s="891" customFormat="1" ht="11.25" customHeight="1" x14ac:dyDescent="0.2">
      <c r="A468" s="1471"/>
      <c r="B468" s="885">
        <v>19028</v>
      </c>
      <c r="C468" s="885">
        <v>19028</v>
      </c>
      <c r="D468" s="880" t="s">
        <v>1465</v>
      </c>
    </row>
    <row r="469" spans="1:4" s="891" customFormat="1" ht="11.25" customHeight="1" x14ac:dyDescent="0.2">
      <c r="A469" s="1471"/>
      <c r="B469" s="885">
        <v>3163</v>
      </c>
      <c r="C469" s="885">
        <v>3163</v>
      </c>
      <c r="D469" s="880" t="s">
        <v>2587</v>
      </c>
    </row>
    <row r="470" spans="1:4" s="891" customFormat="1" ht="11.25" customHeight="1" x14ac:dyDescent="0.2">
      <c r="A470" s="1471"/>
      <c r="B470" s="885">
        <v>401</v>
      </c>
      <c r="C470" s="885">
        <v>401</v>
      </c>
      <c r="D470" s="880" t="s">
        <v>2586</v>
      </c>
    </row>
    <row r="471" spans="1:4" s="891" customFormat="1" ht="11.25" customHeight="1" x14ac:dyDescent="0.2">
      <c r="A471" s="1471"/>
      <c r="B471" s="885">
        <v>96.3</v>
      </c>
      <c r="C471" s="885">
        <v>96.299000000000007</v>
      </c>
      <c r="D471" s="880" t="s">
        <v>1456</v>
      </c>
    </row>
    <row r="472" spans="1:4" s="891" customFormat="1" ht="11.25" customHeight="1" x14ac:dyDescent="0.2">
      <c r="A472" s="1471"/>
      <c r="B472" s="885">
        <v>665.54</v>
      </c>
      <c r="C472" s="885">
        <v>665.53700000000003</v>
      </c>
      <c r="D472" s="880" t="s">
        <v>1453</v>
      </c>
    </row>
    <row r="473" spans="1:4" s="891" customFormat="1" ht="11.25" customHeight="1" x14ac:dyDescent="0.2">
      <c r="A473" s="1471"/>
      <c r="B473" s="885">
        <v>23417.38</v>
      </c>
      <c r="C473" s="885">
        <v>23417.376</v>
      </c>
      <c r="D473" s="880" t="s">
        <v>11</v>
      </c>
    </row>
    <row r="474" spans="1:4" s="891" customFormat="1" ht="11.25" customHeight="1" x14ac:dyDescent="0.2">
      <c r="A474" s="1472" t="s">
        <v>1599</v>
      </c>
      <c r="B474" s="888">
        <v>161.57</v>
      </c>
      <c r="C474" s="888">
        <v>161.57400000000001</v>
      </c>
      <c r="D474" s="882" t="s">
        <v>1447</v>
      </c>
    </row>
    <row r="475" spans="1:4" s="891" customFormat="1" ht="11.25" customHeight="1" x14ac:dyDescent="0.2">
      <c r="A475" s="1471"/>
      <c r="B475" s="885">
        <v>222.75</v>
      </c>
      <c r="C475" s="885">
        <v>222.74600000000001</v>
      </c>
      <c r="D475" s="880" t="s">
        <v>2597</v>
      </c>
    </row>
    <row r="476" spans="1:4" s="891" customFormat="1" ht="11.25" customHeight="1" x14ac:dyDescent="0.2">
      <c r="A476" s="1471"/>
      <c r="B476" s="885">
        <v>500</v>
      </c>
      <c r="C476" s="885">
        <v>0</v>
      </c>
      <c r="D476" s="880" t="s">
        <v>2641</v>
      </c>
    </row>
    <row r="477" spans="1:4" s="891" customFormat="1" ht="11.25" customHeight="1" x14ac:dyDescent="0.2">
      <c r="A477" s="1471"/>
      <c r="B477" s="885">
        <v>50</v>
      </c>
      <c r="C477" s="885">
        <v>50</v>
      </c>
      <c r="D477" s="880" t="s">
        <v>2640</v>
      </c>
    </row>
    <row r="478" spans="1:4" s="891" customFormat="1" ht="11.25" customHeight="1" x14ac:dyDescent="0.2">
      <c r="A478" s="1471"/>
      <c r="B478" s="885">
        <v>142</v>
      </c>
      <c r="C478" s="885">
        <v>142</v>
      </c>
      <c r="D478" s="880" t="s">
        <v>540</v>
      </c>
    </row>
    <row r="479" spans="1:4" s="891" customFormat="1" ht="11.25" customHeight="1" x14ac:dyDescent="0.2">
      <c r="A479" s="1471"/>
      <c r="B479" s="885">
        <v>20093</v>
      </c>
      <c r="C479" s="885">
        <v>20093</v>
      </c>
      <c r="D479" s="880" t="s">
        <v>1465</v>
      </c>
    </row>
    <row r="480" spans="1:4" s="891" customFormat="1" ht="11.25" customHeight="1" x14ac:dyDescent="0.2">
      <c r="A480" s="1471"/>
      <c r="B480" s="885">
        <v>3605</v>
      </c>
      <c r="C480" s="885">
        <v>3605</v>
      </c>
      <c r="D480" s="880" t="s">
        <v>2587</v>
      </c>
    </row>
    <row r="481" spans="1:4" s="891" customFormat="1" ht="11.25" customHeight="1" x14ac:dyDescent="0.2">
      <c r="A481" s="1471"/>
      <c r="B481" s="885">
        <v>711</v>
      </c>
      <c r="C481" s="885">
        <v>711</v>
      </c>
      <c r="D481" s="880" t="s">
        <v>2586</v>
      </c>
    </row>
    <row r="482" spans="1:4" s="891" customFormat="1" ht="11.25" customHeight="1" x14ac:dyDescent="0.2">
      <c r="A482" s="1471"/>
      <c r="B482" s="885">
        <v>694</v>
      </c>
      <c r="C482" s="885">
        <v>694</v>
      </c>
      <c r="D482" s="880" t="s">
        <v>578</v>
      </c>
    </row>
    <row r="483" spans="1:4" s="891" customFormat="1" ht="11.25" customHeight="1" x14ac:dyDescent="0.2">
      <c r="A483" s="1471"/>
      <c r="B483" s="885">
        <v>102.03</v>
      </c>
      <c r="C483" s="885">
        <v>102.02500000000001</v>
      </c>
      <c r="D483" s="880" t="s">
        <v>1456</v>
      </c>
    </row>
    <row r="484" spans="1:4" s="891" customFormat="1" ht="11.25" customHeight="1" x14ac:dyDescent="0.2">
      <c r="A484" s="1471"/>
      <c r="B484" s="885">
        <v>611.16999999999996</v>
      </c>
      <c r="C484" s="885">
        <v>611.16899999999998</v>
      </c>
      <c r="D484" s="880" t="s">
        <v>1453</v>
      </c>
    </row>
    <row r="485" spans="1:4" s="891" customFormat="1" ht="11.25" customHeight="1" x14ac:dyDescent="0.2">
      <c r="A485" s="1473"/>
      <c r="B485" s="887">
        <v>26892.519999999997</v>
      </c>
      <c r="C485" s="887">
        <v>26392.514000000003</v>
      </c>
      <c r="D485" s="886" t="s">
        <v>11</v>
      </c>
    </row>
    <row r="486" spans="1:4" s="891" customFormat="1" ht="11.25" customHeight="1" x14ac:dyDescent="0.2">
      <c r="A486" s="1471" t="s">
        <v>1625</v>
      </c>
      <c r="B486" s="885">
        <v>18.149999999999999</v>
      </c>
      <c r="C486" s="885">
        <v>18.154</v>
      </c>
      <c r="D486" s="880" t="s">
        <v>1447</v>
      </c>
    </row>
    <row r="487" spans="1:4" s="891" customFormat="1" ht="11.25" customHeight="1" x14ac:dyDescent="0.2">
      <c r="A487" s="1471"/>
      <c r="B487" s="885">
        <v>13987</v>
      </c>
      <c r="C487" s="885">
        <v>13987</v>
      </c>
      <c r="D487" s="880" t="s">
        <v>1465</v>
      </c>
    </row>
    <row r="488" spans="1:4" s="891" customFormat="1" ht="11.25" customHeight="1" x14ac:dyDescent="0.2">
      <c r="A488" s="1471"/>
      <c r="B488" s="885">
        <v>2834</v>
      </c>
      <c r="C488" s="885">
        <v>2834</v>
      </c>
      <c r="D488" s="880" t="s">
        <v>2587</v>
      </c>
    </row>
    <row r="489" spans="1:4" s="891" customFormat="1" ht="11.25" customHeight="1" x14ac:dyDescent="0.2">
      <c r="A489" s="1471"/>
      <c r="B489" s="885">
        <v>317</v>
      </c>
      <c r="C489" s="885">
        <v>309.31299999999999</v>
      </c>
      <c r="D489" s="880" t="s">
        <v>2586</v>
      </c>
    </row>
    <row r="490" spans="1:4" s="891" customFormat="1" ht="11.25" customHeight="1" x14ac:dyDescent="0.2">
      <c r="A490" s="1471"/>
      <c r="B490" s="885">
        <v>70.67</v>
      </c>
      <c r="C490" s="885">
        <v>70.667000000000002</v>
      </c>
      <c r="D490" s="880" t="s">
        <v>1456</v>
      </c>
    </row>
    <row r="491" spans="1:4" s="891" customFormat="1" ht="11.25" customHeight="1" x14ac:dyDescent="0.2">
      <c r="A491" s="1471"/>
      <c r="B491" s="885">
        <v>490.98</v>
      </c>
      <c r="C491" s="885">
        <v>490.98200000000003</v>
      </c>
      <c r="D491" s="880" t="s">
        <v>1453</v>
      </c>
    </row>
    <row r="492" spans="1:4" s="891" customFormat="1" ht="11.25" customHeight="1" x14ac:dyDescent="0.2">
      <c r="A492" s="1471"/>
      <c r="B492" s="885">
        <v>17717.8</v>
      </c>
      <c r="C492" s="885">
        <v>17710.116000000002</v>
      </c>
      <c r="D492" s="880" t="s">
        <v>11</v>
      </c>
    </row>
    <row r="493" spans="1:4" s="891" customFormat="1" ht="11.25" customHeight="1" x14ac:dyDescent="0.2">
      <c r="A493" s="1472" t="s">
        <v>1583</v>
      </c>
      <c r="B493" s="888">
        <v>18.149999999999999</v>
      </c>
      <c r="C493" s="888">
        <v>18.154</v>
      </c>
      <c r="D493" s="882" t="s">
        <v>1447</v>
      </c>
    </row>
    <row r="494" spans="1:4" s="891" customFormat="1" ht="11.25" customHeight="1" x14ac:dyDescent="0.2">
      <c r="A494" s="1471"/>
      <c r="B494" s="885">
        <v>414.65</v>
      </c>
      <c r="C494" s="885">
        <v>414.59200000000004</v>
      </c>
      <c r="D494" s="880" t="s">
        <v>2619</v>
      </c>
    </row>
    <row r="495" spans="1:4" s="891" customFormat="1" ht="11.25" customHeight="1" x14ac:dyDescent="0.2">
      <c r="A495" s="1471"/>
      <c r="B495" s="885">
        <v>984.83</v>
      </c>
      <c r="C495" s="885">
        <v>984.827</v>
      </c>
      <c r="D495" s="880" t="s">
        <v>2597</v>
      </c>
    </row>
    <row r="496" spans="1:4" s="891" customFormat="1" ht="11.25" customHeight="1" x14ac:dyDescent="0.2">
      <c r="A496" s="1471"/>
      <c r="B496" s="885">
        <v>24223</v>
      </c>
      <c r="C496" s="885">
        <v>24223</v>
      </c>
      <c r="D496" s="880" t="s">
        <v>1465</v>
      </c>
    </row>
    <row r="497" spans="1:4" s="891" customFormat="1" ht="11.25" customHeight="1" x14ac:dyDescent="0.2">
      <c r="A497" s="1471"/>
      <c r="B497" s="885">
        <v>2852</v>
      </c>
      <c r="C497" s="885">
        <v>2852</v>
      </c>
      <c r="D497" s="880" t="s">
        <v>2587</v>
      </c>
    </row>
    <row r="498" spans="1:4" s="891" customFormat="1" ht="11.25" customHeight="1" x14ac:dyDescent="0.2">
      <c r="A498" s="1471"/>
      <c r="B498" s="885">
        <v>1142</v>
      </c>
      <c r="C498" s="885">
        <v>1142</v>
      </c>
      <c r="D498" s="880" t="s">
        <v>2586</v>
      </c>
    </row>
    <row r="499" spans="1:4" s="891" customFormat="1" ht="11.25" customHeight="1" x14ac:dyDescent="0.2">
      <c r="A499" s="1471"/>
      <c r="B499" s="885">
        <v>216.1</v>
      </c>
      <c r="C499" s="885">
        <v>216.1</v>
      </c>
      <c r="D499" s="880" t="s">
        <v>2603</v>
      </c>
    </row>
    <row r="500" spans="1:4" s="891" customFormat="1" ht="11.25" customHeight="1" x14ac:dyDescent="0.2">
      <c r="A500" s="1471"/>
      <c r="B500" s="885">
        <v>122.74</v>
      </c>
      <c r="C500" s="885">
        <v>122.735</v>
      </c>
      <c r="D500" s="880" t="s">
        <v>1456</v>
      </c>
    </row>
    <row r="501" spans="1:4" s="891" customFormat="1" ht="11.25" customHeight="1" x14ac:dyDescent="0.2">
      <c r="A501" s="1471"/>
      <c r="B501" s="885">
        <v>747.95</v>
      </c>
      <c r="C501" s="885">
        <v>747.94600000000003</v>
      </c>
      <c r="D501" s="880" t="s">
        <v>1453</v>
      </c>
    </row>
    <row r="502" spans="1:4" s="891" customFormat="1" ht="11.25" customHeight="1" x14ac:dyDescent="0.2">
      <c r="A502" s="1473"/>
      <c r="B502" s="887">
        <v>30721.420000000002</v>
      </c>
      <c r="C502" s="887">
        <v>30721.353999999999</v>
      </c>
      <c r="D502" s="886" t="s">
        <v>11</v>
      </c>
    </row>
    <row r="503" spans="1:4" s="891" customFormat="1" ht="11.25" customHeight="1" x14ac:dyDescent="0.2">
      <c r="A503" s="1471" t="s">
        <v>1589</v>
      </c>
      <c r="B503" s="885">
        <v>59.91</v>
      </c>
      <c r="C503" s="885">
        <v>59.91</v>
      </c>
      <c r="D503" s="880" t="s">
        <v>1447</v>
      </c>
    </row>
    <row r="504" spans="1:4" s="891" customFormat="1" ht="11.25" customHeight="1" x14ac:dyDescent="0.2">
      <c r="A504" s="1471"/>
      <c r="B504" s="885">
        <v>946.23</v>
      </c>
      <c r="C504" s="885">
        <v>946.226</v>
      </c>
      <c r="D504" s="880" t="s">
        <v>2597</v>
      </c>
    </row>
    <row r="505" spans="1:4" s="891" customFormat="1" ht="11.25" customHeight="1" x14ac:dyDescent="0.2">
      <c r="A505" s="1471"/>
      <c r="B505" s="885">
        <v>16683</v>
      </c>
      <c r="C505" s="885">
        <v>16683</v>
      </c>
      <c r="D505" s="880" t="s">
        <v>1465</v>
      </c>
    </row>
    <row r="506" spans="1:4" s="891" customFormat="1" ht="11.25" customHeight="1" x14ac:dyDescent="0.2">
      <c r="A506" s="1471"/>
      <c r="B506" s="885">
        <v>2870</v>
      </c>
      <c r="C506" s="885">
        <v>2870</v>
      </c>
      <c r="D506" s="880" t="s">
        <v>2587</v>
      </c>
    </row>
    <row r="507" spans="1:4" s="891" customFormat="1" ht="11.25" customHeight="1" x14ac:dyDescent="0.2">
      <c r="A507" s="1471"/>
      <c r="B507" s="885">
        <v>169</v>
      </c>
      <c r="C507" s="885">
        <v>169</v>
      </c>
      <c r="D507" s="880" t="s">
        <v>2586</v>
      </c>
    </row>
    <row r="508" spans="1:4" s="891" customFormat="1" ht="11.25" customHeight="1" x14ac:dyDescent="0.2">
      <c r="A508" s="1471"/>
      <c r="B508" s="885">
        <v>84</v>
      </c>
      <c r="C508" s="885">
        <v>83.998999999999995</v>
      </c>
      <c r="D508" s="880" t="s">
        <v>1456</v>
      </c>
    </row>
    <row r="509" spans="1:4" s="891" customFormat="1" ht="11.25" customHeight="1" x14ac:dyDescent="0.2">
      <c r="A509" s="1471"/>
      <c r="B509" s="885">
        <v>505.56</v>
      </c>
      <c r="C509" s="885">
        <v>505.56200000000001</v>
      </c>
      <c r="D509" s="880" t="s">
        <v>1453</v>
      </c>
    </row>
    <row r="510" spans="1:4" s="891" customFormat="1" ht="11.25" customHeight="1" x14ac:dyDescent="0.2">
      <c r="A510" s="1471"/>
      <c r="B510" s="885">
        <v>21317.7</v>
      </c>
      <c r="C510" s="885">
        <v>21317.697</v>
      </c>
      <c r="D510" s="880" t="s">
        <v>11</v>
      </c>
    </row>
    <row r="511" spans="1:4" s="891" customFormat="1" ht="11.25" customHeight="1" x14ac:dyDescent="0.2">
      <c r="A511" s="1472" t="s">
        <v>1621</v>
      </c>
      <c r="B511" s="888">
        <v>59.46</v>
      </c>
      <c r="C511" s="888">
        <v>59.456000000000003</v>
      </c>
      <c r="D511" s="882" t="s">
        <v>1447</v>
      </c>
    </row>
    <row r="512" spans="1:4" s="891" customFormat="1" ht="11.25" customHeight="1" x14ac:dyDescent="0.2">
      <c r="A512" s="1471"/>
      <c r="B512" s="885">
        <v>950.86</v>
      </c>
      <c r="C512" s="885">
        <v>950.85500000000002</v>
      </c>
      <c r="D512" s="880" t="s">
        <v>2597</v>
      </c>
    </row>
    <row r="513" spans="1:4" s="891" customFormat="1" ht="11.25" customHeight="1" x14ac:dyDescent="0.2">
      <c r="A513" s="1471"/>
      <c r="B513" s="885">
        <v>22194</v>
      </c>
      <c r="C513" s="885">
        <v>22194</v>
      </c>
      <c r="D513" s="880" t="s">
        <v>1465</v>
      </c>
    </row>
    <row r="514" spans="1:4" s="891" customFormat="1" ht="11.25" customHeight="1" x14ac:dyDescent="0.2">
      <c r="A514" s="1471"/>
      <c r="B514" s="885">
        <v>3269</v>
      </c>
      <c r="C514" s="885">
        <v>3269</v>
      </c>
      <c r="D514" s="880" t="s">
        <v>2587</v>
      </c>
    </row>
    <row r="515" spans="1:4" s="891" customFormat="1" ht="11.25" customHeight="1" x14ac:dyDescent="0.2">
      <c r="A515" s="1471"/>
      <c r="B515" s="885">
        <v>592</v>
      </c>
      <c r="C515" s="885">
        <v>592</v>
      </c>
      <c r="D515" s="880" t="s">
        <v>2586</v>
      </c>
    </row>
    <row r="516" spans="1:4" s="891" customFormat="1" ht="11.25" customHeight="1" x14ac:dyDescent="0.2">
      <c r="A516" s="1471"/>
      <c r="B516" s="885">
        <v>112.11</v>
      </c>
      <c r="C516" s="885">
        <v>112.114</v>
      </c>
      <c r="D516" s="880" t="s">
        <v>1456</v>
      </c>
    </row>
    <row r="517" spans="1:4" s="891" customFormat="1" ht="11.25" customHeight="1" x14ac:dyDescent="0.2">
      <c r="A517" s="1471"/>
      <c r="B517" s="885">
        <v>748</v>
      </c>
      <c r="C517" s="885">
        <v>747.995</v>
      </c>
      <c r="D517" s="880" t="s">
        <v>1453</v>
      </c>
    </row>
    <row r="518" spans="1:4" s="891" customFormat="1" ht="11.25" customHeight="1" x14ac:dyDescent="0.2">
      <c r="A518" s="1473"/>
      <c r="B518" s="887">
        <v>27925.43</v>
      </c>
      <c r="C518" s="887">
        <v>27925.420000000002</v>
      </c>
      <c r="D518" s="886" t="s">
        <v>11</v>
      </c>
    </row>
    <row r="519" spans="1:4" s="891" customFormat="1" ht="11.25" customHeight="1" x14ac:dyDescent="0.2">
      <c r="A519" s="1471" t="s">
        <v>1697</v>
      </c>
      <c r="B519" s="885">
        <v>37.799999999999997</v>
      </c>
      <c r="C519" s="885">
        <v>37.799999999999997</v>
      </c>
      <c r="D519" s="880" t="s">
        <v>2607</v>
      </c>
    </row>
    <row r="520" spans="1:4" s="891" customFormat="1" ht="11.25" customHeight="1" x14ac:dyDescent="0.2">
      <c r="A520" s="1471"/>
      <c r="B520" s="885">
        <v>1104.75</v>
      </c>
      <c r="C520" s="885">
        <v>1104.7530000000002</v>
      </c>
      <c r="D520" s="880" t="s">
        <v>2597</v>
      </c>
    </row>
    <row r="521" spans="1:4" s="891" customFormat="1" ht="11.25" customHeight="1" x14ac:dyDescent="0.2">
      <c r="A521" s="1471"/>
      <c r="B521" s="885">
        <v>113.1</v>
      </c>
      <c r="C521" s="885">
        <v>113.1</v>
      </c>
      <c r="D521" s="880" t="s">
        <v>2596</v>
      </c>
    </row>
    <row r="522" spans="1:4" s="891" customFormat="1" ht="11.25" customHeight="1" x14ac:dyDescent="0.2">
      <c r="A522" s="1471"/>
      <c r="B522" s="885">
        <v>120</v>
      </c>
      <c r="C522" s="885">
        <v>120</v>
      </c>
      <c r="D522" s="880" t="s">
        <v>2640</v>
      </c>
    </row>
    <row r="523" spans="1:4" s="891" customFormat="1" ht="21" x14ac:dyDescent="0.2">
      <c r="A523" s="1471"/>
      <c r="B523" s="885">
        <v>48.32</v>
      </c>
      <c r="C523" s="885">
        <v>47.503999999999998</v>
      </c>
      <c r="D523" s="880" t="s">
        <v>1446</v>
      </c>
    </row>
    <row r="524" spans="1:4" s="891" customFormat="1" ht="11.25" customHeight="1" x14ac:dyDescent="0.2">
      <c r="A524" s="1471"/>
      <c r="B524" s="885">
        <v>10</v>
      </c>
      <c r="C524" s="885">
        <v>10</v>
      </c>
      <c r="D524" s="880" t="s">
        <v>2589</v>
      </c>
    </row>
    <row r="525" spans="1:4" s="891" customFormat="1" ht="11.25" customHeight="1" x14ac:dyDescent="0.2">
      <c r="A525" s="1471"/>
      <c r="B525" s="885">
        <v>6</v>
      </c>
      <c r="C525" s="885">
        <v>6</v>
      </c>
      <c r="D525" s="880" t="s">
        <v>1459</v>
      </c>
    </row>
    <row r="526" spans="1:4" s="891" customFormat="1" ht="11.25" customHeight="1" x14ac:dyDescent="0.2">
      <c r="A526" s="1471"/>
      <c r="B526" s="885">
        <v>24627</v>
      </c>
      <c r="C526" s="885">
        <v>24627</v>
      </c>
      <c r="D526" s="880" t="s">
        <v>1465</v>
      </c>
    </row>
    <row r="527" spans="1:4" s="891" customFormat="1" ht="11.25" customHeight="1" x14ac:dyDescent="0.2">
      <c r="A527" s="1471"/>
      <c r="B527" s="885">
        <v>4569</v>
      </c>
      <c r="C527" s="885">
        <v>4569</v>
      </c>
      <c r="D527" s="880" t="s">
        <v>2587</v>
      </c>
    </row>
    <row r="528" spans="1:4" s="891" customFormat="1" ht="11.25" customHeight="1" x14ac:dyDescent="0.2">
      <c r="A528" s="1471"/>
      <c r="B528" s="885">
        <v>1835</v>
      </c>
      <c r="C528" s="885">
        <v>1835</v>
      </c>
      <c r="D528" s="880" t="s">
        <v>2586</v>
      </c>
    </row>
    <row r="529" spans="1:4" s="891" customFormat="1" ht="11.25" customHeight="1" x14ac:dyDescent="0.2">
      <c r="A529" s="1471"/>
      <c r="B529" s="885">
        <v>228.8</v>
      </c>
      <c r="C529" s="885">
        <v>228.8</v>
      </c>
      <c r="D529" s="880" t="s">
        <v>2603</v>
      </c>
    </row>
    <row r="530" spans="1:4" s="891" customFormat="1" ht="11.25" customHeight="1" x14ac:dyDescent="0.2">
      <c r="A530" s="1471"/>
      <c r="B530" s="885">
        <v>123.62</v>
      </c>
      <c r="C530" s="885">
        <v>123.624</v>
      </c>
      <c r="D530" s="880" t="s">
        <v>1456</v>
      </c>
    </row>
    <row r="531" spans="1:4" s="891" customFormat="1" ht="11.25" customHeight="1" x14ac:dyDescent="0.2">
      <c r="A531" s="1471"/>
      <c r="B531" s="885">
        <v>857.44</v>
      </c>
      <c r="C531" s="885">
        <v>857.44100000000003</v>
      </c>
      <c r="D531" s="880" t="s">
        <v>1453</v>
      </c>
    </row>
    <row r="532" spans="1:4" s="891" customFormat="1" ht="11.25" customHeight="1" x14ac:dyDescent="0.2">
      <c r="A532" s="1471"/>
      <c r="B532" s="885">
        <v>33680.83</v>
      </c>
      <c r="C532" s="885">
        <v>33680.021999999997</v>
      </c>
      <c r="D532" s="880" t="s">
        <v>11</v>
      </c>
    </row>
    <row r="533" spans="1:4" s="891" customFormat="1" ht="11.25" customHeight="1" x14ac:dyDescent="0.2">
      <c r="A533" s="1472" t="s">
        <v>1643</v>
      </c>
      <c r="B533" s="888">
        <v>27.23</v>
      </c>
      <c r="C533" s="888">
        <v>27.231999999999999</v>
      </c>
      <c r="D533" s="882" t="s">
        <v>1447</v>
      </c>
    </row>
    <row r="534" spans="1:4" s="891" customFormat="1" ht="11.25" customHeight="1" x14ac:dyDescent="0.2">
      <c r="A534" s="1471"/>
      <c r="B534" s="885">
        <v>65.44</v>
      </c>
      <c r="C534" s="885">
        <v>65.44</v>
      </c>
      <c r="D534" s="880" t="s">
        <v>2597</v>
      </c>
    </row>
    <row r="535" spans="1:4" s="891" customFormat="1" ht="11.25" customHeight="1" x14ac:dyDescent="0.2">
      <c r="A535" s="1471"/>
      <c r="B535" s="885">
        <v>30</v>
      </c>
      <c r="C535" s="885">
        <v>30</v>
      </c>
      <c r="D535" s="880" t="s">
        <v>2639</v>
      </c>
    </row>
    <row r="536" spans="1:4" s="891" customFormat="1" ht="11.25" customHeight="1" x14ac:dyDescent="0.2">
      <c r="A536" s="1471"/>
      <c r="B536" s="885">
        <v>40.379999999999995</v>
      </c>
      <c r="C536" s="885">
        <v>40.379999999999995</v>
      </c>
      <c r="D536" s="880" t="s">
        <v>2596</v>
      </c>
    </row>
    <row r="537" spans="1:4" s="891" customFormat="1" ht="11.25" customHeight="1" x14ac:dyDescent="0.2">
      <c r="A537" s="1471"/>
      <c r="B537" s="885">
        <v>50</v>
      </c>
      <c r="C537" s="885">
        <v>50</v>
      </c>
      <c r="D537" s="880" t="s">
        <v>2589</v>
      </c>
    </row>
    <row r="538" spans="1:4" s="891" customFormat="1" ht="11.25" customHeight="1" x14ac:dyDescent="0.2">
      <c r="A538" s="1471"/>
      <c r="B538" s="885">
        <v>55716</v>
      </c>
      <c r="C538" s="885">
        <v>55716</v>
      </c>
      <c r="D538" s="880" t="s">
        <v>1465</v>
      </c>
    </row>
    <row r="539" spans="1:4" s="891" customFormat="1" ht="11.25" customHeight="1" x14ac:dyDescent="0.2">
      <c r="A539" s="1471"/>
      <c r="B539" s="885">
        <v>3492</v>
      </c>
      <c r="C539" s="885">
        <v>3492</v>
      </c>
      <c r="D539" s="880" t="s">
        <v>2587</v>
      </c>
    </row>
    <row r="540" spans="1:4" s="891" customFormat="1" ht="11.25" customHeight="1" x14ac:dyDescent="0.2">
      <c r="A540" s="1471"/>
      <c r="B540" s="885">
        <v>3410</v>
      </c>
      <c r="C540" s="885">
        <v>3394.4459999999999</v>
      </c>
      <c r="D540" s="880" t="s">
        <v>2586</v>
      </c>
    </row>
    <row r="541" spans="1:4" s="891" customFormat="1" ht="21" x14ac:dyDescent="0.2">
      <c r="A541" s="1471"/>
      <c r="B541" s="885">
        <v>478</v>
      </c>
      <c r="C541" s="885">
        <v>478</v>
      </c>
      <c r="D541" s="880" t="s">
        <v>2591</v>
      </c>
    </row>
    <row r="542" spans="1:4" s="891" customFormat="1" ht="11.25" customHeight="1" x14ac:dyDescent="0.2">
      <c r="A542" s="1471"/>
      <c r="B542" s="885">
        <v>280.37</v>
      </c>
      <c r="C542" s="885">
        <v>280.36700000000002</v>
      </c>
      <c r="D542" s="880" t="s">
        <v>1456</v>
      </c>
    </row>
    <row r="543" spans="1:4" s="891" customFormat="1" ht="11.25" customHeight="1" x14ac:dyDescent="0.2">
      <c r="A543" s="1471"/>
      <c r="B543" s="885">
        <v>1765.63</v>
      </c>
      <c r="C543" s="885">
        <v>1765.63</v>
      </c>
      <c r="D543" s="880" t="s">
        <v>1453</v>
      </c>
    </row>
    <row r="544" spans="1:4" s="891" customFormat="1" ht="11.25" customHeight="1" x14ac:dyDescent="0.2">
      <c r="A544" s="1473"/>
      <c r="B544" s="887">
        <v>65355.05</v>
      </c>
      <c r="C544" s="887">
        <v>65339.495000000003</v>
      </c>
      <c r="D544" s="886" t="s">
        <v>11</v>
      </c>
    </row>
    <row r="545" spans="1:4" s="891" customFormat="1" ht="11.25" customHeight="1" x14ac:dyDescent="0.2">
      <c r="A545" s="1471" t="s">
        <v>1591</v>
      </c>
      <c r="B545" s="885">
        <v>12.71</v>
      </c>
      <c r="C545" s="885">
        <v>12.708</v>
      </c>
      <c r="D545" s="880" t="s">
        <v>1447</v>
      </c>
    </row>
    <row r="546" spans="1:4" s="891" customFormat="1" ht="11.25" customHeight="1" x14ac:dyDescent="0.2">
      <c r="A546" s="1471"/>
      <c r="B546" s="885">
        <v>21150</v>
      </c>
      <c r="C546" s="885">
        <v>21150</v>
      </c>
      <c r="D546" s="880" t="s">
        <v>1465</v>
      </c>
    </row>
    <row r="547" spans="1:4" s="891" customFormat="1" ht="11.25" customHeight="1" x14ac:dyDescent="0.2">
      <c r="A547" s="1471"/>
      <c r="B547" s="885">
        <v>2503</v>
      </c>
      <c r="C547" s="885">
        <v>2503</v>
      </c>
      <c r="D547" s="880" t="s">
        <v>2587</v>
      </c>
    </row>
    <row r="548" spans="1:4" s="891" customFormat="1" ht="11.25" customHeight="1" x14ac:dyDescent="0.2">
      <c r="A548" s="1471"/>
      <c r="B548" s="885">
        <v>455</v>
      </c>
      <c r="C548" s="885">
        <v>455</v>
      </c>
      <c r="D548" s="880" t="s">
        <v>2586</v>
      </c>
    </row>
    <row r="549" spans="1:4" s="891" customFormat="1" ht="11.25" customHeight="1" x14ac:dyDescent="0.2">
      <c r="A549" s="1471"/>
      <c r="B549" s="885">
        <v>106.74</v>
      </c>
      <c r="C549" s="885">
        <v>106.738</v>
      </c>
      <c r="D549" s="880" t="s">
        <v>1456</v>
      </c>
    </row>
    <row r="550" spans="1:4" s="891" customFormat="1" ht="11.25" customHeight="1" x14ac:dyDescent="0.2">
      <c r="A550" s="1471"/>
      <c r="B550" s="885">
        <v>621.29</v>
      </c>
      <c r="C550" s="885">
        <v>621.29399999999998</v>
      </c>
      <c r="D550" s="880" t="s">
        <v>1453</v>
      </c>
    </row>
    <row r="551" spans="1:4" s="891" customFormat="1" ht="11.25" customHeight="1" x14ac:dyDescent="0.2">
      <c r="A551" s="1471"/>
      <c r="B551" s="885">
        <v>24848.74</v>
      </c>
      <c r="C551" s="885">
        <v>24848.74</v>
      </c>
      <c r="D551" s="880" t="s">
        <v>11</v>
      </c>
    </row>
    <row r="552" spans="1:4" s="891" customFormat="1" ht="11.25" customHeight="1" x14ac:dyDescent="0.2">
      <c r="A552" s="1472" t="s">
        <v>1819</v>
      </c>
      <c r="B552" s="888">
        <v>180</v>
      </c>
      <c r="C552" s="888">
        <v>180</v>
      </c>
      <c r="D552" s="882" t="s">
        <v>2638</v>
      </c>
    </row>
    <row r="553" spans="1:4" s="891" customFormat="1" ht="11.25" customHeight="1" x14ac:dyDescent="0.2">
      <c r="A553" s="1471"/>
      <c r="B553" s="885">
        <v>337</v>
      </c>
      <c r="C553" s="885">
        <v>337</v>
      </c>
      <c r="D553" s="880" t="s">
        <v>2594</v>
      </c>
    </row>
    <row r="554" spans="1:4" s="891" customFormat="1" ht="11.25" customHeight="1" x14ac:dyDescent="0.2">
      <c r="A554" s="1471"/>
      <c r="B554" s="885">
        <v>10905</v>
      </c>
      <c r="C554" s="885">
        <v>10905</v>
      </c>
      <c r="D554" s="880" t="s">
        <v>1465</v>
      </c>
    </row>
    <row r="555" spans="1:4" s="891" customFormat="1" ht="11.25" customHeight="1" x14ac:dyDescent="0.2">
      <c r="A555" s="1471"/>
      <c r="B555" s="885">
        <v>2415</v>
      </c>
      <c r="C555" s="885">
        <v>2415</v>
      </c>
      <c r="D555" s="880" t="s">
        <v>2587</v>
      </c>
    </row>
    <row r="556" spans="1:4" s="891" customFormat="1" ht="11.25" customHeight="1" x14ac:dyDescent="0.2">
      <c r="A556" s="1471"/>
      <c r="B556" s="885">
        <v>354</v>
      </c>
      <c r="C556" s="885">
        <v>353.27</v>
      </c>
      <c r="D556" s="880" t="s">
        <v>2586</v>
      </c>
    </row>
    <row r="557" spans="1:4" s="891" customFormat="1" ht="11.25" customHeight="1" x14ac:dyDescent="0.2">
      <c r="A557" s="1471"/>
      <c r="B557" s="885">
        <v>600</v>
      </c>
      <c r="C557" s="885">
        <v>600</v>
      </c>
      <c r="D557" s="880" t="s">
        <v>1461</v>
      </c>
    </row>
    <row r="558" spans="1:4" s="891" customFormat="1" ht="11.25" customHeight="1" x14ac:dyDescent="0.2">
      <c r="A558" s="1471"/>
      <c r="B558" s="885">
        <v>53.78</v>
      </c>
      <c r="C558" s="885">
        <v>53.780999999999999</v>
      </c>
      <c r="D558" s="880" t="s">
        <v>1456</v>
      </c>
    </row>
    <row r="559" spans="1:4" s="891" customFormat="1" ht="11.25" customHeight="1" x14ac:dyDescent="0.2">
      <c r="A559" s="1471"/>
      <c r="B559" s="885">
        <v>198.04</v>
      </c>
      <c r="C559" s="885">
        <v>198.03700000000001</v>
      </c>
      <c r="D559" s="880" t="s">
        <v>1453</v>
      </c>
    </row>
    <row r="560" spans="1:4" s="891" customFormat="1" ht="11.25" customHeight="1" x14ac:dyDescent="0.2">
      <c r="A560" s="1473"/>
      <c r="B560" s="887">
        <v>15042.820000000002</v>
      </c>
      <c r="C560" s="887">
        <v>15042.088000000002</v>
      </c>
      <c r="D560" s="886" t="s">
        <v>11</v>
      </c>
    </row>
    <row r="561" spans="1:4" s="891" customFormat="1" ht="11.25" customHeight="1" x14ac:dyDescent="0.2">
      <c r="A561" s="1471" t="s">
        <v>1826</v>
      </c>
      <c r="B561" s="885">
        <v>1783.85</v>
      </c>
      <c r="C561" s="885">
        <v>1783.5565200000001</v>
      </c>
      <c r="D561" s="880" t="s">
        <v>2619</v>
      </c>
    </row>
    <row r="562" spans="1:4" s="891" customFormat="1" ht="11.25" customHeight="1" x14ac:dyDescent="0.2">
      <c r="A562" s="1471"/>
      <c r="B562" s="885">
        <v>255.72000000000003</v>
      </c>
      <c r="C562" s="885">
        <v>255.71637000000001</v>
      </c>
      <c r="D562" s="880" t="s">
        <v>2618</v>
      </c>
    </row>
    <row r="563" spans="1:4" s="891" customFormat="1" ht="11.25" customHeight="1" x14ac:dyDescent="0.2">
      <c r="A563" s="1471"/>
      <c r="B563" s="885">
        <v>3390.61</v>
      </c>
      <c r="C563" s="885">
        <v>3145.3761499999996</v>
      </c>
      <c r="D563" s="880" t="s">
        <v>2602</v>
      </c>
    </row>
    <row r="564" spans="1:4" s="891" customFormat="1" ht="11.25" customHeight="1" x14ac:dyDescent="0.2">
      <c r="A564" s="1471"/>
      <c r="B564" s="885">
        <v>18559.379999999997</v>
      </c>
      <c r="C564" s="885">
        <v>11350.908380000001</v>
      </c>
      <c r="D564" s="880" t="s">
        <v>2597</v>
      </c>
    </row>
    <row r="565" spans="1:4" s="891" customFormat="1" ht="11.25" customHeight="1" x14ac:dyDescent="0.2">
      <c r="A565" s="1471"/>
      <c r="B565" s="885">
        <v>175</v>
      </c>
      <c r="C565" s="885">
        <v>175</v>
      </c>
      <c r="D565" s="880" t="s">
        <v>2596</v>
      </c>
    </row>
    <row r="566" spans="1:4" s="891" customFormat="1" ht="11.25" customHeight="1" x14ac:dyDescent="0.2">
      <c r="A566" s="1471"/>
      <c r="B566" s="885">
        <v>4030</v>
      </c>
      <c r="C566" s="885">
        <v>4030</v>
      </c>
      <c r="D566" s="880" t="s">
        <v>2587</v>
      </c>
    </row>
    <row r="567" spans="1:4" s="891" customFormat="1" ht="11.25" customHeight="1" x14ac:dyDescent="0.2">
      <c r="A567" s="1471"/>
      <c r="B567" s="885">
        <v>256</v>
      </c>
      <c r="C567" s="885">
        <v>256</v>
      </c>
      <c r="D567" s="880" t="s">
        <v>2586</v>
      </c>
    </row>
    <row r="568" spans="1:4" s="891" customFormat="1" ht="11.25" customHeight="1" x14ac:dyDescent="0.2">
      <c r="A568" s="1471"/>
      <c r="B568" s="885">
        <v>28450.559999999998</v>
      </c>
      <c r="C568" s="885">
        <v>20996.557420000001</v>
      </c>
      <c r="D568" s="880" t="s">
        <v>11</v>
      </c>
    </row>
    <row r="569" spans="1:4" s="891" customFormat="1" ht="11.25" customHeight="1" x14ac:dyDescent="0.2">
      <c r="A569" s="1472" t="s">
        <v>1663</v>
      </c>
      <c r="B569" s="888">
        <v>80</v>
      </c>
      <c r="C569" s="888">
        <v>80</v>
      </c>
      <c r="D569" s="882" t="s">
        <v>2607</v>
      </c>
    </row>
    <row r="570" spans="1:4" s="891" customFormat="1" ht="11.25" customHeight="1" x14ac:dyDescent="0.2">
      <c r="A570" s="1471"/>
      <c r="B570" s="885">
        <v>72.62</v>
      </c>
      <c r="C570" s="885">
        <v>72.617999999999995</v>
      </c>
      <c r="D570" s="880" t="s">
        <v>1447</v>
      </c>
    </row>
    <row r="571" spans="1:4" s="891" customFormat="1" ht="11.25" customHeight="1" x14ac:dyDescent="0.2">
      <c r="A571" s="1471"/>
      <c r="B571" s="885">
        <v>231.31</v>
      </c>
      <c r="C571" s="885">
        <v>231.29427000000001</v>
      </c>
      <c r="D571" s="880" t="s">
        <v>2608</v>
      </c>
    </row>
    <row r="572" spans="1:4" s="891" customFormat="1" ht="11.25" customHeight="1" x14ac:dyDescent="0.2">
      <c r="A572" s="1471"/>
      <c r="B572" s="885">
        <v>500</v>
      </c>
      <c r="C572" s="885">
        <v>500</v>
      </c>
      <c r="D572" s="880" t="s">
        <v>2596</v>
      </c>
    </row>
    <row r="573" spans="1:4" s="891" customFormat="1" ht="11.25" customHeight="1" x14ac:dyDescent="0.2">
      <c r="A573" s="1471"/>
      <c r="B573" s="885">
        <v>241.51999999999998</v>
      </c>
      <c r="C573" s="885">
        <v>241.51586000000003</v>
      </c>
      <c r="D573" s="880" t="s">
        <v>1339</v>
      </c>
    </row>
    <row r="574" spans="1:4" s="891" customFormat="1" ht="11.25" customHeight="1" x14ac:dyDescent="0.2">
      <c r="A574" s="1471"/>
      <c r="B574" s="885">
        <v>36360</v>
      </c>
      <c r="C574" s="885">
        <v>36360</v>
      </c>
      <c r="D574" s="880" t="s">
        <v>1465</v>
      </c>
    </row>
    <row r="575" spans="1:4" s="891" customFormat="1" ht="11.25" customHeight="1" x14ac:dyDescent="0.2">
      <c r="A575" s="1471"/>
      <c r="B575" s="885">
        <v>6891</v>
      </c>
      <c r="C575" s="885">
        <v>6891</v>
      </c>
      <c r="D575" s="880" t="s">
        <v>2587</v>
      </c>
    </row>
    <row r="576" spans="1:4" s="891" customFormat="1" ht="11.25" customHeight="1" x14ac:dyDescent="0.2">
      <c r="A576" s="1471"/>
      <c r="B576" s="885">
        <v>959</v>
      </c>
      <c r="C576" s="885">
        <v>954.59523999999999</v>
      </c>
      <c r="D576" s="880" t="s">
        <v>2586</v>
      </c>
    </row>
    <row r="577" spans="1:4" s="891" customFormat="1" ht="11.25" customHeight="1" x14ac:dyDescent="0.2">
      <c r="A577" s="1471"/>
      <c r="B577" s="885">
        <v>222.75</v>
      </c>
      <c r="C577" s="885">
        <v>222.751</v>
      </c>
      <c r="D577" s="880" t="s">
        <v>1452</v>
      </c>
    </row>
    <row r="578" spans="1:4" s="891" customFormat="1" ht="11.25" customHeight="1" x14ac:dyDescent="0.2">
      <c r="A578" s="1471"/>
      <c r="B578" s="885">
        <v>179.71</v>
      </c>
      <c r="C578" s="885">
        <v>179.71199999999999</v>
      </c>
      <c r="D578" s="880" t="s">
        <v>1456</v>
      </c>
    </row>
    <row r="579" spans="1:4" s="891" customFormat="1" ht="11.25" customHeight="1" x14ac:dyDescent="0.2">
      <c r="A579" s="1471"/>
      <c r="B579" s="885">
        <v>847.95</v>
      </c>
      <c r="C579" s="885">
        <v>847.94799999999998</v>
      </c>
      <c r="D579" s="880" t="s">
        <v>1453</v>
      </c>
    </row>
    <row r="580" spans="1:4" s="891" customFormat="1" ht="11.25" customHeight="1" x14ac:dyDescent="0.2">
      <c r="A580" s="1473"/>
      <c r="B580" s="887">
        <v>46585.859999999993</v>
      </c>
      <c r="C580" s="887">
        <v>46581.434369999995</v>
      </c>
      <c r="D580" s="886" t="s">
        <v>11</v>
      </c>
    </row>
    <row r="581" spans="1:4" s="891" customFormat="1" ht="11.25" customHeight="1" x14ac:dyDescent="0.2">
      <c r="A581" s="1472" t="s">
        <v>1608</v>
      </c>
      <c r="B581" s="888">
        <v>21.79</v>
      </c>
      <c r="C581" s="888">
        <v>21.785</v>
      </c>
      <c r="D581" s="882" t="s">
        <v>1447</v>
      </c>
    </row>
    <row r="582" spans="1:4" s="891" customFormat="1" ht="11.25" customHeight="1" x14ac:dyDescent="0.2">
      <c r="A582" s="1471"/>
      <c r="B582" s="885">
        <v>413.31</v>
      </c>
      <c r="C582" s="885">
        <v>413.303</v>
      </c>
      <c r="D582" s="880" t="s">
        <v>2597</v>
      </c>
    </row>
    <row r="583" spans="1:4" s="891" customFormat="1" ht="11.25" customHeight="1" x14ac:dyDescent="0.2">
      <c r="A583" s="1471"/>
      <c r="B583" s="885">
        <v>111.9</v>
      </c>
      <c r="C583" s="885">
        <v>111.9</v>
      </c>
      <c r="D583" s="880" t="s">
        <v>2633</v>
      </c>
    </row>
    <row r="584" spans="1:4" s="891" customFormat="1" ht="11.25" customHeight="1" x14ac:dyDescent="0.2">
      <c r="A584" s="1471"/>
      <c r="B584" s="885">
        <v>17434</v>
      </c>
      <c r="C584" s="885">
        <v>17434</v>
      </c>
      <c r="D584" s="880" t="s">
        <v>1465</v>
      </c>
    </row>
    <row r="585" spans="1:4" s="891" customFormat="1" ht="11.25" customHeight="1" x14ac:dyDescent="0.2">
      <c r="A585" s="1471"/>
      <c r="B585" s="885">
        <v>3163</v>
      </c>
      <c r="C585" s="885">
        <v>3163</v>
      </c>
      <c r="D585" s="880" t="s">
        <v>2587</v>
      </c>
    </row>
    <row r="586" spans="1:4" s="891" customFormat="1" ht="11.25" customHeight="1" x14ac:dyDescent="0.2">
      <c r="A586" s="1471"/>
      <c r="B586" s="885">
        <v>1003</v>
      </c>
      <c r="C586" s="885">
        <v>1003</v>
      </c>
      <c r="D586" s="880" t="s">
        <v>2586</v>
      </c>
    </row>
    <row r="587" spans="1:4" s="891" customFormat="1" ht="11.25" customHeight="1" x14ac:dyDescent="0.2">
      <c r="A587" s="1471"/>
      <c r="B587" s="885">
        <v>88.11</v>
      </c>
      <c r="C587" s="885">
        <v>88.111999999999995</v>
      </c>
      <c r="D587" s="880" t="s">
        <v>1456</v>
      </c>
    </row>
    <row r="588" spans="1:4" s="891" customFormat="1" ht="11.25" customHeight="1" x14ac:dyDescent="0.2">
      <c r="A588" s="1471"/>
      <c r="B588" s="885">
        <v>526.33000000000004</v>
      </c>
      <c r="C588" s="885">
        <v>526.33000000000004</v>
      </c>
      <c r="D588" s="880" t="s">
        <v>1453</v>
      </c>
    </row>
    <row r="589" spans="1:4" s="891" customFormat="1" ht="11.25" customHeight="1" x14ac:dyDescent="0.2">
      <c r="A589" s="1473"/>
      <c r="B589" s="887">
        <v>22761.440000000002</v>
      </c>
      <c r="C589" s="887">
        <v>22761.430000000004</v>
      </c>
      <c r="D589" s="886" t="s">
        <v>11</v>
      </c>
    </row>
    <row r="590" spans="1:4" s="891" customFormat="1" ht="11.25" customHeight="1" x14ac:dyDescent="0.2">
      <c r="A590" s="1472" t="s">
        <v>1733</v>
      </c>
      <c r="B590" s="888">
        <v>7092</v>
      </c>
      <c r="C590" s="888">
        <v>7092</v>
      </c>
      <c r="D590" s="882" t="s">
        <v>1465</v>
      </c>
    </row>
    <row r="591" spans="1:4" s="891" customFormat="1" ht="11.25" customHeight="1" x14ac:dyDescent="0.2">
      <c r="A591" s="1471"/>
      <c r="B591" s="885">
        <v>1047</v>
      </c>
      <c r="C591" s="885">
        <v>1047</v>
      </c>
      <c r="D591" s="880" t="s">
        <v>2587</v>
      </c>
    </row>
    <row r="592" spans="1:4" s="891" customFormat="1" ht="11.25" customHeight="1" x14ac:dyDescent="0.2">
      <c r="A592" s="1471"/>
      <c r="B592" s="885">
        <v>144</v>
      </c>
      <c r="C592" s="885">
        <v>144</v>
      </c>
      <c r="D592" s="880" t="s">
        <v>2586</v>
      </c>
    </row>
    <row r="593" spans="1:4" s="891" customFormat="1" ht="11.25" customHeight="1" x14ac:dyDescent="0.2">
      <c r="A593" s="1471"/>
      <c r="B593" s="885">
        <v>35.6</v>
      </c>
      <c r="C593" s="885">
        <v>35.601999999999997</v>
      </c>
      <c r="D593" s="880" t="s">
        <v>1456</v>
      </c>
    </row>
    <row r="594" spans="1:4" s="891" customFormat="1" ht="11.25" customHeight="1" x14ac:dyDescent="0.2">
      <c r="A594" s="1471"/>
      <c r="B594" s="885">
        <v>168.65</v>
      </c>
      <c r="C594" s="885">
        <v>168.65</v>
      </c>
      <c r="D594" s="880" t="s">
        <v>1453</v>
      </c>
    </row>
    <row r="595" spans="1:4" s="891" customFormat="1" ht="11.25" customHeight="1" x14ac:dyDescent="0.2">
      <c r="A595" s="1473"/>
      <c r="B595" s="887">
        <v>8487.25</v>
      </c>
      <c r="C595" s="887">
        <v>8487.2520000000004</v>
      </c>
      <c r="D595" s="886" t="s">
        <v>11</v>
      </c>
    </row>
    <row r="596" spans="1:4" s="891" customFormat="1" ht="11.25" customHeight="1" x14ac:dyDescent="0.2">
      <c r="A596" s="1471" t="s">
        <v>1731</v>
      </c>
      <c r="B596" s="885">
        <v>79</v>
      </c>
      <c r="C596" s="885">
        <v>79</v>
      </c>
      <c r="D596" s="880" t="s">
        <v>540</v>
      </c>
    </row>
    <row r="597" spans="1:4" s="891" customFormat="1" ht="11.25" customHeight="1" x14ac:dyDescent="0.2">
      <c r="A597" s="1471"/>
      <c r="B597" s="885">
        <v>6176</v>
      </c>
      <c r="C597" s="885">
        <v>6176</v>
      </c>
      <c r="D597" s="880" t="s">
        <v>1465</v>
      </c>
    </row>
    <row r="598" spans="1:4" s="891" customFormat="1" ht="11.25" customHeight="1" x14ac:dyDescent="0.2">
      <c r="A598" s="1471"/>
      <c r="B598" s="885">
        <v>1092</v>
      </c>
      <c r="C598" s="885">
        <v>1092</v>
      </c>
      <c r="D598" s="880" t="s">
        <v>2587</v>
      </c>
    </row>
    <row r="599" spans="1:4" s="891" customFormat="1" ht="11.25" customHeight="1" x14ac:dyDescent="0.2">
      <c r="A599" s="1471"/>
      <c r="B599" s="885">
        <v>92</v>
      </c>
      <c r="C599" s="885">
        <v>92</v>
      </c>
      <c r="D599" s="880" t="s">
        <v>2586</v>
      </c>
    </row>
    <row r="600" spans="1:4" s="891" customFormat="1" ht="11.25" customHeight="1" x14ac:dyDescent="0.2">
      <c r="A600" s="1471"/>
      <c r="B600" s="885">
        <v>31.63</v>
      </c>
      <c r="C600" s="885">
        <v>31.632000000000001</v>
      </c>
      <c r="D600" s="880" t="s">
        <v>1456</v>
      </c>
    </row>
    <row r="601" spans="1:4" s="891" customFormat="1" ht="11.25" customHeight="1" x14ac:dyDescent="0.2">
      <c r="A601" s="1471"/>
      <c r="B601" s="885">
        <v>124.13</v>
      </c>
      <c r="C601" s="885">
        <v>124.133</v>
      </c>
      <c r="D601" s="880" t="s">
        <v>1453</v>
      </c>
    </row>
    <row r="602" spans="1:4" s="891" customFormat="1" ht="11.25" customHeight="1" x14ac:dyDescent="0.2">
      <c r="A602" s="1471"/>
      <c r="B602" s="885">
        <v>7594.76</v>
      </c>
      <c r="C602" s="885">
        <v>7594.7649999999994</v>
      </c>
      <c r="D602" s="880" t="s">
        <v>11</v>
      </c>
    </row>
    <row r="603" spans="1:4" s="891" customFormat="1" ht="11.25" customHeight="1" x14ac:dyDescent="0.2">
      <c r="A603" s="1472" t="s">
        <v>1724</v>
      </c>
      <c r="B603" s="888">
        <v>5962</v>
      </c>
      <c r="C603" s="888">
        <v>5962</v>
      </c>
      <c r="D603" s="882" t="s">
        <v>1465</v>
      </c>
    </row>
    <row r="604" spans="1:4" s="891" customFormat="1" ht="11.25" customHeight="1" x14ac:dyDescent="0.2">
      <c r="A604" s="1471"/>
      <c r="B604" s="885">
        <v>937</v>
      </c>
      <c r="C604" s="885">
        <v>937</v>
      </c>
      <c r="D604" s="880" t="s">
        <v>2587</v>
      </c>
    </row>
    <row r="605" spans="1:4" s="891" customFormat="1" ht="11.25" customHeight="1" x14ac:dyDescent="0.2">
      <c r="A605" s="1471"/>
      <c r="B605" s="885">
        <v>202</v>
      </c>
      <c r="C605" s="885">
        <v>202</v>
      </c>
      <c r="D605" s="880" t="s">
        <v>2586</v>
      </c>
    </row>
    <row r="606" spans="1:4" s="891" customFormat="1" ht="11.25" customHeight="1" x14ac:dyDescent="0.2">
      <c r="A606" s="1471"/>
      <c r="B606" s="885">
        <v>40</v>
      </c>
      <c r="C606" s="885">
        <v>40</v>
      </c>
      <c r="D606" s="880" t="s">
        <v>1450</v>
      </c>
    </row>
    <row r="607" spans="1:4" s="891" customFormat="1" ht="11.25" customHeight="1" x14ac:dyDescent="0.2">
      <c r="A607" s="1471"/>
      <c r="B607" s="885">
        <v>30.5</v>
      </c>
      <c r="C607" s="885">
        <v>30.498999999999999</v>
      </c>
      <c r="D607" s="880" t="s">
        <v>1456</v>
      </c>
    </row>
    <row r="608" spans="1:4" s="891" customFormat="1" ht="11.25" customHeight="1" x14ac:dyDescent="0.2">
      <c r="A608" s="1471"/>
      <c r="B608" s="885">
        <v>128.78</v>
      </c>
      <c r="C608" s="885">
        <v>128.78200000000001</v>
      </c>
      <c r="D608" s="880" t="s">
        <v>1453</v>
      </c>
    </row>
    <row r="609" spans="1:4" s="891" customFormat="1" ht="11.25" customHeight="1" x14ac:dyDescent="0.2">
      <c r="A609" s="1473"/>
      <c r="B609" s="887">
        <v>7300.28</v>
      </c>
      <c r="C609" s="887">
        <v>7300.2809999999999</v>
      </c>
      <c r="D609" s="886" t="s">
        <v>11</v>
      </c>
    </row>
    <row r="610" spans="1:4" s="891" customFormat="1" ht="11.25" customHeight="1" x14ac:dyDescent="0.2">
      <c r="A610" s="1471" t="s">
        <v>1723</v>
      </c>
      <c r="B610" s="885">
        <v>1047.3499999999999</v>
      </c>
      <c r="C610" s="885">
        <v>1047.3535200000001</v>
      </c>
      <c r="D610" s="880" t="s">
        <v>2616</v>
      </c>
    </row>
    <row r="611" spans="1:4" s="891" customFormat="1" ht="11.25" customHeight="1" x14ac:dyDescent="0.2">
      <c r="A611" s="1471"/>
      <c r="B611" s="885">
        <v>4792</v>
      </c>
      <c r="C611" s="885">
        <v>4792</v>
      </c>
      <c r="D611" s="880" t="s">
        <v>1465</v>
      </c>
    </row>
    <row r="612" spans="1:4" s="891" customFormat="1" ht="11.25" customHeight="1" x14ac:dyDescent="0.2">
      <c r="A612" s="1471"/>
      <c r="B612" s="885">
        <v>1104</v>
      </c>
      <c r="C612" s="885">
        <v>1104</v>
      </c>
      <c r="D612" s="880" t="s">
        <v>2587</v>
      </c>
    </row>
    <row r="613" spans="1:4" s="891" customFormat="1" ht="11.25" customHeight="1" x14ac:dyDescent="0.2">
      <c r="A613" s="1471"/>
      <c r="B613" s="885">
        <v>190</v>
      </c>
      <c r="C613" s="885">
        <v>190</v>
      </c>
      <c r="D613" s="880" t="s">
        <v>2586</v>
      </c>
    </row>
    <row r="614" spans="1:4" s="891" customFormat="1" ht="11.25" customHeight="1" x14ac:dyDescent="0.2">
      <c r="A614" s="1471"/>
      <c r="B614" s="885">
        <v>24.54</v>
      </c>
      <c r="C614" s="885">
        <v>24.542000000000002</v>
      </c>
      <c r="D614" s="880" t="s">
        <v>1456</v>
      </c>
    </row>
    <row r="615" spans="1:4" s="891" customFormat="1" ht="11.25" customHeight="1" x14ac:dyDescent="0.2">
      <c r="A615" s="1471"/>
      <c r="B615" s="885">
        <v>109.83</v>
      </c>
      <c r="C615" s="885">
        <v>109.828</v>
      </c>
      <c r="D615" s="880" t="s">
        <v>1453</v>
      </c>
    </row>
    <row r="616" spans="1:4" s="891" customFormat="1" ht="11.25" customHeight="1" x14ac:dyDescent="0.2">
      <c r="A616" s="1471"/>
      <c r="B616" s="885">
        <v>7267.72</v>
      </c>
      <c r="C616" s="885">
        <v>7267.7235200000014</v>
      </c>
      <c r="D616" s="880" t="s">
        <v>11</v>
      </c>
    </row>
    <row r="617" spans="1:4" s="891" customFormat="1" ht="11.25" customHeight="1" x14ac:dyDescent="0.2">
      <c r="A617" s="1472" t="s">
        <v>1730</v>
      </c>
      <c r="B617" s="888">
        <v>4548</v>
      </c>
      <c r="C617" s="888">
        <v>4548</v>
      </c>
      <c r="D617" s="882" t="s">
        <v>1465</v>
      </c>
    </row>
    <row r="618" spans="1:4" s="891" customFormat="1" ht="11.25" customHeight="1" x14ac:dyDescent="0.2">
      <c r="A618" s="1471"/>
      <c r="B618" s="885">
        <v>722</v>
      </c>
      <c r="C618" s="885">
        <v>722</v>
      </c>
      <c r="D618" s="880" t="s">
        <v>2587</v>
      </c>
    </row>
    <row r="619" spans="1:4" s="891" customFormat="1" ht="11.25" customHeight="1" x14ac:dyDescent="0.2">
      <c r="A619" s="1471"/>
      <c r="B619" s="885">
        <v>50</v>
      </c>
      <c r="C619" s="885">
        <v>50</v>
      </c>
      <c r="D619" s="880" t="s">
        <v>2586</v>
      </c>
    </row>
    <row r="620" spans="1:4" s="891" customFormat="1" ht="11.25" customHeight="1" x14ac:dyDescent="0.2">
      <c r="A620" s="1471"/>
      <c r="B620" s="885">
        <v>500</v>
      </c>
      <c r="C620" s="885">
        <v>500</v>
      </c>
      <c r="D620" s="880" t="s">
        <v>2614</v>
      </c>
    </row>
    <row r="621" spans="1:4" s="891" customFormat="1" ht="11.25" customHeight="1" x14ac:dyDescent="0.2">
      <c r="A621" s="1471"/>
      <c r="B621" s="885">
        <v>23.24</v>
      </c>
      <c r="C621" s="885">
        <v>23.241</v>
      </c>
      <c r="D621" s="880" t="s">
        <v>1456</v>
      </c>
    </row>
    <row r="622" spans="1:4" s="891" customFormat="1" ht="11.25" customHeight="1" x14ac:dyDescent="0.2">
      <c r="A622" s="1471"/>
      <c r="B622" s="885">
        <v>97.19</v>
      </c>
      <c r="C622" s="885">
        <v>97.191999999999993</v>
      </c>
      <c r="D622" s="880" t="s">
        <v>1453</v>
      </c>
    </row>
    <row r="623" spans="1:4" s="891" customFormat="1" ht="11.25" customHeight="1" x14ac:dyDescent="0.2">
      <c r="A623" s="1473"/>
      <c r="B623" s="887">
        <v>5940.4299999999994</v>
      </c>
      <c r="C623" s="887">
        <v>5940.433</v>
      </c>
      <c r="D623" s="886" t="s">
        <v>11</v>
      </c>
    </row>
    <row r="624" spans="1:4" s="891" customFormat="1" ht="11.25" customHeight="1" x14ac:dyDescent="0.2">
      <c r="A624" s="1471" t="s">
        <v>1579</v>
      </c>
      <c r="B624" s="885">
        <v>1.82</v>
      </c>
      <c r="C624" s="885">
        <v>1.8149999999999999</v>
      </c>
      <c r="D624" s="880" t="s">
        <v>1447</v>
      </c>
    </row>
    <row r="625" spans="1:4" s="891" customFormat="1" ht="11.25" customHeight="1" x14ac:dyDescent="0.2">
      <c r="A625" s="1471"/>
      <c r="B625" s="885">
        <v>1079.9099999999999</v>
      </c>
      <c r="C625" s="885">
        <v>1079.904</v>
      </c>
      <c r="D625" s="880" t="s">
        <v>2597</v>
      </c>
    </row>
    <row r="626" spans="1:4" s="891" customFormat="1" ht="11.25" customHeight="1" x14ac:dyDescent="0.2">
      <c r="A626" s="1471"/>
      <c r="B626" s="885">
        <v>39</v>
      </c>
      <c r="C626" s="885">
        <v>39</v>
      </c>
      <c r="D626" s="880" t="s">
        <v>540</v>
      </c>
    </row>
    <row r="627" spans="1:4" s="891" customFormat="1" ht="11.25" customHeight="1" x14ac:dyDescent="0.2">
      <c r="A627" s="1471"/>
      <c r="B627" s="885">
        <v>24973</v>
      </c>
      <c r="C627" s="885">
        <v>24973</v>
      </c>
      <c r="D627" s="880" t="s">
        <v>1465</v>
      </c>
    </row>
    <row r="628" spans="1:4" s="891" customFormat="1" ht="11.25" customHeight="1" x14ac:dyDescent="0.2">
      <c r="A628" s="1471"/>
      <c r="B628" s="885">
        <v>3291</v>
      </c>
      <c r="C628" s="885">
        <v>3291</v>
      </c>
      <c r="D628" s="880" t="s">
        <v>2587</v>
      </c>
    </row>
    <row r="629" spans="1:4" s="891" customFormat="1" ht="11.25" customHeight="1" x14ac:dyDescent="0.2">
      <c r="A629" s="1471"/>
      <c r="B629" s="885">
        <v>762</v>
      </c>
      <c r="C629" s="885">
        <v>762</v>
      </c>
      <c r="D629" s="880" t="s">
        <v>2586</v>
      </c>
    </row>
    <row r="630" spans="1:4" s="891" customFormat="1" ht="11.25" customHeight="1" x14ac:dyDescent="0.2">
      <c r="A630" s="1471"/>
      <c r="B630" s="885">
        <v>125.65</v>
      </c>
      <c r="C630" s="885">
        <v>125.645</v>
      </c>
      <c r="D630" s="880" t="s">
        <v>1456</v>
      </c>
    </row>
    <row r="631" spans="1:4" s="891" customFormat="1" ht="11.25" customHeight="1" x14ac:dyDescent="0.2">
      <c r="A631" s="1471"/>
      <c r="B631" s="885">
        <v>577.41999999999996</v>
      </c>
      <c r="C631" s="885">
        <v>577.42399999999998</v>
      </c>
      <c r="D631" s="880" t="s">
        <v>1453</v>
      </c>
    </row>
    <row r="632" spans="1:4" s="891" customFormat="1" ht="11.25" customHeight="1" x14ac:dyDescent="0.2">
      <c r="A632" s="1471"/>
      <c r="B632" s="885">
        <v>30849.8</v>
      </c>
      <c r="C632" s="885">
        <v>30849.788</v>
      </c>
      <c r="D632" s="880" t="s">
        <v>11</v>
      </c>
    </row>
    <row r="633" spans="1:4" s="891" customFormat="1" ht="11.25" customHeight="1" x14ac:dyDescent="0.2">
      <c r="A633" s="1472" t="s">
        <v>1657</v>
      </c>
      <c r="B633" s="888">
        <v>1815.12</v>
      </c>
      <c r="C633" s="888">
        <v>1815.117</v>
      </c>
      <c r="D633" s="882" t="s">
        <v>2597</v>
      </c>
    </row>
    <row r="634" spans="1:4" s="891" customFormat="1" ht="11.25" customHeight="1" x14ac:dyDescent="0.2">
      <c r="A634" s="1471"/>
      <c r="B634" s="885">
        <v>1800</v>
      </c>
      <c r="C634" s="885">
        <v>1800</v>
      </c>
      <c r="D634" s="880" t="s">
        <v>2637</v>
      </c>
    </row>
    <row r="635" spans="1:4" s="891" customFormat="1" ht="21" x14ac:dyDescent="0.2">
      <c r="A635" s="1471"/>
      <c r="B635" s="885">
        <v>87.03</v>
      </c>
      <c r="C635" s="885">
        <v>84.135000000000005</v>
      </c>
      <c r="D635" s="880" t="s">
        <v>1446</v>
      </c>
    </row>
    <row r="636" spans="1:4" s="891" customFormat="1" ht="11.25" customHeight="1" x14ac:dyDescent="0.2">
      <c r="A636" s="1471"/>
      <c r="B636" s="885">
        <v>48.5</v>
      </c>
      <c r="C636" s="885">
        <v>48.5</v>
      </c>
      <c r="D636" s="880" t="s">
        <v>1460</v>
      </c>
    </row>
    <row r="637" spans="1:4" s="891" customFormat="1" ht="11.25" customHeight="1" x14ac:dyDescent="0.2">
      <c r="A637" s="1471"/>
      <c r="B637" s="885">
        <v>18</v>
      </c>
      <c r="C637" s="885">
        <v>9.4290000000000003</v>
      </c>
      <c r="D637" s="880" t="s">
        <v>1459</v>
      </c>
    </row>
    <row r="638" spans="1:4" s="891" customFormat="1" ht="11.25" customHeight="1" x14ac:dyDescent="0.2">
      <c r="A638" s="1471"/>
      <c r="B638" s="885">
        <v>33606</v>
      </c>
      <c r="C638" s="885">
        <v>33606</v>
      </c>
      <c r="D638" s="880" t="s">
        <v>1465</v>
      </c>
    </row>
    <row r="639" spans="1:4" s="891" customFormat="1" ht="11.25" customHeight="1" x14ac:dyDescent="0.2">
      <c r="A639" s="1471"/>
      <c r="B639" s="885">
        <v>7143</v>
      </c>
      <c r="C639" s="885">
        <v>7143</v>
      </c>
      <c r="D639" s="880" t="s">
        <v>2587</v>
      </c>
    </row>
    <row r="640" spans="1:4" s="891" customFormat="1" ht="11.25" customHeight="1" x14ac:dyDescent="0.2">
      <c r="A640" s="1471"/>
      <c r="B640" s="885">
        <v>926</v>
      </c>
      <c r="C640" s="885">
        <v>926</v>
      </c>
      <c r="D640" s="880" t="s">
        <v>2586</v>
      </c>
    </row>
    <row r="641" spans="1:4" s="891" customFormat="1" ht="11.25" customHeight="1" x14ac:dyDescent="0.2">
      <c r="A641" s="1471"/>
      <c r="B641" s="885">
        <v>170.44</v>
      </c>
      <c r="C641" s="885">
        <v>170.44200000000001</v>
      </c>
      <c r="D641" s="880" t="s">
        <v>1456</v>
      </c>
    </row>
    <row r="642" spans="1:4" s="891" customFormat="1" ht="11.25" customHeight="1" x14ac:dyDescent="0.2">
      <c r="A642" s="1471"/>
      <c r="B642" s="885">
        <v>1120.24</v>
      </c>
      <c r="C642" s="885">
        <v>1120.2380000000001</v>
      </c>
      <c r="D642" s="880" t="s">
        <v>1453</v>
      </c>
    </row>
    <row r="643" spans="1:4" s="891" customFormat="1" ht="11.25" customHeight="1" x14ac:dyDescent="0.2">
      <c r="A643" s="1473"/>
      <c r="B643" s="887">
        <v>46734.33</v>
      </c>
      <c r="C643" s="887">
        <v>46722.860999999997</v>
      </c>
      <c r="D643" s="886" t="s">
        <v>11</v>
      </c>
    </row>
    <row r="644" spans="1:4" s="891" customFormat="1" ht="11.25" customHeight="1" x14ac:dyDescent="0.2">
      <c r="A644" s="1471" t="s">
        <v>1611</v>
      </c>
      <c r="B644" s="885">
        <v>80</v>
      </c>
      <c r="C644" s="885">
        <v>80</v>
      </c>
      <c r="D644" s="880" t="s">
        <v>2607</v>
      </c>
    </row>
    <row r="645" spans="1:4" s="891" customFormat="1" ht="11.25" customHeight="1" x14ac:dyDescent="0.2">
      <c r="A645" s="1471"/>
      <c r="B645" s="885">
        <v>137.97</v>
      </c>
      <c r="C645" s="885">
        <v>137.97399999999999</v>
      </c>
      <c r="D645" s="880" t="s">
        <v>1447</v>
      </c>
    </row>
    <row r="646" spans="1:4" s="891" customFormat="1" ht="11.25" customHeight="1" x14ac:dyDescent="0.2">
      <c r="A646" s="1471"/>
      <c r="B646" s="885">
        <v>1796.67</v>
      </c>
      <c r="C646" s="885">
        <v>1796.6730000000002</v>
      </c>
      <c r="D646" s="880" t="s">
        <v>2597</v>
      </c>
    </row>
    <row r="647" spans="1:4" s="891" customFormat="1" ht="11.25" customHeight="1" x14ac:dyDescent="0.2">
      <c r="A647" s="1471"/>
      <c r="B647" s="885">
        <v>350</v>
      </c>
      <c r="C647" s="885">
        <v>350</v>
      </c>
      <c r="D647" s="880" t="s">
        <v>1424</v>
      </c>
    </row>
    <row r="648" spans="1:4" s="891" customFormat="1" ht="11.25" customHeight="1" x14ac:dyDescent="0.2">
      <c r="A648" s="1471"/>
      <c r="B648" s="885">
        <v>4500</v>
      </c>
      <c r="C648" s="885">
        <v>4500</v>
      </c>
      <c r="D648" s="880" t="s">
        <v>2636</v>
      </c>
    </row>
    <row r="649" spans="1:4" s="891" customFormat="1" ht="11.25" customHeight="1" x14ac:dyDescent="0.2">
      <c r="A649" s="1471"/>
      <c r="B649" s="885">
        <v>230</v>
      </c>
      <c r="C649" s="885">
        <v>230</v>
      </c>
      <c r="D649" s="880" t="s">
        <v>2589</v>
      </c>
    </row>
    <row r="650" spans="1:4" s="891" customFormat="1" ht="11.25" customHeight="1" x14ac:dyDescent="0.2">
      <c r="A650" s="1471"/>
      <c r="B650" s="885">
        <v>27226</v>
      </c>
      <c r="C650" s="885">
        <v>27226</v>
      </c>
      <c r="D650" s="880" t="s">
        <v>1465</v>
      </c>
    </row>
    <row r="651" spans="1:4" s="891" customFormat="1" ht="11.25" customHeight="1" x14ac:dyDescent="0.2">
      <c r="A651" s="1471"/>
      <c r="B651" s="885">
        <v>5703</v>
      </c>
      <c r="C651" s="885">
        <v>5703</v>
      </c>
      <c r="D651" s="880" t="s">
        <v>2587</v>
      </c>
    </row>
    <row r="652" spans="1:4" s="891" customFormat="1" ht="11.25" customHeight="1" x14ac:dyDescent="0.2">
      <c r="A652" s="1471"/>
      <c r="B652" s="885">
        <v>253</v>
      </c>
      <c r="C652" s="885">
        <v>253</v>
      </c>
      <c r="D652" s="880" t="s">
        <v>2586</v>
      </c>
    </row>
    <row r="653" spans="1:4" s="891" customFormat="1" ht="11.25" customHeight="1" x14ac:dyDescent="0.2">
      <c r="A653" s="1471"/>
      <c r="B653" s="885">
        <v>50</v>
      </c>
      <c r="C653" s="885">
        <v>50</v>
      </c>
      <c r="D653" s="880" t="s">
        <v>2615</v>
      </c>
    </row>
    <row r="654" spans="1:4" s="891" customFormat="1" ht="11.25" customHeight="1" x14ac:dyDescent="0.2">
      <c r="A654" s="1471"/>
      <c r="B654" s="885">
        <v>137.46</v>
      </c>
      <c r="C654" s="885">
        <v>137.459</v>
      </c>
      <c r="D654" s="880" t="s">
        <v>1456</v>
      </c>
    </row>
    <row r="655" spans="1:4" s="891" customFormat="1" ht="11.25" customHeight="1" x14ac:dyDescent="0.2">
      <c r="A655" s="1471"/>
      <c r="B655" s="885">
        <v>855.85</v>
      </c>
      <c r="C655" s="885">
        <v>855.85400000000004</v>
      </c>
      <c r="D655" s="880" t="s">
        <v>1453</v>
      </c>
    </row>
    <row r="656" spans="1:4" s="891" customFormat="1" ht="11.25" customHeight="1" x14ac:dyDescent="0.2">
      <c r="A656" s="1471"/>
      <c r="B656" s="885">
        <v>41319.96</v>
      </c>
      <c r="C656" s="885">
        <v>41319.96</v>
      </c>
      <c r="D656" s="880" t="s">
        <v>11</v>
      </c>
    </row>
    <row r="657" spans="1:4" s="891" customFormat="1" ht="11.25" customHeight="1" x14ac:dyDescent="0.2">
      <c r="A657" s="1472" t="s">
        <v>1660</v>
      </c>
      <c r="B657" s="888">
        <v>996.22</v>
      </c>
      <c r="C657" s="888">
        <v>996.21900000000005</v>
      </c>
      <c r="D657" s="882" t="s">
        <v>2597</v>
      </c>
    </row>
    <row r="658" spans="1:4" s="891" customFormat="1" ht="11.25" customHeight="1" x14ac:dyDescent="0.2">
      <c r="A658" s="1471"/>
      <c r="B658" s="885">
        <v>938</v>
      </c>
      <c r="C658" s="885">
        <v>937.99369999999999</v>
      </c>
      <c r="D658" s="880" t="s">
        <v>2613</v>
      </c>
    </row>
    <row r="659" spans="1:4" s="891" customFormat="1" ht="11.25" customHeight="1" x14ac:dyDescent="0.2">
      <c r="A659" s="1471"/>
      <c r="B659" s="885">
        <v>245</v>
      </c>
      <c r="C659" s="885">
        <v>245</v>
      </c>
      <c r="D659" s="880" t="s">
        <v>2596</v>
      </c>
    </row>
    <row r="660" spans="1:4" s="891" customFormat="1" ht="21" x14ac:dyDescent="0.2">
      <c r="A660" s="1471"/>
      <c r="B660" s="885">
        <v>116.71</v>
      </c>
      <c r="C660" s="885">
        <v>113.746</v>
      </c>
      <c r="D660" s="880" t="s">
        <v>1446</v>
      </c>
    </row>
    <row r="661" spans="1:4" s="891" customFormat="1" ht="11.25" customHeight="1" x14ac:dyDescent="0.2">
      <c r="A661" s="1471"/>
      <c r="B661" s="885">
        <v>28577</v>
      </c>
      <c r="C661" s="885">
        <v>28577</v>
      </c>
      <c r="D661" s="880" t="s">
        <v>1465</v>
      </c>
    </row>
    <row r="662" spans="1:4" s="891" customFormat="1" ht="11.25" customHeight="1" x14ac:dyDescent="0.2">
      <c r="A662" s="1471"/>
      <c r="B662" s="885">
        <v>5772</v>
      </c>
      <c r="C662" s="885">
        <v>5772</v>
      </c>
      <c r="D662" s="880" t="s">
        <v>2587</v>
      </c>
    </row>
    <row r="663" spans="1:4" s="891" customFormat="1" ht="11.25" customHeight="1" x14ac:dyDescent="0.2">
      <c r="A663" s="1471"/>
      <c r="B663" s="885">
        <v>604</v>
      </c>
      <c r="C663" s="885">
        <v>604</v>
      </c>
      <c r="D663" s="880" t="s">
        <v>2586</v>
      </c>
    </row>
    <row r="664" spans="1:4" s="891" customFormat="1" ht="11.25" customHeight="1" x14ac:dyDescent="0.2">
      <c r="A664" s="1471"/>
      <c r="B664" s="885">
        <v>2700</v>
      </c>
      <c r="C664" s="885">
        <v>88.33</v>
      </c>
      <c r="D664" s="880" t="s">
        <v>2635</v>
      </c>
    </row>
    <row r="665" spans="1:4" s="891" customFormat="1" ht="11.25" customHeight="1" x14ac:dyDescent="0.2">
      <c r="A665" s="1471"/>
      <c r="B665" s="885">
        <v>144.33000000000001</v>
      </c>
      <c r="C665" s="885">
        <v>144.32599999999999</v>
      </c>
      <c r="D665" s="880" t="s">
        <v>1456</v>
      </c>
    </row>
    <row r="666" spans="1:4" s="891" customFormat="1" ht="11.25" customHeight="1" x14ac:dyDescent="0.2">
      <c r="A666" s="1471"/>
      <c r="B666" s="885">
        <v>1006.9</v>
      </c>
      <c r="C666" s="885">
        <v>1006.903</v>
      </c>
      <c r="D666" s="880" t="s">
        <v>1453</v>
      </c>
    </row>
    <row r="667" spans="1:4" s="891" customFormat="1" ht="11.25" customHeight="1" x14ac:dyDescent="0.2">
      <c r="A667" s="1473"/>
      <c r="B667" s="887">
        <v>41100.160000000003</v>
      </c>
      <c r="C667" s="887">
        <v>38485.517700000004</v>
      </c>
      <c r="D667" s="886" t="s">
        <v>11</v>
      </c>
    </row>
    <row r="668" spans="1:4" s="891" customFormat="1" ht="11.25" customHeight="1" x14ac:dyDescent="0.2">
      <c r="A668" s="1472" t="s">
        <v>1637</v>
      </c>
      <c r="B668" s="888">
        <v>54</v>
      </c>
      <c r="C668" s="888">
        <v>54</v>
      </c>
      <c r="D668" s="882" t="s">
        <v>2607</v>
      </c>
    </row>
    <row r="669" spans="1:4" s="891" customFormat="1" ht="11.25" customHeight="1" x14ac:dyDescent="0.2">
      <c r="A669" s="1471"/>
      <c r="B669" s="885">
        <v>1.82</v>
      </c>
      <c r="C669" s="885">
        <v>1.8149999999999999</v>
      </c>
      <c r="D669" s="880" t="s">
        <v>1447</v>
      </c>
    </row>
    <row r="670" spans="1:4" s="891" customFormat="1" ht="11.25" customHeight="1" x14ac:dyDescent="0.2">
      <c r="A670" s="1471"/>
      <c r="B670" s="885">
        <v>581.71</v>
      </c>
      <c r="C670" s="885">
        <v>581.702</v>
      </c>
      <c r="D670" s="880" t="s">
        <v>2597</v>
      </c>
    </row>
    <row r="671" spans="1:4" s="891" customFormat="1" ht="11.25" customHeight="1" x14ac:dyDescent="0.2">
      <c r="A671" s="1471"/>
      <c r="B671" s="885">
        <v>16</v>
      </c>
      <c r="C671" s="885">
        <v>15.003</v>
      </c>
      <c r="D671" s="880" t="s">
        <v>1459</v>
      </c>
    </row>
    <row r="672" spans="1:4" s="891" customFormat="1" ht="11.25" customHeight="1" x14ac:dyDescent="0.2">
      <c r="A672" s="1471"/>
      <c r="B672" s="885">
        <v>31413</v>
      </c>
      <c r="C672" s="885">
        <v>31413</v>
      </c>
      <c r="D672" s="880" t="s">
        <v>1465</v>
      </c>
    </row>
    <row r="673" spans="1:4" s="891" customFormat="1" ht="11.25" customHeight="1" x14ac:dyDescent="0.2">
      <c r="A673" s="1471"/>
      <c r="B673" s="885">
        <v>4530</v>
      </c>
      <c r="C673" s="885">
        <v>4530</v>
      </c>
      <c r="D673" s="880" t="s">
        <v>2587</v>
      </c>
    </row>
    <row r="674" spans="1:4" s="891" customFormat="1" ht="11.25" customHeight="1" x14ac:dyDescent="0.2">
      <c r="A674" s="1471"/>
      <c r="B674" s="885">
        <v>945</v>
      </c>
      <c r="C674" s="885">
        <v>945</v>
      </c>
      <c r="D674" s="880" t="s">
        <v>2586</v>
      </c>
    </row>
    <row r="675" spans="1:4" s="891" customFormat="1" ht="11.25" customHeight="1" x14ac:dyDescent="0.2">
      <c r="A675" s="1471"/>
      <c r="B675" s="885">
        <v>100</v>
      </c>
      <c r="C675" s="885">
        <v>100</v>
      </c>
      <c r="D675" s="880" t="s">
        <v>1461</v>
      </c>
    </row>
    <row r="676" spans="1:4" s="891" customFormat="1" ht="11.25" customHeight="1" x14ac:dyDescent="0.2">
      <c r="A676" s="1471"/>
      <c r="B676" s="885">
        <v>797.82</v>
      </c>
      <c r="C676" s="885">
        <v>797.82399999999996</v>
      </c>
      <c r="D676" s="880" t="s">
        <v>2634</v>
      </c>
    </row>
    <row r="677" spans="1:4" s="891" customFormat="1" ht="11.25" customHeight="1" x14ac:dyDescent="0.2">
      <c r="A677" s="1471"/>
      <c r="B677" s="885">
        <v>156.05000000000001</v>
      </c>
      <c r="C677" s="885">
        <v>156.04499999999999</v>
      </c>
      <c r="D677" s="880" t="s">
        <v>1456</v>
      </c>
    </row>
    <row r="678" spans="1:4" s="891" customFormat="1" ht="11.25" customHeight="1" x14ac:dyDescent="0.2">
      <c r="A678" s="1471"/>
      <c r="B678" s="885">
        <v>1024.8499999999999</v>
      </c>
      <c r="C678" s="885">
        <v>1024.8530000000001</v>
      </c>
      <c r="D678" s="880" t="s">
        <v>1453</v>
      </c>
    </row>
    <row r="679" spans="1:4" s="891" customFormat="1" ht="11.25" customHeight="1" x14ac:dyDescent="0.2">
      <c r="A679" s="1473"/>
      <c r="B679" s="887">
        <v>39620.25</v>
      </c>
      <c r="C679" s="887">
        <v>39619.241999999998</v>
      </c>
      <c r="D679" s="886" t="s">
        <v>11</v>
      </c>
    </row>
    <row r="680" spans="1:4" s="891" customFormat="1" ht="11.25" customHeight="1" x14ac:dyDescent="0.2">
      <c r="A680" s="1472" t="s">
        <v>1651</v>
      </c>
      <c r="B680" s="888">
        <v>3.63</v>
      </c>
      <c r="C680" s="888">
        <v>3.6309999999999998</v>
      </c>
      <c r="D680" s="882" t="s">
        <v>1447</v>
      </c>
    </row>
    <row r="681" spans="1:4" s="891" customFormat="1" ht="11.25" customHeight="1" x14ac:dyDescent="0.2">
      <c r="A681" s="1471"/>
      <c r="B681" s="885">
        <v>2018.73</v>
      </c>
      <c r="C681" s="885">
        <v>1974.5175999999999</v>
      </c>
      <c r="D681" s="880" t="s">
        <v>2597</v>
      </c>
    </row>
    <row r="682" spans="1:4" s="891" customFormat="1" ht="11.25" customHeight="1" x14ac:dyDescent="0.2">
      <c r="A682" s="1471"/>
      <c r="B682" s="885">
        <v>269.97000000000003</v>
      </c>
      <c r="C682" s="885">
        <v>269.97000000000003</v>
      </c>
      <c r="D682" s="880" t="s">
        <v>2596</v>
      </c>
    </row>
    <row r="683" spans="1:4" s="891" customFormat="1" ht="21" x14ac:dyDescent="0.2">
      <c r="A683" s="1471"/>
      <c r="B683" s="885">
        <v>92.42</v>
      </c>
      <c r="C683" s="885">
        <v>91.350999999999999</v>
      </c>
      <c r="D683" s="880" t="s">
        <v>1446</v>
      </c>
    </row>
    <row r="684" spans="1:4" s="891" customFormat="1" ht="11.25" customHeight="1" x14ac:dyDescent="0.2">
      <c r="A684" s="1471"/>
      <c r="B684" s="885">
        <v>14923</v>
      </c>
      <c r="C684" s="885">
        <v>14923</v>
      </c>
      <c r="D684" s="880" t="s">
        <v>1465</v>
      </c>
    </row>
    <row r="685" spans="1:4" s="891" customFormat="1" ht="11.25" customHeight="1" x14ac:dyDescent="0.2">
      <c r="A685" s="1471"/>
      <c r="B685" s="885">
        <v>2089</v>
      </c>
      <c r="C685" s="885">
        <v>2089</v>
      </c>
      <c r="D685" s="880" t="s">
        <v>2587</v>
      </c>
    </row>
    <row r="686" spans="1:4" s="891" customFormat="1" ht="11.25" customHeight="1" x14ac:dyDescent="0.2">
      <c r="A686" s="1471"/>
      <c r="B686" s="885">
        <v>406</v>
      </c>
      <c r="C686" s="885">
        <v>406</v>
      </c>
      <c r="D686" s="880" t="s">
        <v>2586</v>
      </c>
    </row>
    <row r="687" spans="1:4" s="891" customFormat="1" ht="11.25" customHeight="1" x14ac:dyDescent="0.2">
      <c r="A687" s="1471"/>
      <c r="B687" s="885">
        <v>250</v>
      </c>
      <c r="C687" s="885">
        <v>250</v>
      </c>
      <c r="D687" s="880" t="s">
        <v>2615</v>
      </c>
    </row>
    <row r="688" spans="1:4" s="891" customFormat="1" ht="11.25" customHeight="1" x14ac:dyDescent="0.2">
      <c r="A688" s="1471"/>
      <c r="B688" s="885">
        <v>75.39</v>
      </c>
      <c r="C688" s="885">
        <v>75.385999999999996</v>
      </c>
      <c r="D688" s="880" t="s">
        <v>1456</v>
      </c>
    </row>
    <row r="689" spans="1:4" s="891" customFormat="1" ht="11.25" customHeight="1" x14ac:dyDescent="0.2">
      <c r="A689" s="1471"/>
      <c r="B689" s="885">
        <v>536.47</v>
      </c>
      <c r="C689" s="885">
        <v>536.471</v>
      </c>
      <c r="D689" s="880" t="s">
        <v>1453</v>
      </c>
    </row>
    <row r="690" spans="1:4" s="891" customFormat="1" ht="11.25" customHeight="1" x14ac:dyDescent="0.2">
      <c r="A690" s="1473"/>
      <c r="B690" s="887">
        <v>20664.61</v>
      </c>
      <c r="C690" s="887">
        <v>20619.3266</v>
      </c>
      <c r="D690" s="886" t="s">
        <v>11</v>
      </c>
    </row>
    <row r="691" spans="1:4" s="891" customFormat="1" ht="11.25" customHeight="1" x14ac:dyDescent="0.2">
      <c r="A691" s="1471" t="s">
        <v>1639</v>
      </c>
      <c r="B691" s="885">
        <v>12527</v>
      </c>
      <c r="C691" s="885">
        <v>12527</v>
      </c>
      <c r="D691" s="880" t="s">
        <v>1465</v>
      </c>
    </row>
    <row r="692" spans="1:4" s="891" customFormat="1" ht="11.25" customHeight="1" x14ac:dyDescent="0.2">
      <c r="A692" s="1471"/>
      <c r="B692" s="885">
        <v>3145</v>
      </c>
      <c r="C692" s="885">
        <v>3145</v>
      </c>
      <c r="D692" s="880" t="s">
        <v>2587</v>
      </c>
    </row>
    <row r="693" spans="1:4" s="891" customFormat="1" ht="11.25" customHeight="1" x14ac:dyDescent="0.2">
      <c r="A693" s="1471"/>
      <c r="B693" s="885">
        <v>390</v>
      </c>
      <c r="C693" s="885">
        <v>390</v>
      </c>
      <c r="D693" s="880" t="s">
        <v>2586</v>
      </c>
    </row>
    <row r="694" spans="1:4" s="891" customFormat="1" ht="11.25" customHeight="1" x14ac:dyDescent="0.2">
      <c r="A694" s="1471"/>
      <c r="B694" s="885">
        <v>62.36</v>
      </c>
      <c r="C694" s="885">
        <v>62.360999999999997</v>
      </c>
      <c r="D694" s="880" t="s">
        <v>1456</v>
      </c>
    </row>
    <row r="695" spans="1:4" s="891" customFormat="1" ht="11.25" customHeight="1" x14ac:dyDescent="0.2">
      <c r="A695" s="1471"/>
      <c r="B695" s="885">
        <v>420.32</v>
      </c>
      <c r="C695" s="885">
        <v>420.31700000000001</v>
      </c>
      <c r="D695" s="880" t="s">
        <v>1453</v>
      </c>
    </row>
    <row r="696" spans="1:4" s="891" customFormat="1" ht="11.25" customHeight="1" x14ac:dyDescent="0.2">
      <c r="A696" s="1471"/>
      <c r="B696" s="885">
        <v>16544.68</v>
      </c>
      <c r="C696" s="885">
        <v>16544.678</v>
      </c>
      <c r="D696" s="880" t="s">
        <v>11</v>
      </c>
    </row>
    <row r="697" spans="1:4" s="891" customFormat="1" ht="11.25" customHeight="1" x14ac:dyDescent="0.2">
      <c r="A697" s="1472" t="s">
        <v>1708</v>
      </c>
      <c r="B697" s="888">
        <v>340.36</v>
      </c>
      <c r="C697" s="888">
        <v>340.34688999999997</v>
      </c>
      <c r="D697" s="882" t="s">
        <v>2608</v>
      </c>
    </row>
    <row r="698" spans="1:4" s="891" customFormat="1" ht="11.25" customHeight="1" x14ac:dyDescent="0.2">
      <c r="A698" s="1471"/>
      <c r="B698" s="885">
        <v>296.74</v>
      </c>
      <c r="C698" s="885">
        <v>296.74200000000002</v>
      </c>
      <c r="D698" s="880" t="s">
        <v>2597</v>
      </c>
    </row>
    <row r="699" spans="1:4" s="891" customFormat="1" ht="11.25" customHeight="1" x14ac:dyDescent="0.2">
      <c r="A699" s="1471"/>
      <c r="B699" s="885">
        <v>10</v>
      </c>
      <c r="C699" s="885">
        <v>10</v>
      </c>
      <c r="D699" s="880" t="s">
        <v>2589</v>
      </c>
    </row>
    <row r="700" spans="1:4" s="891" customFormat="1" ht="11.25" customHeight="1" x14ac:dyDescent="0.2">
      <c r="A700" s="1471"/>
      <c r="B700" s="885">
        <v>33.799999999999997</v>
      </c>
      <c r="C700" s="885">
        <v>12.066000000000003</v>
      </c>
      <c r="D700" s="880" t="s">
        <v>1459</v>
      </c>
    </row>
    <row r="701" spans="1:4" s="891" customFormat="1" ht="11.25" customHeight="1" x14ac:dyDescent="0.2">
      <c r="A701" s="1471"/>
      <c r="B701" s="885">
        <v>18596</v>
      </c>
      <c r="C701" s="885">
        <v>18596</v>
      </c>
      <c r="D701" s="880" t="s">
        <v>1465</v>
      </c>
    </row>
    <row r="702" spans="1:4" s="891" customFormat="1" ht="11.25" customHeight="1" x14ac:dyDescent="0.2">
      <c r="A702" s="1471"/>
      <c r="B702" s="885">
        <v>1844</v>
      </c>
      <c r="C702" s="885">
        <v>1844</v>
      </c>
      <c r="D702" s="880" t="s">
        <v>2587</v>
      </c>
    </row>
    <row r="703" spans="1:4" s="891" customFormat="1" ht="11.25" customHeight="1" x14ac:dyDescent="0.2">
      <c r="A703" s="1471"/>
      <c r="B703" s="885">
        <v>375</v>
      </c>
      <c r="C703" s="885">
        <v>375</v>
      </c>
      <c r="D703" s="880" t="s">
        <v>2586</v>
      </c>
    </row>
    <row r="704" spans="1:4" s="891" customFormat="1" ht="11.25" customHeight="1" x14ac:dyDescent="0.2">
      <c r="A704" s="1471"/>
      <c r="B704" s="885">
        <v>94.99</v>
      </c>
      <c r="C704" s="885">
        <v>94.984999999999999</v>
      </c>
      <c r="D704" s="880" t="s">
        <v>1456</v>
      </c>
    </row>
    <row r="705" spans="1:4" s="891" customFormat="1" ht="11.25" customHeight="1" x14ac:dyDescent="0.2">
      <c r="A705" s="1471"/>
      <c r="B705" s="885">
        <v>441.82</v>
      </c>
      <c r="C705" s="885">
        <v>441.815</v>
      </c>
      <c r="D705" s="880" t="s">
        <v>1453</v>
      </c>
    </row>
    <row r="706" spans="1:4" s="891" customFormat="1" ht="11.25" customHeight="1" x14ac:dyDescent="0.2">
      <c r="A706" s="1473"/>
      <c r="B706" s="887">
        <v>22032.710000000003</v>
      </c>
      <c r="C706" s="887">
        <v>22010.954889999997</v>
      </c>
      <c r="D706" s="886" t="s">
        <v>11</v>
      </c>
    </row>
    <row r="707" spans="1:4" s="891" customFormat="1" ht="11.25" customHeight="1" x14ac:dyDescent="0.2">
      <c r="A707" s="1471" t="s">
        <v>1703</v>
      </c>
      <c r="B707" s="885">
        <v>32.700000000000003</v>
      </c>
      <c r="C707" s="885">
        <v>28.818999999999999</v>
      </c>
      <c r="D707" s="880" t="s">
        <v>1459</v>
      </c>
    </row>
    <row r="708" spans="1:4" s="891" customFormat="1" ht="11.25" customHeight="1" x14ac:dyDescent="0.2">
      <c r="A708" s="1471"/>
      <c r="B708" s="885">
        <v>15764</v>
      </c>
      <c r="C708" s="885">
        <v>15764</v>
      </c>
      <c r="D708" s="880" t="s">
        <v>1465</v>
      </c>
    </row>
    <row r="709" spans="1:4" s="891" customFormat="1" ht="11.25" customHeight="1" x14ac:dyDescent="0.2">
      <c r="A709" s="1471"/>
      <c r="B709" s="885">
        <v>1618</v>
      </c>
      <c r="C709" s="885">
        <v>1618</v>
      </c>
      <c r="D709" s="880" t="s">
        <v>2587</v>
      </c>
    </row>
    <row r="710" spans="1:4" s="891" customFormat="1" ht="11.25" customHeight="1" x14ac:dyDescent="0.2">
      <c r="A710" s="1471"/>
      <c r="B710" s="885">
        <v>189</v>
      </c>
      <c r="C710" s="885">
        <v>189</v>
      </c>
      <c r="D710" s="880" t="s">
        <v>2586</v>
      </c>
    </row>
    <row r="711" spans="1:4" s="891" customFormat="1" ht="11.25" customHeight="1" x14ac:dyDescent="0.2">
      <c r="A711" s="1471"/>
      <c r="B711" s="885">
        <v>10</v>
      </c>
      <c r="C711" s="885">
        <v>10</v>
      </c>
      <c r="D711" s="880" t="s">
        <v>2600</v>
      </c>
    </row>
    <row r="712" spans="1:4" s="891" customFormat="1" ht="11.25" customHeight="1" x14ac:dyDescent="0.2">
      <c r="A712" s="1471"/>
      <c r="B712" s="885">
        <v>80.64</v>
      </c>
      <c r="C712" s="885">
        <v>80.643000000000001</v>
      </c>
      <c r="D712" s="880" t="s">
        <v>1456</v>
      </c>
    </row>
    <row r="713" spans="1:4" s="891" customFormat="1" ht="11.25" customHeight="1" x14ac:dyDescent="0.2">
      <c r="A713" s="1471"/>
      <c r="B713" s="885">
        <v>400.83</v>
      </c>
      <c r="C713" s="885">
        <v>400.82799999999997</v>
      </c>
      <c r="D713" s="880" t="s">
        <v>1453</v>
      </c>
    </row>
    <row r="714" spans="1:4" s="891" customFormat="1" ht="11.25" customHeight="1" x14ac:dyDescent="0.2">
      <c r="A714" s="1471"/>
      <c r="B714" s="885">
        <v>18095.170000000002</v>
      </c>
      <c r="C714" s="885">
        <v>18091.29</v>
      </c>
      <c r="D714" s="880" t="s">
        <v>11</v>
      </c>
    </row>
    <row r="715" spans="1:4" s="891" customFormat="1" ht="11.25" customHeight="1" x14ac:dyDescent="0.2">
      <c r="A715" s="1472" t="s">
        <v>1834</v>
      </c>
      <c r="B715" s="888">
        <v>21</v>
      </c>
      <c r="C715" s="888">
        <v>21</v>
      </c>
      <c r="D715" s="882" t="s">
        <v>1448</v>
      </c>
    </row>
    <row r="716" spans="1:4" s="891" customFormat="1" ht="11.25" customHeight="1" x14ac:dyDescent="0.2">
      <c r="A716" s="1471"/>
      <c r="B716" s="885">
        <v>3931</v>
      </c>
      <c r="C716" s="885">
        <v>3931</v>
      </c>
      <c r="D716" s="880" t="s">
        <v>1465</v>
      </c>
    </row>
    <row r="717" spans="1:4" s="891" customFormat="1" ht="11.25" customHeight="1" x14ac:dyDescent="0.2">
      <c r="A717" s="1471"/>
      <c r="B717" s="885">
        <v>691</v>
      </c>
      <c r="C717" s="885">
        <v>691</v>
      </c>
      <c r="D717" s="880" t="s">
        <v>2587</v>
      </c>
    </row>
    <row r="718" spans="1:4" s="891" customFormat="1" ht="11.25" customHeight="1" x14ac:dyDescent="0.2">
      <c r="A718" s="1471"/>
      <c r="B718" s="885">
        <v>34</v>
      </c>
      <c r="C718" s="885">
        <v>34</v>
      </c>
      <c r="D718" s="880" t="s">
        <v>2586</v>
      </c>
    </row>
    <row r="719" spans="1:4" s="891" customFormat="1" ht="11.25" customHeight="1" x14ac:dyDescent="0.2">
      <c r="A719" s="1471"/>
      <c r="B719" s="885">
        <v>19.68</v>
      </c>
      <c r="C719" s="885">
        <v>19.675000000000001</v>
      </c>
      <c r="D719" s="880" t="s">
        <v>1456</v>
      </c>
    </row>
    <row r="720" spans="1:4" s="891" customFormat="1" ht="11.25" customHeight="1" x14ac:dyDescent="0.2">
      <c r="A720" s="1471"/>
      <c r="B720" s="885">
        <v>127.16</v>
      </c>
      <c r="C720" s="885">
        <v>127.16200000000001</v>
      </c>
      <c r="D720" s="880" t="s">
        <v>1453</v>
      </c>
    </row>
    <row r="721" spans="1:4" s="891" customFormat="1" ht="11.25" customHeight="1" x14ac:dyDescent="0.2">
      <c r="A721" s="1473"/>
      <c r="B721" s="887">
        <v>4823.84</v>
      </c>
      <c r="C721" s="887">
        <v>4823.8370000000004</v>
      </c>
      <c r="D721" s="886" t="s">
        <v>11</v>
      </c>
    </row>
    <row r="722" spans="1:4" s="891" customFormat="1" ht="11.25" customHeight="1" x14ac:dyDescent="0.2">
      <c r="A722" s="1471" t="s">
        <v>1833</v>
      </c>
      <c r="B722" s="885">
        <v>21</v>
      </c>
      <c r="C722" s="885">
        <v>21</v>
      </c>
      <c r="D722" s="880" t="s">
        <v>1448</v>
      </c>
    </row>
    <row r="723" spans="1:4" s="891" customFormat="1" ht="11.25" customHeight="1" x14ac:dyDescent="0.2">
      <c r="A723" s="1471"/>
      <c r="B723" s="885">
        <v>40</v>
      </c>
      <c r="C723" s="885">
        <v>0</v>
      </c>
      <c r="D723" s="880" t="s">
        <v>2633</v>
      </c>
    </row>
    <row r="724" spans="1:4" s="891" customFormat="1" ht="11.25" customHeight="1" x14ac:dyDescent="0.2">
      <c r="A724" s="1471"/>
      <c r="B724" s="885">
        <v>8194</v>
      </c>
      <c r="C724" s="885">
        <v>8194</v>
      </c>
      <c r="D724" s="880" t="s">
        <v>1465</v>
      </c>
    </row>
    <row r="725" spans="1:4" s="891" customFormat="1" ht="11.25" customHeight="1" x14ac:dyDescent="0.2">
      <c r="A725" s="1471"/>
      <c r="B725" s="885">
        <v>896</v>
      </c>
      <c r="C725" s="885">
        <v>896</v>
      </c>
      <c r="D725" s="880" t="s">
        <v>2587</v>
      </c>
    </row>
    <row r="726" spans="1:4" s="891" customFormat="1" ht="11.25" customHeight="1" x14ac:dyDescent="0.2">
      <c r="A726" s="1471"/>
      <c r="B726" s="885">
        <v>37</v>
      </c>
      <c r="C726" s="885">
        <v>37</v>
      </c>
      <c r="D726" s="880" t="s">
        <v>2586</v>
      </c>
    </row>
    <row r="727" spans="1:4" s="891" customFormat="1" ht="11.25" customHeight="1" x14ac:dyDescent="0.2">
      <c r="A727" s="1471"/>
      <c r="B727" s="885">
        <v>41.02</v>
      </c>
      <c r="C727" s="885">
        <v>41.021000000000001</v>
      </c>
      <c r="D727" s="880" t="s">
        <v>1456</v>
      </c>
    </row>
    <row r="728" spans="1:4" s="891" customFormat="1" ht="11.25" customHeight="1" x14ac:dyDescent="0.2">
      <c r="A728" s="1471"/>
      <c r="B728" s="885">
        <v>254.09</v>
      </c>
      <c r="C728" s="885">
        <v>254.089</v>
      </c>
      <c r="D728" s="880" t="s">
        <v>1453</v>
      </c>
    </row>
    <row r="729" spans="1:4" s="891" customFormat="1" ht="11.25" customHeight="1" x14ac:dyDescent="0.2">
      <c r="A729" s="1471"/>
      <c r="B729" s="885">
        <v>9483.11</v>
      </c>
      <c r="C729" s="885">
        <v>9443.11</v>
      </c>
      <c r="D729" s="880" t="s">
        <v>11</v>
      </c>
    </row>
    <row r="730" spans="1:4" s="891" customFormat="1" ht="11.25" customHeight="1" x14ac:dyDescent="0.2">
      <c r="A730" s="1472" t="s">
        <v>1823</v>
      </c>
      <c r="B730" s="888">
        <v>41.85</v>
      </c>
      <c r="C730" s="888">
        <v>41.85</v>
      </c>
      <c r="D730" s="882" t="s">
        <v>2596</v>
      </c>
    </row>
    <row r="731" spans="1:4" s="891" customFormat="1" ht="11.25" customHeight="1" x14ac:dyDescent="0.2">
      <c r="A731" s="1471"/>
      <c r="B731" s="885">
        <v>21</v>
      </c>
      <c r="C731" s="885">
        <v>21</v>
      </c>
      <c r="D731" s="880" t="s">
        <v>1448</v>
      </c>
    </row>
    <row r="732" spans="1:4" s="891" customFormat="1" ht="11.25" customHeight="1" x14ac:dyDescent="0.2">
      <c r="A732" s="1471"/>
      <c r="B732" s="885">
        <v>9588</v>
      </c>
      <c r="C732" s="885">
        <v>9588</v>
      </c>
      <c r="D732" s="880" t="s">
        <v>1465</v>
      </c>
    </row>
    <row r="733" spans="1:4" s="891" customFormat="1" ht="11.25" customHeight="1" x14ac:dyDescent="0.2">
      <c r="A733" s="1471"/>
      <c r="B733" s="885">
        <v>998</v>
      </c>
      <c r="C733" s="885">
        <v>998</v>
      </c>
      <c r="D733" s="880" t="s">
        <v>2587</v>
      </c>
    </row>
    <row r="734" spans="1:4" s="891" customFormat="1" ht="11.25" customHeight="1" x14ac:dyDescent="0.2">
      <c r="A734" s="1471"/>
      <c r="B734" s="885">
        <v>24</v>
      </c>
      <c r="C734" s="885">
        <v>24</v>
      </c>
      <c r="D734" s="880" t="s">
        <v>2586</v>
      </c>
    </row>
    <row r="735" spans="1:4" s="891" customFormat="1" ht="11.25" customHeight="1" x14ac:dyDescent="0.2">
      <c r="A735" s="1471"/>
      <c r="B735" s="885">
        <v>48.2</v>
      </c>
      <c r="C735" s="885">
        <v>48.195</v>
      </c>
      <c r="D735" s="880" t="s">
        <v>1456</v>
      </c>
    </row>
    <row r="736" spans="1:4" s="891" customFormat="1" ht="11.25" customHeight="1" x14ac:dyDescent="0.2">
      <c r="A736" s="1471"/>
      <c r="B736" s="885">
        <v>280.48</v>
      </c>
      <c r="C736" s="885">
        <v>280.47899999999998</v>
      </c>
      <c r="D736" s="880" t="s">
        <v>1453</v>
      </c>
    </row>
    <row r="737" spans="1:4" s="891" customFormat="1" ht="11.25" customHeight="1" x14ac:dyDescent="0.2">
      <c r="A737" s="1473"/>
      <c r="B737" s="887">
        <v>11001.53</v>
      </c>
      <c r="C737" s="887">
        <v>11001.523999999999</v>
      </c>
      <c r="D737" s="886" t="s">
        <v>11</v>
      </c>
    </row>
    <row r="738" spans="1:4" s="891" customFormat="1" ht="11.25" customHeight="1" x14ac:dyDescent="0.2">
      <c r="A738" s="1471" t="s">
        <v>1824</v>
      </c>
      <c r="B738" s="885">
        <v>15</v>
      </c>
      <c r="C738" s="885">
        <v>15</v>
      </c>
      <c r="D738" s="880" t="s">
        <v>1448</v>
      </c>
    </row>
    <row r="739" spans="1:4" s="891" customFormat="1" ht="11.25" customHeight="1" x14ac:dyDescent="0.2">
      <c r="A739" s="1471"/>
      <c r="B739" s="885">
        <v>5951</v>
      </c>
      <c r="C739" s="885">
        <v>5951</v>
      </c>
      <c r="D739" s="880" t="s">
        <v>1465</v>
      </c>
    </row>
    <row r="740" spans="1:4" s="891" customFormat="1" ht="11.25" customHeight="1" x14ac:dyDescent="0.2">
      <c r="A740" s="1471"/>
      <c r="B740" s="885">
        <v>1193</v>
      </c>
      <c r="C740" s="885">
        <v>1193</v>
      </c>
      <c r="D740" s="880" t="s">
        <v>2587</v>
      </c>
    </row>
    <row r="741" spans="1:4" s="891" customFormat="1" ht="11.25" customHeight="1" x14ac:dyDescent="0.2">
      <c r="A741" s="1471"/>
      <c r="B741" s="885">
        <v>6</v>
      </c>
      <c r="C741" s="885">
        <v>6</v>
      </c>
      <c r="D741" s="880" t="s">
        <v>2586</v>
      </c>
    </row>
    <row r="742" spans="1:4" s="891" customFormat="1" ht="11.25" customHeight="1" x14ac:dyDescent="0.2">
      <c r="A742" s="1471"/>
      <c r="B742" s="885">
        <v>29.53</v>
      </c>
      <c r="C742" s="885">
        <v>29.533999999999999</v>
      </c>
      <c r="D742" s="880" t="s">
        <v>1456</v>
      </c>
    </row>
    <row r="743" spans="1:4" s="891" customFormat="1" ht="11.25" customHeight="1" x14ac:dyDescent="0.2">
      <c r="A743" s="1471"/>
      <c r="B743" s="885">
        <v>196.14</v>
      </c>
      <c r="C743" s="885">
        <v>196.142</v>
      </c>
      <c r="D743" s="880" t="s">
        <v>1453</v>
      </c>
    </row>
    <row r="744" spans="1:4" s="891" customFormat="1" ht="11.25" customHeight="1" x14ac:dyDescent="0.2">
      <c r="A744" s="1471"/>
      <c r="B744" s="885">
        <v>7390.68</v>
      </c>
      <c r="C744" s="885">
        <v>7390.6759999999995</v>
      </c>
      <c r="D744" s="880" t="s">
        <v>11</v>
      </c>
    </row>
    <row r="745" spans="1:4" s="891" customFormat="1" ht="11.25" customHeight="1" x14ac:dyDescent="0.2">
      <c r="A745" s="1472" t="s">
        <v>1830</v>
      </c>
      <c r="B745" s="888">
        <v>21</v>
      </c>
      <c r="C745" s="888">
        <v>21</v>
      </c>
      <c r="D745" s="882" t="s">
        <v>1448</v>
      </c>
    </row>
    <row r="746" spans="1:4" s="891" customFormat="1" ht="11.25" customHeight="1" x14ac:dyDescent="0.2">
      <c r="A746" s="1471"/>
      <c r="B746" s="885">
        <v>7018</v>
      </c>
      <c r="C746" s="885">
        <v>7018</v>
      </c>
      <c r="D746" s="880" t="s">
        <v>1465</v>
      </c>
    </row>
    <row r="747" spans="1:4" s="891" customFormat="1" ht="11.25" customHeight="1" x14ac:dyDescent="0.2">
      <c r="A747" s="1471"/>
      <c r="B747" s="885">
        <v>641</v>
      </c>
      <c r="C747" s="885">
        <v>641</v>
      </c>
      <c r="D747" s="880" t="s">
        <v>2587</v>
      </c>
    </row>
    <row r="748" spans="1:4" s="891" customFormat="1" ht="11.25" customHeight="1" x14ac:dyDescent="0.2">
      <c r="A748" s="1471"/>
      <c r="B748" s="885">
        <v>31</v>
      </c>
      <c r="C748" s="885">
        <v>31</v>
      </c>
      <c r="D748" s="880" t="s">
        <v>2586</v>
      </c>
    </row>
    <row r="749" spans="1:4" s="891" customFormat="1" ht="11.25" customHeight="1" x14ac:dyDescent="0.2">
      <c r="A749" s="1471"/>
      <c r="B749" s="885">
        <v>35.229999999999997</v>
      </c>
      <c r="C749" s="885">
        <v>35.231999999999999</v>
      </c>
      <c r="D749" s="880" t="s">
        <v>1456</v>
      </c>
    </row>
    <row r="750" spans="1:4" s="891" customFormat="1" ht="11.25" customHeight="1" x14ac:dyDescent="0.2">
      <c r="A750" s="1471"/>
      <c r="B750" s="885">
        <v>238.75</v>
      </c>
      <c r="C750" s="885">
        <v>238.74799999999999</v>
      </c>
      <c r="D750" s="880" t="s">
        <v>1453</v>
      </c>
    </row>
    <row r="751" spans="1:4" s="891" customFormat="1" ht="11.25" customHeight="1" x14ac:dyDescent="0.2">
      <c r="A751" s="1473"/>
      <c r="B751" s="887">
        <v>7984.98</v>
      </c>
      <c r="C751" s="887">
        <v>7984.98</v>
      </c>
      <c r="D751" s="886" t="s">
        <v>11</v>
      </c>
    </row>
    <row r="752" spans="1:4" s="891" customFormat="1" ht="11.25" customHeight="1" x14ac:dyDescent="0.2">
      <c r="A752" s="1471" t="s">
        <v>1820</v>
      </c>
      <c r="B752" s="885">
        <v>21</v>
      </c>
      <c r="C752" s="885">
        <v>21</v>
      </c>
      <c r="D752" s="880" t="s">
        <v>1448</v>
      </c>
    </row>
    <row r="753" spans="1:4" s="891" customFormat="1" ht="11.25" customHeight="1" x14ac:dyDescent="0.2">
      <c r="A753" s="1471"/>
      <c r="B753" s="885">
        <v>13797</v>
      </c>
      <c r="C753" s="885">
        <v>13797</v>
      </c>
      <c r="D753" s="880" t="s">
        <v>1465</v>
      </c>
    </row>
    <row r="754" spans="1:4" s="891" customFormat="1" ht="11.25" customHeight="1" x14ac:dyDescent="0.2">
      <c r="A754" s="1471"/>
      <c r="B754" s="885">
        <v>1393</v>
      </c>
      <c r="C754" s="885">
        <v>1393</v>
      </c>
      <c r="D754" s="880" t="s">
        <v>2587</v>
      </c>
    </row>
    <row r="755" spans="1:4" s="891" customFormat="1" ht="11.25" customHeight="1" x14ac:dyDescent="0.2">
      <c r="A755" s="1471"/>
      <c r="B755" s="885">
        <v>22</v>
      </c>
      <c r="C755" s="885">
        <v>22</v>
      </c>
      <c r="D755" s="880" t="s">
        <v>2586</v>
      </c>
    </row>
    <row r="756" spans="1:4" s="891" customFormat="1" ht="11.25" customHeight="1" x14ac:dyDescent="0.2">
      <c r="A756" s="1471"/>
      <c r="B756" s="885">
        <v>69.39</v>
      </c>
      <c r="C756" s="885">
        <v>69.387</v>
      </c>
      <c r="D756" s="880" t="s">
        <v>1456</v>
      </c>
    </row>
    <row r="757" spans="1:4" s="891" customFormat="1" ht="11.25" customHeight="1" x14ac:dyDescent="0.2">
      <c r="A757" s="1471"/>
      <c r="B757" s="885">
        <v>422.25</v>
      </c>
      <c r="C757" s="885">
        <v>422.245</v>
      </c>
      <c r="D757" s="880" t="s">
        <v>1453</v>
      </c>
    </row>
    <row r="758" spans="1:4" s="891" customFormat="1" ht="11.25" customHeight="1" x14ac:dyDescent="0.2">
      <c r="A758" s="1471"/>
      <c r="B758" s="885">
        <v>15724.64</v>
      </c>
      <c r="C758" s="885">
        <v>15724.632000000001</v>
      </c>
      <c r="D758" s="880" t="s">
        <v>11</v>
      </c>
    </row>
    <row r="759" spans="1:4" s="891" customFormat="1" ht="11.25" customHeight="1" x14ac:dyDescent="0.2">
      <c r="A759" s="1472" t="s">
        <v>1596</v>
      </c>
      <c r="B759" s="888">
        <v>987.81999999999994</v>
      </c>
      <c r="C759" s="888">
        <v>987.82</v>
      </c>
      <c r="D759" s="882" t="s">
        <v>2597</v>
      </c>
    </row>
    <row r="760" spans="1:4" s="891" customFormat="1" ht="11.25" customHeight="1" x14ac:dyDescent="0.2">
      <c r="A760" s="1471"/>
      <c r="B760" s="885">
        <v>57</v>
      </c>
      <c r="C760" s="885">
        <v>57</v>
      </c>
      <c r="D760" s="880" t="s">
        <v>540</v>
      </c>
    </row>
    <row r="761" spans="1:4" s="891" customFormat="1" ht="11.25" customHeight="1" x14ac:dyDescent="0.2">
      <c r="A761" s="1471"/>
      <c r="B761" s="885">
        <v>15899</v>
      </c>
      <c r="C761" s="885">
        <v>15899</v>
      </c>
      <c r="D761" s="880" t="s">
        <v>1465</v>
      </c>
    </row>
    <row r="762" spans="1:4" s="891" customFormat="1" ht="11.25" customHeight="1" x14ac:dyDescent="0.2">
      <c r="A762" s="1471"/>
      <c r="B762" s="885">
        <v>2671</v>
      </c>
      <c r="C762" s="885">
        <v>2671</v>
      </c>
      <c r="D762" s="880" t="s">
        <v>2587</v>
      </c>
    </row>
    <row r="763" spans="1:4" s="891" customFormat="1" ht="11.25" customHeight="1" x14ac:dyDescent="0.2">
      <c r="A763" s="1471"/>
      <c r="B763" s="885">
        <v>562</v>
      </c>
      <c r="C763" s="885">
        <v>561.67304000000001</v>
      </c>
      <c r="D763" s="880" t="s">
        <v>2586</v>
      </c>
    </row>
    <row r="764" spans="1:4" s="891" customFormat="1" ht="11.25" customHeight="1" x14ac:dyDescent="0.2">
      <c r="A764" s="1471"/>
      <c r="B764" s="885">
        <v>80.34</v>
      </c>
      <c r="C764" s="885">
        <v>80.343999999999994</v>
      </c>
      <c r="D764" s="880" t="s">
        <v>1456</v>
      </c>
    </row>
    <row r="765" spans="1:4" s="891" customFormat="1" ht="11.25" customHeight="1" x14ac:dyDescent="0.2">
      <c r="A765" s="1471"/>
      <c r="B765" s="885">
        <v>500.93</v>
      </c>
      <c r="C765" s="885">
        <v>500.92899999999997</v>
      </c>
      <c r="D765" s="880" t="s">
        <v>1453</v>
      </c>
    </row>
    <row r="766" spans="1:4" s="891" customFormat="1" ht="11.25" customHeight="1" x14ac:dyDescent="0.2">
      <c r="A766" s="1473"/>
      <c r="B766" s="887">
        <v>20758.09</v>
      </c>
      <c r="C766" s="887">
        <v>20757.766040000002</v>
      </c>
      <c r="D766" s="886" t="s">
        <v>11</v>
      </c>
    </row>
    <row r="767" spans="1:4" s="891" customFormat="1" ht="11.25" customHeight="1" x14ac:dyDescent="0.2">
      <c r="A767" s="1471" t="s">
        <v>1613</v>
      </c>
      <c r="B767" s="885">
        <v>74</v>
      </c>
      <c r="C767" s="885">
        <v>74</v>
      </c>
      <c r="D767" s="880" t="s">
        <v>2607</v>
      </c>
    </row>
    <row r="768" spans="1:4" s="891" customFormat="1" ht="11.25" customHeight="1" x14ac:dyDescent="0.2">
      <c r="A768" s="1471"/>
      <c r="B768" s="885">
        <v>68.989999999999995</v>
      </c>
      <c r="C768" s="885">
        <v>68.986999999999995</v>
      </c>
      <c r="D768" s="880" t="s">
        <v>1447</v>
      </c>
    </row>
    <row r="769" spans="1:4" s="891" customFormat="1" ht="11.25" customHeight="1" x14ac:dyDescent="0.2">
      <c r="A769" s="1471"/>
      <c r="B769" s="885">
        <v>999.78</v>
      </c>
      <c r="C769" s="885">
        <v>999.77599999999995</v>
      </c>
      <c r="D769" s="880" t="s">
        <v>2597</v>
      </c>
    </row>
    <row r="770" spans="1:4" s="891" customFormat="1" ht="11.25" customHeight="1" x14ac:dyDescent="0.2">
      <c r="A770" s="1471"/>
      <c r="B770" s="885">
        <v>125</v>
      </c>
      <c r="C770" s="885">
        <v>125</v>
      </c>
      <c r="D770" s="880" t="s">
        <v>2632</v>
      </c>
    </row>
    <row r="771" spans="1:4" s="891" customFormat="1" ht="11.25" customHeight="1" x14ac:dyDescent="0.2">
      <c r="A771" s="1471"/>
      <c r="B771" s="885">
        <v>15841</v>
      </c>
      <c r="C771" s="885">
        <v>15841</v>
      </c>
      <c r="D771" s="880" t="s">
        <v>1465</v>
      </c>
    </row>
    <row r="772" spans="1:4" s="891" customFormat="1" ht="11.25" customHeight="1" x14ac:dyDescent="0.2">
      <c r="A772" s="1471"/>
      <c r="B772" s="885">
        <v>3074</v>
      </c>
      <c r="C772" s="885">
        <v>3074</v>
      </c>
      <c r="D772" s="880" t="s">
        <v>2587</v>
      </c>
    </row>
    <row r="773" spans="1:4" s="891" customFormat="1" ht="11.25" customHeight="1" x14ac:dyDescent="0.2">
      <c r="A773" s="1471"/>
      <c r="B773" s="885">
        <v>224</v>
      </c>
      <c r="C773" s="885">
        <v>224</v>
      </c>
      <c r="D773" s="880" t="s">
        <v>2586</v>
      </c>
    </row>
    <row r="774" spans="1:4" s="891" customFormat="1" ht="11.25" customHeight="1" x14ac:dyDescent="0.2">
      <c r="A774" s="1471"/>
      <c r="B774" s="885">
        <v>79.03</v>
      </c>
      <c r="C774" s="885">
        <v>79.028999999999996</v>
      </c>
      <c r="D774" s="880" t="s">
        <v>1456</v>
      </c>
    </row>
    <row r="775" spans="1:4" s="891" customFormat="1" ht="11.25" customHeight="1" x14ac:dyDescent="0.2">
      <c r="A775" s="1471"/>
      <c r="B775" s="885">
        <v>493.59</v>
      </c>
      <c r="C775" s="885">
        <v>493.589</v>
      </c>
      <c r="D775" s="880" t="s">
        <v>1453</v>
      </c>
    </row>
    <row r="776" spans="1:4" s="891" customFormat="1" ht="11.25" customHeight="1" x14ac:dyDescent="0.2">
      <c r="A776" s="1471"/>
      <c r="B776" s="885">
        <v>20979.39</v>
      </c>
      <c r="C776" s="885">
        <v>20979.380999999998</v>
      </c>
      <c r="D776" s="880" t="s">
        <v>11</v>
      </c>
    </row>
    <row r="777" spans="1:4" s="891" customFormat="1" ht="11.25" customHeight="1" x14ac:dyDescent="0.2">
      <c r="A777" s="1472" t="s">
        <v>1593</v>
      </c>
      <c r="B777" s="888">
        <v>80</v>
      </c>
      <c r="C777" s="888">
        <v>80</v>
      </c>
      <c r="D777" s="882" t="s">
        <v>2607</v>
      </c>
    </row>
    <row r="778" spans="1:4" s="891" customFormat="1" ht="11.25" customHeight="1" x14ac:dyDescent="0.2">
      <c r="A778" s="1471"/>
      <c r="B778" s="885">
        <v>628.26</v>
      </c>
      <c r="C778" s="885">
        <v>628.22689999999989</v>
      </c>
      <c r="D778" s="880" t="s">
        <v>2618</v>
      </c>
    </row>
    <row r="779" spans="1:4" s="891" customFormat="1" ht="11.25" customHeight="1" x14ac:dyDescent="0.2">
      <c r="A779" s="1471"/>
      <c r="B779" s="885">
        <v>969.01</v>
      </c>
      <c r="C779" s="885">
        <v>969.01</v>
      </c>
      <c r="D779" s="880" t="s">
        <v>2597</v>
      </c>
    </row>
    <row r="780" spans="1:4" s="891" customFormat="1" ht="11.25" customHeight="1" x14ac:dyDescent="0.2">
      <c r="A780" s="1471"/>
      <c r="B780" s="885">
        <v>250</v>
      </c>
      <c r="C780" s="885">
        <v>250</v>
      </c>
      <c r="D780" s="880" t="s">
        <v>2631</v>
      </c>
    </row>
    <row r="781" spans="1:4" s="891" customFormat="1" ht="11.25" customHeight="1" x14ac:dyDescent="0.2">
      <c r="A781" s="1471"/>
      <c r="B781" s="885">
        <v>23823</v>
      </c>
      <c r="C781" s="885">
        <v>23823</v>
      </c>
      <c r="D781" s="880" t="s">
        <v>1465</v>
      </c>
    </row>
    <row r="782" spans="1:4" s="891" customFormat="1" ht="11.25" customHeight="1" x14ac:dyDescent="0.2">
      <c r="A782" s="1471"/>
      <c r="B782" s="885">
        <v>11556.6</v>
      </c>
      <c r="C782" s="885">
        <v>11556.6</v>
      </c>
      <c r="D782" s="880" t="s">
        <v>1466</v>
      </c>
    </row>
    <row r="783" spans="1:4" s="891" customFormat="1" ht="11.25" customHeight="1" x14ac:dyDescent="0.2">
      <c r="A783" s="1471"/>
      <c r="B783" s="885">
        <v>6169</v>
      </c>
      <c r="C783" s="885">
        <v>6169</v>
      </c>
      <c r="D783" s="880" t="s">
        <v>2587</v>
      </c>
    </row>
    <row r="784" spans="1:4" s="891" customFormat="1" ht="11.25" customHeight="1" x14ac:dyDescent="0.2">
      <c r="A784" s="1471"/>
      <c r="B784" s="885">
        <v>784</v>
      </c>
      <c r="C784" s="885">
        <v>766.95899999999995</v>
      </c>
      <c r="D784" s="880" t="s">
        <v>2586</v>
      </c>
    </row>
    <row r="785" spans="1:4" s="891" customFormat="1" ht="11.25" customHeight="1" x14ac:dyDescent="0.2">
      <c r="A785" s="1471"/>
      <c r="B785" s="885">
        <v>1012</v>
      </c>
      <c r="C785" s="885">
        <v>899.98457999999994</v>
      </c>
      <c r="D785" s="880" t="s">
        <v>2630</v>
      </c>
    </row>
    <row r="786" spans="1:4" s="891" customFormat="1" ht="11.25" customHeight="1" x14ac:dyDescent="0.2">
      <c r="A786" s="1471"/>
      <c r="B786" s="885">
        <v>120.9</v>
      </c>
      <c r="C786" s="885">
        <v>120.904</v>
      </c>
      <c r="D786" s="880" t="s">
        <v>1456</v>
      </c>
    </row>
    <row r="787" spans="1:4" s="891" customFormat="1" ht="11.25" customHeight="1" x14ac:dyDescent="0.2">
      <c r="A787" s="1471"/>
      <c r="B787" s="885">
        <v>1078.49</v>
      </c>
      <c r="C787" s="885">
        <v>1078.491</v>
      </c>
      <c r="D787" s="880" t="s">
        <v>1453</v>
      </c>
    </row>
    <row r="788" spans="1:4" s="891" customFormat="1" ht="11.25" customHeight="1" x14ac:dyDescent="0.2">
      <c r="A788" s="1473"/>
      <c r="B788" s="887">
        <v>46471.26</v>
      </c>
      <c r="C788" s="887">
        <v>46342.175480000005</v>
      </c>
      <c r="D788" s="886" t="s">
        <v>11</v>
      </c>
    </row>
    <row r="789" spans="1:4" s="891" customFormat="1" ht="11.25" customHeight="1" x14ac:dyDescent="0.2">
      <c r="A789" s="1471" t="s">
        <v>1722</v>
      </c>
      <c r="B789" s="885">
        <v>1331.0600000000002</v>
      </c>
      <c r="C789" s="885">
        <v>1331.059</v>
      </c>
      <c r="D789" s="880" t="s">
        <v>2597</v>
      </c>
    </row>
    <row r="790" spans="1:4" s="891" customFormat="1" ht="11.25" customHeight="1" x14ac:dyDescent="0.2">
      <c r="A790" s="1471"/>
      <c r="B790" s="885">
        <v>56</v>
      </c>
      <c r="C790" s="885">
        <v>56</v>
      </c>
      <c r="D790" s="880" t="s">
        <v>2596</v>
      </c>
    </row>
    <row r="791" spans="1:4" s="891" customFormat="1" ht="11.25" customHeight="1" x14ac:dyDescent="0.2">
      <c r="A791" s="1471"/>
      <c r="B791" s="885">
        <v>538.58000000000004</v>
      </c>
      <c r="C791" s="885">
        <v>538.58000000000004</v>
      </c>
      <c r="D791" s="880" t="s">
        <v>1451</v>
      </c>
    </row>
    <row r="792" spans="1:4" s="891" customFormat="1" ht="11.25" customHeight="1" x14ac:dyDescent="0.2">
      <c r="A792" s="1471"/>
      <c r="B792" s="885">
        <v>15</v>
      </c>
      <c r="C792" s="885">
        <v>15</v>
      </c>
      <c r="D792" s="880" t="s">
        <v>2589</v>
      </c>
    </row>
    <row r="793" spans="1:4" s="891" customFormat="1" ht="11.25" customHeight="1" x14ac:dyDescent="0.2">
      <c r="A793" s="1471"/>
      <c r="B793" s="885">
        <v>13389</v>
      </c>
      <c r="C793" s="885">
        <v>13389</v>
      </c>
      <c r="D793" s="880" t="s">
        <v>1465</v>
      </c>
    </row>
    <row r="794" spans="1:4" s="891" customFormat="1" ht="11.25" customHeight="1" x14ac:dyDescent="0.2">
      <c r="A794" s="1471"/>
      <c r="B794" s="885">
        <v>4000</v>
      </c>
      <c r="C794" s="885">
        <v>4000</v>
      </c>
      <c r="D794" s="880" t="s">
        <v>2587</v>
      </c>
    </row>
    <row r="795" spans="1:4" s="891" customFormat="1" ht="11.25" customHeight="1" x14ac:dyDescent="0.2">
      <c r="A795" s="1471"/>
      <c r="B795" s="885">
        <v>889</v>
      </c>
      <c r="C795" s="885">
        <v>889</v>
      </c>
      <c r="D795" s="880" t="s">
        <v>2586</v>
      </c>
    </row>
    <row r="796" spans="1:4" s="891" customFormat="1" ht="11.25" customHeight="1" x14ac:dyDescent="0.2">
      <c r="A796" s="1471"/>
      <c r="B796" s="885">
        <v>67.81</v>
      </c>
      <c r="C796" s="885">
        <v>67.808000000000007</v>
      </c>
      <c r="D796" s="880" t="s">
        <v>1456</v>
      </c>
    </row>
    <row r="797" spans="1:4" s="891" customFormat="1" ht="11.25" customHeight="1" x14ac:dyDescent="0.2">
      <c r="A797" s="1471"/>
      <c r="B797" s="885">
        <v>434.49</v>
      </c>
      <c r="C797" s="885">
        <v>434.49200000000002</v>
      </c>
      <c r="D797" s="880" t="s">
        <v>1453</v>
      </c>
    </row>
    <row r="798" spans="1:4" s="891" customFormat="1" ht="11.25" customHeight="1" x14ac:dyDescent="0.2">
      <c r="A798" s="1471"/>
      <c r="B798" s="885">
        <v>20720.940000000002</v>
      </c>
      <c r="C798" s="885">
        <v>20720.938999999998</v>
      </c>
      <c r="D798" s="880" t="s">
        <v>11</v>
      </c>
    </row>
    <row r="799" spans="1:4" s="891" customFormat="1" ht="11.25" customHeight="1" x14ac:dyDescent="0.2">
      <c r="A799" s="1472" t="s">
        <v>1668</v>
      </c>
      <c r="B799" s="888">
        <v>1143.51</v>
      </c>
      <c r="C799" s="888">
        <v>1143.5060000000001</v>
      </c>
      <c r="D799" s="882" t="s">
        <v>2597</v>
      </c>
    </row>
    <row r="800" spans="1:4" s="891" customFormat="1" ht="11.25" customHeight="1" x14ac:dyDescent="0.2">
      <c r="A800" s="1471"/>
      <c r="B800" s="885">
        <v>19180</v>
      </c>
      <c r="C800" s="885">
        <v>19180</v>
      </c>
      <c r="D800" s="880" t="s">
        <v>1465</v>
      </c>
    </row>
    <row r="801" spans="1:4" s="891" customFormat="1" ht="11.25" customHeight="1" x14ac:dyDescent="0.2">
      <c r="A801" s="1471"/>
      <c r="B801" s="885">
        <v>3470</v>
      </c>
      <c r="C801" s="885">
        <v>3470</v>
      </c>
      <c r="D801" s="880" t="s">
        <v>2587</v>
      </c>
    </row>
    <row r="802" spans="1:4" s="891" customFormat="1" ht="11.25" customHeight="1" x14ac:dyDescent="0.2">
      <c r="A802" s="1471"/>
      <c r="B802" s="885">
        <v>111</v>
      </c>
      <c r="C802" s="885">
        <v>111</v>
      </c>
      <c r="D802" s="880" t="s">
        <v>2586</v>
      </c>
    </row>
    <row r="803" spans="1:4" s="891" customFormat="1" ht="11.25" customHeight="1" x14ac:dyDescent="0.2">
      <c r="A803" s="1471"/>
      <c r="B803" s="885">
        <v>95.57</v>
      </c>
      <c r="C803" s="885">
        <v>95.572000000000003</v>
      </c>
      <c r="D803" s="880" t="s">
        <v>1456</v>
      </c>
    </row>
    <row r="804" spans="1:4" s="891" customFormat="1" ht="11.25" customHeight="1" x14ac:dyDescent="0.2">
      <c r="A804" s="1471"/>
      <c r="B804" s="885">
        <v>617.79999999999995</v>
      </c>
      <c r="C804" s="885">
        <v>617.79499999999996</v>
      </c>
      <c r="D804" s="880" t="s">
        <v>1453</v>
      </c>
    </row>
    <row r="805" spans="1:4" s="891" customFormat="1" ht="11.25" customHeight="1" x14ac:dyDescent="0.2">
      <c r="A805" s="1473"/>
      <c r="B805" s="887">
        <v>24617.879999999997</v>
      </c>
      <c r="C805" s="887">
        <v>24617.873</v>
      </c>
      <c r="D805" s="886" t="s">
        <v>11</v>
      </c>
    </row>
    <row r="806" spans="1:4" s="891" customFormat="1" ht="11.25" customHeight="1" x14ac:dyDescent="0.2">
      <c r="A806" s="1471" t="s">
        <v>1674</v>
      </c>
      <c r="B806" s="885">
        <v>481.45000000000005</v>
      </c>
      <c r="C806" s="885">
        <v>481.45099999999996</v>
      </c>
      <c r="D806" s="880" t="s">
        <v>2597</v>
      </c>
    </row>
    <row r="807" spans="1:4" s="891" customFormat="1" ht="11.25" customHeight="1" x14ac:dyDescent="0.2">
      <c r="A807" s="1471"/>
      <c r="B807" s="885">
        <v>5013</v>
      </c>
      <c r="C807" s="885">
        <v>5013</v>
      </c>
      <c r="D807" s="880" t="s">
        <v>1465</v>
      </c>
    </row>
    <row r="808" spans="1:4" s="891" customFormat="1" ht="11.25" customHeight="1" x14ac:dyDescent="0.2">
      <c r="A808" s="1471"/>
      <c r="B808" s="885">
        <v>1341</v>
      </c>
      <c r="C808" s="885">
        <v>1341</v>
      </c>
      <c r="D808" s="880" t="s">
        <v>2587</v>
      </c>
    </row>
    <row r="809" spans="1:4" s="891" customFormat="1" ht="11.25" customHeight="1" x14ac:dyDescent="0.2">
      <c r="A809" s="1471"/>
      <c r="B809" s="885">
        <v>4</v>
      </c>
      <c r="C809" s="885">
        <v>4</v>
      </c>
      <c r="D809" s="880" t="s">
        <v>2586</v>
      </c>
    </row>
    <row r="810" spans="1:4" s="891" customFormat="1" ht="21" x14ac:dyDescent="0.2">
      <c r="A810" s="1471"/>
      <c r="B810" s="885">
        <v>320</v>
      </c>
      <c r="C810" s="885">
        <v>320</v>
      </c>
      <c r="D810" s="880" t="s">
        <v>2591</v>
      </c>
    </row>
    <row r="811" spans="1:4" s="891" customFormat="1" ht="11.25" customHeight="1" x14ac:dyDescent="0.2">
      <c r="A811" s="1471"/>
      <c r="B811" s="885">
        <v>25.09</v>
      </c>
      <c r="C811" s="885">
        <v>25.094000000000001</v>
      </c>
      <c r="D811" s="880" t="s">
        <v>1456</v>
      </c>
    </row>
    <row r="812" spans="1:4" s="891" customFormat="1" ht="11.25" customHeight="1" x14ac:dyDescent="0.2">
      <c r="A812" s="1471"/>
      <c r="B812" s="885">
        <v>136.4</v>
      </c>
      <c r="C812" s="885">
        <v>136.39599999999999</v>
      </c>
      <c r="D812" s="880" t="s">
        <v>1453</v>
      </c>
    </row>
    <row r="813" spans="1:4" s="891" customFormat="1" ht="11.25" customHeight="1" x14ac:dyDescent="0.2">
      <c r="A813" s="1471"/>
      <c r="B813" s="885">
        <v>7320.94</v>
      </c>
      <c r="C813" s="885">
        <v>7320.9409999999998</v>
      </c>
      <c r="D813" s="880" t="s">
        <v>11</v>
      </c>
    </row>
    <row r="814" spans="1:4" s="891" customFormat="1" ht="11.25" customHeight="1" x14ac:dyDescent="0.2">
      <c r="A814" s="1472" t="s">
        <v>1718</v>
      </c>
      <c r="B814" s="888">
        <v>984.26</v>
      </c>
      <c r="C814" s="888">
        <v>984.26300000000003</v>
      </c>
      <c r="D814" s="882" t="s">
        <v>2597</v>
      </c>
    </row>
    <row r="815" spans="1:4" s="891" customFormat="1" ht="11.25" customHeight="1" x14ac:dyDescent="0.2">
      <c r="A815" s="1471"/>
      <c r="B815" s="885">
        <v>1051.92</v>
      </c>
      <c r="C815" s="885">
        <v>1051.923</v>
      </c>
      <c r="D815" s="880" t="s">
        <v>1451</v>
      </c>
    </row>
    <row r="816" spans="1:4" s="891" customFormat="1" ht="11.25" customHeight="1" x14ac:dyDescent="0.2">
      <c r="A816" s="1471"/>
      <c r="B816" s="885">
        <v>42</v>
      </c>
      <c r="C816" s="885">
        <v>9.8350000000000009</v>
      </c>
      <c r="D816" s="880" t="s">
        <v>1459</v>
      </c>
    </row>
    <row r="817" spans="1:4" s="891" customFormat="1" ht="11.25" customHeight="1" x14ac:dyDescent="0.2">
      <c r="A817" s="1471"/>
      <c r="B817" s="885">
        <v>27794</v>
      </c>
      <c r="C817" s="885">
        <v>27794</v>
      </c>
      <c r="D817" s="880" t="s">
        <v>1465</v>
      </c>
    </row>
    <row r="818" spans="1:4" s="891" customFormat="1" ht="11.25" customHeight="1" x14ac:dyDescent="0.2">
      <c r="A818" s="1471"/>
      <c r="B818" s="885">
        <v>10472</v>
      </c>
      <c r="C818" s="885">
        <v>10472</v>
      </c>
      <c r="D818" s="880" t="s">
        <v>2587</v>
      </c>
    </row>
    <row r="819" spans="1:4" s="891" customFormat="1" ht="11.25" customHeight="1" x14ac:dyDescent="0.2">
      <c r="A819" s="1471"/>
      <c r="B819" s="885">
        <v>1483</v>
      </c>
      <c r="C819" s="885">
        <v>1483</v>
      </c>
      <c r="D819" s="880" t="s">
        <v>2586</v>
      </c>
    </row>
    <row r="820" spans="1:4" s="891" customFormat="1" ht="21" x14ac:dyDescent="0.2">
      <c r="A820" s="1471"/>
      <c r="B820" s="885">
        <v>1650</v>
      </c>
      <c r="C820" s="885">
        <v>1650</v>
      </c>
      <c r="D820" s="880" t="s">
        <v>2591</v>
      </c>
    </row>
    <row r="821" spans="1:4" s="891" customFormat="1" ht="11.25" customHeight="1" x14ac:dyDescent="0.2">
      <c r="A821" s="1471"/>
      <c r="B821" s="885">
        <v>222</v>
      </c>
      <c r="C821" s="885">
        <v>222</v>
      </c>
      <c r="D821" s="880" t="s">
        <v>2603</v>
      </c>
    </row>
    <row r="822" spans="1:4" s="891" customFormat="1" ht="11.25" customHeight="1" x14ac:dyDescent="0.2">
      <c r="A822" s="1471"/>
      <c r="B822" s="885">
        <v>429</v>
      </c>
      <c r="C822" s="885">
        <v>429</v>
      </c>
      <c r="D822" s="880" t="s">
        <v>578</v>
      </c>
    </row>
    <row r="823" spans="1:4" s="891" customFormat="1" ht="11.25" customHeight="1" x14ac:dyDescent="0.2">
      <c r="A823" s="1471"/>
      <c r="B823" s="885">
        <v>140.82</v>
      </c>
      <c r="C823" s="885">
        <v>140.82400000000001</v>
      </c>
      <c r="D823" s="880" t="s">
        <v>1456</v>
      </c>
    </row>
    <row r="824" spans="1:4" s="891" customFormat="1" ht="11.25" customHeight="1" x14ac:dyDescent="0.2">
      <c r="A824" s="1471"/>
      <c r="B824" s="885">
        <v>925.82</v>
      </c>
      <c r="C824" s="885">
        <v>925.822</v>
      </c>
      <c r="D824" s="880" t="s">
        <v>1453</v>
      </c>
    </row>
    <row r="825" spans="1:4" s="891" customFormat="1" ht="11.25" customHeight="1" x14ac:dyDescent="0.2">
      <c r="A825" s="1473"/>
      <c r="B825" s="887">
        <v>45194.82</v>
      </c>
      <c r="C825" s="887">
        <v>45162.667000000001</v>
      </c>
      <c r="D825" s="886" t="s">
        <v>11</v>
      </c>
    </row>
    <row r="826" spans="1:4" s="891" customFormat="1" ht="11.25" customHeight="1" x14ac:dyDescent="0.2">
      <c r="A826" s="1471" t="s">
        <v>1710</v>
      </c>
      <c r="B826" s="885">
        <v>1060.77</v>
      </c>
      <c r="C826" s="885">
        <v>853.8592799999999</v>
      </c>
      <c r="D826" s="880" t="s">
        <v>2597</v>
      </c>
    </row>
    <row r="827" spans="1:4" s="891" customFormat="1" ht="11.25" customHeight="1" x14ac:dyDescent="0.2">
      <c r="A827" s="1471"/>
      <c r="B827" s="885">
        <v>1370</v>
      </c>
      <c r="C827" s="885">
        <v>1370</v>
      </c>
      <c r="D827" s="880" t="s">
        <v>1451</v>
      </c>
    </row>
    <row r="828" spans="1:4" s="891" customFormat="1" ht="21" x14ac:dyDescent="0.2">
      <c r="A828" s="1471"/>
      <c r="B828" s="885">
        <v>115.49</v>
      </c>
      <c r="C828" s="885">
        <v>112.408</v>
      </c>
      <c r="D828" s="880" t="s">
        <v>1446</v>
      </c>
    </row>
    <row r="829" spans="1:4" s="891" customFormat="1" ht="11.25" customHeight="1" x14ac:dyDescent="0.2">
      <c r="A829" s="1471"/>
      <c r="B829" s="885">
        <v>5093.26</v>
      </c>
      <c r="C829" s="885">
        <v>5093.2591099999991</v>
      </c>
      <c r="D829" s="880" t="s">
        <v>1339</v>
      </c>
    </row>
    <row r="830" spans="1:4" s="891" customFormat="1" ht="11.25" customHeight="1" x14ac:dyDescent="0.2">
      <c r="A830" s="1471"/>
      <c r="B830" s="885">
        <v>50</v>
      </c>
      <c r="C830" s="885">
        <v>50</v>
      </c>
      <c r="D830" s="880" t="s">
        <v>2589</v>
      </c>
    </row>
    <row r="831" spans="1:4" s="891" customFormat="1" ht="11.25" customHeight="1" x14ac:dyDescent="0.2">
      <c r="A831" s="1471"/>
      <c r="B831" s="885">
        <v>36038</v>
      </c>
      <c r="C831" s="885">
        <v>36038</v>
      </c>
      <c r="D831" s="880" t="s">
        <v>1465</v>
      </c>
    </row>
    <row r="832" spans="1:4" s="891" customFormat="1" ht="11.25" customHeight="1" x14ac:dyDescent="0.2">
      <c r="A832" s="1471"/>
      <c r="B832" s="885">
        <v>13253.6</v>
      </c>
      <c r="C832" s="885">
        <v>13253.6</v>
      </c>
      <c r="D832" s="880" t="s">
        <v>2587</v>
      </c>
    </row>
    <row r="833" spans="1:4" s="891" customFormat="1" ht="11.25" customHeight="1" x14ac:dyDescent="0.2">
      <c r="A833" s="1471"/>
      <c r="B833" s="885">
        <v>3002</v>
      </c>
      <c r="C833" s="885">
        <v>2882.5134200000002</v>
      </c>
      <c r="D833" s="880" t="s">
        <v>2586</v>
      </c>
    </row>
    <row r="834" spans="1:4" s="891" customFormat="1" ht="21" x14ac:dyDescent="0.2">
      <c r="A834" s="1471"/>
      <c r="B834" s="885">
        <v>737</v>
      </c>
      <c r="C834" s="885">
        <v>737</v>
      </c>
      <c r="D834" s="880" t="s">
        <v>2591</v>
      </c>
    </row>
    <row r="835" spans="1:4" s="891" customFormat="1" ht="11.25" customHeight="1" x14ac:dyDescent="0.2">
      <c r="A835" s="1471"/>
      <c r="B835" s="885">
        <v>195.5</v>
      </c>
      <c r="C835" s="885">
        <v>195.5</v>
      </c>
      <c r="D835" s="880" t="s">
        <v>2603</v>
      </c>
    </row>
    <row r="836" spans="1:4" s="891" customFormat="1" ht="11.25" customHeight="1" x14ac:dyDescent="0.2">
      <c r="A836" s="1471"/>
      <c r="B836" s="885">
        <v>179.98</v>
      </c>
      <c r="C836" s="885">
        <v>179.97800000000001</v>
      </c>
      <c r="D836" s="880" t="s">
        <v>1456</v>
      </c>
    </row>
    <row r="837" spans="1:4" s="891" customFormat="1" ht="11.25" customHeight="1" x14ac:dyDescent="0.2">
      <c r="A837" s="1471"/>
      <c r="B837" s="885">
        <v>1080.43</v>
      </c>
      <c r="C837" s="885">
        <v>1080.434</v>
      </c>
      <c r="D837" s="880" t="s">
        <v>1453</v>
      </c>
    </row>
    <row r="838" spans="1:4" s="891" customFormat="1" ht="11.25" customHeight="1" x14ac:dyDescent="0.2">
      <c r="A838" s="1471"/>
      <c r="B838" s="885">
        <v>62176.030000000006</v>
      </c>
      <c r="C838" s="885">
        <v>61846.551810000004</v>
      </c>
      <c r="D838" s="880" t="s">
        <v>11</v>
      </c>
    </row>
    <row r="839" spans="1:4" s="891" customFormat="1" ht="11.25" customHeight="1" x14ac:dyDescent="0.2">
      <c r="A839" s="1472" t="s">
        <v>1704</v>
      </c>
      <c r="B839" s="888">
        <v>472.71000000000004</v>
      </c>
      <c r="C839" s="888">
        <v>472.70099999999996</v>
      </c>
      <c r="D839" s="882" t="s">
        <v>2597</v>
      </c>
    </row>
    <row r="840" spans="1:4" s="891" customFormat="1" ht="11.25" customHeight="1" x14ac:dyDescent="0.2">
      <c r="A840" s="1471"/>
      <c r="B840" s="885">
        <v>1370</v>
      </c>
      <c r="C840" s="885">
        <v>1370</v>
      </c>
      <c r="D840" s="880" t="s">
        <v>1451</v>
      </c>
    </row>
    <row r="841" spans="1:4" s="891" customFormat="1" ht="11.25" customHeight="1" x14ac:dyDescent="0.2">
      <c r="A841" s="1471"/>
      <c r="B841" s="885">
        <v>22309</v>
      </c>
      <c r="C841" s="885">
        <v>22309</v>
      </c>
      <c r="D841" s="880" t="s">
        <v>1465</v>
      </c>
    </row>
    <row r="842" spans="1:4" s="891" customFormat="1" ht="11.25" customHeight="1" x14ac:dyDescent="0.2">
      <c r="A842" s="1471"/>
      <c r="B842" s="885">
        <v>5987</v>
      </c>
      <c r="C842" s="885">
        <v>5987</v>
      </c>
      <c r="D842" s="880" t="s">
        <v>2587</v>
      </c>
    </row>
    <row r="843" spans="1:4" s="891" customFormat="1" ht="11.25" customHeight="1" x14ac:dyDescent="0.2">
      <c r="A843" s="1471"/>
      <c r="B843" s="885">
        <v>660</v>
      </c>
      <c r="C843" s="885">
        <v>660</v>
      </c>
      <c r="D843" s="880" t="s">
        <v>2586</v>
      </c>
    </row>
    <row r="844" spans="1:4" s="891" customFormat="1" ht="11.25" customHeight="1" x14ac:dyDescent="0.2">
      <c r="A844" s="1471"/>
      <c r="B844" s="885">
        <v>112.95</v>
      </c>
      <c r="C844" s="885">
        <v>112.953</v>
      </c>
      <c r="D844" s="880" t="s">
        <v>1456</v>
      </c>
    </row>
    <row r="845" spans="1:4" s="891" customFormat="1" ht="11.25" customHeight="1" x14ac:dyDescent="0.2">
      <c r="A845" s="1471"/>
      <c r="B845" s="885">
        <v>690.89</v>
      </c>
      <c r="C845" s="885">
        <v>690.89</v>
      </c>
      <c r="D845" s="880" t="s">
        <v>1453</v>
      </c>
    </row>
    <row r="846" spans="1:4" s="891" customFormat="1" ht="11.25" customHeight="1" x14ac:dyDescent="0.2">
      <c r="A846" s="1473"/>
      <c r="B846" s="887">
        <v>31602.55</v>
      </c>
      <c r="C846" s="887">
        <v>31602.544000000002</v>
      </c>
      <c r="D846" s="886" t="s">
        <v>11</v>
      </c>
    </row>
    <row r="847" spans="1:4" s="891" customFormat="1" ht="11.25" customHeight="1" x14ac:dyDescent="0.2">
      <c r="A847" s="1471" t="s">
        <v>1670</v>
      </c>
      <c r="B847" s="885">
        <v>972.87000000000012</v>
      </c>
      <c r="C847" s="885">
        <v>972.87099999999998</v>
      </c>
      <c r="D847" s="880" t="s">
        <v>2597</v>
      </c>
    </row>
    <row r="848" spans="1:4" s="891" customFormat="1" ht="21" x14ac:dyDescent="0.2">
      <c r="A848" s="1471"/>
      <c r="B848" s="885">
        <v>84.22</v>
      </c>
      <c r="C848" s="885">
        <v>83.567999999999998</v>
      </c>
      <c r="D848" s="880" t="s">
        <v>1446</v>
      </c>
    </row>
    <row r="849" spans="1:4" s="891" customFormat="1" ht="11.25" customHeight="1" x14ac:dyDescent="0.2">
      <c r="A849" s="1471"/>
      <c r="B849" s="885">
        <v>80</v>
      </c>
      <c r="C849" s="885">
        <v>80</v>
      </c>
      <c r="D849" s="880" t="s">
        <v>2589</v>
      </c>
    </row>
    <row r="850" spans="1:4" s="891" customFormat="1" ht="11.25" customHeight="1" x14ac:dyDescent="0.2">
      <c r="A850" s="1471"/>
      <c r="B850" s="885">
        <v>22091</v>
      </c>
      <c r="C850" s="885">
        <v>22091</v>
      </c>
      <c r="D850" s="880" t="s">
        <v>1465</v>
      </c>
    </row>
    <row r="851" spans="1:4" s="891" customFormat="1" ht="11.25" customHeight="1" x14ac:dyDescent="0.2">
      <c r="A851" s="1471"/>
      <c r="B851" s="885">
        <v>4299</v>
      </c>
      <c r="C851" s="885">
        <v>4299</v>
      </c>
      <c r="D851" s="880" t="s">
        <v>2587</v>
      </c>
    </row>
    <row r="852" spans="1:4" s="891" customFormat="1" ht="11.25" customHeight="1" x14ac:dyDescent="0.2">
      <c r="A852" s="1471"/>
      <c r="B852" s="885">
        <v>526</v>
      </c>
      <c r="C852" s="885">
        <v>518.03899999999999</v>
      </c>
      <c r="D852" s="880" t="s">
        <v>2586</v>
      </c>
    </row>
    <row r="853" spans="1:4" s="891" customFormat="1" ht="11.25" customHeight="1" x14ac:dyDescent="0.2">
      <c r="A853" s="1471"/>
      <c r="B853" s="885">
        <v>107.58</v>
      </c>
      <c r="C853" s="885">
        <v>107.578</v>
      </c>
      <c r="D853" s="880" t="s">
        <v>1456</v>
      </c>
    </row>
    <row r="854" spans="1:4" s="891" customFormat="1" ht="11.25" customHeight="1" x14ac:dyDescent="0.2">
      <c r="A854" s="1471"/>
      <c r="B854" s="885">
        <v>742.89</v>
      </c>
      <c r="C854" s="885">
        <v>742.89200000000005</v>
      </c>
      <c r="D854" s="880" t="s">
        <v>1453</v>
      </c>
    </row>
    <row r="855" spans="1:4" s="891" customFormat="1" ht="11.25" customHeight="1" x14ac:dyDescent="0.2">
      <c r="A855" s="1471"/>
      <c r="B855" s="885">
        <v>28903.56</v>
      </c>
      <c r="C855" s="885">
        <v>28894.948</v>
      </c>
      <c r="D855" s="880" t="s">
        <v>11</v>
      </c>
    </row>
    <row r="856" spans="1:4" s="891" customFormat="1" ht="11.25" customHeight="1" x14ac:dyDescent="0.2">
      <c r="A856" s="1472" t="s">
        <v>1672</v>
      </c>
      <c r="B856" s="888">
        <v>27.23</v>
      </c>
      <c r="C856" s="888">
        <v>27.231999999999999</v>
      </c>
      <c r="D856" s="882" t="s">
        <v>1447</v>
      </c>
    </row>
    <row r="857" spans="1:4" s="891" customFormat="1" ht="11.25" customHeight="1" x14ac:dyDescent="0.2">
      <c r="A857" s="1471"/>
      <c r="B857" s="885">
        <v>1710.58</v>
      </c>
      <c r="C857" s="885">
        <v>1710.54828</v>
      </c>
      <c r="D857" s="880" t="s">
        <v>2608</v>
      </c>
    </row>
    <row r="858" spans="1:4" s="891" customFormat="1" ht="11.25" customHeight="1" x14ac:dyDescent="0.2">
      <c r="A858" s="1471"/>
      <c r="B858" s="885">
        <v>969.01</v>
      </c>
      <c r="C858" s="885">
        <v>969.01</v>
      </c>
      <c r="D858" s="880" t="s">
        <v>2597</v>
      </c>
    </row>
    <row r="859" spans="1:4" s="891" customFormat="1" ht="11.25" customHeight="1" x14ac:dyDescent="0.2">
      <c r="A859" s="1471"/>
      <c r="B859" s="885">
        <v>3222.74</v>
      </c>
      <c r="C859" s="885">
        <v>3222.7321200000001</v>
      </c>
      <c r="D859" s="880" t="s">
        <v>2613</v>
      </c>
    </row>
    <row r="860" spans="1:4" s="891" customFormat="1" ht="11.25" customHeight="1" x14ac:dyDescent="0.2">
      <c r="A860" s="1471"/>
      <c r="B860" s="885">
        <v>463.85</v>
      </c>
      <c r="C860" s="885">
        <v>463.85199999999998</v>
      </c>
      <c r="D860" s="880" t="s">
        <v>1451</v>
      </c>
    </row>
    <row r="861" spans="1:4" s="891" customFormat="1" ht="21" x14ac:dyDescent="0.2">
      <c r="A861" s="1471"/>
      <c r="B861" s="885">
        <v>61.95</v>
      </c>
      <c r="C861" s="885">
        <v>61.518000000000001</v>
      </c>
      <c r="D861" s="880" t="s">
        <v>1446</v>
      </c>
    </row>
    <row r="862" spans="1:4" s="891" customFormat="1" ht="11.25" customHeight="1" x14ac:dyDescent="0.2">
      <c r="A862" s="1471"/>
      <c r="B862" s="885">
        <v>2507.1400000000003</v>
      </c>
      <c r="C862" s="885">
        <v>2484.5863299999996</v>
      </c>
      <c r="D862" s="880" t="s">
        <v>1339</v>
      </c>
    </row>
    <row r="863" spans="1:4" s="891" customFormat="1" ht="11.25" customHeight="1" x14ac:dyDescent="0.2">
      <c r="A863" s="1471"/>
      <c r="B863" s="885">
        <v>20755</v>
      </c>
      <c r="C863" s="885">
        <v>20755</v>
      </c>
      <c r="D863" s="880" t="s">
        <v>1465</v>
      </c>
    </row>
    <row r="864" spans="1:4" s="891" customFormat="1" ht="11.25" customHeight="1" x14ac:dyDescent="0.2">
      <c r="A864" s="1471"/>
      <c r="B864" s="885">
        <v>8914</v>
      </c>
      <c r="C864" s="885">
        <v>8914</v>
      </c>
      <c r="D864" s="880" t="s">
        <v>2587</v>
      </c>
    </row>
    <row r="865" spans="1:4" s="891" customFormat="1" ht="11.25" customHeight="1" x14ac:dyDescent="0.2">
      <c r="A865" s="1471"/>
      <c r="B865" s="885">
        <v>1003</v>
      </c>
      <c r="C865" s="885">
        <v>1003</v>
      </c>
      <c r="D865" s="880" t="s">
        <v>2586</v>
      </c>
    </row>
    <row r="866" spans="1:4" s="891" customFormat="1" ht="21" x14ac:dyDescent="0.2">
      <c r="A866" s="1471"/>
      <c r="B866" s="885">
        <v>1890</v>
      </c>
      <c r="C866" s="885">
        <v>1890</v>
      </c>
      <c r="D866" s="880" t="s">
        <v>2591</v>
      </c>
    </row>
    <row r="867" spans="1:4" s="891" customFormat="1" ht="11.25" customHeight="1" x14ac:dyDescent="0.2">
      <c r="A867" s="1471"/>
      <c r="B867" s="885">
        <v>101.28</v>
      </c>
      <c r="C867" s="885">
        <v>101.277</v>
      </c>
      <c r="D867" s="880" t="s">
        <v>1456</v>
      </c>
    </row>
    <row r="868" spans="1:4" s="891" customFormat="1" ht="11.25" customHeight="1" x14ac:dyDescent="0.2">
      <c r="A868" s="1471"/>
      <c r="B868" s="885">
        <v>799.06</v>
      </c>
      <c r="C868" s="885">
        <v>799.05700000000002</v>
      </c>
      <c r="D868" s="880" t="s">
        <v>1453</v>
      </c>
    </row>
    <row r="869" spans="1:4" s="891" customFormat="1" ht="11.25" customHeight="1" x14ac:dyDescent="0.2">
      <c r="A869" s="1473"/>
      <c r="B869" s="887">
        <v>42424.84</v>
      </c>
      <c r="C869" s="887">
        <v>42401.812730000005</v>
      </c>
      <c r="D869" s="886" t="s">
        <v>11</v>
      </c>
    </row>
    <row r="870" spans="1:4" s="891" customFormat="1" ht="11.25" customHeight="1" x14ac:dyDescent="0.2">
      <c r="A870" s="1471" t="s">
        <v>1648</v>
      </c>
      <c r="B870" s="885">
        <v>27.23</v>
      </c>
      <c r="C870" s="885">
        <v>27.231999999999999</v>
      </c>
      <c r="D870" s="880" t="s">
        <v>1447</v>
      </c>
    </row>
    <row r="871" spans="1:4" s="891" customFormat="1" ht="11.25" customHeight="1" x14ac:dyDescent="0.2">
      <c r="A871" s="1471"/>
      <c r="B871" s="885">
        <v>95.32</v>
      </c>
      <c r="C871" s="885">
        <v>95.320999999999998</v>
      </c>
      <c r="D871" s="880" t="s">
        <v>1451</v>
      </c>
    </row>
    <row r="872" spans="1:4" s="891" customFormat="1" ht="11.25" customHeight="1" x14ac:dyDescent="0.2">
      <c r="A872" s="1471"/>
      <c r="B872" s="885">
        <v>14526</v>
      </c>
      <c r="C872" s="885">
        <v>14526</v>
      </c>
      <c r="D872" s="880" t="s">
        <v>1465</v>
      </c>
    </row>
    <row r="873" spans="1:4" s="891" customFormat="1" ht="11.25" customHeight="1" x14ac:dyDescent="0.2">
      <c r="A873" s="1471"/>
      <c r="B873" s="885">
        <v>2292</v>
      </c>
      <c r="C873" s="885">
        <v>2292</v>
      </c>
      <c r="D873" s="880" t="s">
        <v>2587</v>
      </c>
    </row>
    <row r="874" spans="1:4" s="891" customFormat="1" ht="11.25" customHeight="1" x14ac:dyDescent="0.2">
      <c r="A874" s="1471"/>
      <c r="B874" s="885">
        <v>410</v>
      </c>
      <c r="C874" s="885">
        <v>410</v>
      </c>
      <c r="D874" s="880" t="s">
        <v>2586</v>
      </c>
    </row>
    <row r="875" spans="1:4" s="891" customFormat="1" ht="11.25" customHeight="1" x14ac:dyDescent="0.2">
      <c r="A875" s="1471"/>
      <c r="B875" s="885">
        <v>74.040000000000006</v>
      </c>
      <c r="C875" s="885">
        <v>74.036000000000001</v>
      </c>
      <c r="D875" s="880" t="s">
        <v>1456</v>
      </c>
    </row>
    <row r="876" spans="1:4" s="891" customFormat="1" ht="11.25" customHeight="1" x14ac:dyDescent="0.2">
      <c r="A876" s="1471"/>
      <c r="B876" s="885">
        <v>426.04</v>
      </c>
      <c r="C876" s="885">
        <v>426.036</v>
      </c>
      <c r="D876" s="880" t="s">
        <v>1453</v>
      </c>
    </row>
    <row r="877" spans="1:4" s="891" customFormat="1" ht="11.25" customHeight="1" x14ac:dyDescent="0.2">
      <c r="A877" s="1471"/>
      <c r="B877" s="885">
        <v>17850.63</v>
      </c>
      <c r="C877" s="885">
        <v>17850.625</v>
      </c>
      <c r="D877" s="880" t="s">
        <v>11</v>
      </c>
    </row>
    <row r="878" spans="1:4" s="891" customFormat="1" ht="11.25" customHeight="1" x14ac:dyDescent="0.2">
      <c r="A878" s="1472" t="s">
        <v>1629</v>
      </c>
      <c r="B878" s="888">
        <v>90.77</v>
      </c>
      <c r="C878" s="888">
        <v>90.772000000000006</v>
      </c>
      <c r="D878" s="882" t="s">
        <v>1447</v>
      </c>
    </row>
    <row r="879" spans="1:4" s="891" customFormat="1" ht="11.25" customHeight="1" x14ac:dyDescent="0.2">
      <c r="A879" s="1471"/>
      <c r="B879" s="885">
        <v>771.1</v>
      </c>
      <c r="C879" s="885">
        <v>770.34004000000004</v>
      </c>
      <c r="D879" s="880" t="s">
        <v>2619</v>
      </c>
    </row>
    <row r="880" spans="1:4" s="891" customFormat="1" ht="11.25" customHeight="1" x14ac:dyDescent="0.2">
      <c r="A880" s="1471"/>
      <c r="B880" s="885">
        <v>944.09</v>
      </c>
      <c r="C880" s="885">
        <v>944.09199999999987</v>
      </c>
      <c r="D880" s="880" t="s">
        <v>2597</v>
      </c>
    </row>
    <row r="881" spans="1:4" s="891" customFormat="1" ht="21" x14ac:dyDescent="0.2">
      <c r="A881" s="1471"/>
      <c r="B881" s="885">
        <v>108.62</v>
      </c>
      <c r="C881" s="885">
        <v>107.55</v>
      </c>
      <c r="D881" s="880" t="s">
        <v>1446</v>
      </c>
    </row>
    <row r="882" spans="1:4" s="891" customFormat="1" ht="11.25" customHeight="1" x14ac:dyDescent="0.2">
      <c r="A882" s="1471"/>
      <c r="B882" s="885">
        <v>1235.8499999999999</v>
      </c>
      <c r="C882" s="885">
        <v>1235.8513200000002</v>
      </c>
      <c r="D882" s="880" t="s">
        <v>1339</v>
      </c>
    </row>
    <row r="883" spans="1:4" s="891" customFormat="1" ht="11.25" customHeight="1" x14ac:dyDescent="0.2">
      <c r="A883" s="1471"/>
      <c r="B883" s="885">
        <v>24843</v>
      </c>
      <c r="C883" s="885">
        <v>24843</v>
      </c>
      <c r="D883" s="880" t="s">
        <v>1465</v>
      </c>
    </row>
    <row r="884" spans="1:4" s="891" customFormat="1" ht="11.25" customHeight="1" x14ac:dyDescent="0.2">
      <c r="A884" s="1471"/>
      <c r="B884" s="885">
        <v>4902</v>
      </c>
      <c r="C884" s="885">
        <v>4902</v>
      </c>
      <c r="D884" s="880" t="s">
        <v>2587</v>
      </c>
    </row>
    <row r="885" spans="1:4" s="891" customFormat="1" ht="11.25" customHeight="1" x14ac:dyDescent="0.2">
      <c r="A885" s="1471"/>
      <c r="B885" s="885">
        <v>1279</v>
      </c>
      <c r="C885" s="885">
        <v>1279</v>
      </c>
      <c r="D885" s="880" t="s">
        <v>2586</v>
      </c>
    </row>
    <row r="886" spans="1:4" s="891" customFormat="1" ht="11.25" customHeight="1" x14ac:dyDescent="0.2">
      <c r="A886" s="1471"/>
      <c r="B886" s="885">
        <v>124.19</v>
      </c>
      <c r="C886" s="885">
        <v>124.18899999999999</v>
      </c>
      <c r="D886" s="880" t="s">
        <v>1456</v>
      </c>
    </row>
    <row r="887" spans="1:4" s="891" customFormat="1" ht="11.25" customHeight="1" x14ac:dyDescent="0.2">
      <c r="A887" s="1471"/>
      <c r="B887" s="885">
        <v>872.12</v>
      </c>
      <c r="C887" s="885">
        <v>872.11900000000003</v>
      </c>
      <c r="D887" s="880" t="s">
        <v>1453</v>
      </c>
    </row>
    <row r="888" spans="1:4" s="891" customFormat="1" ht="11.25" customHeight="1" x14ac:dyDescent="0.2">
      <c r="A888" s="1473"/>
      <c r="B888" s="887">
        <v>35170.740000000005</v>
      </c>
      <c r="C888" s="887">
        <v>35168.913359999999</v>
      </c>
      <c r="D888" s="886" t="s">
        <v>11</v>
      </c>
    </row>
    <row r="889" spans="1:4" s="891" customFormat="1" ht="11.25" customHeight="1" x14ac:dyDescent="0.2">
      <c r="A889" s="1471" t="s">
        <v>1631</v>
      </c>
      <c r="B889" s="885">
        <v>80</v>
      </c>
      <c r="C889" s="885">
        <v>80</v>
      </c>
      <c r="D889" s="880" t="s">
        <v>2607</v>
      </c>
    </row>
    <row r="890" spans="1:4" s="891" customFormat="1" ht="11.25" customHeight="1" x14ac:dyDescent="0.2">
      <c r="A890" s="1471"/>
      <c r="B890" s="885">
        <v>28.259999999999998</v>
      </c>
      <c r="C890" s="885">
        <v>28.231999999999999</v>
      </c>
      <c r="D890" s="880" t="s">
        <v>1318</v>
      </c>
    </row>
    <row r="891" spans="1:4" s="891" customFormat="1" ht="11.25" customHeight="1" x14ac:dyDescent="0.2">
      <c r="A891" s="1471"/>
      <c r="B891" s="885">
        <v>36.31</v>
      </c>
      <c r="C891" s="885">
        <v>36.308999999999997</v>
      </c>
      <c r="D891" s="880" t="s">
        <v>1447</v>
      </c>
    </row>
    <row r="892" spans="1:4" s="891" customFormat="1" ht="11.25" customHeight="1" x14ac:dyDescent="0.2">
      <c r="A892" s="1471"/>
      <c r="B892" s="885">
        <v>950.86</v>
      </c>
      <c r="C892" s="885">
        <v>950.85500000000002</v>
      </c>
      <c r="D892" s="880" t="s">
        <v>2597</v>
      </c>
    </row>
    <row r="893" spans="1:4" s="891" customFormat="1" ht="11.25" customHeight="1" x14ac:dyDescent="0.2">
      <c r="A893" s="1471"/>
      <c r="B893" s="885">
        <v>150</v>
      </c>
      <c r="C893" s="885">
        <v>115.33847</v>
      </c>
      <c r="D893" s="880" t="s">
        <v>2589</v>
      </c>
    </row>
    <row r="894" spans="1:4" s="891" customFormat="1" ht="11.25" customHeight="1" x14ac:dyDescent="0.2">
      <c r="A894" s="1471"/>
      <c r="B894" s="885">
        <v>22708</v>
      </c>
      <c r="C894" s="885">
        <v>22708</v>
      </c>
      <c r="D894" s="880" t="s">
        <v>1465</v>
      </c>
    </row>
    <row r="895" spans="1:4" s="891" customFormat="1" ht="11.25" customHeight="1" x14ac:dyDescent="0.2">
      <c r="A895" s="1471"/>
      <c r="B895" s="885">
        <v>4242</v>
      </c>
      <c r="C895" s="885">
        <v>4242</v>
      </c>
      <c r="D895" s="880" t="s">
        <v>2587</v>
      </c>
    </row>
    <row r="896" spans="1:4" s="891" customFormat="1" ht="11.25" customHeight="1" x14ac:dyDescent="0.2">
      <c r="A896" s="1471"/>
      <c r="B896" s="885">
        <v>1055</v>
      </c>
      <c r="C896" s="885">
        <v>1045.7066400000001</v>
      </c>
      <c r="D896" s="880" t="s">
        <v>2586</v>
      </c>
    </row>
    <row r="897" spans="1:4" s="891" customFormat="1" ht="11.25" customHeight="1" x14ac:dyDescent="0.2">
      <c r="A897" s="1471"/>
      <c r="B897" s="885">
        <v>900</v>
      </c>
      <c r="C897" s="885">
        <v>900</v>
      </c>
      <c r="D897" s="880" t="s">
        <v>2629</v>
      </c>
    </row>
    <row r="898" spans="1:4" s="891" customFormat="1" ht="11.25" customHeight="1" x14ac:dyDescent="0.2">
      <c r="A898" s="1471"/>
      <c r="B898" s="885">
        <v>338.3</v>
      </c>
      <c r="C898" s="885">
        <v>338.3</v>
      </c>
      <c r="D898" s="880" t="s">
        <v>2603</v>
      </c>
    </row>
    <row r="899" spans="1:4" s="891" customFormat="1" ht="11.25" customHeight="1" x14ac:dyDescent="0.2">
      <c r="A899" s="1471"/>
      <c r="B899" s="885">
        <v>115.6</v>
      </c>
      <c r="C899" s="885">
        <v>115.596</v>
      </c>
      <c r="D899" s="880" t="s">
        <v>1456</v>
      </c>
    </row>
    <row r="900" spans="1:4" s="891" customFormat="1" ht="11.25" customHeight="1" x14ac:dyDescent="0.2">
      <c r="A900" s="1471"/>
      <c r="B900" s="885">
        <v>706.33</v>
      </c>
      <c r="C900" s="885">
        <v>706.32799999999997</v>
      </c>
      <c r="D900" s="880" t="s">
        <v>1453</v>
      </c>
    </row>
    <row r="901" spans="1:4" s="891" customFormat="1" ht="11.25" customHeight="1" x14ac:dyDescent="0.2">
      <c r="A901" s="1471"/>
      <c r="B901" s="885">
        <v>31310.66</v>
      </c>
      <c r="C901" s="885">
        <v>31266.665110000002</v>
      </c>
      <c r="D901" s="880" t="s">
        <v>11</v>
      </c>
    </row>
    <row r="902" spans="1:4" s="891" customFormat="1" ht="11.25" customHeight="1" x14ac:dyDescent="0.2">
      <c r="A902" s="1472" t="s">
        <v>1649</v>
      </c>
      <c r="B902" s="888">
        <v>183.5</v>
      </c>
      <c r="C902" s="888">
        <v>183.49189999999999</v>
      </c>
      <c r="D902" s="882" t="s">
        <v>2608</v>
      </c>
    </row>
    <row r="903" spans="1:4" s="891" customFormat="1" ht="11.25" customHeight="1" x14ac:dyDescent="0.2">
      <c r="A903" s="1471"/>
      <c r="B903" s="885">
        <v>276.86</v>
      </c>
      <c r="C903" s="885">
        <v>276.86</v>
      </c>
      <c r="D903" s="880" t="s">
        <v>2597</v>
      </c>
    </row>
    <row r="904" spans="1:4" s="891" customFormat="1" ht="11.25" customHeight="1" x14ac:dyDescent="0.2">
      <c r="A904" s="1471"/>
      <c r="B904" s="885">
        <v>14238</v>
      </c>
      <c r="C904" s="885">
        <v>14238</v>
      </c>
      <c r="D904" s="880" t="s">
        <v>1465</v>
      </c>
    </row>
    <row r="905" spans="1:4" s="891" customFormat="1" ht="11.25" customHeight="1" x14ac:dyDescent="0.2">
      <c r="A905" s="1471"/>
      <c r="B905" s="885">
        <v>3915</v>
      </c>
      <c r="C905" s="885">
        <v>3915</v>
      </c>
      <c r="D905" s="880" t="s">
        <v>2587</v>
      </c>
    </row>
    <row r="906" spans="1:4" s="891" customFormat="1" ht="11.25" customHeight="1" x14ac:dyDescent="0.2">
      <c r="A906" s="1471"/>
      <c r="B906" s="885">
        <v>482</v>
      </c>
      <c r="C906" s="885">
        <v>482</v>
      </c>
      <c r="D906" s="880" t="s">
        <v>2586</v>
      </c>
    </row>
    <row r="907" spans="1:4" s="891" customFormat="1" ht="11.25" customHeight="1" x14ac:dyDescent="0.2">
      <c r="A907" s="1471"/>
      <c r="B907" s="885">
        <v>70.319999999999993</v>
      </c>
      <c r="C907" s="885">
        <v>70.323999999999998</v>
      </c>
      <c r="D907" s="880" t="s">
        <v>1456</v>
      </c>
    </row>
    <row r="908" spans="1:4" s="891" customFormat="1" ht="11.25" customHeight="1" x14ac:dyDescent="0.2">
      <c r="A908" s="1471"/>
      <c r="B908" s="885">
        <v>504.61</v>
      </c>
      <c r="C908" s="885">
        <v>504.60599999999999</v>
      </c>
      <c r="D908" s="880" t="s">
        <v>1453</v>
      </c>
    </row>
    <row r="909" spans="1:4" s="891" customFormat="1" ht="11.25" customHeight="1" x14ac:dyDescent="0.2">
      <c r="A909" s="1473"/>
      <c r="B909" s="887">
        <v>19670.29</v>
      </c>
      <c r="C909" s="887">
        <v>19670.281900000002</v>
      </c>
      <c r="D909" s="886" t="s">
        <v>11</v>
      </c>
    </row>
    <row r="910" spans="1:4" s="891" customFormat="1" ht="11.25" customHeight="1" x14ac:dyDescent="0.2">
      <c r="A910" s="1471" t="s">
        <v>1661</v>
      </c>
      <c r="B910" s="885">
        <v>43.3</v>
      </c>
      <c r="C910" s="885">
        <v>43.3</v>
      </c>
      <c r="D910" s="880" t="s">
        <v>2607</v>
      </c>
    </row>
    <row r="911" spans="1:4" s="891" customFormat="1" ht="11.25" customHeight="1" x14ac:dyDescent="0.2">
      <c r="A911" s="1471"/>
      <c r="B911" s="885">
        <v>36.31</v>
      </c>
      <c r="C911" s="885">
        <v>36.308999999999997</v>
      </c>
      <c r="D911" s="880" t="s">
        <v>1447</v>
      </c>
    </row>
    <row r="912" spans="1:4" s="891" customFormat="1" ht="11.25" customHeight="1" x14ac:dyDescent="0.2">
      <c r="A912" s="1471"/>
      <c r="B912" s="885">
        <v>1064.68</v>
      </c>
      <c r="C912" s="885">
        <v>1064.6780000000001</v>
      </c>
      <c r="D912" s="880" t="s">
        <v>2597</v>
      </c>
    </row>
    <row r="913" spans="1:4" s="891" customFormat="1" ht="11.25" customHeight="1" x14ac:dyDescent="0.2">
      <c r="A913" s="1471"/>
      <c r="B913" s="885">
        <v>205.11</v>
      </c>
      <c r="C913" s="885">
        <v>205.11199999999999</v>
      </c>
      <c r="D913" s="880" t="s">
        <v>1451</v>
      </c>
    </row>
    <row r="914" spans="1:4" s="891" customFormat="1" ht="11.25" customHeight="1" x14ac:dyDescent="0.2">
      <c r="A914" s="1471"/>
      <c r="B914" s="885">
        <v>12056</v>
      </c>
      <c r="C914" s="885">
        <v>12056</v>
      </c>
      <c r="D914" s="880" t="s">
        <v>1465</v>
      </c>
    </row>
    <row r="915" spans="1:4" s="891" customFormat="1" ht="11.25" customHeight="1" x14ac:dyDescent="0.2">
      <c r="A915" s="1471"/>
      <c r="B915" s="885">
        <v>3103</v>
      </c>
      <c r="C915" s="885">
        <v>3103</v>
      </c>
      <c r="D915" s="880" t="s">
        <v>2587</v>
      </c>
    </row>
    <row r="916" spans="1:4" s="891" customFormat="1" ht="11.25" customHeight="1" x14ac:dyDescent="0.2">
      <c r="A916" s="1471"/>
      <c r="B916" s="885">
        <v>383</v>
      </c>
      <c r="C916" s="885">
        <v>383</v>
      </c>
      <c r="D916" s="880" t="s">
        <v>2586</v>
      </c>
    </row>
    <row r="917" spans="1:4" s="891" customFormat="1" ht="11.25" customHeight="1" x14ac:dyDescent="0.2">
      <c r="A917" s="1471"/>
      <c r="B917" s="885">
        <v>60.89</v>
      </c>
      <c r="C917" s="885">
        <v>60.892000000000003</v>
      </c>
      <c r="D917" s="880" t="s">
        <v>1456</v>
      </c>
    </row>
    <row r="918" spans="1:4" s="891" customFormat="1" ht="11.25" customHeight="1" x14ac:dyDescent="0.2">
      <c r="A918" s="1471"/>
      <c r="B918" s="885">
        <v>397.82</v>
      </c>
      <c r="C918" s="885">
        <v>397.81599999999997</v>
      </c>
      <c r="D918" s="880" t="s">
        <v>1453</v>
      </c>
    </row>
    <row r="919" spans="1:4" s="891" customFormat="1" ht="11.25" customHeight="1" x14ac:dyDescent="0.2">
      <c r="A919" s="1471"/>
      <c r="B919" s="885">
        <v>17350.11</v>
      </c>
      <c r="C919" s="885">
        <v>17350.106999999996</v>
      </c>
      <c r="D919" s="880" t="s">
        <v>11</v>
      </c>
    </row>
    <row r="920" spans="1:4" s="891" customFormat="1" ht="11.25" customHeight="1" x14ac:dyDescent="0.2">
      <c r="A920" s="1472" t="s">
        <v>1633</v>
      </c>
      <c r="B920" s="888">
        <v>26.2</v>
      </c>
      <c r="C920" s="888">
        <v>26.2</v>
      </c>
      <c r="D920" s="882" t="s">
        <v>2607</v>
      </c>
    </row>
    <row r="921" spans="1:4" s="891" customFormat="1" ht="11.25" customHeight="1" x14ac:dyDescent="0.2">
      <c r="A921" s="1471"/>
      <c r="B921" s="885">
        <v>9.08</v>
      </c>
      <c r="C921" s="885">
        <v>9.077</v>
      </c>
      <c r="D921" s="880" t="s">
        <v>1447</v>
      </c>
    </row>
    <row r="922" spans="1:4" s="891" customFormat="1" ht="11.25" customHeight="1" x14ac:dyDescent="0.2">
      <c r="A922" s="1471"/>
      <c r="B922" s="885">
        <v>284.97000000000003</v>
      </c>
      <c r="C922" s="885">
        <v>284.97000000000003</v>
      </c>
      <c r="D922" s="880" t="s">
        <v>1451</v>
      </c>
    </row>
    <row r="923" spans="1:4" s="891" customFormat="1" ht="11.25" customHeight="1" x14ac:dyDescent="0.2">
      <c r="A923" s="1471"/>
      <c r="B923" s="885">
        <v>20372</v>
      </c>
      <c r="C923" s="885">
        <v>20372</v>
      </c>
      <c r="D923" s="880" t="s">
        <v>1465</v>
      </c>
    </row>
    <row r="924" spans="1:4" s="891" customFormat="1" ht="11.25" customHeight="1" x14ac:dyDescent="0.2">
      <c r="A924" s="1471"/>
      <c r="B924" s="885">
        <v>3597</v>
      </c>
      <c r="C924" s="885">
        <v>3597</v>
      </c>
      <c r="D924" s="880" t="s">
        <v>2587</v>
      </c>
    </row>
    <row r="925" spans="1:4" s="891" customFormat="1" ht="11.25" customHeight="1" x14ac:dyDescent="0.2">
      <c r="A925" s="1471"/>
      <c r="B925" s="885">
        <v>729</v>
      </c>
      <c r="C925" s="885">
        <v>729</v>
      </c>
      <c r="D925" s="880" t="s">
        <v>2586</v>
      </c>
    </row>
    <row r="926" spans="1:4" s="891" customFormat="1" ht="11.25" customHeight="1" x14ac:dyDescent="0.2">
      <c r="A926" s="1471"/>
      <c r="B926" s="885">
        <v>103.79</v>
      </c>
      <c r="C926" s="885">
        <v>103.788</v>
      </c>
      <c r="D926" s="880" t="s">
        <v>1456</v>
      </c>
    </row>
    <row r="927" spans="1:4" s="891" customFormat="1" ht="11.25" customHeight="1" x14ac:dyDescent="0.2">
      <c r="A927" s="1471"/>
      <c r="B927" s="885">
        <v>691.2</v>
      </c>
      <c r="C927" s="885">
        <v>691.197</v>
      </c>
      <c r="D927" s="880" t="s">
        <v>1453</v>
      </c>
    </row>
    <row r="928" spans="1:4" s="891" customFormat="1" ht="11.25" customHeight="1" x14ac:dyDescent="0.2">
      <c r="A928" s="1473"/>
      <c r="B928" s="887">
        <v>25813.24</v>
      </c>
      <c r="C928" s="887">
        <v>25813.232</v>
      </c>
      <c r="D928" s="886" t="s">
        <v>11</v>
      </c>
    </row>
    <row r="929" spans="1:4" s="891" customFormat="1" ht="11.25" customHeight="1" x14ac:dyDescent="0.2">
      <c r="A929" s="1471" t="s">
        <v>1650</v>
      </c>
      <c r="B929" s="885">
        <v>27.23</v>
      </c>
      <c r="C929" s="885">
        <v>27.231999999999999</v>
      </c>
      <c r="D929" s="880" t="s">
        <v>1447</v>
      </c>
    </row>
    <row r="930" spans="1:4" s="891" customFormat="1" ht="11.25" customHeight="1" x14ac:dyDescent="0.2">
      <c r="A930" s="1471"/>
      <c r="B930" s="885">
        <v>943.12</v>
      </c>
      <c r="C930" s="885">
        <v>943.11099999999999</v>
      </c>
      <c r="D930" s="880" t="s">
        <v>2597</v>
      </c>
    </row>
    <row r="931" spans="1:4" s="891" customFormat="1" ht="11.25" customHeight="1" x14ac:dyDescent="0.2">
      <c r="A931" s="1471"/>
      <c r="B931" s="885">
        <v>160.4</v>
      </c>
      <c r="C931" s="885">
        <v>160.398</v>
      </c>
      <c r="D931" s="880" t="s">
        <v>1451</v>
      </c>
    </row>
    <row r="932" spans="1:4" s="891" customFormat="1" ht="11.25" customHeight="1" x14ac:dyDescent="0.2">
      <c r="A932" s="1471"/>
      <c r="B932" s="885">
        <v>17044</v>
      </c>
      <c r="C932" s="885">
        <v>17044</v>
      </c>
      <c r="D932" s="880" t="s">
        <v>1465</v>
      </c>
    </row>
    <row r="933" spans="1:4" s="891" customFormat="1" ht="11.25" customHeight="1" x14ac:dyDescent="0.2">
      <c r="A933" s="1471"/>
      <c r="B933" s="885">
        <v>4140</v>
      </c>
      <c r="C933" s="885">
        <v>4140</v>
      </c>
      <c r="D933" s="880" t="s">
        <v>2587</v>
      </c>
    </row>
    <row r="934" spans="1:4" s="891" customFormat="1" ht="11.25" customHeight="1" x14ac:dyDescent="0.2">
      <c r="A934" s="1471"/>
      <c r="B934" s="885">
        <v>1415</v>
      </c>
      <c r="C934" s="885">
        <v>1415</v>
      </c>
      <c r="D934" s="880" t="s">
        <v>2586</v>
      </c>
    </row>
    <row r="935" spans="1:4" s="891" customFormat="1" ht="21" x14ac:dyDescent="0.2">
      <c r="A935" s="1471"/>
      <c r="B935" s="885">
        <v>362</v>
      </c>
      <c r="C935" s="885">
        <v>362</v>
      </c>
      <c r="D935" s="880" t="s">
        <v>2591</v>
      </c>
    </row>
    <row r="936" spans="1:4" s="891" customFormat="1" ht="11.25" customHeight="1" x14ac:dyDescent="0.2">
      <c r="A936" s="1471"/>
      <c r="B936" s="885">
        <v>85.11</v>
      </c>
      <c r="C936" s="885">
        <v>85.105000000000004</v>
      </c>
      <c r="D936" s="880" t="s">
        <v>1456</v>
      </c>
    </row>
    <row r="937" spans="1:4" s="891" customFormat="1" ht="11.25" customHeight="1" x14ac:dyDescent="0.2">
      <c r="A937" s="1471"/>
      <c r="B937" s="885">
        <v>596.51</v>
      </c>
      <c r="C937" s="885">
        <v>596.50900000000001</v>
      </c>
      <c r="D937" s="880" t="s">
        <v>1453</v>
      </c>
    </row>
    <row r="938" spans="1:4" s="891" customFormat="1" ht="11.25" customHeight="1" x14ac:dyDescent="0.2">
      <c r="A938" s="1471"/>
      <c r="B938" s="885">
        <v>24773.37</v>
      </c>
      <c r="C938" s="885">
        <v>24773.355000000003</v>
      </c>
      <c r="D938" s="880" t="s">
        <v>11</v>
      </c>
    </row>
    <row r="939" spans="1:4" s="891" customFormat="1" ht="11.25" customHeight="1" x14ac:dyDescent="0.2">
      <c r="A939" s="1472" t="s">
        <v>1665</v>
      </c>
      <c r="B939" s="888">
        <v>19.97</v>
      </c>
      <c r="C939" s="888">
        <v>19.97</v>
      </c>
      <c r="D939" s="882" t="s">
        <v>1447</v>
      </c>
    </row>
    <row r="940" spans="1:4" s="891" customFormat="1" ht="11.25" customHeight="1" x14ac:dyDescent="0.2">
      <c r="A940" s="1471"/>
      <c r="B940" s="885">
        <v>331.97</v>
      </c>
      <c r="C940" s="885">
        <v>331.97300000000001</v>
      </c>
      <c r="D940" s="880" t="s">
        <v>1451</v>
      </c>
    </row>
    <row r="941" spans="1:4" s="891" customFormat="1" ht="11.25" customHeight="1" x14ac:dyDescent="0.2">
      <c r="A941" s="1471"/>
      <c r="B941" s="885">
        <v>2610.61</v>
      </c>
      <c r="C941" s="885">
        <v>2610.6050299999997</v>
      </c>
      <c r="D941" s="880" t="s">
        <v>1339</v>
      </c>
    </row>
    <row r="942" spans="1:4" s="891" customFormat="1" ht="11.25" customHeight="1" x14ac:dyDescent="0.2">
      <c r="A942" s="1471"/>
      <c r="B942" s="885">
        <v>31376</v>
      </c>
      <c r="C942" s="885">
        <v>31376</v>
      </c>
      <c r="D942" s="880" t="s">
        <v>1465</v>
      </c>
    </row>
    <row r="943" spans="1:4" s="891" customFormat="1" ht="11.25" customHeight="1" x14ac:dyDescent="0.2">
      <c r="A943" s="1471"/>
      <c r="B943" s="885">
        <v>7184</v>
      </c>
      <c r="C943" s="885">
        <v>7184</v>
      </c>
      <c r="D943" s="880" t="s">
        <v>2587</v>
      </c>
    </row>
    <row r="944" spans="1:4" s="891" customFormat="1" ht="11.25" customHeight="1" x14ac:dyDescent="0.2">
      <c r="A944" s="1471"/>
      <c r="B944" s="885">
        <v>3263</v>
      </c>
      <c r="C944" s="885">
        <v>3263</v>
      </c>
      <c r="D944" s="880" t="s">
        <v>2586</v>
      </c>
    </row>
    <row r="945" spans="1:4" s="891" customFormat="1" ht="21" x14ac:dyDescent="0.2">
      <c r="A945" s="1471"/>
      <c r="B945" s="885">
        <v>1257</v>
      </c>
      <c r="C945" s="885">
        <v>1257</v>
      </c>
      <c r="D945" s="880" t="s">
        <v>2591</v>
      </c>
    </row>
    <row r="946" spans="1:4" s="891" customFormat="1" ht="11.25" customHeight="1" x14ac:dyDescent="0.2">
      <c r="A946" s="1471"/>
      <c r="B946" s="885">
        <v>159.62</v>
      </c>
      <c r="C946" s="885">
        <v>159.61699999999999</v>
      </c>
      <c r="D946" s="880" t="s">
        <v>1456</v>
      </c>
    </row>
    <row r="947" spans="1:4" s="891" customFormat="1" ht="11.25" customHeight="1" x14ac:dyDescent="0.2">
      <c r="A947" s="1471"/>
      <c r="B947" s="885">
        <v>1132.96</v>
      </c>
      <c r="C947" s="885">
        <v>1132.9549999999999</v>
      </c>
      <c r="D947" s="880" t="s">
        <v>1453</v>
      </c>
    </row>
    <row r="948" spans="1:4" s="891" customFormat="1" ht="11.25" customHeight="1" x14ac:dyDescent="0.2">
      <c r="A948" s="1473"/>
      <c r="B948" s="887">
        <v>47335.130000000005</v>
      </c>
      <c r="C948" s="887">
        <v>47335.120029999998</v>
      </c>
      <c r="D948" s="886" t="s">
        <v>11</v>
      </c>
    </row>
    <row r="949" spans="1:4" s="891" customFormat="1" ht="11.25" customHeight="1" x14ac:dyDescent="0.2">
      <c r="A949" s="1471" t="s">
        <v>2628</v>
      </c>
      <c r="B949" s="885">
        <v>2514.84</v>
      </c>
      <c r="C949" s="885">
        <v>2514.8238299999998</v>
      </c>
      <c r="D949" s="880" t="s">
        <v>2608</v>
      </c>
    </row>
    <row r="950" spans="1:4" s="891" customFormat="1" ht="11.25" customHeight="1" x14ac:dyDescent="0.2">
      <c r="A950" s="1471"/>
      <c r="B950" s="885">
        <v>1002.7</v>
      </c>
      <c r="C950" s="885">
        <v>1002.6984200000001</v>
      </c>
      <c r="D950" s="880" t="s">
        <v>2613</v>
      </c>
    </row>
    <row r="951" spans="1:4" s="891" customFormat="1" ht="11.25" customHeight="1" x14ac:dyDescent="0.2">
      <c r="A951" s="1471"/>
      <c r="B951" s="885">
        <v>110.42</v>
      </c>
      <c r="C951" s="885">
        <v>110.417</v>
      </c>
      <c r="D951" s="880" t="s">
        <v>1451</v>
      </c>
    </row>
    <row r="952" spans="1:4" s="891" customFormat="1" ht="11.25" customHeight="1" x14ac:dyDescent="0.2">
      <c r="A952" s="1471"/>
      <c r="B952" s="885">
        <v>108.67999999999999</v>
      </c>
      <c r="C952" s="885">
        <v>99.537379999999985</v>
      </c>
      <c r="D952" s="880" t="s">
        <v>1339</v>
      </c>
    </row>
    <row r="953" spans="1:4" s="891" customFormat="1" ht="11.25" customHeight="1" x14ac:dyDescent="0.2">
      <c r="A953" s="1471"/>
      <c r="B953" s="885">
        <v>17539</v>
      </c>
      <c r="C953" s="885">
        <v>17539</v>
      </c>
      <c r="D953" s="880" t="s">
        <v>1465</v>
      </c>
    </row>
    <row r="954" spans="1:4" s="891" customFormat="1" ht="11.25" customHeight="1" x14ac:dyDescent="0.2">
      <c r="A954" s="1471"/>
      <c r="B954" s="885">
        <v>4208</v>
      </c>
      <c r="C954" s="885">
        <v>4208</v>
      </c>
      <c r="D954" s="880" t="s">
        <v>2587</v>
      </c>
    </row>
    <row r="955" spans="1:4" s="891" customFormat="1" ht="11.25" customHeight="1" x14ac:dyDescent="0.2">
      <c r="A955" s="1471"/>
      <c r="B955" s="885">
        <v>515</v>
      </c>
      <c r="C955" s="885">
        <v>515</v>
      </c>
      <c r="D955" s="880" t="s">
        <v>2586</v>
      </c>
    </row>
    <row r="956" spans="1:4" s="891" customFormat="1" ht="11.25" customHeight="1" x14ac:dyDescent="0.2">
      <c r="A956" s="1471"/>
      <c r="B956" s="885">
        <v>88.44</v>
      </c>
      <c r="C956" s="885">
        <v>88.44</v>
      </c>
      <c r="D956" s="880" t="s">
        <v>1456</v>
      </c>
    </row>
    <row r="957" spans="1:4" s="891" customFormat="1" ht="11.25" customHeight="1" x14ac:dyDescent="0.2">
      <c r="A957" s="1471"/>
      <c r="B957" s="885">
        <v>627.99</v>
      </c>
      <c r="C957" s="885">
        <v>627.98500000000001</v>
      </c>
      <c r="D957" s="880" t="s">
        <v>1453</v>
      </c>
    </row>
    <row r="958" spans="1:4" s="891" customFormat="1" ht="11.25" customHeight="1" x14ac:dyDescent="0.2">
      <c r="A958" s="1471"/>
      <c r="B958" s="885">
        <v>26715.07</v>
      </c>
      <c r="C958" s="885">
        <v>26705.90163</v>
      </c>
      <c r="D958" s="880" t="s">
        <v>11</v>
      </c>
    </row>
    <row r="959" spans="1:4" s="891" customFormat="1" ht="11.25" customHeight="1" x14ac:dyDescent="0.2">
      <c r="A959" s="1472" t="s">
        <v>1695</v>
      </c>
      <c r="B959" s="888">
        <v>609.78</v>
      </c>
      <c r="C959" s="888">
        <v>609.77300000000002</v>
      </c>
      <c r="D959" s="882" t="s">
        <v>2597</v>
      </c>
    </row>
    <row r="960" spans="1:4" s="891" customFormat="1" ht="11.25" customHeight="1" x14ac:dyDescent="0.2">
      <c r="A960" s="1471"/>
      <c r="B960" s="885">
        <v>1300</v>
      </c>
      <c r="C960" s="885">
        <v>1082.91049</v>
      </c>
      <c r="D960" s="880" t="s">
        <v>2627</v>
      </c>
    </row>
    <row r="961" spans="1:4" s="891" customFormat="1" ht="11.25" customHeight="1" x14ac:dyDescent="0.2">
      <c r="A961" s="1471"/>
      <c r="B961" s="885">
        <v>39271</v>
      </c>
      <c r="C961" s="885">
        <v>39271</v>
      </c>
      <c r="D961" s="880" t="s">
        <v>1465</v>
      </c>
    </row>
    <row r="962" spans="1:4" s="891" customFormat="1" ht="11.25" customHeight="1" x14ac:dyDescent="0.2">
      <c r="A962" s="1471"/>
      <c r="B962" s="885">
        <v>11498</v>
      </c>
      <c r="C962" s="885">
        <v>11498</v>
      </c>
      <c r="D962" s="880" t="s">
        <v>2587</v>
      </c>
    </row>
    <row r="963" spans="1:4" s="891" customFormat="1" ht="11.25" customHeight="1" x14ac:dyDescent="0.2">
      <c r="A963" s="1471"/>
      <c r="B963" s="885">
        <v>904</v>
      </c>
      <c r="C963" s="885">
        <v>904</v>
      </c>
      <c r="D963" s="880" t="s">
        <v>2586</v>
      </c>
    </row>
    <row r="964" spans="1:4" s="891" customFormat="1" ht="11.25" customHeight="1" x14ac:dyDescent="0.2">
      <c r="A964" s="1471"/>
      <c r="B964" s="885">
        <v>3600</v>
      </c>
      <c r="C964" s="885">
        <v>3600</v>
      </c>
      <c r="D964" s="880" t="s">
        <v>2626</v>
      </c>
    </row>
    <row r="965" spans="1:4" s="891" customFormat="1" ht="11.25" customHeight="1" x14ac:dyDescent="0.2">
      <c r="A965" s="1471"/>
      <c r="B965" s="885">
        <v>198.26</v>
      </c>
      <c r="C965" s="885">
        <v>198.261</v>
      </c>
      <c r="D965" s="880" t="s">
        <v>1456</v>
      </c>
    </row>
    <row r="966" spans="1:4" s="891" customFormat="1" ht="11.25" customHeight="1" x14ac:dyDescent="0.2">
      <c r="A966" s="1471"/>
      <c r="B966" s="885">
        <v>1235.21</v>
      </c>
      <c r="C966" s="885">
        <v>1235.21</v>
      </c>
      <c r="D966" s="880" t="s">
        <v>1453</v>
      </c>
    </row>
    <row r="967" spans="1:4" s="891" customFormat="1" ht="11.25" customHeight="1" x14ac:dyDescent="0.2">
      <c r="A967" s="1473"/>
      <c r="B967" s="887">
        <v>58616.25</v>
      </c>
      <c r="C967" s="887">
        <v>58399.154490000001</v>
      </c>
      <c r="D967" s="886" t="s">
        <v>11</v>
      </c>
    </row>
    <row r="968" spans="1:4" s="891" customFormat="1" ht="11.25" customHeight="1" x14ac:dyDescent="0.2">
      <c r="A968" s="1471" t="s">
        <v>1715</v>
      </c>
      <c r="B968" s="885">
        <v>9.08</v>
      </c>
      <c r="C968" s="885">
        <v>9.077</v>
      </c>
      <c r="D968" s="880" t="s">
        <v>1447</v>
      </c>
    </row>
    <row r="969" spans="1:4" s="891" customFormat="1" ht="11.25" customHeight="1" x14ac:dyDescent="0.2">
      <c r="A969" s="1471"/>
      <c r="B969" s="885">
        <v>112.81</v>
      </c>
      <c r="C969" s="885">
        <v>112.80800000000001</v>
      </c>
      <c r="D969" s="880" t="s">
        <v>2597</v>
      </c>
    </row>
    <row r="970" spans="1:4" s="891" customFormat="1" ht="11.25" customHeight="1" x14ac:dyDescent="0.2">
      <c r="A970" s="1471"/>
      <c r="B970" s="885">
        <v>195.76</v>
      </c>
      <c r="C970" s="885">
        <v>195.76</v>
      </c>
      <c r="D970" s="880" t="s">
        <v>1451</v>
      </c>
    </row>
    <row r="971" spans="1:4" s="891" customFormat="1" ht="11.25" customHeight="1" x14ac:dyDescent="0.2">
      <c r="A971" s="1471"/>
      <c r="B971" s="885">
        <v>10</v>
      </c>
      <c r="C971" s="885">
        <v>10</v>
      </c>
      <c r="D971" s="880" t="s">
        <v>2589</v>
      </c>
    </row>
    <row r="972" spans="1:4" s="891" customFormat="1" ht="11.25" customHeight="1" x14ac:dyDescent="0.2">
      <c r="A972" s="1471"/>
      <c r="B972" s="885">
        <v>23874</v>
      </c>
      <c r="C972" s="885">
        <v>23874</v>
      </c>
      <c r="D972" s="880" t="s">
        <v>1465</v>
      </c>
    </row>
    <row r="973" spans="1:4" s="891" customFormat="1" ht="11.25" customHeight="1" x14ac:dyDescent="0.2">
      <c r="A973" s="1471"/>
      <c r="B973" s="885">
        <v>4751</v>
      </c>
      <c r="C973" s="885">
        <v>4751</v>
      </c>
      <c r="D973" s="880" t="s">
        <v>2587</v>
      </c>
    </row>
    <row r="974" spans="1:4" s="891" customFormat="1" ht="11.25" customHeight="1" x14ac:dyDescent="0.2">
      <c r="A974" s="1471"/>
      <c r="B974" s="885">
        <v>1170</v>
      </c>
      <c r="C974" s="885">
        <v>1170</v>
      </c>
      <c r="D974" s="880" t="s">
        <v>2586</v>
      </c>
    </row>
    <row r="975" spans="1:4" s="891" customFormat="1" ht="11.25" customHeight="1" x14ac:dyDescent="0.2">
      <c r="A975" s="1471"/>
      <c r="B975" s="885">
        <v>1400</v>
      </c>
      <c r="C975" s="885">
        <v>1400</v>
      </c>
      <c r="D975" s="880" t="s">
        <v>2625</v>
      </c>
    </row>
    <row r="976" spans="1:4" s="891" customFormat="1" ht="11.25" customHeight="1" x14ac:dyDescent="0.2">
      <c r="A976" s="1471"/>
      <c r="B976" s="885">
        <v>119.3</v>
      </c>
      <c r="C976" s="885">
        <v>119.29600000000001</v>
      </c>
      <c r="D976" s="880" t="s">
        <v>1456</v>
      </c>
    </row>
    <row r="977" spans="1:4" s="891" customFormat="1" ht="11.25" customHeight="1" x14ac:dyDescent="0.2">
      <c r="A977" s="1471"/>
      <c r="B977" s="885">
        <v>655.35</v>
      </c>
      <c r="C977" s="885">
        <v>655.346</v>
      </c>
      <c r="D977" s="880" t="s">
        <v>1453</v>
      </c>
    </row>
    <row r="978" spans="1:4" s="891" customFormat="1" ht="11.25" customHeight="1" x14ac:dyDescent="0.2">
      <c r="A978" s="1471"/>
      <c r="B978" s="885">
        <v>32297.3</v>
      </c>
      <c r="C978" s="885">
        <v>32297.287</v>
      </c>
      <c r="D978" s="880" t="s">
        <v>11</v>
      </c>
    </row>
    <row r="979" spans="1:4" s="891" customFormat="1" ht="11.25" customHeight="1" x14ac:dyDescent="0.2">
      <c r="A979" s="1472" t="s">
        <v>1712</v>
      </c>
      <c r="B979" s="888">
        <v>2200</v>
      </c>
      <c r="C979" s="888">
        <v>2200</v>
      </c>
      <c r="D979" s="882" t="s">
        <v>2624</v>
      </c>
    </row>
    <row r="980" spans="1:4" s="891" customFormat="1" ht="11.25" customHeight="1" x14ac:dyDescent="0.2">
      <c r="A980" s="1471"/>
      <c r="B980" s="885">
        <v>1356.54</v>
      </c>
      <c r="C980" s="885">
        <v>1356.5419999999999</v>
      </c>
      <c r="D980" s="880" t="s">
        <v>1451</v>
      </c>
    </row>
    <row r="981" spans="1:4" s="891" customFormat="1" ht="11.25" customHeight="1" x14ac:dyDescent="0.2">
      <c r="A981" s="1471"/>
      <c r="B981" s="885">
        <v>15</v>
      </c>
      <c r="C981" s="885">
        <v>15</v>
      </c>
      <c r="D981" s="880" t="s">
        <v>2589</v>
      </c>
    </row>
    <row r="982" spans="1:4" s="891" customFormat="1" ht="11.25" customHeight="1" x14ac:dyDescent="0.2">
      <c r="A982" s="1471"/>
      <c r="B982" s="885">
        <v>39641</v>
      </c>
      <c r="C982" s="885">
        <v>39641</v>
      </c>
      <c r="D982" s="880" t="s">
        <v>1465</v>
      </c>
    </row>
    <row r="983" spans="1:4" s="891" customFormat="1" ht="11.25" customHeight="1" x14ac:dyDescent="0.2">
      <c r="A983" s="1471"/>
      <c r="B983" s="885">
        <v>8615</v>
      </c>
      <c r="C983" s="885">
        <v>8615</v>
      </c>
      <c r="D983" s="880" t="s">
        <v>2587</v>
      </c>
    </row>
    <row r="984" spans="1:4" s="891" customFormat="1" ht="11.25" customHeight="1" x14ac:dyDescent="0.2">
      <c r="A984" s="1471"/>
      <c r="B984" s="885">
        <v>1907</v>
      </c>
      <c r="C984" s="885">
        <v>1907</v>
      </c>
      <c r="D984" s="880" t="s">
        <v>2586</v>
      </c>
    </row>
    <row r="985" spans="1:4" s="891" customFormat="1" ht="21" x14ac:dyDescent="0.2">
      <c r="A985" s="1471"/>
      <c r="B985" s="885">
        <v>1981</v>
      </c>
      <c r="C985" s="885">
        <v>1981</v>
      </c>
      <c r="D985" s="880" t="s">
        <v>2591</v>
      </c>
    </row>
    <row r="986" spans="1:4" s="891" customFormat="1" ht="11.25" customHeight="1" x14ac:dyDescent="0.2">
      <c r="A986" s="1471"/>
      <c r="B986" s="885">
        <v>194.61</v>
      </c>
      <c r="C986" s="885">
        <v>194.60599999999999</v>
      </c>
      <c r="D986" s="880" t="s">
        <v>1456</v>
      </c>
    </row>
    <row r="987" spans="1:4" s="891" customFormat="1" ht="11.25" customHeight="1" x14ac:dyDescent="0.2">
      <c r="A987" s="1471"/>
      <c r="B987" s="885">
        <v>1190.08</v>
      </c>
      <c r="C987" s="885">
        <v>1190.076</v>
      </c>
      <c r="D987" s="880" t="s">
        <v>1453</v>
      </c>
    </row>
    <row r="988" spans="1:4" s="891" customFormat="1" ht="11.25" customHeight="1" x14ac:dyDescent="0.2">
      <c r="A988" s="1473"/>
      <c r="B988" s="887">
        <v>57100.23</v>
      </c>
      <c r="C988" s="887">
        <v>57100.224000000002</v>
      </c>
      <c r="D988" s="886" t="s">
        <v>11</v>
      </c>
    </row>
    <row r="989" spans="1:4" s="891" customFormat="1" ht="11.25" customHeight="1" x14ac:dyDescent="0.2">
      <c r="A989" s="1471" t="s">
        <v>1684</v>
      </c>
      <c r="B989" s="885">
        <v>205.62</v>
      </c>
      <c r="C989" s="885">
        <v>205.60965999999999</v>
      </c>
      <c r="D989" s="880" t="s">
        <v>2608</v>
      </c>
    </row>
    <row r="990" spans="1:4" s="891" customFormat="1" ht="11.25" customHeight="1" x14ac:dyDescent="0.2">
      <c r="A990" s="1471"/>
      <c r="B990" s="885">
        <v>229.99</v>
      </c>
      <c r="C990" s="885">
        <v>229.989</v>
      </c>
      <c r="D990" s="880" t="s">
        <v>1451</v>
      </c>
    </row>
    <row r="991" spans="1:4" s="891" customFormat="1" ht="21" x14ac:dyDescent="0.2">
      <c r="A991" s="1471"/>
      <c r="B991" s="885">
        <v>91.75</v>
      </c>
      <c r="C991" s="885">
        <v>89.596999999999994</v>
      </c>
      <c r="D991" s="880" t="s">
        <v>1446</v>
      </c>
    </row>
    <row r="992" spans="1:4" s="891" customFormat="1" ht="11.25" customHeight="1" x14ac:dyDescent="0.2">
      <c r="A992" s="1471"/>
      <c r="B992" s="885">
        <v>25891</v>
      </c>
      <c r="C992" s="885">
        <v>25891</v>
      </c>
      <c r="D992" s="880" t="s">
        <v>1465</v>
      </c>
    </row>
    <row r="993" spans="1:4" s="891" customFormat="1" ht="11.25" customHeight="1" x14ac:dyDescent="0.2">
      <c r="A993" s="1471"/>
      <c r="B993" s="885">
        <v>6493</v>
      </c>
      <c r="C993" s="885">
        <v>6493</v>
      </c>
      <c r="D993" s="880" t="s">
        <v>2587</v>
      </c>
    </row>
    <row r="994" spans="1:4" s="891" customFormat="1" ht="11.25" customHeight="1" x14ac:dyDescent="0.2">
      <c r="A994" s="1471"/>
      <c r="B994" s="885">
        <v>510</v>
      </c>
      <c r="C994" s="885">
        <v>510</v>
      </c>
      <c r="D994" s="880" t="s">
        <v>2586</v>
      </c>
    </row>
    <row r="995" spans="1:4" s="891" customFormat="1" ht="11.25" customHeight="1" x14ac:dyDescent="0.2">
      <c r="A995" s="1471"/>
      <c r="B995" s="885">
        <v>130.22999999999999</v>
      </c>
      <c r="C995" s="885">
        <v>130.23099999999999</v>
      </c>
      <c r="D995" s="880" t="s">
        <v>1456</v>
      </c>
    </row>
    <row r="996" spans="1:4" s="891" customFormat="1" ht="11.25" customHeight="1" x14ac:dyDescent="0.2">
      <c r="A996" s="1471"/>
      <c r="B996" s="885">
        <v>793.58</v>
      </c>
      <c r="C996" s="885">
        <v>793.58100000000002</v>
      </c>
      <c r="D996" s="880" t="s">
        <v>1453</v>
      </c>
    </row>
    <row r="997" spans="1:4" s="891" customFormat="1" ht="11.25" customHeight="1" x14ac:dyDescent="0.2">
      <c r="A997" s="1471"/>
      <c r="B997" s="885">
        <v>34345.170000000006</v>
      </c>
      <c r="C997" s="885">
        <v>34343.007659999996</v>
      </c>
      <c r="D997" s="880" t="s">
        <v>11</v>
      </c>
    </row>
    <row r="998" spans="1:4" s="891" customFormat="1" ht="11.25" customHeight="1" x14ac:dyDescent="0.2">
      <c r="A998" s="1472" t="s">
        <v>1714</v>
      </c>
      <c r="B998" s="888">
        <v>998.35</v>
      </c>
      <c r="C998" s="888">
        <v>998.35300000000007</v>
      </c>
      <c r="D998" s="882" t="s">
        <v>2597</v>
      </c>
    </row>
    <row r="999" spans="1:4" s="891" customFormat="1" ht="11.25" customHeight="1" x14ac:dyDescent="0.2">
      <c r="A999" s="1471"/>
      <c r="B999" s="885">
        <v>40</v>
      </c>
      <c r="C999" s="885">
        <v>40</v>
      </c>
      <c r="D999" s="880" t="s">
        <v>2596</v>
      </c>
    </row>
    <row r="1000" spans="1:4" s="891" customFormat="1" ht="11.25" customHeight="1" x14ac:dyDescent="0.2">
      <c r="A1000" s="1471"/>
      <c r="B1000" s="885">
        <v>376.81</v>
      </c>
      <c r="C1000" s="885">
        <v>376.80599999999998</v>
      </c>
      <c r="D1000" s="880" t="s">
        <v>1451</v>
      </c>
    </row>
    <row r="1001" spans="1:4" s="891" customFormat="1" ht="11.25" customHeight="1" x14ac:dyDescent="0.2">
      <c r="A1001" s="1471"/>
      <c r="B1001" s="885">
        <v>31952</v>
      </c>
      <c r="C1001" s="885">
        <v>31952</v>
      </c>
      <c r="D1001" s="880" t="s">
        <v>1465</v>
      </c>
    </row>
    <row r="1002" spans="1:4" s="891" customFormat="1" ht="11.25" customHeight="1" x14ac:dyDescent="0.2">
      <c r="A1002" s="1471"/>
      <c r="B1002" s="885">
        <v>8336</v>
      </c>
      <c r="C1002" s="885">
        <v>8336</v>
      </c>
      <c r="D1002" s="880" t="s">
        <v>2587</v>
      </c>
    </row>
    <row r="1003" spans="1:4" s="891" customFormat="1" ht="11.25" customHeight="1" x14ac:dyDescent="0.2">
      <c r="A1003" s="1471"/>
      <c r="B1003" s="885">
        <v>2269</v>
      </c>
      <c r="C1003" s="885">
        <v>2267.44391</v>
      </c>
      <c r="D1003" s="880" t="s">
        <v>2586</v>
      </c>
    </row>
    <row r="1004" spans="1:4" s="891" customFormat="1" ht="11.25" customHeight="1" x14ac:dyDescent="0.2">
      <c r="A1004" s="1471"/>
      <c r="B1004" s="885">
        <v>160.08000000000001</v>
      </c>
      <c r="C1004" s="885">
        <v>160.07900000000001</v>
      </c>
      <c r="D1004" s="880" t="s">
        <v>1456</v>
      </c>
    </row>
    <row r="1005" spans="1:4" s="891" customFormat="1" ht="11.25" customHeight="1" x14ac:dyDescent="0.2">
      <c r="A1005" s="1471"/>
      <c r="B1005" s="885">
        <v>1008.41</v>
      </c>
      <c r="C1005" s="885">
        <v>1008.41</v>
      </c>
      <c r="D1005" s="880" t="s">
        <v>1453</v>
      </c>
    </row>
    <row r="1006" spans="1:4" s="891" customFormat="1" ht="11.25" customHeight="1" x14ac:dyDescent="0.2">
      <c r="A1006" s="1473"/>
      <c r="B1006" s="887">
        <v>45140.650000000009</v>
      </c>
      <c r="C1006" s="887">
        <v>45139.091910000003</v>
      </c>
      <c r="D1006" s="886" t="s">
        <v>11</v>
      </c>
    </row>
    <row r="1007" spans="1:4" s="891" customFormat="1" ht="11.25" customHeight="1" x14ac:dyDescent="0.2">
      <c r="A1007" s="1471" t="s">
        <v>1676</v>
      </c>
      <c r="B1007" s="885">
        <v>401.45</v>
      </c>
      <c r="C1007" s="885">
        <v>401.45400000000001</v>
      </c>
      <c r="D1007" s="880" t="s">
        <v>1451</v>
      </c>
    </row>
    <row r="1008" spans="1:4" s="891" customFormat="1" ht="11.25" customHeight="1" x14ac:dyDescent="0.2">
      <c r="A1008" s="1471"/>
      <c r="B1008" s="885">
        <v>81</v>
      </c>
      <c r="C1008" s="885">
        <v>81</v>
      </c>
      <c r="D1008" s="880" t="s">
        <v>540</v>
      </c>
    </row>
    <row r="1009" spans="1:4" s="891" customFormat="1" ht="11.25" customHeight="1" x14ac:dyDescent="0.2">
      <c r="A1009" s="1471"/>
      <c r="B1009" s="885">
        <v>6</v>
      </c>
      <c r="C1009" s="885">
        <v>4.4710000000000001</v>
      </c>
      <c r="D1009" s="880" t="s">
        <v>1459</v>
      </c>
    </row>
    <row r="1010" spans="1:4" s="891" customFormat="1" ht="11.25" customHeight="1" x14ac:dyDescent="0.2">
      <c r="A1010" s="1471"/>
      <c r="B1010" s="885">
        <v>47622</v>
      </c>
      <c r="C1010" s="885">
        <v>47622</v>
      </c>
      <c r="D1010" s="880" t="s">
        <v>1465</v>
      </c>
    </row>
    <row r="1011" spans="1:4" s="891" customFormat="1" ht="11.25" customHeight="1" x14ac:dyDescent="0.2">
      <c r="A1011" s="1471"/>
      <c r="B1011" s="885">
        <v>10925</v>
      </c>
      <c r="C1011" s="885">
        <v>10925</v>
      </c>
      <c r="D1011" s="880" t="s">
        <v>2587</v>
      </c>
    </row>
    <row r="1012" spans="1:4" s="891" customFormat="1" ht="11.25" customHeight="1" x14ac:dyDescent="0.2">
      <c r="A1012" s="1471"/>
      <c r="B1012" s="885">
        <v>1807</v>
      </c>
      <c r="C1012" s="885">
        <v>1807</v>
      </c>
      <c r="D1012" s="880" t="s">
        <v>2586</v>
      </c>
    </row>
    <row r="1013" spans="1:4" s="891" customFormat="1" ht="11.25" customHeight="1" x14ac:dyDescent="0.2">
      <c r="A1013" s="1471"/>
      <c r="B1013" s="885">
        <v>239.53</v>
      </c>
      <c r="C1013" s="885">
        <v>239.52799999999999</v>
      </c>
      <c r="D1013" s="880" t="s">
        <v>1456</v>
      </c>
    </row>
    <row r="1014" spans="1:4" s="891" customFormat="1" ht="11.25" customHeight="1" x14ac:dyDescent="0.2">
      <c r="A1014" s="1471"/>
      <c r="B1014" s="885">
        <v>1459.74</v>
      </c>
      <c r="C1014" s="885">
        <v>1459.742</v>
      </c>
      <c r="D1014" s="880" t="s">
        <v>1453</v>
      </c>
    </row>
    <row r="1015" spans="1:4" s="891" customFormat="1" ht="11.25" customHeight="1" x14ac:dyDescent="0.2">
      <c r="A1015" s="1471"/>
      <c r="B1015" s="885">
        <v>62541.719999999994</v>
      </c>
      <c r="C1015" s="885">
        <v>62540.194999999992</v>
      </c>
      <c r="D1015" s="880" t="s">
        <v>11</v>
      </c>
    </row>
    <row r="1016" spans="1:4" s="891" customFormat="1" ht="11.25" customHeight="1" x14ac:dyDescent="0.2">
      <c r="A1016" s="1472" t="s">
        <v>1729</v>
      </c>
      <c r="B1016" s="888">
        <v>944.09</v>
      </c>
      <c r="C1016" s="888">
        <v>944.09199999999987</v>
      </c>
      <c r="D1016" s="882" t="s">
        <v>2597</v>
      </c>
    </row>
    <row r="1017" spans="1:4" s="891" customFormat="1" ht="11.25" customHeight="1" x14ac:dyDescent="0.2">
      <c r="A1017" s="1471"/>
      <c r="B1017" s="885">
        <v>185.13</v>
      </c>
      <c r="C1017" s="885">
        <v>185.13</v>
      </c>
      <c r="D1017" s="880" t="s">
        <v>2623</v>
      </c>
    </row>
    <row r="1018" spans="1:4" s="891" customFormat="1" ht="11.25" customHeight="1" x14ac:dyDescent="0.2">
      <c r="A1018" s="1471"/>
      <c r="B1018" s="885">
        <v>40.5</v>
      </c>
      <c r="C1018" s="885">
        <v>40.5</v>
      </c>
      <c r="D1018" s="880" t="s">
        <v>2596</v>
      </c>
    </row>
    <row r="1019" spans="1:4" s="891" customFormat="1" ht="11.25" customHeight="1" x14ac:dyDescent="0.2">
      <c r="A1019" s="1471"/>
      <c r="B1019" s="885">
        <v>167.63</v>
      </c>
      <c r="C1019" s="885">
        <v>167.62799999999999</v>
      </c>
      <c r="D1019" s="880" t="s">
        <v>1451</v>
      </c>
    </row>
    <row r="1020" spans="1:4" s="891" customFormat="1" ht="21" x14ac:dyDescent="0.2">
      <c r="A1020" s="1471"/>
      <c r="B1020" s="885">
        <v>129.81</v>
      </c>
      <c r="C1020" s="885">
        <v>126.31699999999999</v>
      </c>
      <c r="D1020" s="880" t="s">
        <v>1446</v>
      </c>
    </row>
    <row r="1021" spans="1:4" s="891" customFormat="1" ht="11.25" customHeight="1" x14ac:dyDescent="0.2">
      <c r="A1021" s="1471"/>
      <c r="B1021" s="885">
        <v>34.799999999999997</v>
      </c>
      <c r="C1021" s="885">
        <v>22.445</v>
      </c>
      <c r="D1021" s="880" t="s">
        <v>1459</v>
      </c>
    </row>
    <row r="1022" spans="1:4" s="891" customFormat="1" ht="11.25" customHeight="1" x14ac:dyDescent="0.2">
      <c r="A1022" s="1471"/>
      <c r="B1022" s="885">
        <v>68425</v>
      </c>
      <c r="C1022" s="885">
        <v>68425</v>
      </c>
      <c r="D1022" s="880" t="s">
        <v>1465</v>
      </c>
    </row>
    <row r="1023" spans="1:4" s="891" customFormat="1" ht="11.25" customHeight="1" x14ac:dyDescent="0.2">
      <c r="A1023" s="1471"/>
      <c r="B1023" s="885">
        <v>10003</v>
      </c>
      <c r="C1023" s="885">
        <v>10003</v>
      </c>
      <c r="D1023" s="880" t="s">
        <v>2587</v>
      </c>
    </row>
    <row r="1024" spans="1:4" s="891" customFormat="1" ht="11.25" customHeight="1" x14ac:dyDescent="0.2">
      <c r="A1024" s="1471"/>
      <c r="B1024" s="885">
        <v>2074</v>
      </c>
      <c r="C1024" s="885">
        <v>2074</v>
      </c>
      <c r="D1024" s="880" t="s">
        <v>2586</v>
      </c>
    </row>
    <row r="1025" spans="1:4" s="891" customFormat="1" ht="11.25" customHeight="1" x14ac:dyDescent="0.2">
      <c r="A1025" s="1471"/>
      <c r="B1025" s="885">
        <v>445.5</v>
      </c>
      <c r="C1025" s="885">
        <v>445.5</v>
      </c>
      <c r="D1025" s="880" t="s">
        <v>1452</v>
      </c>
    </row>
    <row r="1026" spans="1:4" s="891" customFormat="1" ht="21" x14ac:dyDescent="0.2">
      <c r="A1026" s="1471"/>
      <c r="B1026" s="885">
        <v>1123</v>
      </c>
      <c r="C1026" s="885">
        <v>1123</v>
      </c>
      <c r="D1026" s="880" t="s">
        <v>2591</v>
      </c>
    </row>
    <row r="1027" spans="1:4" s="891" customFormat="1" ht="11.25" customHeight="1" x14ac:dyDescent="0.2">
      <c r="A1027" s="1471"/>
      <c r="B1027" s="885">
        <v>465.8</v>
      </c>
      <c r="C1027" s="885">
        <v>465.8</v>
      </c>
      <c r="D1027" s="880" t="s">
        <v>2603</v>
      </c>
    </row>
    <row r="1028" spans="1:4" s="891" customFormat="1" ht="11.25" customHeight="1" x14ac:dyDescent="0.2">
      <c r="A1028" s="1471"/>
      <c r="B1028" s="885">
        <v>346.69</v>
      </c>
      <c r="C1028" s="885">
        <v>346.69200000000001</v>
      </c>
      <c r="D1028" s="880" t="s">
        <v>1456</v>
      </c>
    </row>
    <row r="1029" spans="1:4" s="891" customFormat="1" ht="11.25" customHeight="1" x14ac:dyDescent="0.2">
      <c r="A1029" s="1471"/>
      <c r="B1029" s="885">
        <v>2257.58</v>
      </c>
      <c r="C1029" s="885">
        <v>2257.5770000000002</v>
      </c>
      <c r="D1029" s="880" t="s">
        <v>1453</v>
      </c>
    </row>
    <row r="1030" spans="1:4" s="891" customFormat="1" ht="11.25" customHeight="1" x14ac:dyDescent="0.2">
      <c r="A1030" s="1473"/>
      <c r="B1030" s="887">
        <v>86642.530000000013</v>
      </c>
      <c r="C1030" s="887">
        <v>86626.681000000011</v>
      </c>
      <c r="D1030" s="886" t="s">
        <v>11</v>
      </c>
    </row>
    <row r="1031" spans="1:4" s="891" customFormat="1" ht="11.25" customHeight="1" x14ac:dyDescent="0.2">
      <c r="A1031" s="1471" t="s">
        <v>1662</v>
      </c>
      <c r="B1031" s="885">
        <v>45.39</v>
      </c>
      <c r="C1031" s="885">
        <v>45.386000000000003</v>
      </c>
      <c r="D1031" s="880" t="s">
        <v>1447</v>
      </c>
    </row>
    <row r="1032" spans="1:4" s="891" customFormat="1" ht="11.25" customHeight="1" x14ac:dyDescent="0.2">
      <c r="A1032" s="1471"/>
      <c r="B1032" s="885">
        <v>18656</v>
      </c>
      <c r="C1032" s="885">
        <v>18656</v>
      </c>
      <c r="D1032" s="880" t="s">
        <v>1465</v>
      </c>
    </row>
    <row r="1033" spans="1:4" s="891" customFormat="1" ht="11.25" customHeight="1" x14ac:dyDescent="0.2">
      <c r="A1033" s="1471"/>
      <c r="B1033" s="885">
        <v>2786</v>
      </c>
      <c r="C1033" s="885">
        <v>2786</v>
      </c>
      <c r="D1033" s="880" t="s">
        <v>2587</v>
      </c>
    </row>
    <row r="1034" spans="1:4" s="891" customFormat="1" ht="11.25" customHeight="1" x14ac:dyDescent="0.2">
      <c r="A1034" s="1471"/>
      <c r="B1034" s="885">
        <v>488</v>
      </c>
      <c r="C1034" s="885">
        <v>483</v>
      </c>
      <c r="D1034" s="880" t="s">
        <v>2586</v>
      </c>
    </row>
    <row r="1035" spans="1:4" s="891" customFormat="1" ht="11.25" customHeight="1" x14ac:dyDescent="0.2">
      <c r="A1035" s="1471"/>
      <c r="B1035" s="885">
        <v>1120</v>
      </c>
      <c r="C1035" s="885">
        <v>1108.6040399999999</v>
      </c>
      <c r="D1035" s="880" t="s">
        <v>2622</v>
      </c>
    </row>
    <row r="1036" spans="1:4" s="891" customFormat="1" ht="11.25" customHeight="1" x14ac:dyDescent="0.2">
      <c r="A1036" s="1471"/>
      <c r="B1036" s="885">
        <v>94.53</v>
      </c>
      <c r="C1036" s="885">
        <v>94.528999999999996</v>
      </c>
      <c r="D1036" s="880" t="s">
        <v>1456</v>
      </c>
    </row>
    <row r="1037" spans="1:4" s="891" customFormat="1" ht="11.25" customHeight="1" x14ac:dyDescent="0.2">
      <c r="A1037" s="1471"/>
      <c r="B1037" s="885">
        <v>526.74</v>
      </c>
      <c r="C1037" s="885">
        <v>526.73500000000001</v>
      </c>
      <c r="D1037" s="880" t="s">
        <v>1453</v>
      </c>
    </row>
    <row r="1038" spans="1:4" s="891" customFormat="1" ht="11.25" customHeight="1" x14ac:dyDescent="0.2">
      <c r="A1038" s="1471"/>
      <c r="B1038" s="885">
        <v>23716.66</v>
      </c>
      <c r="C1038" s="885">
        <v>23700.254039999996</v>
      </c>
      <c r="D1038" s="880" t="s">
        <v>11</v>
      </c>
    </row>
    <row r="1039" spans="1:4" s="891" customFormat="1" ht="11.25" customHeight="1" x14ac:dyDescent="0.2">
      <c r="A1039" s="1472" t="s">
        <v>1717</v>
      </c>
      <c r="B1039" s="888">
        <v>445.9</v>
      </c>
      <c r="C1039" s="888">
        <v>445.89499999999998</v>
      </c>
      <c r="D1039" s="882" t="s">
        <v>1451</v>
      </c>
    </row>
    <row r="1040" spans="1:4" s="891" customFormat="1" ht="11.25" customHeight="1" x14ac:dyDescent="0.2">
      <c r="A1040" s="1471"/>
      <c r="B1040" s="885">
        <v>17324</v>
      </c>
      <c r="C1040" s="885">
        <v>17324</v>
      </c>
      <c r="D1040" s="880" t="s">
        <v>1465</v>
      </c>
    </row>
    <row r="1041" spans="1:4" s="891" customFormat="1" ht="11.25" customHeight="1" x14ac:dyDescent="0.2">
      <c r="A1041" s="1471"/>
      <c r="B1041" s="885">
        <v>2700</v>
      </c>
      <c r="C1041" s="885">
        <v>2700</v>
      </c>
      <c r="D1041" s="880" t="s">
        <v>2587</v>
      </c>
    </row>
    <row r="1042" spans="1:4" s="891" customFormat="1" ht="11.25" customHeight="1" x14ac:dyDescent="0.2">
      <c r="A1042" s="1471"/>
      <c r="B1042" s="885">
        <v>513</v>
      </c>
      <c r="C1042" s="885">
        <v>513</v>
      </c>
      <c r="D1042" s="880" t="s">
        <v>2586</v>
      </c>
    </row>
    <row r="1043" spans="1:4" s="891" customFormat="1" ht="11.25" customHeight="1" x14ac:dyDescent="0.2">
      <c r="A1043" s="1471"/>
      <c r="B1043" s="885">
        <v>87.67</v>
      </c>
      <c r="C1043" s="885">
        <v>87.671000000000006</v>
      </c>
      <c r="D1043" s="880" t="s">
        <v>1456</v>
      </c>
    </row>
    <row r="1044" spans="1:4" s="891" customFormat="1" ht="11.25" customHeight="1" x14ac:dyDescent="0.2">
      <c r="A1044" s="1471"/>
      <c r="B1044" s="885">
        <v>606.46</v>
      </c>
      <c r="C1044" s="885">
        <v>606.45500000000004</v>
      </c>
      <c r="D1044" s="880" t="s">
        <v>1453</v>
      </c>
    </row>
    <row r="1045" spans="1:4" s="891" customFormat="1" ht="11.25" customHeight="1" x14ac:dyDescent="0.2">
      <c r="A1045" s="1473"/>
      <c r="B1045" s="887">
        <v>21677.03</v>
      </c>
      <c r="C1045" s="887">
        <v>21677.021000000001</v>
      </c>
      <c r="D1045" s="886" t="s">
        <v>11</v>
      </c>
    </row>
    <row r="1046" spans="1:4" s="891" customFormat="1" ht="11.25" customHeight="1" x14ac:dyDescent="0.2">
      <c r="A1046" s="1471" t="s">
        <v>1686</v>
      </c>
      <c r="B1046" s="885">
        <v>254.07999999999998</v>
      </c>
      <c r="C1046" s="885">
        <v>254.07600000000002</v>
      </c>
      <c r="D1046" s="880" t="s">
        <v>2597</v>
      </c>
    </row>
    <row r="1047" spans="1:4" s="891" customFormat="1" ht="21" x14ac:dyDescent="0.2">
      <c r="A1047" s="1471"/>
      <c r="B1047" s="885">
        <v>106.33</v>
      </c>
      <c r="C1047" s="885">
        <v>103.425</v>
      </c>
      <c r="D1047" s="880" t="s">
        <v>1446</v>
      </c>
    </row>
    <row r="1048" spans="1:4" s="891" customFormat="1" ht="11.25" customHeight="1" x14ac:dyDescent="0.2">
      <c r="A1048" s="1471"/>
      <c r="B1048" s="885">
        <v>18.399999999999999</v>
      </c>
      <c r="C1048" s="885">
        <v>15.827</v>
      </c>
      <c r="D1048" s="880" t="s">
        <v>1459</v>
      </c>
    </row>
    <row r="1049" spans="1:4" s="891" customFormat="1" ht="11.25" customHeight="1" x14ac:dyDescent="0.2">
      <c r="A1049" s="1471"/>
      <c r="B1049" s="885">
        <v>40490</v>
      </c>
      <c r="C1049" s="885">
        <v>40490</v>
      </c>
      <c r="D1049" s="880" t="s">
        <v>1465</v>
      </c>
    </row>
    <row r="1050" spans="1:4" s="891" customFormat="1" ht="11.25" customHeight="1" x14ac:dyDescent="0.2">
      <c r="A1050" s="1471"/>
      <c r="B1050" s="885">
        <v>6647</v>
      </c>
      <c r="C1050" s="885">
        <v>6647</v>
      </c>
      <c r="D1050" s="880" t="s">
        <v>2587</v>
      </c>
    </row>
    <row r="1051" spans="1:4" s="891" customFormat="1" ht="11.25" customHeight="1" x14ac:dyDescent="0.2">
      <c r="A1051" s="1471"/>
      <c r="B1051" s="885">
        <v>461</v>
      </c>
      <c r="C1051" s="885">
        <v>461</v>
      </c>
      <c r="D1051" s="880" t="s">
        <v>2586</v>
      </c>
    </row>
    <row r="1052" spans="1:4" s="891" customFormat="1" ht="11.25" customHeight="1" x14ac:dyDescent="0.2">
      <c r="A1052" s="1471"/>
      <c r="B1052" s="885">
        <v>238.8</v>
      </c>
      <c r="C1052" s="885">
        <v>238.8</v>
      </c>
      <c r="D1052" s="880" t="s">
        <v>2603</v>
      </c>
    </row>
    <row r="1053" spans="1:4" s="891" customFormat="1" ht="11.25" customHeight="1" x14ac:dyDescent="0.2">
      <c r="A1053" s="1471"/>
      <c r="B1053" s="885">
        <v>204.3</v>
      </c>
      <c r="C1053" s="885">
        <v>204.30199999999999</v>
      </c>
      <c r="D1053" s="880" t="s">
        <v>1456</v>
      </c>
    </row>
    <row r="1054" spans="1:4" s="891" customFormat="1" ht="11.25" customHeight="1" x14ac:dyDescent="0.2">
      <c r="A1054" s="1471"/>
      <c r="B1054" s="885">
        <v>1146.8499999999999</v>
      </c>
      <c r="C1054" s="885">
        <v>1146.854</v>
      </c>
      <c r="D1054" s="880" t="s">
        <v>1453</v>
      </c>
    </row>
    <row r="1055" spans="1:4" s="891" customFormat="1" ht="11.25" customHeight="1" x14ac:dyDescent="0.2">
      <c r="A1055" s="1471"/>
      <c r="B1055" s="885">
        <v>49566.76</v>
      </c>
      <c r="C1055" s="885">
        <v>49561.284000000007</v>
      </c>
      <c r="D1055" s="880" t="s">
        <v>11</v>
      </c>
    </row>
    <row r="1056" spans="1:4" s="891" customFormat="1" ht="11.25" customHeight="1" x14ac:dyDescent="0.2">
      <c r="A1056" s="1472" t="s">
        <v>1682</v>
      </c>
      <c r="B1056" s="888">
        <v>9.08</v>
      </c>
      <c r="C1056" s="888">
        <v>9.077</v>
      </c>
      <c r="D1056" s="882" t="s">
        <v>1447</v>
      </c>
    </row>
    <row r="1057" spans="1:4" s="891" customFormat="1" ht="11.25" customHeight="1" x14ac:dyDescent="0.2">
      <c r="A1057" s="1471"/>
      <c r="B1057" s="885">
        <v>986.97</v>
      </c>
      <c r="C1057" s="885">
        <v>986.96100000000001</v>
      </c>
      <c r="D1057" s="880" t="s">
        <v>2597</v>
      </c>
    </row>
    <row r="1058" spans="1:4" s="891" customFormat="1" ht="11.25" customHeight="1" x14ac:dyDescent="0.2">
      <c r="A1058" s="1471"/>
      <c r="B1058" s="885">
        <v>27</v>
      </c>
      <c r="C1058" s="885">
        <v>27</v>
      </c>
      <c r="D1058" s="880" t="s">
        <v>2596</v>
      </c>
    </row>
    <row r="1059" spans="1:4" s="891" customFormat="1" ht="11.25" customHeight="1" x14ac:dyDescent="0.2">
      <c r="A1059" s="1471"/>
      <c r="B1059" s="885">
        <v>10</v>
      </c>
      <c r="C1059" s="885">
        <v>10</v>
      </c>
      <c r="D1059" s="880" t="s">
        <v>2589</v>
      </c>
    </row>
    <row r="1060" spans="1:4" s="891" customFormat="1" ht="11.25" customHeight="1" x14ac:dyDescent="0.2">
      <c r="A1060" s="1471"/>
      <c r="B1060" s="885">
        <v>13.5</v>
      </c>
      <c r="C1060" s="885">
        <v>5.5500000000000007</v>
      </c>
      <c r="D1060" s="880" t="s">
        <v>1459</v>
      </c>
    </row>
    <row r="1061" spans="1:4" s="891" customFormat="1" ht="11.25" customHeight="1" x14ac:dyDescent="0.2">
      <c r="A1061" s="1471"/>
      <c r="B1061" s="885">
        <v>35372</v>
      </c>
      <c r="C1061" s="885">
        <v>35372</v>
      </c>
      <c r="D1061" s="880" t="s">
        <v>1465</v>
      </c>
    </row>
    <row r="1062" spans="1:4" s="891" customFormat="1" ht="11.25" customHeight="1" x14ac:dyDescent="0.2">
      <c r="A1062" s="1471"/>
      <c r="B1062" s="885">
        <v>6786</v>
      </c>
      <c r="C1062" s="885">
        <v>6786</v>
      </c>
      <c r="D1062" s="880" t="s">
        <v>2587</v>
      </c>
    </row>
    <row r="1063" spans="1:4" s="891" customFormat="1" ht="11.25" customHeight="1" x14ac:dyDescent="0.2">
      <c r="A1063" s="1471"/>
      <c r="B1063" s="885">
        <v>1500</v>
      </c>
      <c r="C1063" s="885">
        <v>1500</v>
      </c>
      <c r="D1063" s="880" t="s">
        <v>2586</v>
      </c>
    </row>
    <row r="1064" spans="1:4" s="891" customFormat="1" ht="11.25" customHeight="1" x14ac:dyDescent="0.2">
      <c r="A1064" s="1471"/>
      <c r="B1064" s="885">
        <v>238.8</v>
      </c>
      <c r="C1064" s="885">
        <v>238.8</v>
      </c>
      <c r="D1064" s="880" t="s">
        <v>2603</v>
      </c>
    </row>
    <row r="1065" spans="1:4" s="891" customFormat="1" ht="11.25" customHeight="1" x14ac:dyDescent="0.2">
      <c r="A1065" s="1471"/>
      <c r="B1065" s="885">
        <v>176.98</v>
      </c>
      <c r="C1065" s="885">
        <v>176.97800000000001</v>
      </c>
      <c r="D1065" s="880" t="s">
        <v>1456</v>
      </c>
    </row>
    <row r="1066" spans="1:4" s="891" customFormat="1" ht="11.25" customHeight="1" x14ac:dyDescent="0.2">
      <c r="A1066" s="1471"/>
      <c r="B1066" s="885">
        <v>1024.22</v>
      </c>
      <c r="C1066" s="885">
        <v>1024.221</v>
      </c>
      <c r="D1066" s="880" t="s">
        <v>1453</v>
      </c>
    </row>
    <row r="1067" spans="1:4" s="891" customFormat="1" ht="11.25" customHeight="1" x14ac:dyDescent="0.2">
      <c r="A1067" s="1473"/>
      <c r="B1067" s="887">
        <v>46144.55000000001</v>
      </c>
      <c r="C1067" s="887">
        <v>46136.587000000007</v>
      </c>
      <c r="D1067" s="886" t="s">
        <v>11</v>
      </c>
    </row>
    <row r="1068" spans="1:4" s="891" customFormat="1" ht="11.25" customHeight="1" x14ac:dyDescent="0.2">
      <c r="A1068" s="1471" t="s">
        <v>1680</v>
      </c>
      <c r="B1068" s="885">
        <v>856.36</v>
      </c>
      <c r="C1068" s="885">
        <v>856.35712000000001</v>
      </c>
      <c r="D1068" s="880" t="s">
        <v>2613</v>
      </c>
    </row>
    <row r="1069" spans="1:4" s="891" customFormat="1" ht="11.25" customHeight="1" x14ac:dyDescent="0.2">
      <c r="A1069" s="1471"/>
      <c r="B1069" s="885">
        <v>1039.8700000000001</v>
      </c>
      <c r="C1069" s="885">
        <v>1039.874</v>
      </c>
      <c r="D1069" s="880" t="s">
        <v>1451</v>
      </c>
    </row>
    <row r="1070" spans="1:4" s="891" customFormat="1" ht="11.25" customHeight="1" x14ac:dyDescent="0.2">
      <c r="A1070" s="1471"/>
      <c r="B1070" s="885">
        <v>28234</v>
      </c>
      <c r="C1070" s="885">
        <v>28234</v>
      </c>
      <c r="D1070" s="880" t="s">
        <v>1465</v>
      </c>
    </row>
    <row r="1071" spans="1:4" s="891" customFormat="1" ht="11.25" customHeight="1" x14ac:dyDescent="0.2">
      <c r="A1071" s="1471"/>
      <c r="B1071" s="885">
        <v>12478</v>
      </c>
      <c r="C1071" s="885">
        <v>12478</v>
      </c>
      <c r="D1071" s="880" t="s">
        <v>2587</v>
      </c>
    </row>
    <row r="1072" spans="1:4" s="891" customFormat="1" ht="11.25" customHeight="1" x14ac:dyDescent="0.2">
      <c r="A1072" s="1471"/>
      <c r="B1072" s="885">
        <v>1012</v>
      </c>
      <c r="C1072" s="885">
        <v>1012</v>
      </c>
      <c r="D1072" s="880" t="s">
        <v>2586</v>
      </c>
    </row>
    <row r="1073" spans="1:4" s="891" customFormat="1" ht="21" x14ac:dyDescent="0.2">
      <c r="A1073" s="1471"/>
      <c r="B1073" s="885">
        <v>506</v>
      </c>
      <c r="C1073" s="885">
        <v>506</v>
      </c>
      <c r="D1073" s="880" t="s">
        <v>2591</v>
      </c>
    </row>
    <row r="1074" spans="1:4" s="891" customFormat="1" ht="11.25" customHeight="1" x14ac:dyDescent="0.2">
      <c r="A1074" s="1471"/>
      <c r="B1074" s="885">
        <v>402</v>
      </c>
      <c r="C1074" s="885">
        <v>402</v>
      </c>
      <c r="D1074" s="880" t="s">
        <v>2603</v>
      </c>
    </row>
    <row r="1075" spans="1:4" s="891" customFormat="1" ht="11.25" customHeight="1" x14ac:dyDescent="0.2">
      <c r="A1075" s="1471"/>
      <c r="B1075" s="885">
        <v>142.97</v>
      </c>
      <c r="C1075" s="885">
        <v>142.97</v>
      </c>
      <c r="D1075" s="880" t="s">
        <v>1456</v>
      </c>
    </row>
    <row r="1076" spans="1:4" s="891" customFormat="1" ht="11.25" customHeight="1" x14ac:dyDescent="0.2">
      <c r="A1076" s="1471"/>
      <c r="B1076" s="885">
        <v>869.98</v>
      </c>
      <c r="C1076" s="885">
        <v>869.98</v>
      </c>
      <c r="D1076" s="880" t="s">
        <v>1453</v>
      </c>
    </row>
    <row r="1077" spans="1:4" s="891" customFormat="1" ht="11.25" customHeight="1" x14ac:dyDescent="0.2">
      <c r="A1077" s="1471"/>
      <c r="B1077" s="885">
        <v>45541.18</v>
      </c>
      <c r="C1077" s="885">
        <v>45541.181120000001</v>
      </c>
      <c r="D1077" s="880" t="s">
        <v>11</v>
      </c>
    </row>
    <row r="1078" spans="1:4" s="891" customFormat="1" ht="11.25" customHeight="1" x14ac:dyDescent="0.2">
      <c r="A1078" s="1472" t="s">
        <v>1683</v>
      </c>
      <c r="B1078" s="888">
        <v>9.08</v>
      </c>
      <c r="C1078" s="888">
        <v>9.077</v>
      </c>
      <c r="D1078" s="882" t="s">
        <v>1447</v>
      </c>
    </row>
    <row r="1079" spans="1:4" s="891" customFormat="1" ht="11.25" customHeight="1" x14ac:dyDescent="0.2">
      <c r="A1079" s="1471"/>
      <c r="B1079" s="885">
        <v>756.33</v>
      </c>
      <c r="C1079" s="885">
        <v>756.32400000000007</v>
      </c>
      <c r="D1079" s="880" t="s">
        <v>2597</v>
      </c>
    </row>
    <row r="1080" spans="1:4" s="891" customFormat="1" ht="11.25" customHeight="1" x14ac:dyDescent="0.2">
      <c r="A1080" s="1471"/>
      <c r="B1080" s="885">
        <v>928.27</v>
      </c>
      <c r="C1080" s="885">
        <v>928.27</v>
      </c>
      <c r="D1080" s="880" t="s">
        <v>2596</v>
      </c>
    </row>
    <row r="1081" spans="1:4" s="891" customFormat="1" ht="11.25" customHeight="1" x14ac:dyDescent="0.2">
      <c r="A1081" s="1471"/>
      <c r="B1081" s="885">
        <v>971.83</v>
      </c>
      <c r="C1081" s="885">
        <v>971.827</v>
      </c>
      <c r="D1081" s="880" t="s">
        <v>1451</v>
      </c>
    </row>
    <row r="1082" spans="1:4" s="891" customFormat="1" ht="11.25" customHeight="1" x14ac:dyDescent="0.2">
      <c r="A1082" s="1471"/>
      <c r="B1082" s="885">
        <v>11</v>
      </c>
      <c r="C1082" s="885">
        <v>9.0459999999999994</v>
      </c>
      <c r="D1082" s="880" t="s">
        <v>1459</v>
      </c>
    </row>
    <row r="1083" spans="1:4" s="891" customFormat="1" ht="11.25" customHeight="1" x14ac:dyDescent="0.2">
      <c r="A1083" s="1471"/>
      <c r="B1083" s="885">
        <v>32507</v>
      </c>
      <c r="C1083" s="885">
        <v>32507</v>
      </c>
      <c r="D1083" s="880" t="s">
        <v>1465</v>
      </c>
    </row>
    <row r="1084" spans="1:4" s="891" customFormat="1" ht="11.25" customHeight="1" x14ac:dyDescent="0.2">
      <c r="A1084" s="1471"/>
      <c r="B1084" s="885">
        <v>9028</v>
      </c>
      <c r="C1084" s="885">
        <v>9028</v>
      </c>
      <c r="D1084" s="880" t="s">
        <v>2587</v>
      </c>
    </row>
    <row r="1085" spans="1:4" s="891" customFormat="1" ht="11.25" customHeight="1" x14ac:dyDescent="0.2">
      <c r="A1085" s="1471"/>
      <c r="B1085" s="885">
        <v>3441</v>
      </c>
      <c r="C1085" s="885">
        <v>3435.4906000000001</v>
      </c>
      <c r="D1085" s="880" t="s">
        <v>2586</v>
      </c>
    </row>
    <row r="1086" spans="1:4" s="891" customFormat="1" ht="21" x14ac:dyDescent="0.2">
      <c r="A1086" s="1471"/>
      <c r="B1086" s="885">
        <v>738</v>
      </c>
      <c r="C1086" s="885">
        <v>738</v>
      </c>
      <c r="D1086" s="880" t="s">
        <v>2591</v>
      </c>
    </row>
    <row r="1087" spans="1:4" s="891" customFormat="1" ht="11.25" customHeight="1" x14ac:dyDescent="0.2">
      <c r="A1087" s="1471"/>
      <c r="B1087" s="885">
        <v>390.9</v>
      </c>
      <c r="C1087" s="885">
        <v>390.9</v>
      </c>
      <c r="D1087" s="880" t="s">
        <v>2603</v>
      </c>
    </row>
    <row r="1088" spans="1:4" s="891" customFormat="1" ht="11.25" customHeight="1" x14ac:dyDescent="0.2">
      <c r="A1088" s="1471"/>
      <c r="B1088" s="885">
        <v>165.3</v>
      </c>
      <c r="C1088" s="885">
        <v>165.29499999999999</v>
      </c>
      <c r="D1088" s="880" t="s">
        <v>1456</v>
      </c>
    </row>
    <row r="1089" spans="1:4" s="891" customFormat="1" ht="11.25" customHeight="1" x14ac:dyDescent="0.2">
      <c r="A1089" s="1471"/>
      <c r="B1089" s="885">
        <v>1030.96</v>
      </c>
      <c r="C1089" s="885">
        <v>1030.96</v>
      </c>
      <c r="D1089" s="880" t="s">
        <v>1453</v>
      </c>
    </row>
    <row r="1090" spans="1:4" s="891" customFormat="1" ht="11.25" customHeight="1" x14ac:dyDescent="0.2">
      <c r="A1090" s="1473"/>
      <c r="B1090" s="887">
        <v>49977.670000000006</v>
      </c>
      <c r="C1090" s="887">
        <v>49970.189599999998</v>
      </c>
      <c r="D1090" s="886" t="s">
        <v>11</v>
      </c>
    </row>
    <row r="1091" spans="1:4" s="891" customFormat="1" ht="11.25" customHeight="1" x14ac:dyDescent="0.2">
      <c r="A1091" s="1471" t="s">
        <v>1699</v>
      </c>
      <c r="B1091" s="885">
        <v>997.79</v>
      </c>
      <c r="C1091" s="885">
        <v>997.7890000000001</v>
      </c>
      <c r="D1091" s="880" t="s">
        <v>2597</v>
      </c>
    </row>
    <row r="1092" spans="1:4" s="891" customFormat="1" ht="11.25" customHeight="1" x14ac:dyDescent="0.2">
      <c r="A1092" s="1471"/>
      <c r="B1092" s="885">
        <v>1700</v>
      </c>
      <c r="C1092" s="885">
        <v>1700</v>
      </c>
      <c r="D1092" s="880" t="s">
        <v>2621</v>
      </c>
    </row>
    <row r="1093" spans="1:4" s="891" customFormat="1" ht="11.25" customHeight="1" x14ac:dyDescent="0.2">
      <c r="A1093" s="1471"/>
      <c r="B1093" s="885">
        <v>337</v>
      </c>
      <c r="C1093" s="885">
        <v>337</v>
      </c>
      <c r="D1093" s="880" t="s">
        <v>2596</v>
      </c>
    </row>
    <row r="1094" spans="1:4" s="891" customFormat="1" ht="11.25" customHeight="1" x14ac:dyDescent="0.2">
      <c r="A1094" s="1471"/>
      <c r="B1094" s="885">
        <v>1370</v>
      </c>
      <c r="C1094" s="885">
        <v>1370</v>
      </c>
      <c r="D1094" s="880" t="s">
        <v>1451</v>
      </c>
    </row>
    <row r="1095" spans="1:4" s="891" customFormat="1" ht="11.25" customHeight="1" x14ac:dyDescent="0.2">
      <c r="A1095" s="1471"/>
      <c r="B1095" s="885">
        <v>4035.59</v>
      </c>
      <c r="C1095" s="885">
        <v>4023.4296599999998</v>
      </c>
      <c r="D1095" s="880" t="s">
        <v>1339</v>
      </c>
    </row>
    <row r="1096" spans="1:4" s="891" customFormat="1" ht="11.25" customHeight="1" x14ac:dyDescent="0.2">
      <c r="A1096" s="1471"/>
      <c r="B1096" s="885">
        <v>5.5</v>
      </c>
      <c r="C1096" s="885">
        <v>2.7690000000000001</v>
      </c>
      <c r="D1096" s="880" t="s">
        <v>1459</v>
      </c>
    </row>
    <row r="1097" spans="1:4" s="891" customFormat="1" ht="11.25" customHeight="1" x14ac:dyDescent="0.2">
      <c r="A1097" s="1471"/>
      <c r="B1097" s="885">
        <v>30102</v>
      </c>
      <c r="C1097" s="885">
        <v>30102</v>
      </c>
      <c r="D1097" s="880" t="s">
        <v>1465</v>
      </c>
    </row>
    <row r="1098" spans="1:4" s="891" customFormat="1" ht="11.25" customHeight="1" x14ac:dyDescent="0.2">
      <c r="A1098" s="1471"/>
      <c r="B1098" s="885">
        <v>9426</v>
      </c>
      <c r="C1098" s="885">
        <v>9426</v>
      </c>
      <c r="D1098" s="880" t="s">
        <v>2587</v>
      </c>
    </row>
    <row r="1099" spans="1:4" s="891" customFormat="1" ht="11.25" customHeight="1" x14ac:dyDescent="0.2">
      <c r="A1099" s="1471"/>
      <c r="B1099" s="885">
        <v>1136</v>
      </c>
      <c r="C1099" s="885">
        <v>1136</v>
      </c>
      <c r="D1099" s="880" t="s">
        <v>2586</v>
      </c>
    </row>
    <row r="1100" spans="1:4" s="891" customFormat="1" ht="11.25" customHeight="1" x14ac:dyDescent="0.2">
      <c r="A1100" s="1471"/>
      <c r="B1100" s="885">
        <v>1157.26</v>
      </c>
      <c r="C1100" s="885">
        <v>1157.26</v>
      </c>
      <c r="D1100" s="880" t="s">
        <v>2620</v>
      </c>
    </row>
    <row r="1101" spans="1:4" s="891" customFormat="1" ht="11.25" customHeight="1" x14ac:dyDescent="0.2">
      <c r="A1101" s="1471"/>
      <c r="B1101" s="885">
        <v>151.82</v>
      </c>
      <c r="C1101" s="885">
        <v>151.821</v>
      </c>
      <c r="D1101" s="880" t="s">
        <v>1456</v>
      </c>
    </row>
    <row r="1102" spans="1:4" s="891" customFormat="1" ht="11.25" customHeight="1" x14ac:dyDescent="0.2">
      <c r="A1102" s="1471"/>
      <c r="B1102" s="885">
        <v>875.1</v>
      </c>
      <c r="C1102" s="885">
        <v>875.09900000000005</v>
      </c>
      <c r="D1102" s="880" t="s">
        <v>1453</v>
      </c>
    </row>
    <row r="1103" spans="1:4" s="891" customFormat="1" ht="11.25" customHeight="1" x14ac:dyDescent="0.2">
      <c r="A1103" s="1471"/>
      <c r="B1103" s="885">
        <v>51294.060000000005</v>
      </c>
      <c r="C1103" s="885">
        <v>51279.167660000006</v>
      </c>
      <c r="D1103" s="880" t="s">
        <v>11</v>
      </c>
    </row>
    <row r="1104" spans="1:4" s="891" customFormat="1" ht="11.25" customHeight="1" x14ac:dyDescent="0.2">
      <c r="A1104" s="1472" t="s">
        <v>1706</v>
      </c>
      <c r="B1104" s="888">
        <v>111.10000000000001</v>
      </c>
      <c r="C1104" s="888">
        <v>108.62121999999999</v>
      </c>
      <c r="D1104" s="882" t="s">
        <v>2619</v>
      </c>
    </row>
    <row r="1105" spans="1:4" s="891" customFormat="1" ht="11.25" customHeight="1" x14ac:dyDescent="0.2">
      <c r="A1105" s="1471"/>
      <c r="B1105" s="885">
        <v>245.12</v>
      </c>
      <c r="C1105" s="885">
        <v>242.56286</v>
      </c>
      <c r="D1105" s="880" t="s">
        <v>2608</v>
      </c>
    </row>
    <row r="1106" spans="1:4" s="891" customFormat="1" ht="11.25" customHeight="1" x14ac:dyDescent="0.2">
      <c r="A1106" s="1471"/>
      <c r="B1106" s="885">
        <v>1477.77</v>
      </c>
      <c r="C1106" s="885">
        <v>1367.6757500000001</v>
      </c>
      <c r="D1106" s="880" t="s">
        <v>2597</v>
      </c>
    </row>
    <row r="1107" spans="1:4" s="891" customFormat="1" ht="11.25" customHeight="1" x14ac:dyDescent="0.2">
      <c r="A1107" s="1471"/>
      <c r="B1107" s="885">
        <v>13.5</v>
      </c>
      <c r="C1107" s="885">
        <v>13.5</v>
      </c>
      <c r="D1107" s="880" t="s">
        <v>2596</v>
      </c>
    </row>
    <row r="1108" spans="1:4" s="891" customFormat="1" ht="11.25" customHeight="1" x14ac:dyDescent="0.2">
      <c r="A1108" s="1471"/>
      <c r="B1108" s="885">
        <v>517.58000000000004</v>
      </c>
      <c r="C1108" s="885">
        <v>517.57899999999995</v>
      </c>
      <c r="D1108" s="880" t="s">
        <v>1451</v>
      </c>
    </row>
    <row r="1109" spans="1:4" s="891" customFormat="1" ht="21" x14ac:dyDescent="0.2">
      <c r="A1109" s="1471"/>
      <c r="B1109" s="885">
        <v>60.6</v>
      </c>
      <c r="C1109" s="885">
        <v>59.715000000000003</v>
      </c>
      <c r="D1109" s="880" t="s">
        <v>1446</v>
      </c>
    </row>
    <row r="1110" spans="1:4" s="891" customFormat="1" ht="11.25" customHeight="1" x14ac:dyDescent="0.2">
      <c r="A1110" s="1471"/>
      <c r="B1110" s="885">
        <v>2340.79</v>
      </c>
      <c r="C1110" s="885">
        <v>1860.7246400000001</v>
      </c>
      <c r="D1110" s="880" t="s">
        <v>1339</v>
      </c>
    </row>
    <row r="1111" spans="1:4" s="891" customFormat="1" ht="11.25" customHeight="1" x14ac:dyDescent="0.2">
      <c r="A1111" s="1471"/>
      <c r="B1111" s="885">
        <v>29904</v>
      </c>
      <c r="C1111" s="885">
        <v>29904</v>
      </c>
      <c r="D1111" s="880" t="s">
        <v>1465</v>
      </c>
    </row>
    <row r="1112" spans="1:4" s="891" customFormat="1" ht="11.25" customHeight="1" x14ac:dyDescent="0.2">
      <c r="A1112" s="1471"/>
      <c r="B1112" s="885">
        <v>4684</v>
      </c>
      <c r="C1112" s="885">
        <v>4684</v>
      </c>
      <c r="D1112" s="880" t="s">
        <v>2587</v>
      </c>
    </row>
    <row r="1113" spans="1:4" s="891" customFormat="1" ht="11.25" customHeight="1" x14ac:dyDescent="0.2">
      <c r="A1113" s="1471"/>
      <c r="B1113" s="885">
        <v>1470</v>
      </c>
      <c r="C1113" s="885">
        <v>1470</v>
      </c>
      <c r="D1113" s="880" t="s">
        <v>2586</v>
      </c>
    </row>
    <row r="1114" spans="1:4" s="891" customFormat="1" ht="11.25" customHeight="1" x14ac:dyDescent="0.2">
      <c r="A1114" s="1471"/>
      <c r="B1114" s="885">
        <v>151.54</v>
      </c>
      <c r="C1114" s="885">
        <v>151.542</v>
      </c>
      <c r="D1114" s="880" t="s">
        <v>1456</v>
      </c>
    </row>
    <row r="1115" spans="1:4" s="891" customFormat="1" ht="11.25" customHeight="1" x14ac:dyDescent="0.2">
      <c r="A1115" s="1471"/>
      <c r="B1115" s="885">
        <v>821.15</v>
      </c>
      <c r="C1115" s="885">
        <v>821.154</v>
      </c>
      <c r="D1115" s="880" t="s">
        <v>1453</v>
      </c>
    </row>
    <row r="1116" spans="1:4" s="891" customFormat="1" ht="11.25" customHeight="1" x14ac:dyDescent="0.2">
      <c r="A1116" s="1473"/>
      <c r="B1116" s="887">
        <v>41797.15</v>
      </c>
      <c r="C1116" s="887">
        <v>41201.074470000007</v>
      </c>
      <c r="D1116" s="886" t="s">
        <v>11</v>
      </c>
    </row>
    <row r="1117" spans="1:4" s="891" customFormat="1" ht="11.25" customHeight="1" x14ac:dyDescent="0.2">
      <c r="A1117" s="1471" t="s">
        <v>1688</v>
      </c>
      <c r="B1117" s="885">
        <v>443.73</v>
      </c>
      <c r="C1117" s="885">
        <v>443.70103</v>
      </c>
      <c r="D1117" s="880" t="s">
        <v>2618</v>
      </c>
    </row>
    <row r="1118" spans="1:4" s="891" customFormat="1" ht="11.25" customHeight="1" x14ac:dyDescent="0.2">
      <c r="A1118" s="1471"/>
      <c r="B1118" s="885">
        <v>111.87</v>
      </c>
      <c r="C1118" s="885">
        <v>111.79456999999999</v>
      </c>
      <c r="D1118" s="880" t="s">
        <v>2608</v>
      </c>
    </row>
    <row r="1119" spans="1:4" s="891" customFormat="1" ht="11.25" customHeight="1" x14ac:dyDescent="0.2">
      <c r="A1119" s="1471"/>
      <c r="B1119" s="885">
        <v>3119.31</v>
      </c>
      <c r="C1119" s="885">
        <v>3119.30746</v>
      </c>
      <c r="D1119" s="880" t="s">
        <v>2613</v>
      </c>
    </row>
    <row r="1120" spans="1:4" s="891" customFormat="1" ht="11.25" customHeight="1" x14ac:dyDescent="0.2">
      <c r="A1120" s="1471"/>
      <c r="B1120" s="885">
        <v>1213.5</v>
      </c>
      <c r="C1120" s="885">
        <v>1213.5</v>
      </c>
      <c r="D1120" s="880" t="s">
        <v>2596</v>
      </c>
    </row>
    <row r="1121" spans="1:4" s="891" customFormat="1" ht="11.25" customHeight="1" x14ac:dyDescent="0.2">
      <c r="A1121" s="1471"/>
      <c r="B1121" s="885">
        <v>1370</v>
      </c>
      <c r="C1121" s="885">
        <v>1370</v>
      </c>
      <c r="D1121" s="880" t="s">
        <v>1451</v>
      </c>
    </row>
    <row r="1122" spans="1:4" s="891" customFormat="1" ht="11.25" customHeight="1" x14ac:dyDescent="0.2">
      <c r="A1122" s="1471"/>
      <c r="B1122" s="885">
        <v>10</v>
      </c>
      <c r="C1122" s="885">
        <v>10</v>
      </c>
      <c r="D1122" s="880" t="s">
        <v>2589</v>
      </c>
    </row>
    <row r="1123" spans="1:4" s="891" customFormat="1" ht="11.25" customHeight="1" x14ac:dyDescent="0.2">
      <c r="A1123" s="1471"/>
      <c r="B1123" s="885">
        <v>55.4</v>
      </c>
      <c r="C1123" s="885">
        <v>55.399000000000001</v>
      </c>
      <c r="D1123" s="880" t="s">
        <v>1460</v>
      </c>
    </row>
    <row r="1124" spans="1:4" s="891" customFormat="1" ht="11.25" customHeight="1" x14ac:dyDescent="0.2">
      <c r="A1124" s="1471"/>
      <c r="B1124" s="885">
        <v>34679</v>
      </c>
      <c r="C1124" s="885">
        <v>34679</v>
      </c>
      <c r="D1124" s="880" t="s">
        <v>1465</v>
      </c>
    </row>
    <row r="1125" spans="1:4" s="891" customFormat="1" ht="11.25" customHeight="1" x14ac:dyDescent="0.2">
      <c r="A1125" s="1471"/>
      <c r="B1125" s="885">
        <v>8839</v>
      </c>
      <c r="C1125" s="885">
        <v>8839</v>
      </c>
      <c r="D1125" s="880" t="s">
        <v>2587</v>
      </c>
    </row>
    <row r="1126" spans="1:4" s="891" customFormat="1" ht="11.25" customHeight="1" x14ac:dyDescent="0.2">
      <c r="A1126" s="1471"/>
      <c r="B1126" s="885">
        <v>1012</v>
      </c>
      <c r="C1126" s="885">
        <v>1012</v>
      </c>
      <c r="D1126" s="880" t="s">
        <v>2586</v>
      </c>
    </row>
    <row r="1127" spans="1:4" s="891" customFormat="1" ht="11.25" customHeight="1" x14ac:dyDescent="0.2">
      <c r="A1127" s="1471"/>
      <c r="B1127" s="885">
        <v>172.01</v>
      </c>
      <c r="C1127" s="885">
        <v>172.00700000000001</v>
      </c>
      <c r="D1127" s="880" t="s">
        <v>1456</v>
      </c>
    </row>
    <row r="1128" spans="1:4" s="891" customFormat="1" ht="11.25" customHeight="1" x14ac:dyDescent="0.2">
      <c r="A1128" s="1471"/>
      <c r="B1128" s="885">
        <v>982.38</v>
      </c>
      <c r="C1128" s="885">
        <v>982.37599999999998</v>
      </c>
      <c r="D1128" s="880" t="s">
        <v>1453</v>
      </c>
    </row>
    <row r="1129" spans="1:4" s="891" customFormat="1" ht="11.25" customHeight="1" x14ac:dyDescent="0.2">
      <c r="A1129" s="1471"/>
      <c r="B1129" s="885">
        <v>52008.2</v>
      </c>
      <c r="C1129" s="885">
        <v>52008.085059999998</v>
      </c>
      <c r="D1129" s="880" t="s">
        <v>11</v>
      </c>
    </row>
    <row r="1130" spans="1:4" s="891" customFormat="1" ht="11.25" customHeight="1" x14ac:dyDescent="0.2">
      <c r="A1130" s="1472" t="s">
        <v>1693</v>
      </c>
      <c r="B1130" s="888">
        <v>643.9</v>
      </c>
      <c r="C1130" s="888">
        <v>471.12199999999996</v>
      </c>
      <c r="D1130" s="882" t="s">
        <v>2596</v>
      </c>
    </row>
    <row r="1131" spans="1:4" s="891" customFormat="1" ht="11.25" customHeight="1" x14ac:dyDescent="0.2">
      <c r="A1131" s="1471"/>
      <c r="B1131" s="885">
        <v>1205.31</v>
      </c>
      <c r="C1131" s="885">
        <v>1205.308</v>
      </c>
      <c r="D1131" s="880" t="s">
        <v>1451</v>
      </c>
    </row>
    <row r="1132" spans="1:4" s="891" customFormat="1" ht="21" x14ac:dyDescent="0.2">
      <c r="A1132" s="1471"/>
      <c r="B1132" s="885">
        <v>95.41</v>
      </c>
      <c r="C1132" s="885">
        <v>93.206000000000003</v>
      </c>
      <c r="D1132" s="880" t="s">
        <v>1446</v>
      </c>
    </row>
    <row r="1133" spans="1:4" s="891" customFormat="1" ht="11.25" customHeight="1" x14ac:dyDescent="0.2">
      <c r="A1133" s="1471"/>
      <c r="B1133" s="885">
        <v>1030.8600000000001</v>
      </c>
      <c r="C1133" s="885">
        <v>1030.85977</v>
      </c>
      <c r="D1133" s="880" t="s">
        <v>1339</v>
      </c>
    </row>
    <row r="1134" spans="1:4" s="891" customFormat="1" ht="11.25" customHeight="1" x14ac:dyDescent="0.2">
      <c r="A1134" s="1471"/>
      <c r="B1134" s="885">
        <v>50</v>
      </c>
      <c r="C1134" s="885">
        <v>50</v>
      </c>
      <c r="D1134" s="880" t="s">
        <v>2589</v>
      </c>
    </row>
    <row r="1135" spans="1:4" s="891" customFormat="1" ht="11.25" customHeight="1" x14ac:dyDescent="0.2">
      <c r="A1135" s="1471"/>
      <c r="B1135" s="885">
        <v>4</v>
      </c>
      <c r="C1135" s="885">
        <v>3.97</v>
      </c>
      <c r="D1135" s="880" t="s">
        <v>1459</v>
      </c>
    </row>
    <row r="1136" spans="1:4" s="891" customFormat="1" ht="11.25" customHeight="1" x14ac:dyDescent="0.2">
      <c r="A1136" s="1471"/>
      <c r="B1136" s="885">
        <v>41656</v>
      </c>
      <c r="C1136" s="885">
        <v>41656</v>
      </c>
      <c r="D1136" s="880" t="s">
        <v>1465</v>
      </c>
    </row>
    <row r="1137" spans="1:4" s="891" customFormat="1" ht="11.25" customHeight="1" x14ac:dyDescent="0.2">
      <c r="A1137" s="1471"/>
      <c r="B1137" s="885">
        <v>8932</v>
      </c>
      <c r="C1137" s="885">
        <v>8932</v>
      </c>
      <c r="D1137" s="880" t="s">
        <v>2587</v>
      </c>
    </row>
    <row r="1138" spans="1:4" s="891" customFormat="1" ht="11.25" customHeight="1" x14ac:dyDescent="0.2">
      <c r="A1138" s="1471"/>
      <c r="B1138" s="885">
        <v>585</v>
      </c>
      <c r="C1138" s="885">
        <v>576</v>
      </c>
      <c r="D1138" s="880" t="s">
        <v>2586</v>
      </c>
    </row>
    <row r="1139" spans="1:4" s="891" customFormat="1" ht="11.25" customHeight="1" x14ac:dyDescent="0.2">
      <c r="A1139" s="1471"/>
      <c r="B1139" s="885">
        <v>477.6</v>
      </c>
      <c r="C1139" s="885">
        <v>477.6</v>
      </c>
      <c r="D1139" s="880" t="s">
        <v>2603</v>
      </c>
    </row>
    <row r="1140" spans="1:4" s="891" customFormat="1" ht="11.25" customHeight="1" x14ac:dyDescent="0.2">
      <c r="A1140" s="1471"/>
      <c r="B1140" s="885">
        <v>207.83</v>
      </c>
      <c r="C1140" s="885">
        <v>207.834</v>
      </c>
      <c r="D1140" s="880" t="s">
        <v>1456</v>
      </c>
    </row>
    <row r="1141" spans="1:4" s="891" customFormat="1" ht="11.25" customHeight="1" x14ac:dyDescent="0.2">
      <c r="A1141" s="1471"/>
      <c r="B1141" s="885">
        <v>1132.76</v>
      </c>
      <c r="C1141" s="885">
        <v>1132.761</v>
      </c>
      <c r="D1141" s="880" t="s">
        <v>1453</v>
      </c>
    </row>
    <row r="1142" spans="1:4" s="891" customFormat="1" ht="11.25" customHeight="1" x14ac:dyDescent="0.2">
      <c r="A1142" s="1473"/>
      <c r="B1142" s="887">
        <v>56020.670000000006</v>
      </c>
      <c r="C1142" s="887">
        <v>55836.660770000002</v>
      </c>
      <c r="D1142" s="886" t="s">
        <v>11</v>
      </c>
    </row>
    <row r="1143" spans="1:4" s="891" customFormat="1" ht="11.25" customHeight="1" x14ac:dyDescent="0.2">
      <c r="A1143" s="1471" t="s">
        <v>1678</v>
      </c>
      <c r="B1143" s="885">
        <v>1721.56</v>
      </c>
      <c r="C1143" s="885">
        <v>1721.56</v>
      </c>
      <c r="D1143" s="880" t="s">
        <v>2597</v>
      </c>
    </row>
    <row r="1144" spans="1:4" s="891" customFormat="1" ht="11.25" customHeight="1" x14ac:dyDescent="0.2">
      <c r="A1144" s="1471"/>
      <c r="B1144" s="885">
        <v>10</v>
      </c>
      <c r="C1144" s="885">
        <v>10</v>
      </c>
      <c r="D1144" s="880" t="s">
        <v>2589</v>
      </c>
    </row>
    <row r="1145" spans="1:4" s="891" customFormat="1" ht="11.25" customHeight="1" x14ac:dyDescent="0.2">
      <c r="A1145" s="1471"/>
      <c r="B1145" s="885">
        <v>17906</v>
      </c>
      <c r="C1145" s="885">
        <v>17906</v>
      </c>
      <c r="D1145" s="880" t="s">
        <v>1465</v>
      </c>
    </row>
    <row r="1146" spans="1:4" s="891" customFormat="1" ht="11.25" customHeight="1" x14ac:dyDescent="0.2">
      <c r="A1146" s="1471"/>
      <c r="B1146" s="885">
        <v>5399</v>
      </c>
      <c r="C1146" s="885">
        <v>5399</v>
      </c>
      <c r="D1146" s="880" t="s">
        <v>2587</v>
      </c>
    </row>
    <row r="1147" spans="1:4" s="891" customFormat="1" ht="11.25" customHeight="1" x14ac:dyDescent="0.2">
      <c r="A1147" s="1471"/>
      <c r="B1147" s="885">
        <v>423</v>
      </c>
      <c r="C1147" s="885">
        <v>423</v>
      </c>
      <c r="D1147" s="880" t="s">
        <v>2586</v>
      </c>
    </row>
    <row r="1148" spans="1:4" s="891" customFormat="1" ht="11.25" customHeight="1" x14ac:dyDescent="0.2">
      <c r="A1148" s="1471"/>
      <c r="B1148" s="885">
        <v>760.23</v>
      </c>
      <c r="C1148" s="885">
        <v>760.23225000000002</v>
      </c>
      <c r="D1148" s="880" t="s">
        <v>2617</v>
      </c>
    </row>
    <row r="1149" spans="1:4" s="891" customFormat="1" ht="11.25" customHeight="1" x14ac:dyDescent="0.2">
      <c r="A1149" s="1471"/>
      <c r="B1149" s="885">
        <v>88.81</v>
      </c>
      <c r="C1149" s="885">
        <v>88.811000000000007</v>
      </c>
      <c r="D1149" s="880" t="s">
        <v>1456</v>
      </c>
    </row>
    <row r="1150" spans="1:4" s="891" customFormat="1" ht="11.25" customHeight="1" x14ac:dyDescent="0.2">
      <c r="A1150" s="1471"/>
      <c r="B1150" s="885">
        <v>520.45000000000005</v>
      </c>
      <c r="C1150" s="885">
        <v>520.44899999999996</v>
      </c>
      <c r="D1150" s="880" t="s">
        <v>1453</v>
      </c>
    </row>
    <row r="1151" spans="1:4" s="891" customFormat="1" ht="11.25" customHeight="1" x14ac:dyDescent="0.2">
      <c r="A1151" s="1471"/>
      <c r="B1151" s="885">
        <v>26829.050000000003</v>
      </c>
      <c r="C1151" s="885">
        <v>26829.052250000004</v>
      </c>
      <c r="D1151" s="880" t="s">
        <v>11</v>
      </c>
    </row>
    <row r="1152" spans="1:4" s="891" customFormat="1" ht="11.25" customHeight="1" x14ac:dyDescent="0.2">
      <c r="A1152" s="1472" t="s">
        <v>1720</v>
      </c>
      <c r="B1152" s="888">
        <v>240.55</v>
      </c>
      <c r="C1152" s="888">
        <v>240.55</v>
      </c>
      <c r="D1152" s="882" t="s">
        <v>2597</v>
      </c>
    </row>
    <row r="1153" spans="1:4" s="891" customFormat="1" ht="11.25" customHeight="1" x14ac:dyDescent="0.2">
      <c r="A1153" s="1471"/>
      <c r="B1153" s="885">
        <v>1300</v>
      </c>
      <c r="C1153" s="885">
        <v>0</v>
      </c>
      <c r="D1153" s="880" t="s">
        <v>2616</v>
      </c>
    </row>
    <row r="1154" spans="1:4" s="891" customFormat="1" ht="11.25" customHeight="1" x14ac:dyDescent="0.2">
      <c r="A1154" s="1471"/>
      <c r="B1154" s="885">
        <v>60</v>
      </c>
      <c r="C1154" s="885">
        <v>60</v>
      </c>
      <c r="D1154" s="880" t="s">
        <v>2596</v>
      </c>
    </row>
    <row r="1155" spans="1:4" s="891" customFormat="1" ht="11.25" customHeight="1" x14ac:dyDescent="0.2">
      <c r="A1155" s="1471"/>
      <c r="B1155" s="885">
        <v>234.85</v>
      </c>
      <c r="C1155" s="885">
        <v>234.85300000000001</v>
      </c>
      <c r="D1155" s="880" t="s">
        <v>1451</v>
      </c>
    </row>
    <row r="1156" spans="1:4" s="891" customFormat="1" ht="11.25" customHeight="1" x14ac:dyDescent="0.2">
      <c r="A1156" s="1471"/>
      <c r="B1156" s="885">
        <v>103</v>
      </c>
      <c r="C1156" s="885">
        <v>103</v>
      </c>
      <c r="D1156" s="880" t="s">
        <v>540</v>
      </c>
    </row>
    <row r="1157" spans="1:4" s="891" customFormat="1" ht="11.25" customHeight="1" x14ac:dyDescent="0.2">
      <c r="A1157" s="1471"/>
      <c r="B1157" s="885">
        <v>20.3</v>
      </c>
      <c r="C1157" s="885">
        <v>12.14</v>
      </c>
      <c r="D1157" s="880" t="s">
        <v>1459</v>
      </c>
    </row>
    <row r="1158" spans="1:4" s="891" customFormat="1" ht="11.25" customHeight="1" x14ac:dyDescent="0.2">
      <c r="A1158" s="1471"/>
      <c r="B1158" s="885">
        <v>14201</v>
      </c>
      <c r="C1158" s="885">
        <v>14201</v>
      </c>
      <c r="D1158" s="880" t="s">
        <v>1465</v>
      </c>
    </row>
    <row r="1159" spans="1:4" s="891" customFormat="1" ht="11.25" customHeight="1" x14ac:dyDescent="0.2">
      <c r="A1159" s="1471"/>
      <c r="B1159" s="885">
        <v>3197</v>
      </c>
      <c r="C1159" s="885">
        <v>3197</v>
      </c>
      <c r="D1159" s="880" t="s">
        <v>2587</v>
      </c>
    </row>
    <row r="1160" spans="1:4" s="891" customFormat="1" ht="11.25" customHeight="1" x14ac:dyDescent="0.2">
      <c r="A1160" s="1471"/>
      <c r="B1160" s="885">
        <v>450</v>
      </c>
      <c r="C1160" s="885">
        <v>450</v>
      </c>
      <c r="D1160" s="880" t="s">
        <v>2586</v>
      </c>
    </row>
    <row r="1161" spans="1:4" s="891" customFormat="1" ht="11.25" customHeight="1" x14ac:dyDescent="0.2">
      <c r="A1161" s="1471"/>
      <c r="B1161" s="885">
        <v>71.86</v>
      </c>
      <c r="C1161" s="885">
        <v>71.861999999999995</v>
      </c>
      <c r="D1161" s="880" t="s">
        <v>1456</v>
      </c>
    </row>
    <row r="1162" spans="1:4" s="891" customFormat="1" ht="11.25" customHeight="1" x14ac:dyDescent="0.2">
      <c r="A1162" s="1471"/>
      <c r="B1162" s="885">
        <v>382.1</v>
      </c>
      <c r="C1162" s="885">
        <v>382.101</v>
      </c>
      <c r="D1162" s="880" t="s">
        <v>1453</v>
      </c>
    </row>
    <row r="1163" spans="1:4" s="891" customFormat="1" ht="11.25" customHeight="1" x14ac:dyDescent="0.2">
      <c r="A1163" s="1473"/>
      <c r="B1163" s="887">
        <v>20260.66</v>
      </c>
      <c r="C1163" s="887">
        <v>18952.505999999998</v>
      </c>
      <c r="D1163" s="886" t="s">
        <v>11</v>
      </c>
    </row>
    <row r="1164" spans="1:4" s="891" customFormat="1" ht="11.25" customHeight="1" x14ac:dyDescent="0.2">
      <c r="A1164" s="1471" t="s">
        <v>1687</v>
      </c>
      <c r="B1164" s="885">
        <v>276.86</v>
      </c>
      <c r="C1164" s="885">
        <v>276.86</v>
      </c>
      <c r="D1164" s="880" t="s">
        <v>2597</v>
      </c>
    </row>
    <row r="1165" spans="1:4" s="891" customFormat="1" ht="11.25" customHeight="1" x14ac:dyDescent="0.2">
      <c r="A1165" s="1471"/>
      <c r="B1165" s="885">
        <v>252.6</v>
      </c>
      <c r="C1165" s="885">
        <v>252.6</v>
      </c>
      <c r="D1165" s="880" t="s">
        <v>2596</v>
      </c>
    </row>
    <row r="1166" spans="1:4" s="891" customFormat="1" ht="11.25" customHeight="1" x14ac:dyDescent="0.2">
      <c r="A1166" s="1471"/>
      <c r="B1166" s="885">
        <v>839.15</v>
      </c>
      <c r="C1166" s="885">
        <v>839.14499999999998</v>
      </c>
      <c r="D1166" s="880" t="s">
        <v>1451</v>
      </c>
    </row>
    <row r="1167" spans="1:4" s="891" customFormat="1" ht="11.25" customHeight="1" x14ac:dyDescent="0.2">
      <c r="A1167" s="1471"/>
      <c r="B1167" s="885">
        <v>25822</v>
      </c>
      <c r="C1167" s="885">
        <v>25822</v>
      </c>
      <c r="D1167" s="880" t="s">
        <v>1465</v>
      </c>
    </row>
    <row r="1168" spans="1:4" s="891" customFormat="1" ht="11.25" customHeight="1" x14ac:dyDescent="0.2">
      <c r="A1168" s="1471"/>
      <c r="B1168" s="885">
        <v>8008</v>
      </c>
      <c r="C1168" s="885">
        <v>8008</v>
      </c>
      <c r="D1168" s="880" t="s">
        <v>2587</v>
      </c>
    </row>
    <row r="1169" spans="1:4" s="891" customFormat="1" ht="11.25" customHeight="1" x14ac:dyDescent="0.2">
      <c r="A1169" s="1471"/>
      <c r="B1169" s="885">
        <v>1438</v>
      </c>
      <c r="C1169" s="885">
        <v>1438</v>
      </c>
      <c r="D1169" s="880" t="s">
        <v>2586</v>
      </c>
    </row>
    <row r="1170" spans="1:4" s="891" customFormat="1" ht="21" x14ac:dyDescent="0.2">
      <c r="A1170" s="1471"/>
      <c r="B1170" s="885">
        <v>736</v>
      </c>
      <c r="C1170" s="885">
        <v>736</v>
      </c>
      <c r="D1170" s="880" t="s">
        <v>2591</v>
      </c>
    </row>
    <row r="1171" spans="1:4" s="891" customFormat="1" ht="11.25" customHeight="1" x14ac:dyDescent="0.2">
      <c r="A1171" s="1471"/>
      <c r="B1171" s="885">
        <v>413.1</v>
      </c>
      <c r="C1171" s="885">
        <v>413.1</v>
      </c>
      <c r="D1171" s="880" t="s">
        <v>2603</v>
      </c>
    </row>
    <row r="1172" spans="1:4" s="891" customFormat="1" ht="11.25" customHeight="1" x14ac:dyDescent="0.2">
      <c r="A1172" s="1471"/>
      <c r="B1172" s="885">
        <v>128.81</v>
      </c>
      <c r="C1172" s="885">
        <v>128.81100000000001</v>
      </c>
      <c r="D1172" s="880" t="s">
        <v>1456</v>
      </c>
    </row>
    <row r="1173" spans="1:4" s="891" customFormat="1" ht="11.25" customHeight="1" x14ac:dyDescent="0.2">
      <c r="A1173" s="1471"/>
      <c r="B1173" s="885">
        <v>871.24</v>
      </c>
      <c r="C1173" s="885">
        <v>871.24400000000003</v>
      </c>
      <c r="D1173" s="880" t="s">
        <v>1453</v>
      </c>
    </row>
    <row r="1174" spans="1:4" s="891" customFormat="1" ht="11.25" customHeight="1" x14ac:dyDescent="0.2">
      <c r="A1174" s="1471"/>
      <c r="B1174" s="885">
        <v>38785.759999999995</v>
      </c>
      <c r="C1174" s="885">
        <v>38785.759999999995</v>
      </c>
      <c r="D1174" s="880" t="s">
        <v>11</v>
      </c>
    </row>
    <row r="1175" spans="1:4" s="891" customFormat="1" ht="11.25" customHeight="1" x14ac:dyDescent="0.2">
      <c r="A1175" s="1472" t="s">
        <v>1689</v>
      </c>
      <c r="B1175" s="888">
        <v>43.57</v>
      </c>
      <c r="C1175" s="888">
        <v>43.570999999999998</v>
      </c>
      <c r="D1175" s="882" t="s">
        <v>1447</v>
      </c>
    </row>
    <row r="1176" spans="1:4" s="891" customFormat="1" ht="11.25" customHeight="1" x14ac:dyDescent="0.2">
      <c r="A1176" s="1471"/>
      <c r="B1176" s="885">
        <v>390.38</v>
      </c>
      <c r="C1176" s="885">
        <v>390.37200000000007</v>
      </c>
      <c r="D1176" s="880" t="s">
        <v>2597</v>
      </c>
    </row>
    <row r="1177" spans="1:4" s="891" customFormat="1" ht="11.25" customHeight="1" x14ac:dyDescent="0.2">
      <c r="A1177" s="1471"/>
      <c r="B1177" s="885">
        <v>4</v>
      </c>
      <c r="C1177" s="885">
        <v>3.95</v>
      </c>
      <c r="D1177" s="880" t="s">
        <v>1459</v>
      </c>
    </row>
    <row r="1178" spans="1:4" s="891" customFormat="1" ht="11.25" customHeight="1" x14ac:dyDescent="0.2">
      <c r="A1178" s="1471"/>
      <c r="B1178" s="885">
        <v>24115</v>
      </c>
      <c r="C1178" s="885">
        <v>24115</v>
      </c>
      <c r="D1178" s="880" t="s">
        <v>1465</v>
      </c>
    </row>
    <row r="1179" spans="1:4" s="891" customFormat="1" ht="11.25" customHeight="1" x14ac:dyDescent="0.2">
      <c r="A1179" s="1471"/>
      <c r="B1179" s="885">
        <v>6280</v>
      </c>
      <c r="C1179" s="885">
        <v>6280</v>
      </c>
      <c r="D1179" s="880" t="s">
        <v>2587</v>
      </c>
    </row>
    <row r="1180" spans="1:4" s="891" customFormat="1" ht="11.25" customHeight="1" x14ac:dyDescent="0.2">
      <c r="A1180" s="1471"/>
      <c r="B1180" s="885">
        <v>912</v>
      </c>
      <c r="C1180" s="885">
        <v>912</v>
      </c>
      <c r="D1180" s="880" t="s">
        <v>2586</v>
      </c>
    </row>
    <row r="1181" spans="1:4" s="891" customFormat="1" ht="11.25" customHeight="1" x14ac:dyDescent="0.2">
      <c r="A1181" s="1471"/>
      <c r="B1181" s="885">
        <v>30</v>
      </c>
      <c r="C1181" s="885">
        <v>30</v>
      </c>
      <c r="D1181" s="880" t="s">
        <v>2615</v>
      </c>
    </row>
    <row r="1182" spans="1:4" s="891" customFormat="1" ht="11.25" customHeight="1" x14ac:dyDescent="0.2">
      <c r="A1182" s="1471"/>
      <c r="B1182" s="885">
        <v>122.33</v>
      </c>
      <c r="C1182" s="885">
        <v>122.33</v>
      </c>
      <c r="D1182" s="880" t="s">
        <v>1456</v>
      </c>
    </row>
    <row r="1183" spans="1:4" s="891" customFormat="1" ht="11.25" customHeight="1" x14ac:dyDescent="0.2">
      <c r="A1183" s="1471"/>
      <c r="B1183" s="885">
        <v>845.45</v>
      </c>
      <c r="C1183" s="885">
        <v>845.45399999999995</v>
      </c>
      <c r="D1183" s="880" t="s">
        <v>1453</v>
      </c>
    </row>
    <row r="1184" spans="1:4" s="891" customFormat="1" ht="11.25" customHeight="1" x14ac:dyDescent="0.2">
      <c r="A1184" s="1473"/>
      <c r="B1184" s="887">
        <v>32742.730000000003</v>
      </c>
      <c r="C1184" s="887">
        <v>32742.677000000003</v>
      </c>
      <c r="D1184" s="886" t="s">
        <v>11</v>
      </c>
    </row>
    <row r="1185" spans="1:4" s="891" customFormat="1" ht="11.25" customHeight="1" x14ac:dyDescent="0.2">
      <c r="A1185" s="1471" t="s">
        <v>1690</v>
      </c>
      <c r="B1185" s="885">
        <v>333.62</v>
      </c>
      <c r="C1185" s="885">
        <v>333.61599999999999</v>
      </c>
      <c r="D1185" s="880" t="s">
        <v>2597</v>
      </c>
    </row>
    <row r="1186" spans="1:4" s="891" customFormat="1" ht="11.25" customHeight="1" x14ac:dyDescent="0.2">
      <c r="A1186" s="1471"/>
      <c r="B1186" s="885">
        <v>13.5</v>
      </c>
      <c r="C1186" s="885">
        <v>13.5</v>
      </c>
      <c r="D1186" s="880" t="s">
        <v>2596</v>
      </c>
    </row>
    <row r="1187" spans="1:4" s="891" customFormat="1" ht="11.25" customHeight="1" x14ac:dyDescent="0.2">
      <c r="A1187" s="1471"/>
      <c r="B1187" s="885">
        <v>784.18</v>
      </c>
      <c r="C1187" s="885">
        <v>784.178</v>
      </c>
      <c r="D1187" s="880" t="s">
        <v>1451</v>
      </c>
    </row>
    <row r="1188" spans="1:4" s="891" customFormat="1" ht="21" x14ac:dyDescent="0.2">
      <c r="A1188" s="1471"/>
      <c r="B1188" s="885">
        <v>91.87</v>
      </c>
      <c r="C1188" s="885">
        <v>90.932000000000002</v>
      </c>
      <c r="D1188" s="880" t="s">
        <v>1446</v>
      </c>
    </row>
    <row r="1189" spans="1:4" s="891" customFormat="1" ht="11.25" customHeight="1" x14ac:dyDescent="0.2">
      <c r="A1189" s="1471"/>
      <c r="B1189" s="885">
        <v>20653</v>
      </c>
      <c r="C1189" s="885">
        <v>20653</v>
      </c>
      <c r="D1189" s="880" t="s">
        <v>1465</v>
      </c>
    </row>
    <row r="1190" spans="1:4" s="891" customFormat="1" ht="11.25" customHeight="1" x14ac:dyDescent="0.2">
      <c r="A1190" s="1471"/>
      <c r="B1190" s="885">
        <v>5915</v>
      </c>
      <c r="C1190" s="885">
        <v>5915</v>
      </c>
      <c r="D1190" s="880" t="s">
        <v>2587</v>
      </c>
    </row>
    <row r="1191" spans="1:4" s="891" customFormat="1" ht="11.25" customHeight="1" x14ac:dyDescent="0.2">
      <c r="A1191" s="1471"/>
      <c r="B1191" s="885">
        <v>745</v>
      </c>
      <c r="C1191" s="885">
        <v>745</v>
      </c>
      <c r="D1191" s="880" t="s">
        <v>2586</v>
      </c>
    </row>
    <row r="1192" spans="1:4" s="891" customFormat="1" ht="11.25" customHeight="1" x14ac:dyDescent="0.2">
      <c r="A1192" s="1471"/>
      <c r="B1192" s="885">
        <v>104.59</v>
      </c>
      <c r="C1192" s="885">
        <v>104.58499999999999</v>
      </c>
      <c r="D1192" s="880" t="s">
        <v>1456</v>
      </c>
    </row>
    <row r="1193" spans="1:4" s="891" customFormat="1" ht="11.25" customHeight="1" x14ac:dyDescent="0.2">
      <c r="A1193" s="1471"/>
      <c r="B1193" s="885">
        <v>644.49</v>
      </c>
      <c r="C1193" s="885">
        <v>644.49300000000005</v>
      </c>
      <c r="D1193" s="880" t="s">
        <v>1453</v>
      </c>
    </row>
    <row r="1194" spans="1:4" s="891" customFormat="1" ht="11.25" customHeight="1" x14ac:dyDescent="0.2">
      <c r="A1194" s="1471"/>
      <c r="B1194" s="885">
        <v>29285.25</v>
      </c>
      <c r="C1194" s="885">
        <v>29284.303999999996</v>
      </c>
      <c r="D1194" s="880" t="s">
        <v>11</v>
      </c>
    </row>
    <row r="1195" spans="1:4" s="891" customFormat="1" ht="11.25" customHeight="1" x14ac:dyDescent="0.2">
      <c r="A1195" s="1472" t="s">
        <v>1701</v>
      </c>
      <c r="B1195" s="888">
        <v>943.12</v>
      </c>
      <c r="C1195" s="888">
        <v>943.11099999999999</v>
      </c>
      <c r="D1195" s="882" t="s">
        <v>2597</v>
      </c>
    </row>
    <row r="1196" spans="1:4" s="891" customFormat="1" ht="11.25" customHeight="1" x14ac:dyDescent="0.2">
      <c r="A1196" s="1471"/>
      <c r="B1196" s="885">
        <v>134.37</v>
      </c>
      <c r="C1196" s="885">
        <v>134.369</v>
      </c>
      <c r="D1196" s="880" t="s">
        <v>1451</v>
      </c>
    </row>
    <row r="1197" spans="1:4" s="891" customFormat="1" ht="11.25" customHeight="1" x14ac:dyDescent="0.2">
      <c r="A1197" s="1471"/>
      <c r="B1197" s="885">
        <v>36</v>
      </c>
      <c r="C1197" s="885">
        <v>22.773000000000003</v>
      </c>
      <c r="D1197" s="880" t="s">
        <v>1459</v>
      </c>
    </row>
    <row r="1198" spans="1:4" s="891" customFormat="1" ht="11.25" customHeight="1" x14ac:dyDescent="0.2">
      <c r="A1198" s="1471"/>
      <c r="B1198" s="885">
        <v>16012</v>
      </c>
      <c r="C1198" s="885">
        <v>16012</v>
      </c>
      <c r="D1198" s="880" t="s">
        <v>1465</v>
      </c>
    </row>
    <row r="1199" spans="1:4" s="891" customFormat="1" ht="11.25" customHeight="1" x14ac:dyDescent="0.2">
      <c r="A1199" s="1471"/>
      <c r="B1199" s="885">
        <v>4032</v>
      </c>
      <c r="C1199" s="885">
        <v>4032</v>
      </c>
      <c r="D1199" s="880" t="s">
        <v>2587</v>
      </c>
    </row>
    <row r="1200" spans="1:4" s="891" customFormat="1" ht="11.25" customHeight="1" x14ac:dyDescent="0.2">
      <c r="A1200" s="1471"/>
      <c r="B1200" s="885">
        <v>718</v>
      </c>
      <c r="C1200" s="885">
        <v>718</v>
      </c>
      <c r="D1200" s="880" t="s">
        <v>2586</v>
      </c>
    </row>
    <row r="1201" spans="1:4" s="891" customFormat="1" ht="21" x14ac:dyDescent="0.2">
      <c r="A1201" s="1471"/>
      <c r="B1201" s="885">
        <v>1291</v>
      </c>
      <c r="C1201" s="885">
        <v>1291</v>
      </c>
      <c r="D1201" s="880" t="s">
        <v>2591</v>
      </c>
    </row>
    <row r="1202" spans="1:4" s="891" customFormat="1" ht="11.25" customHeight="1" x14ac:dyDescent="0.2">
      <c r="A1202" s="1471"/>
      <c r="B1202" s="885">
        <v>187.5</v>
      </c>
      <c r="C1202" s="885">
        <v>187.5</v>
      </c>
      <c r="D1202" s="880" t="s">
        <v>2603</v>
      </c>
    </row>
    <row r="1203" spans="1:4" s="891" customFormat="1" ht="11.25" customHeight="1" x14ac:dyDescent="0.2">
      <c r="A1203" s="1471"/>
      <c r="B1203" s="885">
        <v>2183.0100000000002</v>
      </c>
      <c r="C1203" s="885">
        <v>2183.0108399999999</v>
      </c>
      <c r="D1203" s="880" t="s">
        <v>578</v>
      </c>
    </row>
    <row r="1204" spans="1:4" s="891" customFormat="1" ht="11.25" customHeight="1" x14ac:dyDescent="0.2">
      <c r="A1204" s="1471"/>
      <c r="B1204" s="885">
        <v>88.88</v>
      </c>
      <c r="C1204" s="885">
        <v>88.881</v>
      </c>
      <c r="D1204" s="880" t="s">
        <v>1456</v>
      </c>
    </row>
    <row r="1205" spans="1:4" s="891" customFormat="1" ht="11.25" customHeight="1" x14ac:dyDescent="0.2">
      <c r="A1205" s="1471"/>
      <c r="B1205" s="885">
        <v>288.47000000000003</v>
      </c>
      <c r="C1205" s="885">
        <v>288.46600000000001</v>
      </c>
      <c r="D1205" s="880" t="s">
        <v>1453</v>
      </c>
    </row>
    <row r="1206" spans="1:4" s="891" customFormat="1" ht="11.25" customHeight="1" x14ac:dyDescent="0.2">
      <c r="A1206" s="1473"/>
      <c r="B1206" s="887">
        <v>25914.350000000002</v>
      </c>
      <c r="C1206" s="887">
        <v>25901.110840000001</v>
      </c>
      <c r="D1206" s="886" t="s">
        <v>11</v>
      </c>
    </row>
    <row r="1207" spans="1:4" s="891" customFormat="1" ht="11.25" customHeight="1" x14ac:dyDescent="0.2">
      <c r="A1207" s="1471" t="s">
        <v>1847</v>
      </c>
      <c r="B1207" s="885">
        <v>136.31</v>
      </c>
      <c r="C1207" s="885">
        <v>136.31399999999999</v>
      </c>
      <c r="D1207" s="880" t="s">
        <v>1451</v>
      </c>
    </row>
    <row r="1208" spans="1:4" s="891" customFormat="1" ht="11.25" customHeight="1" x14ac:dyDescent="0.2">
      <c r="A1208" s="1471"/>
      <c r="B1208" s="885">
        <v>2111</v>
      </c>
      <c r="C1208" s="885">
        <v>2111</v>
      </c>
      <c r="D1208" s="880" t="s">
        <v>1465</v>
      </c>
    </row>
    <row r="1209" spans="1:4" s="891" customFormat="1" ht="11.25" customHeight="1" x14ac:dyDescent="0.2">
      <c r="A1209" s="1471"/>
      <c r="B1209" s="885">
        <v>1685</v>
      </c>
      <c r="C1209" s="885">
        <v>1685</v>
      </c>
      <c r="D1209" s="880" t="s">
        <v>2587</v>
      </c>
    </row>
    <row r="1210" spans="1:4" s="891" customFormat="1" ht="11.25" customHeight="1" x14ac:dyDescent="0.2">
      <c r="A1210" s="1471"/>
      <c r="B1210" s="885">
        <v>501</v>
      </c>
      <c r="C1210" s="885">
        <v>501</v>
      </c>
      <c r="D1210" s="880" t="s">
        <v>2586</v>
      </c>
    </row>
    <row r="1211" spans="1:4" s="891" customFormat="1" ht="21" x14ac:dyDescent="0.2">
      <c r="A1211" s="1471"/>
      <c r="B1211" s="885">
        <v>1126</v>
      </c>
      <c r="C1211" s="885">
        <v>1126</v>
      </c>
      <c r="D1211" s="880" t="s">
        <v>2591</v>
      </c>
    </row>
    <row r="1212" spans="1:4" s="891" customFormat="1" ht="11.25" customHeight="1" x14ac:dyDescent="0.2">
      <c r="A1212" s="1471"/>
      <c r="B1212" s="885">
        <v>1766.99</v>
      </c>
      <c r="C1212" s="885">
        <v>1766.9891599999999</v>
      </c>
      <c r="D1212" s="880" t="s">
        <v>578</v>
      </c>
    </row>
    <row r="1213" spans="1:4" s="891" customFormat="1" ht="11.25" customHeight="1" x14ac:dyDescent="0.2">
      <c r="A1213" s="1471"/>
      <c r="B1213" s="885">
        <v>207.81</v>
      </c>
      <c r="C1213" s="885">
        <v>207.80500000000001</v>
      </c>
      <c r="D1213" s="880" t="s">
        <v>1453</v>
      </c>
    </row>
    <row r="1214" spans="1:4" s="891" customFormat="1" ht="11.25" customHeight="1" x14ac:dyDescent="0.2">
      <c r="A1214" s="1471"/>
      <c r="B1214" s="885">
        <v>7534.11</v>
      </c>
      <c r="C1214" s="885">
        <v>7534.1081600000007</v>
      </c>
      <c r="D1214" s="880" t="s">
        <v>11</v>
      </c>
    </row>
    <row r="1215" spans="1:4" s="891" customFormat="1" ht="11.25" customHeight="1" x14ac:dyDescent="0.2">
      <c r="A1215" s="1472" t="s">
        <v>1754</v>
      </c>
      <c r="B1215" s="888">
        <v>38.5</v>
      </c>
      <c r="C1215" s="888">
        <v>38.419000000000004</v>
      </c>
      <c r="D1215" s="882" t="s">
        <v>1319</v>
      </c>
    </row>
    <row r="1216" spans="1:4" s="891" customFormat="1" ht="11.25" customHeight="1" x14ac:dyDescent="0.2">
      <c r="A1216" s="1471"/>
      <c r="B1216" s="885">
        <v>212.48000000000002</v>
      </c>
      <c r="C1216" s="885">
        <v>212.48100000000002</v>
      </c>
      <c r="D1216" s="880" t="s">
        <v>2597</v>
      </c>
    </row>
    <row r="1217" spans="1:4" s="891" customFormat="1" ht="11.25" customHeight="1" x14ac:dyDescent="0.2">
      <c r="A1217" s="1471"/>
      <c r="B1217" s="885">
        <v>14666</v>
      </c>
      <c r="C1217" s="885">
        <v>14666</v>
      </c>
      <c r="D1217" s="880" t="s">
        <v>1465</v>
      </c>
    </row>
    <row r="1218" spans="1:4" s="891" customFormat="1" ht="11.25" customHeight="1" x14ac:dyDescent="0.2">
      <c r="A1218" s="1471"/>
      <c r="B1218" s="885">
        <v>2280</v>
      </c>
      <c r="C1218" s="885">
        <v>2280</v>
      </c>
      <c r="D1218" s="880" t="s">
        <v>2587</v>
      </c>
    </row>
    <row r="1219" spans="1:4" s="891" customFormat="1" ht="11.25" customHeight="1" x14ac:dyDescent="0.2">
      <c r="A1219" s="1471"/>
      <c r="B1219" s="885">
        <v>208</v>
      </c>
      <c r="C1219" s="885">
        <v>208</v>
      </c>
      <c r="D1219" s="880" t="s">
        <v>2586</v>
      </c>
    </row>
    <row r="1220" spans="1:4" s="891" customFormat="1" ht="11.25" customHeight="1" x14ac:dyDescent="0.2">
      <c r="A1220" s="1471"/>
      <c r="B1220" s="885">
        <v>706.66</v>
      </c>
      <c r="C1220" s="885">
        <v>706.65939000000003</v>
      </c>
      <c r="D1220" s="880" t="s">
        <v>2614</v>
      </c>
    </row>
    <row r="1221" spans="1:4" s="891" customFormat="1" ht="11.25" customHeight="1" x14ac:dyDescent="0.2">
      <c r="A1221" s="1471"/>
      <c r="B1221" s="885">
        <v>395.1</v>
      </c>
      <c r="C1221" s="885">
        <v>395.1</v>
      </c>
      <c r="D1221" s="880" t="s">
        <v>2603</v>
      </c>
    </row>
    <row r="1222" spans="1:4" s="891" customFormat="1" ht="11.25" customHeight="1" x14ac:dyDescent="0.2">
      <c r="A1222" s="1471"/>
      <c r="B1222" s="885">
        <v>75.09</v>
      </c>
      <c r="C1222" s="885">
        <v>75.084999999999994</v>
      </c>
      <c r="D1222" s="880" t="s">
        <v>1456</v>
      </c>
    </row>
    <row r="1223" spans="1:4" s="891" customFormat="1" ht="11.25" customHeight="1" x14ac:dyDescent="0.2">
      <c r="A1223" s="1471"/>
      <c r="B1223" s="885">
        <v>500.2</v>
      </c>
      <c r="C1223" s="885">
        <v>500.19900000000001</v>
      </c>
      <c r="D1223" s="880" t="s">
        <v>1453</v>
      </c>
    </row>
    <row r="1224" spans="1:4" s="891" customFormat="1" ht="11.25" customHeight="1" x14ac:dyDescent="0.2">
      <c r="A1224" s="1473"/>
      <c r="B1224" s="887">
        <v>19082.03</v>
      </c>
      <c r="C1224" s="887">
        <v>19081.94339</v>
      </c>
      <c r="D1224" s="886" t="s">
        <v>11</v>
      </c>
    </row>
    <row r="1225" spans="1:4" s="891" customFormat="1" ht="11.25" customHeight="1" x14ac:dyDescent="0.2">
      <c r="A1225" s="1471" t="s">
        <v>1740</v>
      </c>
      <c r="B1225" s="885">
        <v>154.15</v>
      </c>
      <c r="C1225" s="885">
        <v>154.154</v>
      </c>
      <c r="D1225" s="880" t="s">
        <v>2598</v>
      </c>
    </row>
    <row r="1226" spans="1:4" s="891" customFormat="1" ht="11.25" customHeight="1" x14ac:dyDescent="0.2">
      <c r="A1226" s="1471"/>
      <c r="B1226" s="885">
        <v>735.18</v>
      </c>
      <c r="C1226" s="885">
        <v>735.17499999999995</v>
      </c>
      <c r="D1226" s="880" t="s">
        <v>2597</v>
      </c>
    </row>
    <row r="1227" spans="1:4" s="891" customFormat="1" ht="11.25" customHeight="1" x14ac:dyDescent="0.2">
      <c r="A1227" s="1471"/>
      <c r="B1227" s="885">
        <v>15</v>
      </c>
      <c r="C1227" s="885">
        <v>15</v>
      </c>
      <c r="D1227" s="880" t="s">
        <v>1448</v>
      </c>
    </row>
    <row r="1228" spans="1:4" s="891" customFormat="1" ht="11.25" customHeight="1" x14ac:dyDescent="0.2">
      <c r="A1228" s="1471"/>
      <c r="B1228" s="885">
        <v>30362</v>
      </c>
      <c r="C1228" s="885">
        <v>30362</v>
      </c>
      <c r="D1228" s="880" t="s">
        <v>1465</v>
      </c>
    </row>
    <row r="1229" spans="1:4" s="891" customFormat="1" ht="11.25" customHeight="1" x14ac:dyDescent="0.2">
      <c r="A1229" s="1471"/>
      <c r="B1229" s="885">
        <v>3796</v>
      </c>
      <c r="C1229" s="885">
        <v>3796</v>
      </c>
      <c r="D1229" s="880" t="s">
        <v>2587</v>
      </c>
    </row>
    <row r="1230" spans="1:4" s="891" customFormat="1" ht="11.25" customHeight="1" x14ac:dyDescent="0.2">
      <c r="A1230" s="1471"/>
      <c r="B1230" s="885">
        <v>346</v>
      </c>
      <c r="C1230" s="885">
        <v>346</v>
      </c>
      <c r="D1230" s="880" t="s">
        <v>2586</v>
      </c>
    </row>
    <row r="1231" spans="1:4" s="891" customFormat="1" ht="11.25" customHeight="1" x14ac:dyDescent="0.2">
      <c r="A1231" s="1471"/>
      <c r="B1231" s="885">
        <v>248.8</v>
      </c>
      <c r="C1231" s="885">
        <v>248.8</v>
      </c>
      <c r="D1231" s="880" t="s">
        <v>2603</v>
      </c>
    </row>
    <row r="1232" spans="1:4" s="891" customFormat="1" ht="11.25" customHeight="1" x14ac:dyDescent="0.2">
      <c r="A1232" s="1471"/>
      <c r="B1232" s="885">
        <v>32.799999999999997</v>
      </c>
      <c r="C1232" s="885">
        <v>32.799999999999997</v>
      </c>
      <c r="D1232" s="880" t="s">
        <v>2600</v>
      </c>
    </row>
    <row r="1233" spans="1:4" s="891" customFormat="1" ht="11.25" customHeight="1" x14ac:dyDescent="0.2">
      <c r="A1233" s="1471"/>
      <c r="B1233" s="885">
        <v>154.53</v>
      </c>
      <c r="C1233" s="885">
        <v>154.52799999999999</v>
      </c>
      <c r="D1233" s="880" t="s">
        <v>1456</v>
      </c>
    </row>
    <row r="1234" spans="1:4" s="891" customFormat="1" ht="11.25" customHeight="1" x14ac:dyDescent="0.2">
      <c r="A1234" s="1471"/>
      <c r="B1234" s="885">
        <v>1103.28</v>
      </c>
      <c r="C1234" s="885">
        <v>1103.2760000000001</v>
      </c>
      <c r="D1234" s="880" t="s">
        <v>1453</v>
      </c>
    </row>
    <row r="1235" spans="1:4" s="891" customFormat="1" ht="11.25" customHeight="1" x14ac:dyDescent="0.2">
      <c r="A1235" s="1471"/>
      <c r="B1235" s="885">
        <v>36947.740000000005</v>
      </c>
      <c r="C1235" s="885">
        <v>36947.733</v>
      </c>
      <c r="D1235" s="880" t="s">
        <v>11</v>
      </c>
    </row>
    <row r="1236" spans="1:4" s="891" customFormat="1" ht="11.25" customHeight="1" x14ac:dyDescent="0.2">
      <c r="A1236" s="1472" t="s">
        <v>1756</v>
      </c>
      <c r="B1236" s="888">
        <v>621.66</v>
      </c>
      <c r="C1236" s="888">
        <v>621.66300000000001</v>
      </c>
      <c r="D1236" s="882" t="s">
        <v>2597</v>
      </c>
    </row>
    <row r="1237" spans="1:4" s="891" customFormat="1" ht="11.25" customHeight="1" x14ac:dyDescent="0.2">
      <c r="A1237" s="1471"/>
      <c r="B1237" s="885">
        <v>16474</v>
      </c>
      <c r="C1237" s="885">
        <v>16474</v>
      </c>
      <c r="D1237" s="880" t="s">
        <v>1465</v>
      </c>
    </row>
    <row r="1238" spans="1:4" s="891" customFormat="1" ht="11.25" customHeight="1" x14ac:dyDescent="0.2">
      <c r="A1238" s="1471"/>
      <c r="B1238" s="885">
        <v>1762</v>
      </c>
      <c r="C1238" s="885">
        <v>1762</v>
      </c>
      <c r="D1238" s="880" t="s">
        <v>2587</v>
      </c>
    </row>
    <row r="1239" spans="1:4" s="891" customFormat="1" ht="11.25" customHeight="1" x14ac:dyDescent="0.2">
      <c r="A1239" s="1471"/>
      <c r="B1239" s="885">
        <v>141</v>
      </c>
      <c r="C1239" s="885">
        <v>139.91999999999999</v>
      </c>
      <c r="D1239" s="880" t="s">
        <v>2586</v>
      </c>
    </row>
    <row r="1240" spans="1:4" s="891" customFormat="1" ht="11.25" customHeight="1" x14ac:dyDescent="0.2">
      <c r="A1240" s="1471"/>
      <c r="B1240" s="885">
        <v>11.9</v>
      </c>
      <c r="C1240" s="885">
        <v>11.9</v>
      </c>
      <c r="D1240" s="880" t="s">
        <v>2600</v>
      </c>
    </row>
    <row r="1241" spans="1:4" s="891" customFormat="1" ht="11.25" customHeight="1" x14ac:dyDescent="0.2">
      <c r="A1241" s="1471"/>
      <c r="B1241" s="885">
        <v>83.28</v>
      </c>
      <c r="C1241" s="885">
        <v>83.28</v>
      </c>
      <c r="D1241" s="880" t="s">
        <v>1456</v>
      </c>
    </row>
    <row r="1242" spans="1:4" s="891" customFormat="1" ht="11.25" customHeight="1" x14ac:dyDescent="0.2">
      <c r="A1242" s="1471"/>
      <c r="B1242" s="885">
        <v>526.46</v>
      </c>
      <c r="C1242" s="885">
        <v>526.46</v>
      </c>
      <c r="D1242" s="880" t="s">
        <v>1453</v>
      </c>
    </row>
    <row r="1243" spans="1:4" s="891" customFormat="1" ht="11.25" customHeight="1" x14ac:dyDescent="0.2">
      <c r="A1243" s="1473"/>
      <c r="B1243" s="887">
        <v>19620.3</v>
      </c>
      <c r="C1243" s="887">
        <v>19619.222999999998</v>
      </c>
      <c r="D1243" s="886" t="s">
        <v>11</v>
      </c>
    </row>
    <row r="1244" spans="1:4" s="891" customFormat="1" ht="11.25" customHeight="1" x14ac:dyDescent="0.2">
      <c r="A1244" s="1471" t="s">
        <v>1645</v>
      </c>
      <c r="B1244" s="885">
        <v>566.33000000000004</v>
      </c>
      <c r="C1244" s="885">
        <v>566.33100000000002</v>
      </c>
      <c r="D1244" s="880" t="s">
        <v>2597</v>
      </c>
    </row>
    <row r="1245" spans="1:4" s="891" customFormat="1" ht="11.25" customHeight="1" x14ac:dyDescent="0.2">
      <c r="A1245" s="1471"/>
      <c r="B1245" s="885">
        <v>20696</v>
      </c>
      <c r="C1245" s="885">
        <v>20696</v>
      </c>
      <c r="D1245" s="880" t="s">
        <v>1465</v>
      </c>
    </row>
    <row r="1246" spans="1:4" s="891" customFormat="1" ht="11.25" customHeight="1" x14ac:dyDescent="0.2">
      <c r="A1246" s="1471"/>
      <c r="B1246" s="885">
        <v>3185</v>
      </c>
      <c r="C1246" s="885">
        <v>3185</v>
      </c>
      <c r="D1246" s="880" t="s">
        <v>2587</v>
      </c>
    </row>
    <row r="1247" spans="1:4" s="891" customFormat="1" ht="11.25" customHeight="1" x14ac:dyDescent="0.2">
      <c r="A1247" s="1471"/>
      <c r="B1247" s="885">
        <v>637</v>
      </c>
      <c r="C1247" s="885">
        <v>637</v>
      </c>
      <c r="D1247" s="880" t="s">
        <v>2586</v>
      </c>
    </row>
    <row r="1248" spans="1:4" s="891" customFormat="1" ht="11.25" customHeight="1" x14ac:dyDescent="0.2">
      <c r="A1248" s="1471"/>
      <c r="B1248" s="885">
        <v>120</v>
      </c>
      <c r="C1248" s="885">
        <v>120</v>
      </c>
      <c r="D1248" s="880" t="s">
        <v>1461</v>
      </c>
    </row>
    <row r="1249" spans="1:4" s="891" customFormat="1" ht="11.25" customHeight="1" x14ac:dyDescent="0.2">
      <c r="A1249" s="1471"/>
      <c r="B1249" s="885">
        <v>105.39</v>
      </c>
      <c r="C1249" s="885">
        <v>105.389</v>
      </c>
      <c r="D1249" s="880" t="s">
        <v>1456</v>
      </c>
    </row>
    <row r="1250" spans="1:4" s="891" customFormat="1" ht="11.25" customHeight="1" x14ac:dyDescent="0.2">
      <c r="A1250" s="1471"/>
      <c r="B1250" s="885">
        <v>530.98</v>
      </c>
      <c r="C1250" s="885">
        <v>530.97900000000004</v>
      </c>
      <c r="D1250" s="880" t="s">
        <v>1453</v>
      </c>
    </row>
    <row r="1251" spans="1:4" s="891" customFormat="1" ht="11.25" customHeight="1" x14ac:dyDescent="0.2">
      <c r="A1251" s="1471"/>
      <c r="B1251" s="885">
        <v>25840.7</v>
      </c>
      <c r="C1251" s="885">
        <v>25840.698999999997</v>
      </c>
      <c r="D1251" s="880" t="s">
        <v>11</v>
      </c>
    </row>
    <row r="1252" spans="1:4" s="891" customFormat="1" ht="11.25" customHeight="1" x14ac:dyDescent="0.2">
      <c r="A1252" s="1472" t="s">
        <v>1641</v>
      </c>
      <c r="B1252" s="888">
        <v>730.05</v>
      </c>
      <c r="C1252" s="888">
        <v>730.04700000000003</v>
      </c>
      <c r="D1252" s="882" t="s">
        <v>2597</v>
      </c>
    </row>
    <row r="1253" spans="1:4" s="891" customFormat="1" ht="11.25" customHeight="1" x14ac:dyDescent="0.2">
      <c r="A1253" s="1471"/>
      <c r="B1253" s="885">
        <v>20.2</v>
      </c>
      <c r="C1253" s="885">
        <v>20.2</v>
      </c>
      <c r="D1253" s="880" t="s">
        <v>2596</v>
      </c>
    </row>
    <row r="1254" spans="1:4" s="891" customFormat="1" ht="11.25" customHeight="1" x14ac:dyDescent="0.2">
      <c r="A1254" s="1471"/>
      <c r="B1254" s="885">
        <v>131.1</v>
      </c>
      <c r="C1254" s="885">
        <v>131.10300000000001</v>
      </c>
      <c r="D1254" s="880" t="s">
        <v>1451</v>
      </c>
    </row>
    <row r="1255" spans="1:4" s="891" customFormat="1" ht="11.25" customHeight="1" x14ac:dyDescent="0.2">
      <c r="A1255" s="1471"/>
      <c r="B1255" s="885">
        <v>16088</v>
      </c>
      <c r="C1255" s="885">
        <v>16088</v>
      </c>
      <c r="D1255" s="880" t="s">
        <v>1465</v>
      </c>
    </row>
    <row r="1256" spans="1:4" s="891" customFormat="1" ht="11.25" customHeight="1" x14ac:dyDescent="0.2">
      <c r="A1256" s="1471"/>
      <c r="B1256" s="885">
        <v>9088</v>
      </c>
      <c r="C1256" s="885">
        <v>9088</v>
      </c>
      <c r="D1256" s="880" t="s">
        <v>2587</v>
      </c>
    </row>
    <row r="1257" spans="1:4" s="891" customFormat="1" ht="11.25" customHeight="1" x14ac:dyDescent="0.2">
      <c r="A1257" s="1471"/>
      <c r="B1257" s="885">
        <v>2004</v>
      </c>
      <c r="C1257" s="885">
        <v>2004</v>
      </c>
      <c r="D1257" s="880" t="s">
        <v>2586</v>
      </c>
    </row>
    <row r="1258" spans="1:4" s="891" customFormat="1" ht="11.25" customHeight="1" x14ac:dyDescent="0.2">
      <c r="A1258" s="1471"/>
      <c r="B1258" s="885">
        <v>81.709999999999994</v>
      </c>
      <c r="C1258" s="885">
        <v>81.706999999999994</v>
      </c>
      <c r="D1258" s="880" t="s">
        <v>1456</v>
      </c>
    </row>
    <row r="1259" spans="1:4" s="891" customFormat="1" ht="11.25" customHeight="1" x14ac:dyDescent="0.2">
      <c r="A1259" s="1471"/>
      <c r="B1259" s="885">
        <v>454.4</v>
      </c>
      <c r="C1259" s="885">
        <v>454.40199999999999</v>
      </c>
      <c r="D1259" s="880" t="s">
        <v>1453</v>
      </c>
    </row>
    <row r="1260" spans="1:4" s="891" customFormat="1" ht="11.25" customHeight="1" x14ac:dyDescent="0.2">
      <c r="A1260" s="1473"/>
      <c r="B1260" s="887">
        <v>28597.46</v>
      </c>
      <c r="C1260" s="887">
        <v>28597.458999999995</v>
      </c>
      <c r="D1260" s="886" t="s">
        <v>11</v>
      </c>
    </row>
    <row r="1261" spans="1:4" s="891" customFormat="1" ht="11.25" customHeight="1" x14ac:dyDescent="0.2">
      <c r="A1261" s="1471" t="s">
        <v>1647</v>
      </c>
      <c r="B1261" s="885">
        <v>406.54</v>
      </c>
      <c r="C1261" s="885">
        <v>406.54</v>
      </c>
      <c r="D1261" s="880" t="s">
        <v>2597</v>
      </c>
    </row>
    <row r="1262" spans="1:4" s="891" customFormat="1" ht="11.25" customHeight="1" x14ac:dyDescent="0.2">
      <c r="A1262" s="1471"/>
      <c r="B1262" s="885">
        <v>2858.71</v>
      </c>
      <c r="C1262" s="885">
        <v>2858.7054500000004</v>
      </c>
      <c r="D1262" s="880" t="s">
        <v>2613</v>
      </c>
    </row>
    <row r="1263" spans="1:4" s="891" customFormat="1" ht="11.25" customHeight="1" x14ac:dyDescent="0.2">
      <c r="A1263" s="1471"/>
      <c r="B1263" s="885">
        <v>882.21</v>
      </c>
      <c r="C1263" s="885">
        <v>882.21343999999999</v>
      </c>
      <c r="D1263" s="880" t="s">
        <v>2612</v>
      </c>
    </row>
    <row r="1264" spans="1:4" s="891" customFormat="1" ht="11.25" customHeight="1" x14ac:dyDescent="0.2">
      <c r="A1264" s="1471"/>
      <c r="B1264" s="885">
        <v>407.8</v>
      </c>
      <c r="C1264" s="885">
        <v>407.8</v>
      </c>
      <c r="D1264" s="880" t="s">
        <v>2596</v>
      </c>
    </row>
    <row r="1265" spans="1:4" s="891" customFormat="1" ht="11.25" customHeight="1" x14ac:dyDescent="0.2">
      <c r="A1265" s="1471"/>
      <c r="B1265" s="885">
        <v>78.03</v>
      </c>
      <c r="C1265" s="885">
        <v>78.031000000000006</v>
      </c>
      <c r="D1265" s="880" t="s">
        <v>1451</v>
      </c>
    </row>
    <row r="1266" spans="1:4" s="891" customFormat="1" ht="21" x14ac:dyDescent="0.2">
      <c r="A1266" s="1471"/>
      <c r="B1266" s="885">
        <v>108.09</v>
      </c>
      <c r="C1266" s="885">
        <v>105.989</v>
      </c>
      <c r="D1266" s="880" t="s">
        <v>1446</v>
      </c>
    </row>
    <row r="1267" spans="1:4" s="891" customFormat="1" ht="11.25" customHeight="1" x14ac:dyDescent="0.2">
      <c r="A1267" s="1471"/>
      <c r="B1267" s="885">
        <v>53856</v>
      </c>
      <c r="C1267" s="885">
        <v>53856</v>
      </c>
      <c r="D1267" s="880" t="s">
        <v>1465</v>
      </c>
    </row>
    <row r="1268" spans="1:4" s="891" customFormat="1" ht="11.25" customHeight="1" x14ac:dyDescent="0.2">
      <c r="A1268" s="1471"/>
      <c r="B1268" s="885">
        <v>6857</v>
      </c>
      <c r="C1268" s="885">
        <v>6857</v>
      </c>
      <c r="D1268" s="880" t="s">
        <v>2587</v>
      </c>
    </row>
    <row r="1269" spans="1:4" s="891" customFormat="1" ht="11.25" customHeight="1" x14ac:dyDescent="0.2">
      <c r="A1269" s="1471"/>
      <c r="B1269" s="885">
        <v>900</v>
      </c>
      <c r="C1269" s="885">
        <v>900</v>
      </c>
      <c r="D1269" s="880" t="s">
        <v>2586</v>
      </c>
    </row>
    <row r="1270" spans="1:4" s="891" customFormat="1" ht="11.25" customHeight="1" x14ac:dyDescent="0.2">
      <c r="A1270" s="1471"/>
      <c r="B1270" s="885">
        <v>1050</v>
      </c>
      <c r="C1270" s="885">
        <v>1050</v>
      </c>
      <c r="D1270" s="880" t="s">
        <v>2611</v>
      </c>
    </row>
    <row r="1271" spans="1:4" s="891" customFormat="1" ht="11.25" customHeight="1" x14ac:dyDescent="0.2">
      <c r="A1271" s="1471"/>
      <c r="B1271" s="885">
        <v>2100</v>
      </c>
      <c r="C1271" s="885">
        <v>1751.76918</v>
      </c>
      <c r="D1271" s="880" t="s">
        <v>2610</v>
      </c>
    </row>
    <row r="1272" spans="1:4" s="891" customFormat="1" ht="11.25" customHeight="1" x14ac:dyDescent="0.2">
      <c r="A1272" s="1471"/>
      <c r="B1272" s="885">
        <v>242.1</v>
      </c>
      <c r="C1272" s="885">
        <v>241.858</v>
      </c>
      <c r="D1272" s="880" t="s">
        <v>1455</v>
      </c>
    </row>
    <row r="1273" spans="1:4" s="891" customFormat="1" ht="11.25" customHeight="1" x14ac:dyDescent="0.2">
      <c r="A1273" s="1471"/>
      <c r="B1273" s="885">
        <v>261.52</v>
      </c>
      <c r="C1273" s="885">
        <v>261.524</v>
      </c>
      <c r="D1273" s="880" t="s">
        <v>1456</v>
      </c>
    </row>
    <row r="1274" spans="1:4" s="891" customFormat="1" ht="11.25" customHeight="1" x14ac:dyDescent="0.2">
      <c r="A1274" s="1471"/>
      <c r="B1274" s="885">
        <v>1458.79</v>
      </c>
      <c r="C1274" s="885">
        <v>1458.7860000000001</v>
      </c>
      <c r="D1274" s="880" t="s">
        <v>1453</v>
      </c>
    </row>
    <row r="1275" spans="1:4" s="891" customFormat="1" ht="11.25" customHeight="1" x14ac:dyDescent="0.2">
      <c r="A1275" s="1471"/>
      <c r="B1275" s="885">
        <v>71466.790000000008</v>
      </c>
      <c r="C1275" s="885">
        <v>71116.216069999995</v>
      </c>
      <c r="D1275" s="880" t="s">
        <v>11</v>
      </c>
    </row>
    <row r="1276" spans="1:4" s="891" customFormat="1" ht="11.25" customHeight="1" x14ac:dyDescent="0.2">
      <c r="A1276" s="1472" t="s">
        <v>1667</v>
      </c>
      <c r="B1276" s="888">
        <v>16696</v>
      </c>
      <c r="C1276" s="888">
        <v>16696</v>
      </c>
      <c r="D1276" s="882" t="s">
        <v>1465</v>
      </c>
    </row>
    <row r="1277" spans="1:4" s="891" customFormat="1" ht="11.25" customHeight="1" x14ac:dyDescent="0.2">
      <c r="A1277" s="1471"/>
      <c r="B1277" s="885">
        <v>1686</v>
      </c>
      <c r="C1277" s="885">
        <v>1686</v>
      </c>
      <c r="D1277" s="880" t="s">
        <v>2587</v>
      </c>
    </row>
    <row r="1278" spans="1:4" s="891" customFormat="1" ht="11.25" customHeight="1" x14ac:dyDescent="0.2">
      <c r="A1278" s="1471"/>
      <c r="B1278" s="885">
        <v>25</v>
      </c>
      <c r="C1278" s="885">
        <v>25</v>
      </c>
      <c r="D1278" s="880" t="s">
        <v>2586</v>
      </c>
    </row>
    <row r="1279" spans="1:4" s="891" customFormat="1" ht="11.25" customHeight="1" x14ac:dyDescent="0.2">
      <c r="A1279" s="1471"/>
      <c r="B1279" s="885">
        <v>85.09</v>
      </c>
      <c r="C1279" s="885">
        <v>85.09</v>
      </c>
      <c r="D1279" s="880" t="s">
        <v>1456</v>
      </c>
    </row>
    <row r="1280" spans="1:4" s="891" customFormat="1" ht="11.25" customHeight="1" x14ac:dyDescent="0.2">
      <c r="A1280" s="1471"/>
      <c r="B1280" s="885">
        <v>559.46</v>
      </c>
      <c r="C1280" s="885">
        <v>559.45899999999995</v>
      </c>
      <c r="D1280" s="880" t="s">
        <v>1453</v>
      </c>
    </row>
    <row r="1281" spans="1:4" s="891" customFormat="1" ht="11.25" customHeight="1" x14ac:dyDescent="0.2">
      <c r="A1281" s="1473"/>
      <c r="B1281" s="887">
        <v>19051.55</v>
      </c>
      <c r="C1281" s="887">
        <v>19051.548999999999</v>
      </c>
      <c r="D1281" s="886" t="s">
        <v>11</v>
      </c>
    </row>
    <row r="1282" spans="1:4" s="891" customFormat="1" ht="11.25" customHeight="1" x14ac:dyDescent="0.2">
      <c r="A1282" s="1471" t="s">
        <v>1653</v>
      </c>
      <c r="B1282" s="885">
        <v>923.44999999999993</v>
      </c>
      <c r="C1282" s="885">
        <v>923.44200000000001</v>
      </c>
      <c r="D1282" s="880" t="s">
        <v>2597</v>
      </c>
    </row>
    <row r="1283" spans="1:4" s="891" customFormat="1" ht="11.25" customHeight="1" x14ac:dyDescent="0.2">
      <c r="A1283" s="1471"/>
      <c r="B1283" s="885">
        <v>92</v>
      </c>
      <c r="C1283" s="885">
        <v>92</v>
      </c>
      <c r="D1283" s="880" t="s">
        <v>540</v>
      </c>
    </row>
    <row r="1284" spans="1:4" s="891" customFormat="1" ht="11.25" customHeight="1" x14ac:dyDescent="0.2">
      <c r="A1284" s="1471"/>
      <c r="B1284" s="885">
        <v>17404</v>
      </c>
      <c r="C1284" s="885">
        <v>17404</v>
      </c>
      <c r="D1284" s="880" t="s">
        <v>1465</v>
      </c>
    </row>
    <row r="1285" spans="1:4" s="891" customFormat="1" ht="11.25" customHeight="1" x14ac:dyDescent="0.2">
      <c r="A1285" s="1471"/>
      <c r="B1285" s="885">
        <v>2338</v>
      </c>
      <c r="C1285" s="885">
        <v>2338</v>
      </c>
      <c r="D1285" s="880" t="s">
        <v>2587</v>
      </c>
    </row>
    <row r="1286" spans="1:4" s="891" customFormat="1" ht="11.25" customHeight="1" x14ac:dyDescent="0.2">
      <c r="A1286" s="1471"/>
      <c r="B1286" s="885">
        <v>384</v>
      </c>
      <c r="C1286" s="885">
        <v>384</v>
      </c>
      <c r="D1286" s="880" t="s">
        <v>2586</v>
      </c>
    </row>
    <row r="1287" spans="1:4" s="891" customFormat="1" ht="11.25" customHeight="1" x14ac:dyDescent="0.2">
      <c r="A1287" s="1471"/>
      <c r="B1287" s="885">
        <v>28.86</v>
      </c>
      <c r="C1287" s="885">
        <v>28.707999999999998</v>
      </c>
      <c r="D1287" s="880" t="s">
        <v>1350</v>
      </c>
    </row>
    <row r="1288" spans="1:4" s="891" customFormat="1" ht="11.25" customHeight="1" x14ac:dyDescent="0.2">
      <c r="A1288" s="1471"/>
      <c r="B1288" s="885">
        <v>88.74</v>
      </c>
      <c r="C1288" s="885">
        <v>88.741</v>
      </c>
      <c r="D1288" s="880" t="s">
        <v>1456</v>
      </c>
    </row>
    <row r="1289" spans="1:4" s="891" customFormat="1" ht="11.25" customHeight="1" x14ac:dyDescent="0.2">
      <c r="A1289" s="1471"/>
      <c r="B1289" s="885">
        <v>516.01</v>
      </c>
      <c r="C1289" s="885">
        <v>516.01</v>
      </c>
      <c r="D1289" s="880" t="s">
        <v>1453</v>
      </c>
    </row>
    <row r="1290" spans="1:4" s="891" customFormat="1" ht="11.25" customHeight="1" x14ac:dyDescent="0.2">
      <c r="A1290" s="1471"/>
      <c r="B1290" s="885">
        <v>21775.06</v>
      </c>
      <c r="C1290" s="885">
        <v>21774.900999999998</v>
      </c>
      <c r="D1290" s="880" t="s">
        <v>11</v>
      </c>
    </row>
    <row r="1291" spans="1:4" s="891" customFormat="1" ht="11.25" customHeight="1" x14ac:dyDescent="0.2">
      <c r="A1291" s="1472" t="s">
        <v>1659</v>
      </c>
      <c r="B1291" s="888">
        <v>7.26</v>
      </c>
      <c r="C1291" s="888">
        <v>7.2619999999999996</v>
      </c>
      <c r="D1291" s="882" t="s">
        <v>1447</v>
      </c>
    </row>
    <row r="1292" spans="1:4" s="891" customFormat="1" ht="11.25" customHeight="1" x14ac:dyDescent="0.2">
      <c r="A1292" s="1471"/>
      <c r="B1292" s="885">
        <v>434.11</v>
      </c>
      <c r="C1292" s="885">
        <v>434.1</v>
      </c>
      <c r="D1292" s="880" t="s">
        <v>2597</v>
      </c>
    </row>
    <row r="1293" spans="1:4" s="891" customFormat="1" ht="11.25" customHeight="1" x14ac:dyDescent="0.2">
      <c r="A1293" s="1471"/>
      <c r="B1293" s="885">
        <v>186.23</v>
      </c>
      <c r="C1293" s="885">
        <v>186.226</v>
      </c>
      <c r="D1293" s="880" t="s">
        <v>1451</v>
      </c>
    </row>
    <row r="1294" spans="1:4" s="891" customFormat="1" ht="11.25" customHeight="1" x14ac:dyDescent="0.2">
      <c r="A1294" s="1471"/>
      <c r="B1294" s="885">
        <v>79</v>
      </c>
      <c r="C1294" s="885">
        <v>79</v>
      </c>
      <c r="D1294" s="880" t="s">
        <v>540</v>
      </c>
    </row>
    <row r="1295" spans="1:4" s="891" customFormat="1" ht="11.25" customHeight="1" x14ac:dyDescent="0.2">
      <c r="A1295" s="1471"/>
      <c r="B1295" s="885">
        <v>17731</v>
      </c>
      <c r="C1295" s="885">
        <v>17731</v>
      </c>
      <c r="D1295" s="880" t="s">
        <v>1465</v>
      </c>
    </row>
    <row r="1296" spans="1:4" s="891" customFormat="1" ht="11.25" customHeight="1" x14ac:dyDescent="0.2">
      <c r="A1296" s="1471"/>
      <c r="B1296" s="885">
        <v>1489</v>
      </c>
      <c r="C1296" s="885">
        <v>1489</v>
      </c>
      <c r="D1296" s="880" t="s">
        <v>2587</v>
      </c>
    </row>
    <row r="1297" spans="1:4" s="891" customFormat="1" ht="11.25" customHeight="1" x14ac:dyDescent="0.2">
      <c r="A1297" s="1471"/>
      <c r="B1297" s="885">
        <v>128</v>
      </c>
      <c r="C1297" s="885">
        <v>128</v>
      </c>
      <c r="D1297" s="880" t="s">
        <v>2586</v>
      </c>
    </row>
    <row r="1298" spans="1:4" s="891" customFormat="1" ht="11.25" customHeight="1" x14ac:dyDescent="0.2">
      <c r="A1298" s="1471"/>
      <c r="B1298" s="885">
        <v>24.779999999999998</v>
      </c>
      <c r="C1298" s="885">
        <v>24.705000000000002</v>
      </c>
      <c r="D1298" s="880" t="s">
        <v>1350</v>
      </c>
    </row>
    <row r="1299" spans="1:4" s="891" customFormat="1" ht="11.25" customHeight="1" x14ac:dyDescent="0.2">
      <c r="A1299" s="1471"/>
      <c r="B1299" s="885">
        <v>88.67</v>
      </c>
      <c r="C1299" s="885">
        <v>88.671000000000006</v>
      </c>
      <c r="D1299" s="880" t="s">
        <v>1456</v>
      </c>
    </row>
    <row r="1300" spans="1:4" s="891" customFormat="1" ht="11.25" customHeight="1" x14ac:dyDescent="0.2">
      <c r="A1300" s="1471"/>
      <c r="B1300" s="885">
        <v>562.12</v>
      </c>
      <c r="C1300" s="885">
        <v>562.11599999999999</v>
      </c>
      <c r="D1300" s="880" t="s">
        <v>1453</v>
      </c>
    </row>
    <row r="1301" spans="1:4" s="891" customFormat="1" ht="11.25" customHeight="1" x14ac:dyDescent="0.2">
      <c r="A1301" s="1473"/>
      <c r="B1301" s="887">
        <v>20730.169999999995</v>
      </c>
      <c r="C1301" s="887">
        <v>20730.080000000002</v>
      </c>
      <c r="D1301" s="886" t="s">
        <v>11</v>
      </c>
    </row>
    <row r="1302" spans="1:4" s="891" customFormat="1" ht="11.25" customHeight="1" x14ac:dyDescent="0.2">
      <c r="A1302" s="1471" t="s">
        <v>1828</v>
      </c>
      <c r="B1302" s="885">
        <v>500</v>
      </c>
      <c r="C1302" s="885">
        <v>500</v>
      </c>
      <c r="D1302" s="880" t="s">
        <v>545</v>
      </c>
    </row>
    <row r="1303" spans="1:4" s="891" customFormat="1" ht="11.25" customHeight="1" x14ac:dyDescent="0.2">
      <c r="A1303" s="1471"/>
      <c r="B1303" s="885">
        <v>5000</v>
      </c>
      <c r="C1303" s="885">
        <v>5000</v>
      </c>
      <c r="D1303" s="880" t="s">
        <v>2587</v>
      </c>
    </row>
    <row r="1304" spans="1:4" s="891" customFormat="1" ht="11.25" customHeight="1" x14ac:dyDescent="0.2">
      <c r="A1304" s="1471"/>
      <c r="B1304" s="885">
        <v>119</v>
      </c>
      <c r="C1304" s="885">
        <v>119</v>
      </c>
      <c r="D1304" s="880" t="s">
        <v>2586</v>
      </c>
    </row>
    <row r="1305" spans="1:4" s="891" customFormat="1" ht="11.25" customHeight="1" x14ac:dyDescent="0.2">
      <c r="A1305" s="1471"/>
      <c r="B1305" s="885">
        <v>5619</v>
      </c>
      <c r="C1305" s="885">
        <v>5619</v>
      </c>
      <c r="D1305" s="880" t="s">
        <v>11</v>
      </c>
    </row>
    <row r="1306" spans="1:4" s="891" customFormat="1" ht="11.25" customHeight="1" x14ac:dyDescent="0.2">
      <c r="A1306" s="1472" t="s">
        <v>1623</v>
      </c>
      <c r="B1306" s="888">
        <v>5.45</v>
      </c>
      <c r="C1306" s="888">
        <v>5.4459999999999997</v>
      </c>
      <c r="D1306" s="882" t="s">
        <v>1447</v>
      </c>
    </row>
    <row r="1307" spans="1:4" s="891" customFormat="1" ht="11.25" customHeight="1" x14ac:dyDescent="0.2">
      <c r="A1307" s="1471"/>
      <c r="B1307" s="885">
        <v>969.01</v>
      </c>
      <c r="C1307" s="885">
        <v>969.01</v>
      </c>
      <c r="D1307" s="880" t="s">
        <v>2597</v>
      </c>
    </row>
    <row r="1308" spans="1:4" s="891" customFormat="1" ht="11.25" customHeight="1" x14ac:dyDescent="0.2">
      <c r="A1308" s="1471"/>
      <c r="B1308" s="885">
        <v>105</v>
      </c>
      <c r="C1308" s="885">
        <v>105</v>
      </c>
      <c r="D1308" s="880" t="s">
        <v>2596</v>
      </c>
    </row>
    <row r="1309" spans="1:4" s="891" customFormat="1" ht="11.25" customHeight="1" x14ac:dyDescent="0.2">
      <c r="A1309" s="1471"/>
      <c r="B1309" s="885">
        <v>2364.15</v>
      </c>
      <c r="C1309" s="885">
        <v>2028.06996</v>
      </c>
      <c r="D1309" s="880" t="s">
        <v>1339</v>
      </c>
    </row>
    <row r="1310" spans="1:4" s="891" customFormat="1" ht="11.25" customHeight="1" x14ac:dyDescent="0.2">
      <c r="A1310" s="1471"/>
      <c r="B1310" s="885">
        <v>18420</v>
      </c>
      <c r="C1310" s="885">
        <v>18420</v>
      </c>
      <c r="D1310" s="880" t="s">
        <v>1465</v>
      </c>
    </row>
    <row r="1311" spans="1:4" s="891" customFormat="1" ht="11.25" customHeight="1" x14ac:dyDescent="0.2">
      <c r="A1311" s="1471"/>
      <c r="B1311" s="885">
        <v>1024.9000000000001</v>
      </c>
      <c r="C1311" s="885">
        <v>1024.9000000000001</v>
      </c>
      <c r="D1311" s="880" t="s">
        <v>1466</v>
      </c>
    </row>
    <row r="1312" spans="1:4" s="891" customFormat="1" ht="11.25" customHeight="1" x14ac:dyDescent="0.2">
      <c r="A1312" s="1471"/>
      <c r="B1312" s="885">
        <v>3873</v>
      </c>
      <c r="C1312" s="885">
        <v>3873</v>
      </c>
      <c r="D1312" s="880" t="s">
        <v>2587</v>
      </c>
    </row>
    <row r="1313" spans="1:4" s="891" customFormat="1" ht="11.25" customHeight="1" x14ac:dyDescent="0.2">
      <c r="A1313" s="1471"/>
      <c r="B1313" s="885">
        <v>672</v>
      </c>
      <c r="C1313" s="885">
        <v>659.53200000000004</v>
      </c>
      <c r="D1313" s="880" t="s">
        <v>2586</v>
      </c>
    </row>
    <row r="1314" spans="1:4" s="891" customFormat="1" ht="21" x14ac:dyDescent="0.2">
      <c r="A1314" s="1471"/>
      <c r="B1314" s="885">
        <v>902</v>
      </c>
      <c r="C1314" s="885">
        <v>902</v>
      </c>
      <c r="D1314" s="880" t="s">
        <v>2591</v>
      </c>
    </row>
    <row r="1315" spans="1:4" s="891" customFormat="1" ht="11.25" customHeight="1" x14ac:dyDescent="0.2">
      <c r="A1315" s="1471"/>
      <c r="B1315" s="885">
        <v>3838</v>
      </c>
      <c r="C1315" s="885">
        <v>3838</v>
      </c>
      <c r="D1315" s="880" t="s">
        <v>2609</v>
      </c>
    </row>
    <row r="1316" spans="1:4" s="891" customFormat="1" ht="11.25" customHeight="1" x14ac:dyDescent="0.2">
      <c r="A1316" s="1471"/>
      <c r="B1316" s="885">
        <v>160.9</v>
      </c>
      <c r="C1316" s="885">
        <v>160.9</v>
      </c>
      <c r="D1316" s="880" t="s">
        <v>2603</v>
      </c>
    </row>
    <row r="1317" spans="1:4" s="891" customFormat="1" ht="11.25" customHeight="1" x14ac:dyDescent="0.2">
      <c r="A1317" s="1471"/>
      <c r="B1317" s="885">
        <v>88.17</v>
      </c>
      <c r="C1317" s="885">
        <v>88.167000000000002</v>
      </c>
      <c r="D1317" s="880" t="s">
        <v>1456</v>
      </c>
    </row>
    <row r="1318" spans="1:4" s="891" customFormat="1" ht="11.25" customHeight="1" x14ac:dyDescent="0.2">
      <c r="A1318" s="1471"/>
      <c r="B1318" s="885">
        <v>768.29</v>
      </c>
      <c r="C1318" s="885">
        <v>768.29300000000001</v>
      </c>
      <c r="D1318" s="880" t="s">
        <v>1453</v>
      </c>
    </row>
    <row r="1319" spans="1:4" s="891" customFormat="1" ht="11.25" customHeight="1" x14ac:dyDescent="0.2">
      <c r="A1319" s="1473"/>
      <c r="B1319" s="887">
        <v>33190.870000000003</v>
      </c>
      <c r="C1319" s="887">
        <v>32842.31796</v>
      </c>
      <c r="D1319" s="886" t="s">
        <v>11</v>
      </c>
    </row>
    <row r="1320" spans="1:4" s="891" customFormat="1" ht="11.25" customHeight="1" x14ac:dyDescent="0.2">
      <c r="A1320" s="1471" t="s">
        <v>1655</v>
      </c>
      <c r="B1320" s="885">
        <v>9.08</v>
      </c>
      <c r="C1320" s="885">
        <v>9.077</v>
      </c>
      <c r="D1320" s="880" t="s">
        <v>1447</v>
      </c>
    </row>
    <row r="1321" spans="1:4" s="891" customFormat="1" ht="11.25" customHeight="1" x14ac:dyDescent="0.2">
      <c r="A1321" s="1471"/>
      <c r="B1321" s="885">
        <v>443.9</v>
      </c>
      <c r="C1321" s="885">
        <v>443.87491</v>
      </c>
      <c r="D1321" s="880" t="s">
        <v>2608</v>
      </c>
    </row>
    <row r="1322" spans="1:4" s="891" customFormat="1" ht="11.25" customHeight="1" x14ac:dyDescent="0.2">
      <c r="A1322" s="1471"/>
      <c r="B1322" s="885">
        <v>726.12</v>
      </c>
      <c r="C1322" s="885">
        <v>726.12199999999996</v>
      </c>
      <c r="D1322" s="880" t="s">
        <v>2597</v>
      </c>
    </row>
    <row r="1323" spans="1:4" s="891" customFormat="1" ht="11.25" customHeight="1" x14ac:dyDescent="0.2">
      <c r="A1323" s="1471"/>
      <c r="B1323" s="885">
        <v>213.5</v>
      </c>
      <c r="C1323" s="885">
        <v>213.5</v>
      </c>
      <c r="D1323" s="880" t="s">
        <v>2596</v>
      </c>
    </row>
    <row r="1324" spans="1:4" s="891" customFormat="1" ht="11.25" customHeight="1" x14ac:dyDescent="0.2">
      <c r="A1324" s="1471"/>
      <c r="B1324" s="885">
        <v>1013.48</v>
      </c>
      <c r="C1324" s="885">
        <v>1013.478</v>
      </c>
      <c r="D1324" s="880" t="s">
        <v>1451</v>
      </c>
    </row>
    <row r="1325" spans="1:4" s="891" customFormat="1" ht="11.25" customHeight="1" x14ac:dyDescent="0.2">
      <c r="A1325" s="1471"/>
      <c r="B1325" s="885">
        <v>2363.9899999999998</v>
      </c>
      <c r="C1325" s="885">
        <v>2363.9867800000002</v>
      </c>
      <c r="D1325" s="880" t="s">
        <v>1339</v>
      </c>
    </row>
    <row r="1326" spans="1:4" s="891" customFormat="1" ht="11.25" customHeight="1" x14ac:dyDescent="0.2">
      <c r="A1326" s="1471"/>
      <c r="B1326" s="885">
        <v>35835</v>
      </c>
      <c r="C1326" s="885">
        <v>35835</v>
      </c>
      <c r="D1326" s="880" t="s">
        <v>1465</v>
      </c>
    </row>
    <row r="1327" spans="1:4" s="891" customFormat="1" ht="11.25" customHeight="1" x14ac:dyDescent="0.2">
      <c r="A1327" s="1471"/>
      <c r="B1327" s="885">
        <v>12804</v>
      </c>
      <c r="C1327" s="885">
        <v>12804</v>
      </c>
      <c r="D1327" s="880" t="s">
        <v>2587</v>
      </c>
    </row>
    <row r="1328" spans="1:4" s="891" customFormat="1" ht="11.25" customHeight="1" x14ac:dyDescent="0.2">
      <c r="A1328" s="1471"/>
      <c r="B1328" s="885">
        <v>3496</v>
      </c>
      <c r="C1328" s="885">
        <v>3496</v>
      </c>
      <c r="D1328" s="880" t="s">
        <v>2586</v>
      </c>
    </row>
    <row r="1329" spans="1:4" s="891" customFormat="1" ht="11.25" customHeight="1" x14ac:dyDescent="0.2">
      <c r="A1329" s="1471"/>
      <c r="B1329" s="885">
        <v>238.8</v>
      </c>
      <c r="C1329" s="885">
        <v>238.8</v>
      </c>
      <c r="D1329" s="880" t="s">
        <v>2603</v>
      </c>
    </row>
    <row r="1330" spans="1:4" s="891" customFormat="1" ht="11.25" customHeight="1" x14ac:dyDescent="0.2">
      <c r="A1330" s="1471"/>
      <c r="B1330" s="885">
        <v>177.48</v>
      </c>
      <c r="C1330" s="885">
        <v>177.482</v>
      </c>
      <c r="D1330" s="880" t="s">
        <v>1456</v>
      </c>
    </row>
    <row r="1331" spans="1:4" s="891" customFormat="1" ht="11.25" customHeight="1" x14ac:dyDescent="0.2">
      <c r="A1331" s="1471"/>
      <c r="B1331" s="885">
        <v>1240.56</v>
      </c>
      <c r="C1331" s="885">
        <v>1240.5550000000001</v>
      </c>
      <c r="D1331" s="880" t="s">
        <v>1453</v>
      </c>
    </row>
    <row r="1332" spans="1:4" s="891" customFormat="1" ht="11.25" customHeight="1" x14ac:dyDescent="0.2">
      <c r="A1332" s="1471"/>
      <c r="B1332" s="885">
        <v>58561.91</v>
      </c>
      <c r="C1332" s="885">
        <v>58561.875690000008</v>
      </c>
      <c r="D1332" s="880" t="s">
        <v>11</v>
      </c>
    </row>
    <row r="1333" spans="1:4" s="891" customFormat="1" ht="11.25" customHeight="1" x14ac:dyDescent="0.2">
      <c r="A1333" s="1472" t="s">
        <v>1587</v>
      </c>
      <c r="B1333" s="888">
        <v>30</v>
      </c>
      <c r="C1333" s="888">
        <v>30</v>
      </c>
      <c r="D1333" s="882" t="s">
        <v>2607</v>
      </c>
    </row>
    <row r="1334" spans="1:4" s="891" customFormat="1" ht="11.25" customHeight="1" x14ac:dyDescent="0.2">
      <c r="A1334" s="1471"/>
      <c r="B1334" s="885">
        <v>112.56</v>
      </c>
      <c r="C1334" s="885">
        <v>112.557</v>
      </c>
      <c r="D1334" s="880" t="s">
        <v>1447</v>
      </c>
    </row>
    <row r="1335" spans="1:4" s="891" customFormat="1" ht="11.25" customHeight="1" x14ac:dyDescent="0.2">
      <c r="A1335" s="1471"/>
      <c r="B1335" s="885">
        <v>648.59999999999991</v>
      </c>
      <c r="C1335" s="885">
        <v>648.60400000000004</v>
      </c>
      <c r="D1335" s="880" t="s">
        <v>2597</v>
      </c>
    </row>
    <row r="1336" spans="1:4" s="891" customFormat="1" ht="11.25" customHeight="1" x14ac:dyDescent="0.2">
      <c r="A1336" s="1471"/>
      <c r="B1336" s="885">
        <v>23781</v>
      </c>
      <c r="C1336" s="885">
        <v>23781</v>
      </c>
      <c r="D1336" s="880" t="s">
        <v>1465</v>
      </c>
    </row>
    <row r="1337" spans="1:4" s="891" customFormat="1" ht="11.25" customHeight="1" x14ac:dyDescent="0.2">
      <c r="A1337" s="1471"/>
      <c r="B1337" s="885">
        <v>3104</v>
      </c>
      <c r="C1337" s="885">
        <v>3104</v>
      </c>
      <c r="D1337" s="880" t="s">
        <v>2587</v>
      </c>
    </row>
    <row r="1338" spans="1:4" s="891" customFormat="1" ht="11.25" customHeight="1" x14ac:dyDescent="0.2">
      <c r="A1338" s="1471"/>
      <c r="B1338" s="885">
        <v>145</v>
      </c>
      <c r="C1338" s="885">
        <v>145</v>
      </c>
      <c r="D1338" s="880" t="s">
        <v>2586</v>
      </c>
    </row>
    <row r="1339" spans="1:4" s="891" customFormat="1" ht="11.25" customHeight="1" x14ac:dyDescent="0.2">
      <c r="A1339" s="1471"/>
      <c r="B1339" s="885">
        <v>120.89</v>
      </c>
      <c r="C1339" s="885">
        <v>120.889</v>
      </c>
      <c r="D1339" s="880" t="s">
        <v>1456</v>
      </c>
    </row>
    <row r="1340" spans="1:4" s="891" customFormat="1" ht="11.25" customHeight="1" x14ac:dyDescent="0.2">
      <c r="A1340" s="1471"/>
      <c r="B1340" s="885">
        <v>670.7</v>
      </c>
      <c r="C1340" s="885">
        <v>670.70399999999995</v>
      </c>
      <c r="D1340" s="880" t="s">
        <v>1453</v>
      </c>
    </row>
    <row r="1341" spans="1:4" s="891" customFormat="1" ht="11.25" customHeight="1" x14ac:dyDescent="0.2">
      <c r="A1341" s="1473"/>
      <c r="B1341" s="887">
        <v>28612.75</v>
      </c>
      <c r="C1341" s="887">
        <v>28612.754000000001</v>
      </c>
      <c r="D1341" s="886" t="s">
        <v>11</v>
      </c>
    </row>
    <row r="1342" spans="1:4" s="891" customFormat="1" ht="11.25" customHeight="1" x14ac:dyDescent="0.2">
      <c r="A1342" s="1471" t="s">
        <v>1742</v>
      </c>
      <c r="B1342" s="885">
        <v>16338</v>
      </c>
      <c r="C1342" s="885">
        <v>16338</v>
      </c>
      <c r="D1342" s="880" t="s">
        <v>1465</v>
      </c>
    </row>
    <row r="1343" spans="1:4" s="891" customFormat="1" ht="11.25" customHeight="1" x14ac:dyDescent="0.2">
      <c r="A1343" s="1471"/>
      <c r="B1343" s="885">
        <v>1298</v>
      </c>
      <c r="C1343" s="885">
        <v>1298</v>
      </c>
      <c r="D1343" s="880" t="s">
        <v>2587</v>
      </c>
    </row>
    <row r="1344" spans="1:4" s="891" customFormat="1" ht="11.25" customHeight="1" x14ac:dyDescent="0.2">
      <c r="A1344" s="1471"/>
      <c r="B1344" s="885">
        <v>145</v>
      </c>
      <c r="C1344" s="885">
        <v>145</v>
      </c>
      <c r="D1344" s="880" t="s">
        <v>2586</v>
      </c>
    </row>
    <row r="1345" spans="1:4" s="891" customFormat="1" ht="11.25" customHeight="1" x14ac:dyDescent="0.2">
      <c r="A1345" s="1471"/>
      <c r="B1345" s="885">
        <v>83.22</v>
      </c>
      <c r="C1345" s="885">
        <v>83.224000000000004</v>
      </c>
      <c r="D1345" s="880" t="s">
        <v>1456</v>
      </c>
    </row>
    <row r="1346" spans="1:4" s="891" customFormat="1" ht="11.25" customHeight="1" x14ac:dyDescent="0.2">
      <c r="A1346" s="1471"/>
      <c r="B1346" s="885">
        <v>483.43</v>
      </c>
      <c r="C1346" s="885">
        <v>483.43200000000002</v>
      </c>
      <c r="D1346" s="880" t="s">
        <v>1453</v>
      </c>
    </row>
    <row r="1347" spans="1:4" s="891" customFormat="1" ht="11.25" customHeight="1" x14ac:dyDescent="0.2">
      <c r="A1347" s="1471"/>
      <c r="B1347" s="885">
        <v>18347.66</v>
      </c>
      <c r="C1347" s="885">
        <v>18347.655999999999</v>
      </c>
      <c r="D1347" s="880" t="s">
        <v>11</v>
      </c>
    </row>
    <row r="1348" spans="1:4" s="891" customFormat="1" ht="11.25" customHeight="1" x14ac:dyDescent="0.2">
      <c r="A1348" s="1472" t="s">
        <v>2606</v>
      </c>
      <c r="B1348" s="888">
        <v>4714</v>
      </c>
      <c r="C1348" s="888">
        <v>4714</v>
      </c>
      <c r="D1348" s="882" t="s">
        <v>1465</v>
      </c>
    </row>
    <row r="1349" spans="1:4" s="891" customFormat="1" ht="11.25" customHeight="1" x14ac:dyDescent="0.2">
      <c r="A1349" s="1471"/>
      <c r="B1349" s="885">
        <v>493</v>
      </c>
      <c r="C1349" s="885">
        <v>493</v>
      </c>
      <c r="D1349" s="880" t="s">
        <v>2587</v>
      </c>
    </row>
    <row r="1350" spans="1:4" s="891" customFormat="1" ht="11.25" customHeight="1" x14ac:dyDescent="0.2">
      <c r="A1350" s="1471"/>
      <c r="B1350" s="885">
        <v>23.87</v>
      </c>
      <c r="C1350" s="885">
        <v>23.870999999999999</v>
      </c>
      <c r="D1350" s="880" t="s">
        <v>1456</v>
      </c>
    </row>
    <row r="1351" spans="1:4" s="891" customFormat="1" ht="11.25" customHeight="1" x14ac:dyDescent="0.2">
      <c r="A1351" s="1471"/>
      <c r="B1351" s="885">
        <v>150.6</v>
      </c>
      <c r="C1351" s="885">
        <v>150.60400000000001</v>
      </c>
      <c r="D1351" s="880" t="s">
        <v>1453</v>
      </c>
    </row>
    <row r="1352" spans="1:4" s="891" customFormat="1" ht="11.25" customHeight="1" x14ac:dyDescent="0.2">
      <c r="A1352" s="1473"/>
      <c r="B1352" s="887">
        <v>5381.48</v>
      </c>
      <c r="C1352" s="887">
        <v>5381.4750000000004</v>
      </c>
      <c r="D1352" s="886" t="s">
        <v>11</v>
      </c>
    </row>
    <row r="1353" spans="1:4" s="891" customFormat="1" ht="11.25" customHeight="1" x14ac:dyDescent="0.2">
      <c r="A1353" s="1471" t="s">
        <v>1755</v>
      </c>
      <c r="B1353" s="885">
        <v>6385</v>
      </c>
      <c r="C1353" s="885">
        <v>6385</v>
      </c>
      <c r="D1353" s="880" t="s">
        <v>1465</v>
      </c>
    </row>
    <row r="1354" spans="1:4" s="891" customFormat="1" ht="11.25" customHeight="1" x14ac:dyDescent="0.2">
      <c r="A1354" s="1471"/>
      <c r="B1354" s="885">
        <v>565</v>
      </c>
      <c r="C1354" s="885">
        <v>565</v>
      </c>
      <c r="D1354" s="880" t="s">
        <v>2587</v>
      </c>
    </row>
    <row r="1355" spans="1:4" s="891" customFormat="1" ht="11.25" customHeight="1" x14ac:dyDescent="0.2">
      <c r="A1355" s="1471"/>
      <c r="B1355" s="885">
        <v>3</v>
      </c>
      <c r="C1355" s="885">
        <v>3</v>
      </c>
      <c r="D1355" s="880" t="s">
        <v>2586</v>
      </c>
    </row>
    <row r="1356" spans="1:4" s="891" customFormat="1" ht="11.25" customHeight="1" x14ac:dyDescent="0.2">
      <c r="A1356" s="1471"/>
      <c r="B1356" s="885">
        <v>30.2</v>
      </c>
      <c r="C1356" s="885">
        <v>30.2</v>
      </c>
      <c r="D1356" s="880" t="s">
        <v>2600</v>
      </c>
    </row>
    <row r="1357" spans="1:4" s="891" customFormat="1" ht="11.25" customHeight="1" x14ac:dyDescent="0.2">
      <c r="A1357" s="1471"/>
      <c r="B1357" s="885">
        <v>31.41</v>
      </c>
      <c r="C1357" s="885">
        <v>31.408000000000001</v>
      </c>
      <c r="D1357" s="880" t="s">
        <v>1456</v>
      </c>
    </row>
    <row r="1358" spans="1:4" s="891" customFormat="1" ht="11.25" customHeight="1" x14ac:dyDescent="0.2">
      <c r="A1358" s="1471"/>
      <c r="B1358" s="885">
        <v>171.89</v>
      </c>
      <c r="C1358" s="885">
        <v>171.89</v>
      </c>
      <c r="D1358" s="880" t="s">
        <v>1453</v>
      </c>
    </row>
    <row r="1359" spans="1:4" s="891" customFormat="1" ht="11.25" customHeight="1" x14ac:dyDescent="0.2">
      <c r="A1359" s="1471"/>
      <c r="B1359" s="885">
        <v>7186.5</v>
      </c>
      <c r="C1359" s="885">
        <v>7186.4980000000005</v>
      </c>
      <c r="D1359" s="880" t="s">
        <v>11</v>
      </c>
    </row>
    <row r="1360" spans="1:4" s="891" customFormat="1" ht="11.25" customHeight="1" x14ac:dyDescent="0.2">
      <c r="A1360" s="1472" t="s">
        <v>1741</v>
      </c>
      <c r="B1360" s="888">
        <v>6213</v>
      </c>
      <c r="C1360" s="888">
        <v>6213</v>
      </c>
      <c r="D1360" s="882" t="s">
        <v>1465</v>
      </c>
    </row>
    <row r="1361" spans="1:4" s="891" customFormat="1" ht="11.25" customHeight="1" x14ac:dyDescent="0.2">
      <c r="A1361" s="1471"/>
      <c r="B1361" s="885">
        <v>1422</v>
      </c>
      <c r="C1361" s="885">
        <v>1422</v>
      </c>
      <c r="D1361" s="880" t="s">
        <v>2587</v>
      </c>
    </row>
    <row r="1362" spans="1:4" s="891" customFormat="1" ht="11.25" customHeight="1" x14ac:dyDescent="0.2">
      <c r="A1362" s="1471"/>
      <c r="B1362" s="885">
        <v>425</v>
      </c>
      <c r="C1362" s="885">
        <v>425</v>
      </c>
      <c r="D1362" s="880" t="s">
        <v>2586</v>
      </c>
    </row>
    <row r="1363" spans="1:4" s="891" customFormat="1" ht="11.25" customHeight="1" x14ac:dyDescent="0.2">
      <c r="A1363" s="1471"/>
      <c r="B1363" s="885">
        <v>30.98</v>
      </c>
      <c r="C1363" s="885">
        <v>30.981000000000002</v>
      </c>
      <c r="D1363" s="880" t="s">
        <v>1456</v>
      </c>
    </row>
    <row r="1364" spans="1:4" s="891" customFormat="1" ht="11.25" customHeight="1" x14ac:dyDescent="0.2">
      <c r="A1364" s="1471"/>
      <c r="B1364" s="885">
        <v>242.12</v>
      </c>
      <c r="C1364" s="885">
        <v>242.11699999999999</v>
      </c>
      <c r="D1364" s="880" t="s">
        <v>1453</v>
      </c>
    </row>
    <row r="1365" spans="1:4" s="891" customFormat="1" ht="11.25" customHeight="1" x14ac:dyDescent="0.2">
      <c r="A1365" s="1473"/>
      <c r="B1365" s="887">
        <v>8333.1</v>
      </c>
      <c r="C1365" s="887">
        <v>8333.098</v>
      </c>
      <c r="D1365" s="886" t="s">
        <v>11</v>
      </c>
    </row>
    <row r="1366" spans="1:4" s="891" customFormat="1" ht="11.25" customHeight="1" x14ac:dyDescent="0.2">
      <c r="A1366" s="1471" t="s">
        <v>1734</v>
      </c>
      <c r="B1366" s="885">
        <v>299.57</v>
      </c>
      <c r="C1366" s="885">
        <v>299.47993000000002</v>
      </c>
      <c r="D1366" s="880" t="s">
        <v>2602</v>
      </c>
    </row>
    <row r="1367" spans="1:4" s="891" customFormat="1" ht="11.25" customHeight="1" x14ac:dyDescent="0.2">
      <c r="A1367" s="1471"/>
      <c r="B1367" s="885">
        <v>204.12</v>
      </c>
      <c r="C1367" s="885">
        <v>204.11200000000002</v>
      </c>
      <c r="D1367" s="880" t="s">
        <v>2597</v>
      </c>
    </row>
    <row r="1368" spans="1:4" s="891" customFormat="1" ht="11.25" customHeight="1" x14ac:dyDescent="0.2">
      <c r="A1368" s="1471"/>
      <c r="B1368" s="885">
        <v>23350</v>
      </c>
      <c r="C1368" s="885">
        <v>23350</v>
      </c>
      <c r="D1368" s="880" t="s">
        <v>1465</v>
      </c>
    </row>
    <row r="1369" spans="1:4" s="891" customFormat="1" ht="11.25" customHeight="1" x14ac:dyDescent="0.2">
      <c r="A1369" s="1471"/>
      <c r="B1369" s="885">
        <v>1604</v>
      </c>
      <c r="C1369" s="885">
        <v>1604</v>
      </c>
      <c r="D1369" s="880" t="s">
        <v>2587</v>
      </c>
    </row>
    <row r="1370" spans="1:4" s="891" customFormat="1" ht="11.25" customHeight="1" x14ac:dyDescent="0.2">
      <c r="A1370" s="1471"/>
      <c r="B1370" s="885">
        <v>276</v>
      </c>
      <c r="C1370" s="885">
        <v>276</v>
      </c>
      <c r="D1370" s="880" t="s">
        <v>2586</v>
      </c>
    </row>
    <row r="1371" spans="1:4" s="891" customFormat="1" ht="21" x14ac:dyDescent="0.2">
      <c r="A1371" s="1471"/>
      <c r="B1371" s="885">
        <v>480</v>
      </c>
      <c r="C1371" s="885">
        <v>480</v>
      </c>
      <c r="D1371" s="880" t="s">
        <v>2591</v>
      </c>
    </row>
    <row r="1372" spans="1:4" s="891" customFormat="1" ht="11.25" customHeight="1" x14ac:dyDescent="0.2">
      <c r="A1372" s="1471"/>
      <c r="B1372" s="885">
        <v>35</v>
      </c>
      <c r="C1372" s="885">
        <v>35</v>
      </c>
      <c r="D1372" s="880" t="s">
        <v>2600</v>
      </c>
    </row>
    <row r="1373" spans="1:4" s="891" customFormat="1" ht="11.25" customHeight="1" x14ac:dyDescent="0.2">
      <c r="A1373" s="1471"/>
      <c r="B1373" s="885">
        <v>118.63</v>
      </c>
      <c r="C1373" s="885">
        <v>118.63200000000001</v>
      </c>
      <c r="D1373" s="880" t="s">
        <v>1456</v>
      </c>
    </row>
    <row r="1374" spans="1:4" s="891" customFormat="1" ht="11.25" customHeight="1" x14ac:dyDescent="0.2">
      <c r="A1374" s="1471"/>
      <c r="B1374" s="885">
        <v>769.52</v>
      </c>
      <c r="C1374" s="885">
        <v>769.524</v>
      </c>
      <c r="D1374" s="880" t="s">
        <v>1453</v>
      </c>
    </row>
    <row r="1375" spans="1:4" s="891" customFormat="1" ht="11.25" customHeight="1" x14ac:dyDescent="0.2">
      <c r="A1375" s="1471"/>
      <c r="B1375" s="885">
        <v>27136.84</v>
      </c>
      <c r="C1375" s="885">
        <v>27136.747930000001</v>
      </c>
      <c r="D1375" s="880" t="s">
        <v>11</v>
      </c>
    </row>
    <row r="1376" spans="1:4" s="891" customFormat="1" ht="11.25" customHeight="1" x14ac:dyDescent="0.2">
      <c r="A1376" s="1472" t="s">
        <v>1749</v>
      </c>
      <c r="B1376" s="888">
        <v>171.28</v>
      </c>
      <c r="C1376" s="888">
        <v>171.28200000000001</v>
      </c>
      <c r="D1376" s="882" t="s">
        <v>2598</v>
      </c>
    </row>
    <row r="1377" spans="1:4" s="891" customFormat="1" ht="11.25" customHeight="1" x14ac:dyDescent="0.2">
      <c r="A1377" s="1471"/>
      <c r="B1377" s="885">
        <v>196.19</v>
      </c>
      <c r="C1377" s="885">
        <v>196.18371999999999</v>
      </c>
      <c r="D1377" s="880" t="s">
        <v>2602</v>
      </c>
    </row>
    <row r="1378" spans="1:4" s="891" customFormat="1" ht="11.25" customHeight="1" x14ac:dyDescent="0.2">
      <c r="A1378" s="1471"/>
      <c r="B1378" s="885">
        <v>204.12</v>
      </c>
      <c r="C1378" s="885">
        <v>204.11200000000002</v>
      </c>
      <c r="D1378" s="880" t="s">
        <v>2597</v>
      </c>
    </row>
    <row r="1379" spans="1:4" s="891" customFormat="1" ht="11.25" customHeight="1" x14ac:dyDescent="0.2">
      <c r="A1379" s="1471"/>
      <c r="B1379" s="885">
        <v>64.81</v>
      </c>
      <c r="C1379" s="885">
        <v>59.585080000000005</v>
      </c>
      <c r="D1379" s="880" t="s">
        <v>1342</v>
      </c>
    </row>
    <row r="1380" spans="1:4" s="891" customFormat="1" ht="11.25" customHeight="1" x14ac:dyDescent="0.2">
      <c r="A1380" s="1471"/>
      <c r="B1380" s="885">
        <v>21703</v>
      </c>
      <c r="C1380" s="885">
        <v>21703</v>
      </c>
      <c r="D1380" s="880" t="s">
        <v>1465</v>
      </c>
    </row>
    <row r="1381" spans="1:4" s="891" customFormat="1" ht="11.25" customHeight="1" x14ac:dyDescent="0.2">
      <c r="A1381" s="1471"/>
      <c r="B1381" s="885">
        <v>1857</v>
      </c>
      <c r="C1381" s="885">
        <v>1857</v>
      </c>
      <c r="D1381" s="880" t="s">
        <v>2587</v>
      </c>
    </row>
    <row r="1382" spans="1:4" s="891" customFormat="1" ht="11.25" customHeight="1" x14ac:dyDescent="0.2">
      <c r="A1382" s="1471"/>
      <c r="B1382" s="885">
        <v>147</v>
      </c>
      <c r="C1382" s="885">
        <v>147</v>
      </c>
      <c r="D1382" s="880" t="s">
        <v>2586</v>
      </c>
    </row>
    <row r="1383" spans="1:4" s="891" customFormat="1" ht="11.25" customHeight="1" x14ac:dyDescent="0.2">
      <c r="A1383" s="1471"/>
      <c r="B1383" s="885">
        <v>1300</v>
      </c>
      <c r="C1383" s="885">
        <v>61.71</v>
      </c>
      <c r="D1383" s="880" t="s">
        <v>2605</v>
      </c>
    </row>
    <row r="1384" spans="1:4" s="891" customFormat="1" ht="11.25" customHeight="1" x14ac:dyDescent="0.2">
      <c r="A1384" s="1471"/>
      <c r="B1384" s="885">
        <v>390</v>
      </c>
      <c r="C1384" s="885">
        <v>390</v>
      </c>
      <c r="D1384" s="880" t="s">
        <v>578</v>
      </c>
    </row>
    <row r="1385" spans="1:4" s="891" customFormat="1" ht="11.25" customHeight="1" x14ac:dyDescent="0.2">
      <c r="A1385" s="1471"/>
      <c r="B1385" s="885">
        <v>108.68</v>
      </c>
      <c r="C1385" s="885">
        <v>108.682</v>
      </c>
      <c r="D1385" s="880" t="s">
        <v>1456</v>
      </c>
    </row>
    <row r="1386" spans="1:4" s="891" customFormat="1" ht="11.25" customHeight="1" x14ac:dyDescent="0.2">
      <c r="A1386" s="1471"/>
      <c r="B1386" s="885">
        <v>693.35</v>
      </c>
      <c r="C1386" s="885">
        <v>693.35199999999998</v>
      </c>
      <c r="D1386" s="880" t="s">
        <v>1453</v>
      </c>
    </row>
    <row r="1387" spans="1:4" s="891" customFormat="1" ht="11.25" customHeight="1" x14ac:dyDescent="0.2">
      <c r="A1387" s="1473"/>
      <c r="B1387" s="887">
        <v>26835.43</v>
      </c>
      <c r="C1387" s="887">
        <v>25591.906799999997</v>
      </c>
      <c r="D1387" s="886" t="s">
        <v>11</v>
      </c>
    </row>
    <row r="1388" spans="1:4" s="891" customFormat="1" ht="11.25" customHeight="1" x14ac:dyDescent="0.2">
      <c r="A1388" s="1471" t="s">
        <v>1745</v>
      </c>
      <c r="B1388" s="885">
        <v>171.28</v>
      </c>
      <c r="C1388" s="885">
        <v>171.28200000000001</v>
      </c>
      <c r="D1388" s="880" t="s">
        <v>2598</v>
      </c>
    </row>
    <row r="1389" spans="1:4" s="891" customFormat="1" ht="11.25" customHeight="1" x14ac:dyDescent="0.2">
      <c r="A1389" s="1471"/>
      <c r="B1389" s="885">
        <v>204.12</v>
      </c>
      <c r="C1389" s="885">
        <v>204.11200000000002</v>
      </c>
      <c r="D1389" s="880" t="s">
        <v>2597</v>
      </c>
    </row>
    <row r="1390" spans="1:4" s="891" customFormat="1" ht="11.25" customHeight="1" x14ac:dyDescent="0.2">
      <c r="A1390" s="1471"/>
      <c r="B1390" s="885">
        <v>5610</v>
      </c>
      <c r="C1390" s="885">
        <v>5610</v>
      </c>
      <c r="D1390" s="880" t="s">
        <v>1465</v>
      </c>
    </row>
    <row r="1391" spans="1:4" s="891" customFormat="1" ht="11.25" customHeight="1" x14ac:dyDescent="0.2">
      <c r="A1391" s="1471"/>
      <c r="B1391" s="885">
        <v>1196</v>
      </c>
      <c r="C1391" s="885">
        <v>1196</v>
      </c>
      <c r="D1391" s="880" t="s">
        <v>2587</v>
      </c>
    </row>
    <row r="1392" spans="1:4" s="891" customFormat="1" ht="11.25" customHeight="1" x14ac:dyDescent="0.2">
      <c r="A1392" s="1471"/>
      <c r="B1392" s="885">
        <v>87</v>
      </c>
      <c r="C1392" s="885">
        <v>87</v>
      </c>
      <c r="D1392" s="880" t="s">
        <v>2586</v>
      </c>
    </row>
    <row r="1393" spans="1:4" s="891" customFormat="1" ht="11.25" customHeight="1" x14ac:dyDescent="0.2">
      <c r="A1393" s="1471"/>
      <c r="B1393" s="885">
        <v>28.44</v>
      </c>
      <c r="C1393" s="885">
        <v>28.437000000000001</v>
      </c>
      <c r="D1393" s="880" t="s">
        <v>1456</v>
      </c>
    </row>
    <row r="1394" spans="1:4" s="891" customFormat="1" ht="11.25" customHeight="1" x14ac:dyDescent="0.2">
      <c r="A1394" s="1471"/>
      <c r="B1394" s="885">
        <v>182.74</v>
      </c>
      <c r="C1394" s="885">
        <v>182.744</v>
      </c>
      <c r="D1394" s="880" t="s">
        <v>1453</v>
      </c>
    </row>
    <row r="1395" spans="1:4" s="891" customFormat="1" ht="11.25" customHeight="1" x14ac:dyDescent="0.2">
      <c r="A1395" s="1471"/>
      <c r="B1395" s="885">
        <v>7479.579999999999</v>
      </c>
      <c r="C1395" s="885">
        <v>7479.5749999999998</v>
      </c>
      <c r="D1395" s="880" t="s">
        <v>11</v>
      </c>
    </row>
    <row r="1396" spans="1:4" s="891" customFormat="1" ht="11.25" customHeight="1" x14ac:dyDescent="0.2">
      <c r="A1396" s="1472" t="s">
        <v>1726</v>
      </c>
      <c r="B1396" s="888">
        <v>171.28</v>
      </c>
      <c r="C1396" s="888">
        <v>171.28200000000001</v>
      </c>
      <c r="D1396" s="882" t="s">
        <v>2598</v>
      </c>
    </row>
    <row r="1397" spans="1:4" s="891" customFormat="1" ht="11.25" customHeight="1" x14ac:dyDescent="0.2">
      <c r="A1397" s="1471"/>
      <c r="B1397" s="885">
        <v>13.5</v>
      </c>
      <c r="C1397" s="885">
        <v>13.5</v>
      </c>
      <c r="D1397" s="880" t="s">
        <v>2596</v>
      </c>
    </row>
    <row r="1398" spans="1:4" s="891" customFormat="1" ht="11.25" customHeight="1" x14ac:dyDescent="0.2">
      <c r="A1398" s="1471"/>
      <c r="B1398" s="885">
        <v>23787</v>
      </c>
      <c r="C1398" s="885">
        <v>23787</v>
      </c>
      <c r="D1398" s="880" t="s">
        <v>1465</v>
      </c>
    </row>
    <row r="1399" spans="1:4" s="891" customFormat="1" ht="11.25" customHeight="1" x14ac:dyDescent="0.2">
      <c r="A1399" s="1471"/>
      <c r="B1399" s="885">
        <v>2650</v>
      </c>
      <c r="C1399" s="885">
        <v>2650</v>
      </c>
      <c r="D1399" s="880" t="s">
        <v>2587</v>
      </c>
    </row>
    <row r="1400" spans="1:4" s="891" customFormat="1" ht="11.25" customHeight="1" x14ac:dyDescent="0.2">
      <c r="A1400" s="1471"/>
      <c r="B1400" s="885">
        <v>384</v>
      </c>
      <c r="C1400" s="885">
        <v>384</v>
      </c>
      <c r="D1400" s="880" t="s">
        <v>2586</v>
      </c>
    </row>
    <row r="1401" spans="1:4" s="891" customFormat="1" ht="11.25" customHeight="1" x14ac:dyDescent="0.2">
      <c r="A1401" s="1471"/>
      <c r="B1401" s="885">
        <v>26.1</v>
      </c>
      <c r="C1401" s="885">
        <v>26.1</v>
      </c>
      <c r="D1401" s="880" t="s">
        <v>2600</v>
      </c>
    </row>
    <row r="1402" spans="1:4" s="891" customFormat="1" ht="11.25" customHeight="1" x14ac:dyDescent="0.2">
      <c r="A1402" s="1471"/>
      <c r="B1402" s="885">
        <v>120.62</v>
      </c>
      <c r="C1402" s="885">
        <v>120.624</v>
      </c>
      <c r="D1402" s="880" t="s">
        <v>1456</v>
      </c>
    </row>
    <row r="1403" spans="1:4" s="891" customFormat="1" ht="11.25" customHeight="1" x14ac:dyDescent="0.2">
      <c r="A1403" s="1471"/>
      <c r="B1403" s="885">
        <v>829.98</v>
      </c>
      <c r="C1403" s="885">
        <v>829.98299999999995</v>
      </c>
      <c r="D1403" s="880" t="s">
        <v>1453</v>
      </c>
    </row>
    <row r="1404" spans="1:4" s="891" customFormat="1" ht="11.25" customHeight="1" x14ac:dyDescent="0.2">
      <c r="A1404" s="1473"/>
      <c r="B1404" s="887">
        <v>27982.49</v>
      </c>
      <c r="C1404" s="887">
        <v>27982.488999999998</v>
      </c>
      <c r="D1404" s="886" t="s">
        <v>11</v>
      </c>
    </row>
    <row r="1405" spans="1:4" s="891" customFormat="1" ht="11.25" customHeight="1" x14ac:dyDescent="0.2">
      <c r="A1405" s="1471" t="s">
        <v>1747</v>
      </c>
      <c r="B1405" s="885">
        <v>10669</v>
      </c>
      <c r="C1405" s="885">
        <v>10669</v>
      </c>
      <c r="D1405" s="880" t="s">
        <v>1465</v>
      </c>
    </row>
    <row r="1406" spans="1:4" s="891" customFormat="1" ht="11.25" customHeight="1" x14ac:dyDescent="0.2">
      <c r="A1406" s="1471"/>
      <c r="B1406" s="885">
        <v>965</v>
      </c>
      <c r="C1406" s="885">
        <v>965</v>
      </c>
      <c r="D1406" s="880" t="s">
        <v>2587</v>
      </c>
    </row>
    <row r="1407" spans="1:4" s="891" customFormat="1" ht="11.25" customHeight="1" x14ac:dyDescent="0.2">
      <c r="A1407" s="1471"/>
      <c r="B1407" s="885">
        <v>42</v>
      </c>
      <c r="C1407" s="885">
        <v>42</v>
      </c>
      <c r="D1407" s="880" t="s">
        <v>2586</v>
      </c>
    </row>
    <row r="1408" spans="1:4" s="891" customFormat="1" ht="11.25" customHeight="1" x14ac:dyDescent="0.2">
      <c r="A1408" s="1471"/>
      <c r="B1408" s="885">
        <v>249.3</v>
      </c>
      <c r="C1408" s="885">
        <v>249.3</v>
      </c>
      <c r="D1408" s="880" t="s">
        <v>2603</v>
      </c>
    </row>
    <row r="1409" spans="1:4" s="891" customFormat="1" ht="11.25" customHeight="1" x14ac:dyDescent="0.2">
      <c r="A1409" s="1471"/>
      <c r="B1409" s="885">
        <v>54.31</v>
      </c>
      <c r="C1409" s="885">
        <v>54.313000000000002</v>
      </c>
      <c r="D1409" s="880" t="s">
        <v>1456</v>
      </c>
    </row>
    <row r="1410" spans="1:4" s="891" customFormat="1" ht="11.25" customHeight="1" x14ac:dyDescent="0.2">
      <c r="A1410" s="1471"/>
      <c r="B1410" s="885">
        <v>324.19</v>
      </c>
      <c r="C1410" s="885">
        <v>324.18599999999998</v>
      </c>
      <c r="D1410" s="880" t="s">
        <v>1453</v>
      </c>
    </row>
    <row r="1411" spans="1:4" s="891" customFormat="1" ht="11.25" customHeight="1" x14ac:dyDescent="0.2">
      <c r="A1411" s="1471"/>
      <c r="B1411" s="885">
        <v>12303.8</v>
      </c>
      <c r="C1411" s="885">
        <v>12303.798999999999</v>
      </c>
      <c r="D1411" s="880" t="s">
        <v>11</v>
      </c>
    </row>
    <row r="1412" spans="1:4" s="891" customFormat="1" ht="11.25" customHeight="1" x14ac:dyDescent="0.2">
      <c r="A1412" s="1472" t="s">
        <v>1732</v>
      </c>
      <c r="B1412" s="888">
        <v>258.89</v>
      </c>
      <c r="C1412" s="888">
        <v>258.87817000000001</v>
      </c>
      <c r="D1412" s="882" t="s">
        <v>2602</v>
      </c>
    </row>
    <row r="1413" spans="1:4" s="891" customFormat="1" ht="11.25" customHeight="1" x14ac:dyDescent="0.2">
      <c r="A1413" s="1471"/>
      <c r="B1413" s="885">
        <v>16315</v>
      </c>
      <c r="C1413" s="885">
        <v>16315</v>
      </c>
      <c r="D1413" s="880" t="s">
        <v>1465</v>
      </c>
    </row>
    <row r="1414" spans="1:4" s="891" customFormat="1" ht="11.25" customHeight="1" x14ac:dyDescent="0.2">
      <c r="A1414" s="1471"/>
      <c r="B1414" s="885">
        <v>1321</v>
      </c>
      <c r="C1414" s="885">
        <v>1321</v>
      </c>
      <c r="D1414" s="880" t="s">
        <v>2587</v>
      </c>
    </row>
    <row r="1415" spans="1:4" s="891" customFormat="1" ht="11.25" customHeight="1" x14ac:dyDescent="0.2">
      <c r="A1415" s="1471"/>
      <c r="B1415" s="885">
        <v>984</v>
      </c>
      <c r="C1415" s="885">
        <v>984</v>
      </c>
      <c r="D1415" s="880" t="s">
        <v>2586</v>
      </c>
    </row>
    <row r="1416" spans="1:4" s="891" customFormat="1" ht="11.25" customHeight="1" x14ac:dyDescent="0.2">
      <c r="A1416" s="1471"/>
      <c r="B1416" s="885">
        <v>12</v>
      </c>
      <c r="C1416" s="885">
        <v>12</v>
      </c>
      <c r="D1416" s="880" t="s">
        <v>2600</v>
      </c>
    </row>
    <row r="1417" spans="1:4" s="891" customFormat="1" ht="11.25" customHeight="1" x14ac:dyDescent="0.2">
      <c r="A1417" s="1471"/>
      <c r="B1417" s="885">
        <v>82.81</v>
      </c>
      <c r="C1417" s="885">
        <v>82.811000000000007</v>
      </c>
      <c r="D1417" s="880" t="s">
        <v>1456</v>
      </c>
    </row>
    <row r="1418" spans="1:4" s="891" customFormat="1" ht="11.25" customHeight="1" x14ac:dyDescent="0.2">
      <c r="A1418" s="1471"/>
      <c r="B1418" s="885">
        <v>471.23</v>
      </c>
      <c r="C1418" s="885">
        <v>471.23399999999998</v>
      </c>
      <c r="D1418" s="880" t="s">
        <v>1453</v>
      </c>
    </row>
    <row r="1419" spans="1:4" s="891" customFormat="1" ht="11.25" customHeight="1" x14ac:dyDescent="0.2">
      <c r="A1419" s="1473"/>
      <c r="B1419" s="887">
        <v>19444.93</v>
      </c>
      <c r="C1419" s="887">
        <v>19444.923170000002</v>
      </c>
      <c r="D1419" s="886" t="s">
        <v>11</v>
      </c>
    </row>
    <row r="1420" spans="1:4" s="891" customFormat="1" ht="11.25" customHeight="1" x14ac:dyDescent="0.2">
      <c r="A1420" s="1471" t="s">
        <v>2604</v>
      </c>
      <c r="B1420" s="885">
        <v>616.67999999999995</v>
      </c>
      <c r="C1420" s="885">
        <v>616.64004999999997</v>
      </c>
      <c r="D1420" s="880" t="s">
        <v>2602</v>
      </c>
    </row>
    <row r="1421" spans="1:4" s="891" customFormat="1" ht="11.25" customHeight="1" x14ac:dyDescent="0.2">
      <c r="A1421" s="1471"/>
      <c r="B1421" s="885">
        <v>757.58</v>
      </c>
      <c r="C1421" s="885">
        <v>757.57800000000009</v>
      </c>
      <c r="D1421" s="880" t="s">
        <v>2597</v>
      </c>
    </row>
    <row r="1422" spans="1:4" s="891" customFormat="1" ht="11.25" customHeight="1" x14ac:dyDescent="0.2">
      <c r="A1422" s="1471"/>
      <c r="B1422" s="885">
        <v>18060</v>
      </c>
      <c r="C1422" s="885">
        <v>18060</v>
      </c>
      <c r="D1422" s="880" t="s">
        <v>1465</v>
      </c>
    </row>
    <row r="1423" spans="1:4" s="891" customFormat="1" ht="11.25" customHeight="1" x14ac:dyDescent="0.2">
      <c r="A1423" s="1471"/>
      <c r="B1423" s="885">
        <v>1422</v>
      </c>
      <c r="C1423" s="885">
        <v>1422</v>
      </c>
      <c r="D1423" s="880" t="s">
        <v>2587</v>
      </c>
    </row>
    <row r="1424" spans="1:4" s="891" customFormat="1" ht="11.25" customHeight="1" x14ac:dyDescent="0.2">
      <c r="A1424" s="1471"/>
      <c r="B1424" s="885">
        <v>580</v>
      </c>
      <c r="C1424" s="885">
        <v>580</v>
      </c>
      <c r="D1424" s="880" t="s">
        <v>2586</v>
      </c>
    </row>
    <row r="1425" spans="1:4" s="891" customFormat="1" ht="11.25" customHeight="1" x14ac:dyDescent="0.2">
      <c r="A1425" s="1471"/>
      <c r="B1425" s="885">
        <v>92.67</v>
      </c>
      <c r="C1425" s="885">
        <v>92.67</v>
      </c>
      <c r="D1425" s="880" t="s">
        <v>1456</v>
      </c>
    </row>
    <row r="1426" spans="1:4" s="891" customFormat="1" ht="11.25" customHeight="1" x14ac:dyDescent="0.2">
      <c r="A1426" s="1471"/>
      <c r="B1426" s="885">
        <v>592.17999999999995</v>
      </c>
      <c r="C1426" s="885">
        <v>592.18299999999999</v>
      </c>
      <c r="D1426" s="880" t="s">
        <v>1453</v>
      </c>
    </row>
    <row r="1427" spans="1:4" s="891" customFormat="1" ht="11.25" customHeight="1" x14ac:dyDescent="0.2">
      <c r="A1427" s="1471"/>
      <c r="B1427" s="885">
        <v>22121.109999999997</v>
      </c>
      <c r="C1427" s="885">
        <v>22121.071049999999</v>
      </c>
      <c r="D1427" s="880" t="s">
        <v>11</v>
      </c>
    </row>
    <row r="1428" spans="1:4" s="891" customFormat="1" ht="11.25" customHeight="1" x14ac:dyDescent="0.2">
      <c r="A1428" s="1472" t="s">
        <v>1848</v>
      </c>
      <c r="B1428" s="888">
        <v>666</v>
      </c>
      <c r="C1428" s="888">
        <v>666</v>
      </c>
      <c r="D1428" s="882" t="s">
        <v>1465</v>
      </c>
    </row>
    <row r="1429" spans="1:4" s="891" customFormat="1" ht="11.25" customHeight="1" x14ac:dyDescent="0.2">
      <c r="A1429" s="1471"/>
      <c r="B1429" s="885">
        <v>423</v>
      </c>
      <c r="C1429" s="885">
        <v>423</v>
      </c>
      <c r="D1429" s="880" t="s">
        <v>2587</v>
      </c>
    </row>
    <row r="1430" spans="1:4" s="891" customFormat="1" ht="21" x14ac:dyDescent="0.2">
      <c r="A1430" s="1471"/>
      <c r="B1430" s="885">
        <v>730</v>
      </c>
      <c r="C1430" s="885">
        <v>730</v>
      </c>
      <c r="D1430" s="880" t="s">
        <v>2591</v>
      </c>
    </row>
    <row r="1431" spans="1:4" s="891" customFormat="1" ht="11.25" customHeight="1" x14ac:dyDescent="0.2">
      <c r="A1431" s="1471"/>
      <c r="B1431" s="885">
        <v>100.58</v>
      </c>
      <c r="C1431" s="885">
        <v>100.578</v>
      </c>
      <c r="D1431" s="880" t="s">
        <v>1453</v>
      </c>
    </row>
    <row r="1432" spans="1:4" s="891" customFormat="1" ht="11.25" customHeight="1" x14ac:dyDescent="0.2">
      <c r="A1432" s="1473"/>
      <c r="B1432" s="887">
        <v>1919.58</v>
      </c>
      <c r="C1432" s="887">
        <v>1919.578</v>
      </c>
      <c r="D1432" s="886" t="s">
        <v>11</v>
      </c>
    </row>
    <row r="1433" spans="1:4" s="891" customFormat="1" ht="11.25" customHeight="1" x14ac:dyDescent="0.2">
      <c r="A1433" s="1471" t="s">
        <v>1760</v>
      </c>
      <c r="B1433" s="885">
        <v>227.01999999999998</v>
      </c>
      <c r="C1433" s="885">
        <v>227.02399999999997</v>
      </c>
      <c r="D1433" s="880" t="s">
        <v>2597</v>
      </c>
    </row>
    <row r="1434" spans="1:4" s="891" customFormat="1" ht="11.25" customHeight="1" x14ac:dyDescent="0.2">
      <c r="A1434" s="1471"/>
      <c r="B1434" s="885">
        <v>45</v>
      </c>
      <c r="C1434" s="885">
        <v>45</v>
      </c>
      <c r="D1434" s="880" t="s">
        <v>540</v>
      </c>
    </row>
    <row r="1435" spans="1:4" s="891" customFormat="1" ht="11.25" customHeight="1" x14ac:dyDescent="0.2">
      <c r="A1435" s="1471"/>
      <c r="B1435" s="885">
        <v>15514</v>
      </c>
      <c r="C1435" s="885">
        <v>15514</v>
      </c>
      <c r="D1435" s="880" t="s">
        <v>1465</v>
      </c>
    </row>
    <row r="1436" spans="1:4" s="891" customFormat="1" ht="11.25" customHeight="1" x14ac:dyDescent="0.2">
      <c r="A1436" s="1471"/>
      <c r="B1436" s="885">
        <v>2209</v>
      </c>
      <c r="C1436" s="885">
        <v>2209</v>
      </c>
      <c r="D1436" s="880" t="s">
        <v>2587</v>
      </c>
    </row>
    <row r="1437" spans="1:4" s="891" customFormat="1" ht="11.25" customHeight="1" x14ac:dyDescent="0.2">
      <c r="A1437" s="1471"/>
      <c r="B1437" s="885">
        <v>207</v>
      </c>
      <c r="C1437" s="885">
        <v>207</v>
      </c>
      <c r="D1437" s="880" t="s">
        <v>2586</v>
      </c>
    </row>
    <row r="1438" spans="1:4" s="891" customFormat="1" ht="11.25" customHeight="1" x14ac:dyDescent="0.2">
      <c r="A1438" s="1471"/>
      <c r="B1438" s="885">
        <v>33.1</v>
      </c>
      <c r="C1438" s="885">
        <v>33.1</v>
      </c>
      <c r="D1438" s="880" t="s">
        <v>2600</v>
      </c>
    </row>
    <row r="1439" spans="1:4" s="891" customFormat="1" ht="11.25" customHeight="1" x14ac:dyDescent="0.2">
      <c r="A1439" s="1471"/>
      <c r="B1439" s="885">
        <v>77.459999999999994</v>
      </c>
      <c r="C1439" s="885">
        <v>77.456999999999994</v>
      </c>
      <c r="D1439" s="880" t="s">
        <v>1456</v>
      </c>
    </row>
    <row r="1440" spans="1:4" s="891" customFormat="1" ht="11.25" customHeight="1" x14ac:dyDescent="0.2">
      <c r="A1440" s="1471"/>
      <c r="B1440" s="885">
        <v>480.06</v>
      </c>
      <c r="C1440" s="885">
        <v>480.06299999999999</v>
      </c>
      <c r="D1440" s="880" t="s">
        <v>1453</v>
      </c>
    </row>
    <row r="1441" spans="1:4" s="891" customFormat="1" ht="11.25" customHeight="1" x14ac:dyDescent="0.2">
      <c r="A1441" s="1471"/>
      <c r="B1441" s="885">
        <v>18792.64</v>
      </c>
      <c r="C1441" s="885">
        <v>18792.643999999993</v>
      </c>
      <c r="D1441" s="880" t="s">
        <v>11</v>
      </c>
    </row>
    <row r="1442" spans="1:4" s="891" customFormat="1" ht="11.25" customHeight="1" x14ac:dyDescent="0.2">
      <c r="A1442" s="1472" t="s">
        <v>1758</v>
      </c>
      <c r="B1442" s="888">
        <v>210</v>
      </c>
      <c r="C1442" s="888">
        <v>210</v>
      </c>
      <c r="D1442" s="882" t="s">
        <v>573</v>
      </c>
    </row>
    <row r="1443" spans="1:4" s="891" customFormat="1" ht="11.25" customHeight="1" x14ac:dyDescent="0.2">
      <c r="A1443" s="1471"/>
      <c r="B1443" s="885">
        <v>12236</v>
      </c>
      <c r="C1443" s="885">
        <v>12236</v>
      </c>
      <c r="D1443" s="880" t="s">
        <v>1465</v>
      </c>
    </row>
    <row r="1444" spans="1:4" s="891" customFormat="1" ht="11.25" customHeight="1" x14ac:dyDescent="0.2">
      <c r="A1444" s="1471"/>
      <c r="B1444" s="885">
        <v>3916</v>
      </c>
      <c r="C1444" s="885">
        <v>3916</v>
      </c>
      <c r="D1444" s="880" t="s">
        <v>2587</v>
      </c>
    </row>
    <row r="1445" spans="1:4" s="891" customFormat="1" ht="11.25" customHeight="1" x14ac:dyDescent="0.2">
      <c r="A1445" s="1471"/>
      <c r="B1445" s="885">
        <v>293</v>
      </c>
      <c r="C1445" s="885">
        <v>293</v>
      </c>
      <c r="D1445" s="880" t="s">
        <v>2586</v>
      </c>
    </row>
    <row r="1446" spans="1:4" s="891" customFormat="1" ht="21" x14ac:dyDescent="0.2">
      <c r="A1446" s="1471"/>
      <c r="B1446" s="885">
        <v>531</v>
      </c>
      <c r="C1446" s="885">
        <v>531</v>
      </c>
      <c r="D1446" s="880" t="s">
        <v>2591</v>
      </c>
    </row>
    <row r="1447" spans="1:4" s="891" customFormat="1" ht="11.25" customHeight="1" x14ac:dyDescent="0.2">
      <c r="A1447" s="1471"/>
      <c r="B1447" s="885">
        <v>60.88</v>
      </c>
      <c r="C1447" s="885">
        <v>60.878</v>
      </c>
      <c r="D1447" s="880" t="s">
        <v>1456</v>
      </c>
    </row>
    <row r="1448" spans="1:4" s="891" customFormat="1" ht="11.25" customHeight="1" x14ac:dyDescent="0.2">
      <c r="A1448" s="1471"/>
      <c r="B1448" s="885">
        <v>269.25</v>
      </c>
      <c r="C1448" s="885">
        <v>269.25200000000001</v>
      </c>
      <c r="D1448" s="880" t="s">
        <v>1453</v>
      </c>
    </row>
    <row r="1449" spans="1:4" s="891" customFormat="1" ht="11.25" customHeight="1" x14ac:dyDescent="0.2">
      <c r="A1449" s="1473"/>
      <c r="B1449" s="887">
        <v>17516.13</v>
      </c>
      <c r="C1449" s="887">
        <v>17516.13</v>
      </c>
      <c r="D1449" s="886" t="s">
        <v>11</v>
      </c>
    </row>
    <row r="1450" spans="1:4" s="891" customFormat="1" ht="11.25" customHeight="1" x14ac:dyDescent="0.2">
      <c r="A1450" s="1472" t="s">
        <v>1743</v>
      </c>
      <c r="B1450" s="888">
        <v>3439</v>
      </c>
      <c r="C1450" s="888">
        <v>3439</v>
      </c>
      <c r="D1450" s="882" t="s">
        <v>1465</v>
      </c>
    </row>
    <row r="1451" spans="1:4" s="891" customFormat="1" ht="11.25" customHeight="1" x14ac:dyDescent="0.2">
      <c r="A1451" s="1471"/>
      <c r="B1451" s="885">
        <v>989</v>
      </c>
      <c r="C1451" s="885">
        <v>989</v>
      </c>
      <c r="D1451" s="880" t="s">
        <v>2587</v>
      </c>
    </row>
    <row r="1452" spans="1:4" s="891" customFormat="1" ht="11.25" customHeight="1" x14ac:dyDescent="0.2">
      <c r="A1452" s="1471"/>
      <c r="B1452" s="885">
        <v>20.8</v>
      </c>
      <c r="C1452" s="885">
        <v>20.8</v>
      </c>
      <c r="D1452" s="880" t="s">
        <v>2600</v>
      </c>
    </row>
    <row r="1453" spans="1:4" s="891" customFormat="1" ht="11.25" customHeight="1" x14ac:dyDescent="0.2">
      <c r="A1453" s="1471"/>
      <c r="B1453" s="885">
        <v>17.34</v>
      </c>
      <c r="C1453" s="885">
        <v>17.338999999999999</v>
      </c>
      <c r="D1453" s="880" t="s">
        <v>1456</v>
      </c>
    </row>
    <row r="1454" spans="1:4" s="891" customFormat="1" ht="11.25" customHeight="1" x14ac:dyDescent="0.2">
      <c r="A1454" s="1471"/>
      <c r="B1454" s="885">
        <v>130.9</v>
      </c>
      <c r="C1454" s="885">
        <v>130.904</v>
      </c>
      <c r="D1454" s="880" t="s">
        <v>1453</v>
      </c>
    </row>
    <row r="1455" spans="1:4" s="891" customFormat="1" ht="11.25" customHeight="1" x14ac:dyDescent="0.2">
      <c r="A1455" s="1473"/>
      <c r="B1455" s="887">
        <v>4597.04</v>
      </c>
      <c r="C1455" s="887">
        <v>4597.0429999999997</v>
      </c>
      <c r="D1455" s="886" t="s">
        <v>11</v>
      </c>
    </row>
    <row r="1456" spans="1:4" s="891" customFormat="1" ht="11.25" customHeight="1" x14ac:dyDescent="0.2">
      <c r="A1456" s="1472" t="s">
        <v>1748</v>
      </c>
      <c r="B1456" s="888">
        <v>219.19</v>
      </c>
      <c r="C1456" s="888">
        <v>219.18899999999996</v>
      </c>
      <c r="D1456" s="882" t="s">
        <v>2597</v>
      </c>
    </row>
    <row r="1457" spans="1:4" s="891" customFormat="1" ht="11.25" customHeight="1" x14ac:dyDescent="0.2">
      <c r="A1457" s="1471"/>
      <c r="B1457" s="885">
        <v>5271</v>
      </c>
      <c r="C1457" s="885">
        <v>5271</v>
      </c>
      <c r="D1457" s="880" t="s">
        <v>1465</v>
      </c>
    </row>
    <row r="1458" spans="1:4" s="891" customFormat="1" ht="11.25" customHeight="1" x14ac:dyDescent="0.2">
      <c r="A1458" s="1471"/>
      <c r="B1458" s="885">
        <v>828</v>
      </c>
      <c r="C1458" s="885">
        <v>828</v>
      </c>
      <c r="D1458" s="880" t="s">
        <v>2587</v>
      </c>
    </row>
    <row r="1459" spans="1:4" s="891" customFormat="1" ht="11.25" customHeight="1" x14ac:dyDescent="0.2">
      <c r="A1459" s="1471"/>
      <c r="B1459" s="885">
        <v>147</v>
      </c>
      <c r="C1459" s="885">
        <v>147</v>
      </c>
      <c r="D1459" s="880" t="s">
        <v>2586</v>
      </c>
    </row>
    <row r="1460" spans="1:4" s="891" customFormat="1" ht="11.25" customHeight="1" x14ac:dyDescent="0.2">
      <c r="A1460" s="1471"/>
      <c r="B1460" s="885">
        <v>27.9</v>
      </c>
      <c r="C1460" s="885">
        <v>27.9</v>
      </c>
      <c r="D1460" s="880" t="s">
        <v>2600</v>
      </c>
    </row>
    <row r="1461" spans="1:4" s="891" customFormat="1" ht="11.25" customHeight="1" x14ac:dyDescent="0.2">
      <c r="A1461" s="1471"/>
      <c r="B1461" s="885">
        <v>26.77</v>
      </c>
      <c r="C1461" s="885">
        <v>26.771999999999998</v>
      </c>
      <c r="D1461" s="880" t="s">
        <v>1456</v>
      </c>
    </row>
    <row r="1462" spans="1:4" s="891" customFormat="1" ht="11.25" customHeight="1" x14ac:dyDescent="0.2">
      <c r="A1462" s="1471"/>
      <c r="B1462" s="885">
        <v>219.32</v>
      </c>
      <c r="C1462" s="885">
        <v>219.32400000000001</v>
      </c>
      <c r="D1462" s="880" t="s">
        <v>1453</v>
      </c>
    </row>
    <row r="1463" spans="1:4" s="891" customFormat="1" ht="11.25" customHeight="1" x14ac:dyDescent="0.2">
      <c r="A1463" s="1473"/>
      <c r="B1463" s="887">
        <v>6739.19</v>
      </c>
      <c r="C1463" s="887">
        <v>6739.1849999999995</v>
      </c>
      <c r="D1463" s="886" t="s">
        <v>11</v>
      </c>
    </row>
    <row r="1464" spans="1:4" s="891" customFormat="1" ht="11.25" customHeight="1" x14ac:dyDescent="0.2">
      <c r="A1464" s="1471" t="s">
        <v>1761</v>
      </c>
      <c r="B1464" s="885">
        <v>3515</v>
      </c>
      <c r="C1464" s="885">
        <v>3515</v>
      </c>
      <c r="D1464" s="880" t="s">
        <v>1465</v>
      </c>
    </row>
    <row r="1465" spans="1:4" s="891" customFormat="1" ht="11.25" customHeight="1" x14ac:dyDescent="0.2">
      <c r="A1465" s="1471"/>
      <c r="B1465" s="885">
        <v>575</v>
      </c>
      <c r="C1465" s="885">
        <v>575</v>
      </c>
      <c r="D1465" s="880" t="s">
        <v>2587</v>
      </c>
    </row>
    <row r="1466" spans="1:4" s="891" customFormat="1" ht="11.25" customHeight="1" x14ac:dyDescent="0.2">
      <c r="A1466" s="1471"/>
      <c r="B1466" s="885">
        <v>89</v>
      </c>
      <c r="C1466" s="885">
        <v>89</v>
      </c>
      <c r="D1466" s="880" t="s">
        <v>2586</v>
      </c>
    </row>
    <row r="1467" spans="1:4" s="891" customFormat="1" ht="11.25" customHeight="1" x14ac:dyDescent="0.2">
      <c r="A1467" s="1471"/>
      <c r="B1467" s="885">
        <v>17.75</v>
      </c>
      <c r="C1467" s="885">
        <v>17.745000000000001</v>
      </c>
      <c r="D1467" s="880" t="s">
        <v>1456</v>
      </c>
    </row>
    <row r="1468" spans="1:4" s="891" customFormat="1" ht="11.25" customHeight="1" x14ac:dyDescent="0.2">
      <c r="A1468" s="1471"/>
      <c r="B1468" s="885">
        <v>115.5</v>
      </c>
      <c r="C1468" s="885">
        <v>115.498</v>
      </c>
      <c r="D1468" s="880" t="s">
        <v>1453</v>
      </c>
    </row>
    <row r="1469" spans="1:4" s="891" customFormat="1" ht="11.25" customHeight="1" x14ac:dyDescent="0.2">
      <c r="A1469" s="1471"/>
      <c r="B1469" s="885">
        <v>4312.25</v>
      </c>
      <c r="C1469" s="885">
        <v>4312.2429999999995</v>
      </c>
      <c r="D1469" s="880" t="s">
        <v>11</v>
      </c>
    </row>
    <row r="1470" spans="1:4" s="891" customFormat="1" ht="11.25" customHeight="1" x14ac:dyDescent="0.2">
      <c r="A1470" s="1472" t="s">
        <v>1746</v>
      </c>
      <c r="B1470" s="888">
        <v>199.44</v>
      </c>
      <c r="C1470" s="888">
        <v>199.44</v>
      </c>
      <c r="D1470" s="882" t="s">
        <v>2597</v>
      </c>
    </row>
    <row r="1471" spans="1:4" s="891" customFormat="1" ht="11.25" customHeight="1" x14ac:dyDescent="0.2">
      <c r="A1471" s="1471"/>
      <c r="B1471" s="885">
        <v>278</v>
      </c>
      <c r="C1471" s="885">
        <v>278</v>
      </c>
      <c r="D1471" s="880" t="s">
        <v>573</v>
      </c>
    </row>
    <row r="1472" spans="1:4" s="891" customFormat="1" ht="11.25" customHeight="1" x14ac:dyDescent="0.2">
      <c r="A1472" s="1471"/>
      <c r="B1472" s="885">
        <v>21</v>
      </c>
      <c r="C1472" s="885">
        <v>21</v>
      </c>
      <c r="D1472" s="880" t="s">
        <v>1448</v>
      </c>
    </row>
    <row r="1473" spans="1:4" s="891" customFormat="1" ht="11.25" customHeight="1" x14ac:dyDescent="0.2">
      <c r="A1473" s="1471"/>
      <c r="B1473" s="885">
        <v>19173</v>
      </c>
      <c r="C1473" s="885">
        <v>19173</v>
      </c>
      <c r="D1473" s="880" t="s">
        <v>1465</v>
      </c>
    </row>
    <row r="1474" spans="1:4" s="891" customFormat="1" ht="11.25" customHeight="1" x14ac:dyDescent="0.2">
      <c r="A1474" s="1471"/>
      <c r="B1474" s="885">
        <v>2045</v>
      </c>
      <c r="C1474" s="885">
        <v>2045</v>
      </c>
      <c r="D1474" s="880" t="s">
        <v>2587</v>
      </c>
    </row>
    <row r="1475" spans="1:4" s="891" customFormat="1" ht="11.25" customHeight="1" x14ac:dyDescent="0.2">
      <c r="A1475" s="1471"/>
      <c r="B1475" s="885">
        <v>289</v>
      </c>
      <c r="C1475" s="885">
        <v>289</v>
      </c>
      <c r="D1475" s="880" t="s">
        <v>2586</v>
      </c>
    </row>
    <row r="1476" spans="1:4" s="891" customFormat="1" ht="11.25" customHeight="1" x14ac:dyDescent="0.2">
      <c r="A1476" s="1471"/>
      <c r="B1476" s="885">
        <v>95.24</v>
      </c>
      <c r="C1476" s="885">
        <v>95.244</v>
      </c>
      <c r="D1476" s="880" t="s">
        <v>1456</v>
      </c>
    </row>
    <row r="1477" spans="1:4" s="891" customFormat="1" ht="11.25" customHeight="1" x14ac:dyDescent="0.2">
      <c r="A1477" s="1471"/>
      <c r="B1477" s="885">
        <v>524.32000000000005</v>
      </c>
      <c r="C1477" s="885">
        <v>524.32100000000003</v>
      </c>
      <c r="D1477" s="880" t="s">
        <v>1453</v>
      </c>
    </row>
    <row r="1478" spans="1:4" s="891" customFormat="1" ht="11.25" customHeight="1" x14ac:dyDescent="0.2">
      <c r="A1478" s="1473"/>
      <c r="B1478" s="887">
        <v>22625</v>
      </c>
      <c r="C1478" s="887">
        <v>22625.004999999997</v>
      </c>
      <c r="D1478" s="886" t="s">
        <v>11</v>
      </c>
    </row>
    <row r="1479" spans="1:4" s="891" customFormat="1" ht="11.25" customHeight="1" x14ac:dyDescent="0.2">
      <c r="A1479" s="1471" t="s">
        <v>1736</v>
      </c>
      <c r="B1479" s="885">
        <v>204.12</v>
      </c>
      <c r="C1479" s="885">
        <v>204.11200000000002</v>
      </c>
      <c r="D1479" s="880" t="s">
        <v>2597</v>
      </c>
    </row>
    <row r="1480" spans="1:4" s="891" customFormat="1" ht="11.25" customHeight="1" x14ac:dyDescent="0.2">
      <c r="A1480" s="1471"/>
      <c r="B1480" s="885">
        <v>11731</v>
      </c>
      <c r="C1480" s="885">
        <v>11731</v>
      </c>
      <c r="D1480" s="880" t="s">
        <v>1465</v>
      </c>
    </row>
    <row r="1481" spans="1:4" s="891" customFormat="1" ht="11.25" customHeight="1" x14ac:dyDescent="0.2">
      <c r="A1481" s="1471"/>
      <c r="B1481" s="885">
        <v>2247</v>
      </c>
      <c r="C1481" s="885">
        <v>2247</v>
      </c>
      <c r="D1481" s="880" t="s">
        <v>2587</v>
      </c>
    </row>
    <row r="1482" spans="1:4" s="891" customFormat="1" ht="11.25" customHeight="1" x14ac:dyDescent="0.2">
      <c r="A1482" s="1471"/>
      <c r="B1482" s="885">
        <v>918</v>
      </c>
      <c r="C1482" s="885">
        <v>918</v>
      </c>
      <c r="D1482" s="880" t="s">
        <v>2586</v>
      </c>
    </row>
    <row r="1483" spans="1:4" s="891" customFormat="1" ht="11.25" customHeight="1" x14ac:dyDescent="0.2">
      <c r="A1483" s="1471"/>
      <c r="B1483" s="885">
        <v>22.1</v>
      </c>
      <c r="C1483" s="885">
        <v>22.1</v>
      </c>
      <c r="D1483" s="880" t="s">
        <v>2600</v>
      </c>
    </row>
    <row r="1484" spans="1:4" s="891" customFormat="1" ht="11.25" customHeight="1" x14ac:dyDescent="0.2">
      <c r="A1484" s="1471"/>
      <c r="B1484" s="885">
        <v>59.17</v>
      </c>
      <c r="C1484" s="885">
        <v>59.171999999999997</v>
      </c>
      <c r="D1484" s="880" t="s">
        <v>1456</v>
      </c>
    </row>
    <row r="1485" spans="1:4" s="891" customFormat="1" ht="11.25" customHeight="1" x14ac:dyDescent="0.2">
      <c r="A1485" s="1471"/>
      <c r="B1485" s="885">
        <v>383.85</v>
      </c>
      <c r="C1485" s="885">
        <v>383.851</v>
      </c>
      <c r="D1485" s="880" t="s">
        <v>1453</v>
      </c>
    </row>
    <row r="1486" spans="1:4" s="891" customFormat="1" ht="11.25" customHeight="1" x14ac:dyDescent="0.2">
      <c r="A1486" s="1471"/>
      <c r="B1486" s="885">
        <v>15565.240000000002</v>
      </c>
      <c r="C1486" s="885">
        <v>15565.235000000001</v>
      </c>
      <c r="D1486" s="880" t="s">
        <v>11</v>
      </c>
    </row>
    <row r="1487" spans="1:4" s="891" customFormat="1" ht="11.25" customHeight="1" x14ac:dyDescent="0.2">
      <c r="A1487" s="1472" t="s">
        <v>1738</v>
      </c>
      <c r="B1487" s="888">
        <v>661.15</v>
      </c>
      <c r="C1487" s="888">
        <v>661.14700000000005</v>
      </c>
      <c r="D1487" s="882" t="s">
        <v>2598</v>
      </c>
    </row>
    <row r="1488" spans="1:4" s="891" customFormat="1" ht="11.25" customHeight="1" x14ac:dyDescent="0.2">
      <c r="A1488" s="1471"/>
      <c r="B1488" s="885">
        <v>577.25</v>
      </c>
      <c r="C1488" s="885">
        <v>577.25</v>
      </c>
      <c r="D1488" s="880" t="s">
        <v>2597</v>
      </c>
    </row>
    <row r="1489" spans="1:4" s="891" customFormat="1" ht="11.25" customHeight="1" x14ac:dyDescent="0.2">
      <c r="A1489" s="1471"/>
      <c r="B1489" s="885">
        <v>9665</v>
      </c>
      <c r="C1489" s="885">
        <v>9665</v>
      </c>
      <c r="D1489" s="880" t="s">
        <v>1465</v>
      </c>
    </row>
    <row r="1490" spans="1:4" s="891" customFormat="1" ht="11.25" customHeight="1" x14ac:dyDescent="0.2">
      <c r="A1490" s="1471"/>
      <c r="B1490" s="885">
        <v>1556</v>
      </c>
      <c r="C1490" s="885">
        <v>1556</v>
      </c>
      <c r="D1490" s="880" t="s">
        <v>2587</v>
      </c>
    </row>
    <row r="1491" spans="1:4" s="891" customFormat="1" ht="11.25" customHeight="1" x14ac:dyDescent="0.2">
      <c r="A1491" s="1471"/>
      <c r="B1491" s="885">
        <v>136</v>
      </c>
      <c r="C1491" s="885">
        <v>136</v>
      </c>
      <c r="D1491" s="880" t="s">
        <v>2586</v>
      </c>
    </row>
    <row r="1492" spans="1:4" s="891" customFormat="1" ht="11.25" customHeight="1" x14ac:dyDescent="0.2">
      <c r="A1492" s="1471"/>
      <c r="B1492" s="885">
        <v>20</v>
      </c>
      <c r="C1492" s="885">
        <v>20</v>
      </c>
      <c r="D1492" s="880" t="s">
        <v>1450</v>
      </c>
    </row>
    <row r="1493" spans="1:4" s="891" customFormat="1" ht="11.25" customHeight="1" x14ac:dyDescent="0.2">
      <c r="A1493" s="1471"/>
      <c r="B1493" s="885">
        <v>105</v>
      </c>
      <c r="C1493" s="885">
        <v>105</v>
      </c>
      <c r="D1493" s="880" t="s">
        <v>2603</v>
      </c>
    </row>
    <row r="1494" spans="1:4" s="891" customFormat="1" ht="11.25" customHeight="1" x14ac:dyDescent="0.2">
      <c r="A1494" s="1471"/>
      <c r="B1494" s="885">
        <v>20.9</v>
      </c>
      <c r="C1494" s="885">
        <v>20.9</v>
      </c>
      <c r="D1494" s="880" t="s">
        <v>2600</v>
      </c>
    </row>
    <row r="1495" spans="1:4" s="891" customFormat="1" ht="11.25" customHeight="1" x14ac:dyDescent="0.2">
      <c r="A1495" s="1471"/>
      <c r="B1495" s="885">
        <v>48.78</v>
      </c>
      <c r="C1495" s="885">
        <v>48.781999999999996</v>
      </c>
      <c r="D1495" s="880" t="s">
        <v>1456</v>
      </c>
    </row>
    <row r="1496" spans="1:4" s="891" customFormat="1" ht="11.25" customHeight="1" x14ac:dyDescent="0.2">
      <c r="A1496" s="1471"/>
      <c r="B1496" s="885">
        <v>322.62</v>
      </c>
      <c r="C1496" s="885">
        <v>322.61500000000001</v>
      </c>
      <c r="D1496" s="880" t="s">
        <v>1453</v>
      </c>
    </row>
    <row r="1497" spans="1:4" s="891" customFormat="1" ht="11.25" customHeight="1" x14ac:dyDescent="0.2">
      <c r="A1497" s="1473"/>
      <c r="B1497" s="887">
        <v>13112.7</v>
      </c>
      <c r="C1497" s="887">
        <v>13112.694</v>
      </c>
      <c r="D1497" s="886" t="s">
        <v>11</v>
      </c>
    </row>
    <row r="1498" spans="1:4" s="891" customFormat="1" ht="11.25" customHeight="1" x14ac:dyDescent="0.2">
      <c r="A1498" s="1471" t="s">
        <v>1739</v>
      </c>
      <c r="B1498" s="885">
        <v>172.51999999999998</v>
      </c>
      <c r="C1498" s="885">
        <v>172.51548000000003</v>
      </c>
      <c r="D1498" s="880" t="s">
        <v>2602</v>
      </c>
    </row>
    <row r="1499" spans="1:4" s="891" customFormat="1" ht="11.25" customHeight="1" x14ac:dyDescent="0.2">
      <c r="A1499" s="1471"/>
      <c r="B1499" s="885">
        <v>220.85</v>
      </c>
      <c r="C1499" s="885">
        <v>220.85</v>
      </c>
      <c r="D1499" s="880" t="s">
        <v>2597</v>
      </c>
    </row>
    <row r="1500" spans="1:4" s="891" customFormat="1" ht="11.25" customHeight="1" x14ac:dyDescent="0.2">
      <c r="A1500" s="1471"/>
      <c r="B1500" s="885">
        <v>11928</v>
      </c>
      <c r="C1500" s="885">
        <v>11928</v>
      </c>
      <c r="D1500" s="880" t="s">
        <v>1465</v>
      </c>
    </row>
    <row r="1501" spans="1:4" s="891" customFormat="1" ht="11.25" customHeight="1" x14ac:dyDescent="0.2">
      <c r="A1501" s="1471"/>
      <c r="B1501" s="885">
        <v>2388</v>
      </c>
      <c r="C1501" s="885">
        <v>2388</v>
      </c>
      <c r="D1501" s="880" t="s">
        <v>2587</v>
      </c>
    </row>
    <row r="1502" spans="1:4" s="891" customFormat="1" ht="11.25" customHeight="1" x14ac:dyDescent="0.2">
      <c r="A1502" s="1471"/>
      <c r="B1502" s="885">
        <v>170</v>
      </c>
      <c r="C1502" s="885">
        <v>170</v>
      </c>
      <c r="D1502" s="880" t="s">
        <v>2586</v>
      </c>
    </row>
    <row r="1503" spans="1:4" s="891" customFormat="1" ht="11.25" customHeight="1" x14ac:dyDescent="0.2">
      <c r="A1503" s="1471"/>
      <c r="B1503" s="885">
        <v>60.53</v>
      </c>
      <c r="C1503" s="885">
        <v>60.527999999999999</v>
      </c>
      <c r="D1503" s="880" t="s">
        <v>1456</v>
      </c>
    </row>
    <row r="1504" spans="1:4" s="891" customFormat="1" ht="11.25" customHeight="1" x14ac:dyDescent="0.2">
      <c r="A1504" s="1471"/>
      <c r="B1504" s="885">
        <v>402.4</v>
      </c>
      <c r="C1504" s="885">
        <v>402.4</v>
      </c>
      <c r="D1504" s="880" t="s">
        <v>1453</v>
      </c>
    </row>
    <row r="1505" spans="1:4" s="891" customFormat="1" ht="11.25" customHeight="1" x14ac:dyDescent="0.2">
      <c r="A1505" s="1471"/>
      <c r="B1505" s="885">
        <v>15342.300000000001</v>
      </c>
      <c r="C1505" s="885">
        <v>15342.29348</v>
      </c>
      <c r="D1505" s="880" t="s">
        <v>11</v>
      </c>
    </row>
    <row r="1506" spans="1:4" s="891" customFormat="1" ht="11.25" customHeight="1" x14ac:dyDescent="0.2">
      <c r="A1506" s="1472" t="s">
        <v>1764</v>
      </c>
      <c r="B1506" s="888">
        <v>342.56</v>
      </c>
      <c r="C1506" s="888">
        <v>342.56299999999999</v>
      </c>
      <c r="D1506" s="882" t="s">
        <v>2598</v>
      </c>
    </row>
    <row r="1507" spans="1:4" s="891" customFormat="1" ht="11.25" customHeight="1" x14ac:dyDescent="0.2">
      <c r="A1507" s="1471"/>
      <c r="B1507" s="885">
        <v>956.29</v>
      </c>
      <c r="C1507" s="885">
        <v>956.28500000000008</v>
      </c>
      <c r="D1507" s="880" t="s">
        <v>2597</v>
      </c>
    </row>
    <row r="1508" spans="1:4" s="891" customFormat="1" ht="11.25" customHeight="1" x14ac:dyDescent="0.2">
      <c r="A1508" s="1471"/>
      <c r="B1508" s="885">
        <v>8452</v>
      </c>
      <c r="C1508" s="885">
        <v>8452</v>
      </c>
      <c r="D1508" s="880" t="s">
        <v>1465</v>
      </c>
    </row>
    <row r="1509" spans="1:4" s="891" customFormat="1" ht="11.25" customHeight="1" x14ac:dyDescent="0.2">
      <c r="A1509" s="1471"/>
      <c r="B1509" s="885">
        <v>1956</v>
      </c>
      <c r="C1509" s="885">
        <v>1956</v>
      </c>
      <c r="D1509" s="880" t="s">
        <v>2587</v>
      </c>
    </row>
    <row r="1510" spans="1:4" s="891" customFormat="1" ht="11.25" customHeight="1" x14ac:dyDescent="0.2">
      <c r="A1510" s="1471"/>
      <c r="B1510" s="885">
        <v>19</v>
      </c>
      <c r="C1510" s="885">
        <v>19</v>
      </c>
      <c r="D1510" s="880" t="s">
        <v>2586</v>
      </c>
    </row>
    <row r="1511" spans="1:4" s="891" customFormat="1" ht="11.25" customHeight="1" x14ac:dyDescent="0.2">
      <c r="A1511" s="1471"/>
      <c r="B1511" s="885">
        <v>42.47</v>
      </c>
      <c r="C1511" s="885">
        <v>42.469000000000001</v>
      </c>
      <c r="D1511" s="880" t="s">
        <v>1456</v>
      </c>
    </row>
    <row r="1512" spans="1:4" s="891" customFormat="1" ht="11.25" customHeight="1" x14ac:dyDescent="0.2">
      <c r="A1512" s="1471"/>
      <c r="B1512" s="885">
        <v>246.1</v>
      </c>
      <c r="C1512" s="885">
        <v>246.102</v>
      </c>
      <c r="D1512" s="880" t="s">
        <v>1453</v>
      </c>
    </row>
    <row r="1513" spans="1:4" s="891" customFormat="1" ht="11.25" customHeight="1" x14ac:dyDescent="0.2">
      <c r="A1513" s="1473"/>
      <c r="B1513" s="887">
        <v>12014.42</v>
      </c>
      <c r="C1513" s="887">
        <v>12014.419</v>
      </c>
      <c r="D1513" s="886" t="s">
        <v>11</v>
      </c>
    </row>
    <row r="1514" spans="1:4" s="891" customFormat="1" ht="11.25" customHeight="1" x14ac:dyDescent="0.2">
      <c r="A1514" s="1471" t="s">
        <v>1735</v>
      </c>
      <c r="B1514" s="885">
        <v>83</v>
      </c>
      <c r="C1514" s="885">
        <v>83</v>
      </c>
      <c r="D1514" s="880" t="s">
        <v>540</v>
      </c>
    </row>
    <row r="1515" spans="1:4" s="891" customFormat="1" ht="11.25" customHeight="1" x14ac:dyDescent="0.2">
      <c r="A1515" s="1471"/>
      <c r="B1515" s="885">
        <v>31045</v>
      </c>
      <c r="C1515" s="885">
        <v>31045</v>
      </c>
      <c r="D1515" s="880" t="s">
        <v>1465</v>
      </c>
    </row>
    <row r="1516" spans="1:4" s="891" customFormat="1" ht="11.25" customHeight="1" x14ac:dyDescent="0.2">
      <c r="A1516" s="1471"/>
      <c r="B1516" s="885">
        <v>3454</v>
      </c>
      <c r="C1516" s="885">
        <v>3454</v>
      </c>
      <c r="D1516" s="880" t="s">
        <v>2587</v>
      </c>
    </row>
    <row r="1517" spans="1:4" s="891" customFormat="1" ht="11.25" customHeight="1" x14ac:dyDescent="0.2">
      <c r="A1517" s="1471"/>
      <c r="B1517" s="885">
        <v>468</v>
      </c>
      <c r="C1517" s="885">
        <v>468</v>
      </c>
      <c r="D1517" s="880" t="s">
        <v>2586</v>
      </c>
    </row>
    <row r="1518" spans="1:4" s="891" customFormat="1" ht="11.25" customHeight="1" x14ac:dyDescent="0.2">
      <c r="A1518" s="1471"/>
      <c r="B1518" s="885">
        <v>2500</v>
      </c>
      <c r="C1518" s="885">
        <v>2344.0267999999996</v>
      </c>
      <c r="D1518" s="880" t="s">
        <v>2601</v>
      </c>
    </row>
    <row r="1519" spans="1:4" s="891" customFormat="1" ht="11.25" customHeight="1" x14ac:dyDescent="0.2">
      <c r="A1519" s="1471"/>
      <c r="B1519" s="885">
        <v>250</v>
      </c>
      <c r="C1519" s="885">
        <v>250</v>
      </c>
      <c r="D1519" s="880" t="s">
        <v>580</v>
      </c>
    </row>
    <row r="1520" spans="1:4" s="891" customFormat="1" ht="11.25" customHeight="1" x14ac:dyDescent="0.2">
      <c r="A1520" s="1471"/>
      <c r="B1520" s="885">
        <v>24.6</v>
      </c>
      <c r="C1520" s="885">
        <v>24.6</v>
      </c>
      <c r="D1520" s="880" t="s">
        <v>2600</v>
      </c>
    </row>
    <row r="1521" spans="1:4" s="891" customFormat="1" ht="11.25" customHeight="1" x14ac:dyDescent="0.2">
      <c r="A1521" s="1471"/>
      <c r="B1521" s="885">
        <v>157.91999999999999</v>
      </c>
      <c r="C1521" s="885">
        <v>157.91900000000001</v>
      </c>
      <c r="D1521" s="880" t="s">
        <v>1456</v>
      </c>
    </row>
    <row r="1522" spans="1:4" s="891" customFormat="1" ht="11.25" customHeight="1" x14ac:dyDescent="0.2">
      <c r="A1522" s="1471"/>
      <c r="B1522" s="885">
        <v>865.7</v>
      </c>
      <c r="C1522" s="885">
        <v>865.70399999999995</v>
      </c>
      <c r="D1522" s="880" t="s">
        <v>1453</v>
      </c>
    </row>
    <row r="1523" spans="1:4" s="891" customFormat="1" ht="11.25" customHeight="1" x14ac:dyDescent="0.2">
      <c r="A1523" s="1471"/>
      <c r="B1523" s="885">
        <v>38848.219999999994</v>
      </c>
      <c r="C1523" s="885">
        <v>38692.249799999998</v>
      </c>
      <c r="D1523" s="880" t="s">
        <v>11</v>
      </c>
    </row>
    <row r="1524" spans="1:4" s="891" customFormat="1" ht="11.25" customHeight="1" x14ac:dyDescent="0.2">
      <c r="A1524" s="1472" t="s">
        <v>1762</v>
      </c>
      <c r="B1524" s="888">
        <v>5369</v>
      </c>
      <c r="C1524" s="888">
        <v>5369</v>
      </c>
      <c r="D1524" s="882" t="s">
        <v>1465</v>
      </c>
    </row>
    <row r="1525" spans="1:4" s="891" customFormat="1" ht="11.25" customHeight="1" x14ac:dyDescent="0.2">
      <c r="A1525" s="1471"/>
      <c r="B1525" s="885">
        <v>733</v>
      </c>
      <c r="C1525" s="885">
        <v>733</v>
      </c>
      <c r="D1525" s="880" t="s">
        <v>2587</v>
      </c>
    </row>
    <row r="1526" spans="1:4" s="891" customFormat="1" ht="11.25" customHeight="1" x14ac:dyDescent="0.2">
      <c r="A1526" s="1471"/>
      <c r="B1526" s="885">
        <v>14</v>
      </c>
      <c r="C1526" s="885">
        <v>14</v>
      </c>
      <c r="D1526" s="880" t="s">
        <v>2586</v>
      </c>
    </row>
    <row r="1527" spans="1:4" s="891" customFormat="1" ht="11.25" customHeight="1" x14ac:dyDescent="0.2">
      <c r="A1527" s="1471"/>
      <c r="B1527" s="885">
        <v>27.28</v>
      </c>
      <c r="C1527" s="885">
        <v>27.274999999999999</v>
      </c>
      <c r="D1527" s="880" t="s">
        <v>1456</v>
      </c>
    </row>
    <row r="1528" spans="1:4" s="891" customFormat="1" ht="11.25" customHeight="1" x14ac:dyDescent="0.2">
      <c r="A1528" s="1471"/>
      <c r="B1528" s="885">
        <v>203.85</v>
      </c>
      <c r="C1528" s="885">
        <v>203.85300000000001</v>
      </c>
      <c r="D1528" s="880" t="s">
        <v>1453</v>
      </c>
    </row>
    <row r="1529" spans="1:4" s="891" customFormat="1" ht="11.25" customHeight="1" x14ac:dyDescent="0.2">
      <c r="A1529" s="1473"/>
      <c r="B1529" s="887">
        <v>6347.13</v>
      </c>
      <c r="C1529" s="887">
        <v>6347.1279999999997</v>
      </c>
      <c r="D1529" s="886" t="s">
        <v>11</v>
      </c>
    </row>
    <row r="1530" spans="1:4" s="891" customFormat="1" ht="11.25" customHeight="1" x14ac:dyDescent="0.2">
      <c r="A1530" s="1471" t="s">
        <v>1751</v>
      </c>
      <c r="B1530" s="885">
        <v>171.28</v>
      </c>
      <c r="C1530" s="885">
        <v>171.28200000000001</v>
      </c>
      <c r="D1530" s="880" t="s">
        <v>2598</v>
      </c>
    </row>
    <row r="1531" spans="1:4" s="891" customFormat="1" ht="11.25" customHeight="1" x14ac:dyDescent="0.2">
      <c r="A1531" s="1471"/>
      <c r="B1531" s="885">
        <v>350</v>
      </c>
      <c r="C1531" s="885">
        <v>350</v>
      </c>
      <c r="D1531" s="880" t="s">
        <v>2599</v>
      </c>
    </row>
    <row r="1532" spans="1:4" s="891" customFormat="1" ht="11.25" customHeight="1" x14ac:dyDescent="0.2">
      <c r="A1532" s="1471"/>
      <c r="B1532" s="885">
        <v>125</v>
      </c>
      <c r="C1532" s="885">
        <v>125</v>
      </c>
      <c r="D1532" s="880" t="s">
        <v>1420</v>
      </c>
    </row>
    <row r="1533" spans="1:4" s="891" customFormat="1" ht="11.25" customHeight="1" x14ac:dyDescent="0.2">
      <c r="A1533" s="1471"/>
      <c r="B1533" s="885">
        <v>17651</v>
      </c>
      <c r="C1533" s="885">
        <v>17651</v>
      </c>
      <c r="D1533" s="880" t="s">
        <v>1465</v>
      </c>
    </row>
    <row r="1534" spans="1:4" s="891" customFormat="1" ht="11.25" customHeight="1" x14ac:dyDescent="0.2">
      <c r="A1534" s="1471"/>
      <c r="B1534" s="885">
        <v>5739</v>
      </c>
      <c r="C1534" s="885">
        <v>5739</v>
      </c>
      <c r="D1534" s="880" t="s">
        <v>2587</v>
      </c>
    </row>
    <row r="1535" spans="1:4" s="891" customFormat="1" ht="11.25" customHeight="1" x14ac:dyDescent="0.2">
      <c r="A1535" s="1471"/>
      <c r="B1535" s="885">
        <v>418</v>
      </c>
      <c r="C1535" s="885">
        <v>418</v>
      </c>
      <c r="D1535" s="880" t="s">
        <v>2586</v>
      </c>
    </row>
    <row r="1536" spans="1:4" s="891" customFormat="1" ht="11.25" customHeight="1" x14ac:dyDescent="0.2">
      <c r="A1536" s="1471"/>
      <c r="B1536" s="885">
        <v>90.4</v>
      </c>
      <c r="C1536" s="885">
        <v>90.397999999999996</v>
      </c>
      <c r="D1536" s="880" t="s">
        <v>1456</v>
      </c>
    </row>
    <row r="1537" spans="1:4" s="891" customFormat="1" ht="11.25" customHeight="1" x14ac:dyDescent="0.2">
      <c r="A1537" s="1471"/>
      <c r="B1537" s="885">
        <v>394.3</v>
      </c>
      <c r="C1537" s="885">
        <v>394.3</v>
      </c>
      <c r="D1537" s="880" t="s">
        <v>1453</v>
      </c>
    </row>
    <row r="1538" spans="1:4" s="891" customFormat="1" ht="11.25" customHeight="1" x14ac:dyDescent="0.2">
      <c r="A1538" s="1471"/>
      <c r="B1538" s="885">
        <v>24938.98</v>
      </c>
      <c r="C1538" s="885">
        <v>24938.98</v>
      </c>
      <c r="D1538" s="880" t="s">
        <v>11</v>
      </c>
    </row>
    <row r="1539" spans="1:4" s="891" customFormat="1" ht="11.25" customHeight="1" x14ac:dyDescent="0.2">
      <c r="A1539" s="1472" t="s">
        <v>1752</v>
      </c>
      <c r="B1539" s="888">
        <v>513.85</v>
      </c>
      <c r="C1539" s="888">
        <v>513.84500000000003</v>
      </c>
      <c r="D1539" s="882" t="s">
        <v>2598</v>
      </c>
    </row>
    <row r="1540" spans="1:4" s="891" customFormat="1" ht="11.25" customHeight="1" x14ac:dyDescent="0.2">
      <c r="A1540" s="1471"/>
      <c r="B1540" s="885">
        <v>247.32</v>
      </c>
      <c r="C1540" s="885">
        <v>247.31299999999999</v>
      </c>
      <c r="D1540" s="880" t="s">
        <v>2597</v>
      </c>
    </row>
    <row r="1541" spans="1:4" s="891" customFormat="1" ht="11.25" customHeight="1" x14ac:dyDescent="0.2">
      <c r="A1541" s="1471"/>
      <c r="B1541" s="885">
        <v>9431</v>
      </c>
      <c r="C1541" s="885">
        <v>9431</v>
      </c>
      <c r="D1541" s="880" t="s">
        <v>1465</v>
      </c>
    </row>
    <row r="1542" spans="1:4" s="891" customFormat="1" ht="11.25" customHeight="1" x14ac:dyDescent="0.2">
      <c r="A1542" s="1471"/>
      <c r="B1542" s="885">
        <v>1406</v>
      </c>
      <c r="C1542" s="885">
        <v>1406</v>
      </c>
      <c r="D1542" s="880" t="s">
        <v>2587</v>
      </c>
    </row>
    <row r="1543" spans="1:4" s="891" customFormat="1" ht="11.25" customHeight="1" x14ac:dyDescent="0.2">
      <c r="A1543" s="1471"/>
      <c r="B1543" s="885">
        <v>108</v>
      </c>
      <c r="C1543" s="885">
        <v>108</v>
      </c>
      <c r="D1543" s="880" t="s">
        <v>2586</v>
      </c>
    </row>
    <row r="1544" spans="1:4" s="891" customFormat="1" ht="11.25" customHeight="1" x14ac:dyDescent="0.2">
      <c r="A1544" s="1471"/>
      <c r="B1544" s="885">
        <v>47.73</v>
      </c>
      <c r="C1544" s="885">
        <v>47.726999999999997</v>
      </c>
      <c r="D1544" s="880" t="s">
        <v>1456</v>
      </c>
    </row>
    <row r="1545" spans="1:4" s="891" customFormat="1" ht="11.25" customHeight="1" x14ac:dyDescent="0.2">
      <c r="A1545" s="1471"/>
      <c r="B1545" s="885">
        <v>345.47</v>
      </c>
      <c r="C1545" s="885">
        <v>345.47300000000001</v>
      </c>
      <c r="D1545" s="880" t="s">
        <v>1453</v>
      </c>
    </row>
    <row r="1546" spans="1:4" s="891" customFormat="1" ht="11.25" customHeight="1" x14ac:dyDescent="0.2">
      <c r="A1546" s="1473"/>
      <c r="B1546" s="887">
        <v>12099.369999999999</v>
      </c>
      <c r="C1546" s="887">
        <v>12099.358</v>
      </c>
      <c r="D1546" s="886" t="s">
        <v>11</v>
      </c>
    </row>
    <row r="1547" spans="1:4" s="891" customFormat="1" ht="11.25" customHeight="1" x14ac:dyDescent="0.2">
      <c r="A1547" s="1471" t="s">
        <v>1791</v>
      </c>
      <c r="B1547" s="885">
        <v>17519</v>
      </c>
      <c r="C1547" s="885">
        <v>17519</v>
      </c>
      <c r="D1547" s="880" t="s">
        <v>1465</v>
      </c>
    </row>
    <row r="1548" spans="1:4" s="891" customFormat="1" ht="11.25" customHeight="1" x14ac:dyDescent="0.2">
      <c r="A1548" s="1471"/>
      <c r="B1548" s="885">
        <v>90.67</v>
      </c>
      <c r="C1548" s="885">
        <v>90.67</v>
      </c>
      <c r="D1548" s="880" t="s">
        <v>1456</v>
      </c>
    </row>
    <row r="1549" spans="1:4" s="891" customFormat="1" ht="11.25" customHeight="1" x14ac:dyDescent="0.2">
      <c r="A1549" s="1471"/>
      <c r="B1549" s="885">
        <v>574.62</v>
      </c>
      <c r="C1549" s="885">
        <v>574.62199999999996</v>
      </c>
      <c r="D1549" s="880" t="s">
        <v>1453</v>
      </c>
    </row>
    <row r="1550" spans="1:4" s="891" customFormat="1" ht="11.25" customHeight="1" x14ac:dyDescent="0.2">
      <c r="A1550" s="1471"/>
      <c r="B1550" s="885">
        <v>18184.289999999997</v>
      </c>
      <c r="C1550" s="885">
        <v>18184.291999999998</v>
      </c>
      <c r="D1550" s="880" t="s">
        <v>11</v>
      </c>
    </row>
    <row r="1551" spans="1:4" s="891" customFormat="1" ht="11.25" customHeight="1" x14ac:dyDescent="0.2">
      <c r="A1551" s="1472" t="s">
        <v>1788</v>
      </c>
      <c r="B1551" s="888">
        <v>33</v>
      </c>
      <c r="C1551" s="888">
        <v>33</v>
      </c>
      <c r="D1551" s="882" t="s">
        <v>2589</v>
      </c>
    </row>
    <row r="1552" spans="1:4" s="891" customFormat="1" ht="11.25" customHeight="1" x14ac:dyDescent="0.2">
      <c r="A1552" s="1471"/>
      <c r="B1552" s="885">
        <v>17035</v>
      </c>
      <c r="C1552" s="885">
        <v>17035</v>
      </c>
      <c r="D1552" s="880" t="s">
        <v>1465</v>
      </c>
    </row>
    <row r="1553" spans="1:4" s="891" customFormat="1" ht="11.25" customHeight="1" x14ac:dyDescent="0.2">
      <c r="A1553" s="1471"/>
      <c r="B1553" s="885">
        <v>82.39</v>
      </c>
      <c r="C1553" s="885">
        <v>82.391999999999996</v>
      </c>
      <c r="D1553" s="880" t="s">
        <v>1456</v>
      </c>
    </row>
    <row r="1554" spans="1:4" s="891" customFormat="1" ht="11.25" customHeight="1" x14ac:dyDescent="0.2">
      <c r="A1554" s="1471"/>
      <c r="B1554" s="885">
        <v>459.36</v>
      </c>
      <c r="C1554" s="885">
        <v>459.35899999999998</v>
      </c>
      <c r="D1554" s="880" t="s">
        <v>1453</v>
      </c>
    </row>
    <row r="1555" spans="1:4" s="891" customFormat="1" ht="11.25" customHeight="1" x14ac:dyDescent="0.2">
      <c r="A1555" s="1473"/>
      <c r="B1555" s="887">
        <v>17609.75</v>
      </c>
      <c r="C1555" s="887">
        <v>17609.751</v>
      </c>
      <c r="D1555" s="886" t="s">
        <v>11</v>
      </c>
    </row>
    <row r="1556" spans="1:4" s="891" customFormat="1" ht="11.25" customHeight="1" x14ac:dyDescent="0.2">
      <c r="A1556" s="1471" t="s">
        <v>1768</v>
      </c>
      <c r="B1556" s="885">
        <v>16132</v>
      </c>
      <c r="C1556" s="885">
        <v>16132</v>
      </c>
      <c r="D1556" s="880" t="s">
        <v>1465</v>
      </c>
    </row>
    <row r="1557" spans="1:4" s="891" customFormat="1" ht="11.25" customHeight="1" x14ac:dyDescent="0.2">
      <c r="A1557" s="1471"/>
      <c r="B1557" s="885">
        <v>80.14</v>
      </c>
      <c r="C1557" s="885">
        <v>80.141999999999996</v>
      </c>
      <c r="D1557" s="880" t="s">
        <v>1456</v>
      </c>
    </row>
    <row r="1558" spans="1:4" s="891" customFormat="1" ht="11.25" customHeight="1" x14ac:dyDescent="0.2">
      <c r="A1558" s="1471"/>
      <c r="B1558" s="885">
        <v>492.89</v>
      </c>
      <c r="C1558" s="885">
        <v>492.89299999999997</v>
      </c>
      <c r="D1558" s="880" t="s">
        <v>1453</v>
      </c>
    </row>
    <row r="1559" spans="1:4" s="891" customFormat="1" ht="11.25" customHeight="1" x14ac:dyDescent="0.2">
      <c r="A1559" s="1471"/>
      <c r="B1559" s="885">
        <v>16705.04</v>
      </c>
      <c r="C1559" s="885">
        <v>16705.035</v>
      </c>
      <c r="D1559" s="880" t="s">
        <v>11</v>
      </c>
    </row>
    <row r="1560" spans="1:4" s="891" customFormat="1" ht="11.25" customHeight="1" x14ac:dyDescent="0.2">
      <c r="A1560" s="1472" t="s">
        <v>1772</v>
      </c>
      <c r="B1560" s="888">
        <v>21.36</v>
      </c>
      <c r="C1560" s="888">
        <v>20.472000000000001</v>
      </c>
      <c r="D1560" s="882" t="s">
        <v>2596</v>
      </c>
    </row>
    <row r="1561" spans="1:4" s="891" customFormat="1" ht="11.25" customHeight="1" x14ac:dyDescent="0.2">
      <c r="A1561" s="1471"/>
      <c r="B1561" s="885">
        <v>13128</v>
      </c>
      <c r="C1561" s="885">
        <v>13128</v>
      </c>
      <c r="D1561" s="880" t="s">
        <v>1465</v>
      </c>
    </row>
    <row r="1562" spans="1:4" s="891" customFormat="1" ht="11.25" customHeight="1" x14ac:dyDescent="0.2">
      <c r="A1562" s="1471"/>
      <c r="B1562" s="885">
        <v>66.540000000000006</v>
      </c>
      <c r="C1562" s="885">
        <v>66.542000000000002</v>
      </c>
      <c r="D1562" s="880" t="s">
        <v>1456</v>
      </c>
    </row>
    <row r="1563" spans="1:4" s="891" customFormat="1" ht="11.25" customHeight="1" x14ac:dyDescent="0.2">
      <c r="A1563" s="1471"/>
      <c r="B1563" s="885">
        <v>415.17</v>
      </c>
      <c r="C1563" s="885">
        <v>415.16500000000002</v>
      </c>
      <c r="D1563" s="880" t="s">
        <v>1453</v>
      </c>
    </row>
    <row r="1564" spans="1:4" s="891" customFormat="1" ht="11.25" customHeight="1" x14ac:dyDescent="0.2">
      <c r="A1564" s="1473"/>
      <c r="B1564" s="887">
        <v>13631.070000000002</v>
      </c>
      <c r="C1564" s="887">
        <v>13630.179</v>
      </c>
      <c r="D1564" s="886" t="s">
        <v>11</v>
      </c>
    </row>
    <row r="1565" spans="1:4" s="891" customFormat="1" ht="11.25" customHeight="1" x14ac:dyDescent="0.2">
      <c r="A1565" s="1471" t="s">
        <v>1782</v>
      </c>
      <c r="B1565" s="885">
        <v>9471</v>
      </c>
      <c r="C1565" s="885">
        <v>9471</v>
      </c>
      <c r="D1565" s="880" t="s">
        <v>1465</v>
      </c>
    </row>
    <row r="1566" spans="1:4" s="891" customFormat="1" ht="11.25" customHeight="1" x14ac:dyDescent="0.2">
      <c r="A1566" s="1471"/>
      <c r="B1566" s="885">
        <v>47.35</v>
      </c>
      <c r="C1566" s="885">
        <v>47.348999999999997</v>
      </c>
      <c r="D1566" s="880" t="s">
        <v>1456</v>
      </c>
    </row>
    <row r="1567" spans="1:4" s="891" customFormat="1" ht="11.25" customHeight="1" x14ac:dyDescent="0.2">
      <c r="A1567" s="1471"/>
      <c r="B1567" s="885">
        <v>302.25</v>
      </c>
      <c r="C1567" s="885">
        <v>302.25200000000001</v>
      </c>
      <c r="D1567" s="880" t="s">
        <v>1453</v>
      </c>
    </row>
    <row r="1568" spans="1:4" s="891" customFormat="1" ht="11.25" customHeight="1" x14ac:dyDescent="0.2">
      <c r="A1568" s="1471"/>
      <c r="B1568" s="885">
        <v>9820.6</v>
      </c>
      <c r="C1568" s="885">
        <v>9820.6010000000006</v>
      </c>
      <c r="D1568" s="880" t="s">
        <v>11</v>
      </c>
    </row>
    <row r="1569" spans="1:4" s="891" customFormat="1" ht="11.25" customHeight="1" x14ac:dyDescent="0.2">
      <c r="A1569" s="1472" t="s">
        <v>1801</v>
      </c>
      <c r="B1569" s="888">
        <v>300</v>
      </c>
      <c r="C1569" s="888">
        <v>281.61900000000003</v>
      </c>
      <c r="D1569" s="882" t="s">
        <v>2595</v>
      </c>
    </row>
    <row r="1570" spans="1:4" s="891" customFormat="1" ht="11.25" customHeight="1" x14ac:dyDescent="0.2">
      <c r="A1570" s="1471"/>
      <c r="B1570" s="885">
        <v>11138</v>
      </c>
      <c r="C1570" s="885">
        <v>11138</v>
      </c>
      <c r="D1570" s="880" t="s">
        <v>1465</v>
      </c>
    </row>
    <row r="1571" spans="1:4" s="891" customFormat="1" ht="11.25" customHeight="1" x14ac:dyDescent="0.2">
      <c r="A1571" s="1471"/>
      <c r="B1571" s="885">
        <v>57.13</v>
      </c>
      <c r="C1571" s="885">
        <v>57.13</v>
      </c>
      <c r="D1571" s="880" t="s">
        <v>1456</v>
      </c>
    </row>
    <row r="1572" spans="1:4" s="891" customFormat="1" ht="11.25" customHeight="1" x14ac:dyDescent="0.2">
      <c r="A1572" s="1471"/>
      <c r="B1572" s="885">
        <v>360.8</v>
      </c>
      <c r="C1572" s="885">
        <v>360.79899999999998</v>
      </c>
      <c r="D1572" s="880" t="s">
        <v>1453</v>
      </c>
    </row>
    <row r="1573" spans="1:4" s="891" customFormat="1" ht="11.25" customHeight="1" x14ac:dyDescent="0.2">
      <c r="A1573" s="1473"/>
      <c r="B1573" s="887">
        <v>11855.929999999998</v>
      </c>
      <c r="C1573" s="887">
        <v>11837.547999999999</v>
      </c>
      <c r="D1573" s="886" t="s">
        <v>11</v>
      </c>
    </row>
    <row r="1574" spans="1:4" s="891" customFormat="1" ht="11.25" customHeight="1" x14ac:dyDescent="0.2">
      <c r="A1574" s="1471" t="s">
        <v>1792</v>
      </c>
      <c r="B1574" s="885">
        <v>95</v>
      </c>
      <c r="C1574" s="885">
        <v>95</v>
      </c>
      <c r="D1574" s="880" t="s">
        <v>2594</v>
      </c>
    </row>
    <row r="1575" spans="1:4" s="891" customFormat="1" ht="11.25" customHeight="1" x14ac:dyDescent="0.2">
      <c r="A1575" s="1471"/>
      <c r="B1575" s="885">
        <v>8056</v>
      </c>
      <c r="C1575" s="885">
        <v>8056</v>
      </c>
      <c r="D1575" s="880" t="s">
        <v>1465</v>
      </c>
    </row>
    <row r="1576" spans="1:4" s="891" customFormat="1" ht="11.25" customHeight="1" x14ac:dyDescent="0.2">
      <c r="A1576" s="1471"/>
      <c r="B1576" s="885">
        <v>195</v>
      </c>
      <c r="C1576" s="885">
        <v>195</v>
      </c>
      <c r="D1576" s="880" t="s">
        <v>1461</v>
      </c>
    </row>
    <row r="1577" spans="1:4" s="891" customFormat="1" ht="11.25" customHeight="1" x14ac:dyDescent="0.2">
      <c r="A1577" s="1471"/>
      <c r="B1577" s="885">
        <v>41.02</v>
      </c>
      <c r="C1577" s="885">
        <v>41.021000000000001</v>
      </c>
      <c r="D1577" s="880" t="s">
        <v>1456</v>
      </c>
    </row>
    <row r="1578" spans="1:4" s="891" customFormat="1" ht="11.25" customHeight="1" x14ac:dyDescent="0.2">
      <c r="A1578" s="1471"/>
      <c r="B1578" s="885">
        <v>273.61</v>
      </c>
      <c r="C1578" s="885">
        <v>273.61</v>
      </c>
      <c r="D1578" s="880" t="s">
        <v>1453</v>
      </c>
    </row>
    <row r="1579" spans="1:4" s="891" customFormat="1" ht="11.25" customHeight="1" x14ac:dyDescent="0.2">
      <c r="A1579" s="1471"/>
      <c r="B1579" s="885">
        <v>8660.630000000001</v>
      </c>
      <c r="C1579" s="885">
        <v>8660.6310000000012</v>
      </c>
      <c r="D1579" s="880" t="s">
        <v>11</v>
      </c>
    </row>
    <row r="1580" spans="1:4" s="891" customFormat="1" ht="11.25" customHeight="1" x14ac:dyDescent="0.2">
      <c r="A1580" s="1472" t="s">
        <v>1809</v>
      </c>
      <c r="B1580" s="888">
        <v>9383</v>
      </c>
      <c r="C1580" s="888">
        <v>9383</v>
      </c>
      <c r="D1580" s="882" t="s">
        <v>1465</v>
      </c>
    </row>
    <row r="1581" spans="1:4" s="891" customFormat="1" ht="11.25" customHeight="1" x14ac:dyDescent="0.2">
      <c r="A1581" s="1471"/>
      <c r="B1581" s="885">
        <v>47.66</v>
      </c>
      <c r="C1581" s="885">
        <v>47.662999999999997</v>
      </c>
      <c r="D1581" s="880" t="s">
        <v>1456</v>
      </c>
    </row>
    <row r="1582" spans="1:4" s="891" customFormat="1" ht="11.25" customHeight="1" x14ac:dyDescent="0.2">
      <c r="A1582" s="1471"/>
      <c r="B1582" s="885">
        <v>289.02999999999997</v>
      </c>
      <c r="C1582" s="885">
        <v>289.03199999999998</v>
      </c>
      <c r="D1582" s="880" t="s">
        <v>1453</v>
      </c>
    </row>
    <row r="1583" spans="1:4" s="891" customFormat="1" ht="11.25" customHeight="1" x14ac:dyDescent="0.2">
      <c r="A1583" s="1473"/>
      <c r="B1583" s="887">
        <v>9719.69</v>
      </c>
      <c r="C1583" s="887">
        <v>9719.6949999999997</v>
      </c>
      <c r="D1583" s="886" t="s">
        <v>11</v>
      </c>
    </row>
    <row r="1584" spans="1:4" s="891" customFormat="1" ht="11.25" customHeight="1" x14ac:dyDescent="0.2">
      <c r="A1584" s="1471" t="s">
        <v>1790</v>
      </c>
      <c r="B1584" s="885">
        <v>14349</v>
      </c>
      <c r="C1584" s="885">
        <v>14349</v>
      </c>
      <c r="D1584" s="880" t="s">
        <v>1465</v>
      </c>
    </row>
    <row r="1585" spans="1:4" s="891" customFormat="1" ht="11.25" customHeight="1" x14ac:dyDescent="0.2">
      <c r="A1585" s="1471"/>
      <c r="B1585" s="885">
        <v>72.92</v>
      </c>
      <c r="C1585" s="885">
        <v>72.918999999999997</v>
      </c>
      <c r="D1585" s="880" t="s">
        <v>1456</v>
      </c>
    </row>
    <row r="1586" spans="1:4" s="891" customFormat="1" ht="11.25" customHeight="1" x14ac:dyDescent="0.2">
      <c r="A1586" s="1471"/>
      <c r="B1586" s="885">
        <v>436.99</v>
      </c>
      <c r="C1586" s="885">
        <v>436.98700000000002</v>
      </c>
      <c r="D1586" s="880" t="s">
        <v>1453</v>
      </c>
    </row>
    <row r="1587" spans="1:4" s="891" customFormat="1" ht="11.25" customHeight="1" x14ac:dyDescent="0.2">
      <c r="A1587" s="1471"/>
      <c r="B1587" s="885">
        <v>14858.91</v>
      </c>
      <c r="C1587" s="885">
        <v>14858.905999999999</v>
      </c>
      <c r="D1587" s="880" t="s">
        <v>11</v>
      </c>
    </row>
    <row r="1588" spans="1:4" s="891" customFormat="1" ht="11.25" customHeight="1" x14ac:dyDescent="0.2">
      <c r="A1588" s="1472" t="s">
        <v>1778</v>
      </c>
      <c r="B1588" s="888">
        <v>9437</v>
      </c>
      <c r="C1588" s="888">
        <v>9437</v>
      </c>
      <c r="D1588" s="882" t="s">
        <v>1465</v>
      </c>
    </row>
    <row r="1589" spans="1:4" s="891" customFormat="1" ht="11.25" customHeight="1" x14ac:dyDescent="0.2">
      <c r="A1589" s="1471"/>
      <c r="B1589" s="885">
        <v>47.38</v>
      </c>
      <c r="C1589" s="885">
        <v>47.377000000000002</v>
      </c>
      <c r="D1589" s="880" t="s">
        <v>1456</v>
      </c>
    </row>
    <row r="1590" spans="1:4" s="891" customFormat="1" ht="11.25" customHeight="1" x14ac:dyDescent="0.2">
      <c r="A1590" s="1471"/>
      <c r="B1590" s="885">
        <v>315.29000000000002</v>
      </c>
      <c r="C1590" s="885">
        <v>315.29300000000001</v>
      </c>
      <c r="D1590" s="880" t="s">
        <v>1453</v>
      </c>
    </row>
    <row r="1591" spans="1:4" s="891" customFormat="1" ht="11.25" customHeight="1" x14ac:dyDescent="0.2">
      <c r="A1591" s="1473"/>
      <c r="B1591" s="887">
        <v>9799.67</v>
      </c>
      <c r="C1591" s="887">
        <v>9799.67</v>
      </c>
      <c r="D1591" s="886" t="s">
        <v>11</v>
      </c>
    </row>
    <row r="1592" spans="1:4" s="891" customFormat="1" ht="11.25" customHeight="1" x14ac:dyDescent="0.2">
      <c r="A1592" s="1471" t="s">
        <v>1804</v>
      </c>
      <c r="B1592" s="885">
        <v>12402</v>
      </c>
      <c r="C1592" s="885">
        <v>12402</v>
      </c>
      <c r="D1592" s="880" t="s">
        <v>1465</v>
      </c>
    </row>
    <row r="1593" spans="1:4" s="891" customFormat="1" ht="11.25" customHeight="1" x14ac:dyDescent="0.2">
      <c r="A1593" s="1471"/>
      <c r="B1593" s="885">
        <v>61.99</v>
      </c>
      <c r="C1593" s="885">
        <v>61.988999999999997</v>
      </c>
      <c r="D1593" s="880" t="s">
        <v>1456</v>
      </c>
    </row>
    <row r="1594" spans="1:4" s="891" customFormat="1" ht="11.25" customHeight="1" x14ac:dyDescent="0.2">
      <c r="A1594" s="1471"/>
      <c r="B1594" s="885">
        <v>403.47</v>
      </c>
      <c r="C1594" s="885">
        <v>403.46899999999999</v>
      </c>
      <c r="D1594" s="880" t="s">
        <v>1453</v>
      </c>
    </row>
    <row r="1595" spans="1:4" s="891" customFormat="1" ht="11.25" customHeight="1" x14ac:dyDescent="0.2">
      <c r="A1595" s="1471"/>
      <c r="B1595" s="885">
        <v>12867.46</v>
      </c>
      <c r="C1595" s="885">
        <v>12867.457999999999</v>
      </c>
      <c r="D1595" s="880" t="s">
        <v>11</v>
      </c>
    </row>
    <row r="1596" spans="1:4" s="891" customFormat="1" ht="11.25" customHeight="1" x14ac:dyDescent="0.2">
      <c r="A1596" s="1472" t="s">
        <v>1786</v>
      </c>
      <c r="B1596" s="888">
        <v>17701</v>
      </c>
      <c r="C1596" s="888">
        <v>17701</v>
      </c>
      <c r="D1596" s="882" t="s">
        <v>1465</v>
      </c>
    </row>
    <row r="1597" spans="1:4" s="891" customFormat="1" ht="11.25" customHeight="1" x14ac:dyDescent="0.2">
      <c r="A1597" s="1471"/>
      <c r="B1597" s="885">
        <v>87.97</v>
      </c>
      <c r="C1597" s="885">
        <v>87.971999999999994</v>
      </c>
      <c r="D1597" s="880" t="s">
        <v>1456</v>
      </c>
    </row>
    <row r="1598" spans="1:4" s="891" customFormat="1" ht="11.25" customHeight="1" x14ac:dyDescent="0.2">
      <c r="A1598" s="1471"/>
      <c r="B1598" s="885">
        <v>510.52</v>
      </c>
      <c r="C1598" s="885">
        <v>510.51900000000001</v>
      </c>
      <c r="D1598" s="880" t="s">
        <v>1453</v>
      </c>
    </row>
    <row r="1599" spans="1:4" s="891" customFormat="1" ht="11.25" customHeight="1" x14ac:dyDescent="0.2">
      <c r="A1599" s="1473"/>
      <c r="B1599" s="887">
        <v>18299.490000000002</v>
      </c>
      <c r="C1599" s="887">
        <v>18299.491000000002</v>
      </c>
      <c r="D1599" s="886" t="s">
        <v>11</v>
      </c>
    </row>
    <row r="1600" spans="1:4" s="891" customFormat="1" ht="11.25" customHeight="1" x14ac:dyDescent="0.2">
      <c r="A1600" s="1471" t="s">
        <v>1806</v>
      </c>
      <c r="B1600" s="885">
        <v>20092</v>
      </c>
      <c r="C1600" s="885">
        <v>20092</v>
      </c>
      <c r="D1600" s="880" t="s">
        <v>1465</v>
      </c>
    </row>
    <row r="1601" spans="1:4" s="891" customFormat="1" ht="11.25" customHeight="1" x14ac:dyDescent="0.2">
      <c r="A1601" s="1471"/>
      <c r="B1601" s="885">
        <v>103.36</v>
      </c>
      <c r="C1601" s="885">
        <v>103.36199999999999</v>
      </c>
      <c r="D1601" s="880" t="s">
        <v>1456</v>
      </c>
    </row>
    <row r="1602" spans="1:4" s="891" customFormat="1" ht="11.25" customHeight="1" x14ac:dyDescent="0.2">
      <c r="A1602" s="1471"/>
      <c r="B1602" s="885">
        <v>630.9</v>
      </c>
      <c r="C1602" s="885">
        <v>630.90099999999995</v>
      </c>
      <c r="D1602" s="880" t="s">
        <v>1453</v>
      </c>
    </row>
    <row r="1603" spans="1:4" s="891" customFormat="1" ht="11.25" customHeight="1" x14ac:dyDescent="0.2">
      <c r="A1603" s="1471"/>
      <c r="B1603" s="885">
        <v>20826.260000000002</v>
      </c>
      <c r="C1603" s="885">
        <v>20826.263000000003</v>
      </c>
      <c r="D1603" s="880" t="s">
        <v>11</v>
      </c>
    </row>
    <row r="1604" spans="1:4" s="891" customFormat="1" ht="11.25" customHeight="1" x14ac:dyDescent="0.2">
      <c r="A1604" s="1472" t="s">
        <v>1774</v>
      </c>
      <c r="B1604" s="888">
        <v>17218</v>
      </c>
      <c r="C1604" s="888">
        <v>17218</v>
      </c>
      <c r="D1604" s="882" t="s">
        <v>1465</v>
      </c>
    </row>
    <row r="1605" spans="1:4" s="891" customFormat="1" ht="11.25" customHeight="1" x14ac:dyDescent="0.2">
      <c r="A1605" s="1471"/>
      <c r="B1605" s="885">
        <v>84.06</v>
      </c>
      <c r="C1605" s="885">
        <v>84.057000000000002</v>
      </c>
      <c r="D1605" s="880" t="s">
        <v>1456</v>
      </c>
    </row>
    <row r="1606" spans="1:4" s="891" customFormat="1" ht="11.25" customHeight="1" x14ac:dyDescent="0.2">
      <c r="A1606" s="1471"/>
      <c r="B1606" s="885">
        <v>643.34</v>
      </c>
      <c r="C1606" s="885">
        <v>643.34299999999996</v>
      </c>
      <c r="D1606" s="880" t="s">
        <v>1453</v>
      </c>
    </row>
    <row r="1607" spans="1:4" s="891" customFormat="1" ht="11.25" customHeight="1" x14ac:dyDescent="0.2">
      <c r="A1607" s="1473"/>
      <c r="B1607" s="887">
        <v>17945.400000000001</v>
      </c>
      <c r="C1607" s="887">
        <v>17945.400000000001</v>
      </c>
      <c r="D1607" s="886" t="s">
        <v>11</v>
      </c>
    </row>
    <row r="1608" spans="1:4" s="891" customFormat="1" ht="11.25" customHeight="1" x14ac:dyDescent="0.2">
      <c r="A1608" s="1471" t="s">
        <v>1802</v>
      </c>
      <c r="B1608" s="885">
        <v>10364</v>
      </c>
      <c r="C1608" s="885">
        <v>10364</v>
      </c>
      <c r="D1608" s="880" t="s">
        <v>1465</v>
      </c>
    </row>
    <row r="1609" spans="1:4" s="891" customFormat="1" ht="11.25" customHeight="1" x14ac:dyDescent="0.2">
      <c r="A1609" s="1471"/>
      <c r="B1609" s="885">
        <v>52.1</v>
      </c>
      <c r="C1609" s="885">
        <v>52.097000000000001</v>
      </c>
      <c r="D1609" s="880" t="s">
        <v>1456</v>
      </c>
    </row>
    <row r="1610" spans="1:4" s="891" customFormat="1" ht="11.25" customHeight="1" x14ac:dyDescent="0.2">
      <c r="A1610" s="1471"/>
      <c r="B1610" s="885">
        <v>367.18</v>
      </c>
      <c r="C1610" s="885">
        <v>367.18099999999998</v>
      </c>
      <c r="D1610" s="880" t="s">
        <v>1453</v>
      </c>
    </row>
    <row r="1611" spans="1:4" s="891" customFormat="1" ht="11.25" customHeight="1" x14ac:dyDescent="0.2">
      <c r="A1611" s="1471"/>
      <c r="B1611" s="885">
        <v>10783.28</v>
      </c>
      <c r="C1611" s="885">
        <v>10783.278</v>
      </c>
      <c r="D1611" s="880" t="s">
        <v>11</v>
      </c>
    </row>
    <row r="1612" spans="1:4" s="891" customFormat="1" ht="11.25" customHeight="1" x14ac:dyDescent="0.2">
      <c r="A1612" s="1472" t="s">
        <v>1797</v>
      </c>
      <c r="B1612" s="888">
        <v>9474</v>
      </c>
      <c r="C1612" s="888">
        <v>9474</v>
      </c>
      <c r="D1612" s="882" t="s">
        <v>1465</v>
      </c>
    </row>
    <row r="1613" spans="1:4" s="891" customFormat="1" ht="11.25" customHeight="1" x14ac:dyDescent="0.2">
      <c r="A1613" s="1471"/>
      <c r="B1613" s="885">
        <v>48.27</v>
      </c>
      <c r="C1613" s="885">
        <v>48.265999999999998</v>
      </c>
      <c r="D1613" s="880" t="s">
        <v>1456</v>
      </c>
    </row>
    <row r="1614" spans="1:4" s="891" customFormat="1" ht="11.25" customHeight="1" x14ac:dyDescent="0.2">
      <c r="A1614" s="1471"/>
      <c r="B1614" s="885">
        <v>318.35000000000002</v>
      </c>
      <c r="C1614" s="885">
        <v>318.35399999999998</v>
      </c>
      <c r="D1614" s="880" t="s">
        <v>1453</v>
      </c>
    </row>
    <row r="1615" spans="1:4" s="891" customFormat="1" ht="11.25" customHeight="1" x14ac:dyDescent="0.2">
      <c r="A1615" s="1473"/>
      <c r="B1615" s="887">
        <v>9840.6200000000008</v>
      </c>
      <c r="C1615" s="887">
        <v>9840.619999999999</v>
      </c>
      <c r="D1615" s="886" t="s">
        <v>11</v>
      </c>
    </row>
    <row r="1616" spans="1:4" s="891" customFormat="1" ht="11.25" customHeight="1" x14ac:dyDescent="0.2">
      <c r="A1616" s="1471" t="s">
        <v>1794</v>
      </c>
      <c r="B1616" s="885">
        <v>41</v>
      </c>
      <c r="C1616" s="885">
        <v>41</v>
      </c>
      <c r="D1616" s="880" t="s">
        <v>540</v>
      </c>
    </row>
    <row r="1617" spans="1:4" s="891" customFormat="1" ht="11.25" customHeight="1" x14ac:dyDescent="0.2">
      <c r="A1617" s="1471"/>
      <c r="B1617" s="885">
        <v>5254</v>
      </c>
      <c r="C1617" s="885">
        <v>5254</v>
      </c>
      <c r="D1617" s="880" t="s">
        <v>1465</v>
      </c>
    </row>
    <row r="1618" spans="1:4" s="891" customFormat="1" ht="11.25" customHeight="1" x14ac:dyDescent="0.2">
      <c r="A1618" s="1471"/>
      <c r="B1618" s="885">
        <v>27.04</v>
      </c>
      <c r="C1618" s="885">
        <v>27.038</v>
      </c>
      <c r="D1618" s="880" t="s">
        <v>1456</v>
      </c>
    </row>
    <row r="1619" spans="1:4" s="891" customFormat="1" ht="11.25" customHeight="1" x14ac:dyDescent="0.2">
      <c r="A1619" s="1471"/>
      <c r="B1619" s="885">
        <v>179.89</v>
      </c>
      <c r="C1619" s="885">
        <v>179.893</v>
      </c>
      <c r="D1619" s="880" t="s">
        <v>1453</v>
      </c>
    </row>
    <row r="1620" spans="1:4" s="891" customFormat="1" ht="11.25" customHeight="1" x14ac:dyDescent="0.2">
      <c r="A1620" s="1471"/>
      <c r="B1620" s="885">
        <v>5501.93</v>
      </c>
      <c r="C1620" s="885">
        <v>5501.9309999999996</v>
      </c>
      <c r="D1620" s="880" t="s">
        <v>11</v>
      </c>
    </row>
    <row r="1621" spans="1:4" s="891" customFormat="1" ht="11.25" customHeight="1" x14ac:dyDescent="0.2">
      <c r="A1621" s="1472" t="s">
        <v>1784</v>
      </c>
      <c r="B1621" s="888">
        <v>5952</v>
      </c>
      <c r="C1621" s="888">
        <v>5952</v>
      </c>
      <c r="D1621" s="882" t="s">
        <v>1465</v>
      </c>
    </row>
    <row r="1622" spans="1:4" s="891" customFormat="1" ht="11.25" customHeight="1" x14ac:dyDescent="0.2">
      <c r="A1622" s="1471"/>
      <c r="B1622" s="885">
        <v>30.29</v>
      </c>
      <c r="C1622" s="885">
        <v>30.288</v>
      </c>
      <c r="D1622" s="880" t="s">
        <v>1456</v>
      </c>
    </row>
    <row r="1623" spans="1:4" s="891" customFormat="1" ht="11.25" customHeight="1" x14ac:dyDescent="0.2">
      <c r="A1623" s="1471"/>
      <c r="B1623" s="885">
        <v>177.11</v>
      </c>
      <c r="C1623" s="885">
        <v>177.107</v>
      </c>
      <c r="D1623" s="880" t="s">
        <v>1453</v>
      </c>
    </row>
    <row r="1624" spans="1:4" s="891" customFormat="1" ht="11.25" customHeight="1" x14ac:dyDescent="0.2">
      <c r="A1624" s="1473"/>
      <c r="B1624" s="887">
        <v>6159.4</v>
      </c>
      <c r="C1624" s="887">
        <v>6159.3949999999995</v>
      </c>
      <c r="D1624" s="886" t="s">
        <v>11</v>
      </c>
    </row>
    <row r="1625" spans="1:4" s="891" customFormat="1" ht="11.25" customHeight="1" x14ac:dyDescent="0.2">
      <c r="A1625" s="1471" t="s">
        <v>1812</v>
      </c>
      <c r="B1625" s="885">
        <v>10189</v>
      </c>
      <c r="C1625" s="885">
        <v>10189</v>
      </c>
      <c r="D1625" s="880" t="s">
        <v>1465</v>
      </c>
    </row>
    <row r="1626" spans="1:4" s="891" customFormat="1" ht="11.25" customHeight="1" x14ac:dyDescent="0.2">
      <c r="A1626" s="1471"/>
      <c r="B1626" s="885">
        <v>52.62</v>
      </c>
      <c r="C1626" s="885">
        <v>52.621000000000002</v>
      </c>
      <c r="D1626" s="880" t="s">
        <v>1456</v>
      </c>
    </row>
    <row r="1627" spans="1:4" s="891" customFormat="1" ht="11.25" customHeight="1" x14ac:dyDescent="0.2">
      <c r="A1627" s="1471"/>
      <c r="B1627" s="885">
        <v>283.77999999999997</v>
      </c>
      <c r="C1627" s="885">
        <v>283.78300000000002</v>
      </c>
      <c r="D1627" s="880" t="s">
        <v>1453</v>
      </c>
    </row>
    <row r="1628" spans="1:4" s="891" customFormat="1" ht="11.25" customHeight="1" x14ac:dyDescent="0.2">
      <c r="A1628" s="1471"/>
      <c r="B1628" s="885">
        <v>10525.400000000001</v>
      </c>
      <c r="C1628" s="885">
        <v>10525.403999999999</v>
      </c>
      <c r="D1628" s="880" t="s">
        <v>11</v>
      </c>
    </row>
    <row r="1629" spans="1:4" s="891" customFormat="1" ht="11.25" customHeight="1" x14ac:dyDescent="0.2">
      <c r="A1629" s="1472" t="s">
        <v>1795</v>
      </c>
      <c r="B1629" s="888">
        <v>58</v>
      </c>
      <c r="C1629" s="888">
        <v>56.981000000000002</v>
      </c>
      <c r="D1629" s="882" t="s">
        <v>540</v>
      </c>
    </row>
    <row r="1630" spans="1:4" s="891" customFormat="1" ht="11.25" customHeight="1" x14ac:dyDescent="0.2">
      <c r="A1630" s="1471"/>
      <c r="B1630" s="885">
        <v>6657</v>
      </c>
      <c r="C1630" s="885">
        <v>6657</v>
      </c>
      <c r="D1630" s="880" t="s">
        <v>1465</v>
      </c>
    </row>
    <row r="1631" spans="1:4" s="891" customFormat="1" ht="11.25" customHeight="1" x14ac:dyDescent="0.2">
      <c r="A1631" s="1471"/>
      <c r="B1631" s="885">
        <v>34.03</v>
      </c>
      <c r="C1631" s="885">
        <v>34.029000000000003</v>
      </c>
      <c r="D1631" s="880" t="s">
        <v>1456</v>
      </c>
    </row>
    <row r="1632" spans="1:4" s="891" customFormat="1" ht="11.25" customHeight="1" x14ac:dyDescent="0.2">
      <c r="A1632" s="1471"/>
      <c r="B1632" s="885">
        <v>216.34</v>
      </c>
      <c r="C1632" s="885">
        <v>216.34299999999999</v>
      </c>
      <c r="D1632" s="880" t="s">
        <v>1453</v>
      </c>
    </row>
    <row r="1633" spans="1:4" s="891" customFormat="1" ht="11.25" customHeight="1" x14ac:dyDescent="0.2">
      <c r="A1633" s="1473"/>
      <c r="B1633" s="887">
        <v>6965.37</v>
      </c>
      <c r="C1633" s="887">
        <v>6964.3530000000001</v>
      </c>
      <c r="D1633" s="886" t="s">
        <v>11</v>
      </c>
    </row>
    <row r="1634" spans="1:4" s="891" customFormat="1" ht="11.25" customHeight="1" x14ac:dyDescent="0.2">
      <c r="A1634" s="1472" t="s">
        <v>1805</v>
      </c>
      <c r="B1634" s="888">
        <v>128</v>
      </c>
      <c r="C1634" s="888">
        <v>128</v>
      </c>
      <c r="D1634" s="882" t="s">
        <v>540</v>
      </c>
    </row>
    <row r="1635" spans="1:4" s="891" customFormat="1" ht="11.25" customHeight="1" x14ac:dyDescent="0.2">
      <c r="A1635" s="1471"/>
      <c r="B1635" s="885">
        <v>3567</v>
      </c>
      <c r="C1635" s="885">
        <v>3567</v>
      </c>
      <c r="D1635" s="880" t="s">
        <v>1465</v>
      </c>
    </row>
    <row r="1636" spans="1:4" s="891" customFormat="1" ht="11.25" customHeight="1" x14ac:dyDescent="0.2">
      <c r="A1636" s="1471"/>
      <c r="B1636" s="885">
        <v>17.68</v>
      </c>
      <c r="C1636" s="885">
        <v>17.675999999999998</v>
      </c>
      <c r="D1636" s="880" t="s">
        <v>1456</v>
      </c>
    </row>
    <row r="1637" spans="1:4" s="891" customFormat="1" ht="11.25" customHeight="1" x14ac:dyDescent="0.2">
      <c r="A1637" s="1471"/>
      <c r="B1637" s="885">
        <v>92.82</v>
      </c>
      <c r="C1637" s="885">
        <v>92.817999999999998</v>
      </c>
      <c r="D1637" s="880" t="s">
        <v>1453</v>
      </c>
    </row>
    <row r="1638" spans="1:4" s="891" customFormat="1" ht="11.25" customHeight="1" x14ac:dyDescent="0.2">
      <c r="A1638" s="1473"/>
      <c r="B1638" s="887">
        <v>3805.5</v>
      </c>
      <c r="C1638" s="887">
        <v>3805.4940000000001</v>
      </c>
      <c r="D1638" s="886" t="s">
        <v>11</v>
      </c>
    </row>
    <row r="1639" spans="1:4" s="891" customFormat="1" ht="11.25" customHeight="1" x14ac:dyDescent="0.2">
      <c r="A1639" s="1472" t="s">
        <v>1810</v>
      </c>
      <c r="B1639" s="888">
        <v>5734</v>
      </c>
      <c r="C1639" s="888">
        <v>5734</v>
      </c>
      <c r="D1639" s="882" t="s">
        <v>1465</v>
      </c>
    </row>
    <row r="1640" spans="1:4" s="891" customFormat="1" ht="11.25" customHeight="1" x14ac:dyDescent="0.2">
      <c r="A1640" s="1471"/>
      <c r="B1640" s="885">
        <v>29.51</v>
      </c>
      <c r="C1640" s="885">
        <v>29.506</v>
      </c>
      <c r="D1640" s="880" t="s">
        <v>1456</v>
      </c>
    </row>
    <row r="1641" spans="1:4" s="891" customFormat="1" ht="11.25" customHeight="1" x14ac:dyDescent="0.2">
      <c r="A1641" s="1471"/>
      <c r="B1641" s="885">
        <v>224.78</v>
      </c>
      <c r="C1641" s="885">
        <v>224.78299999999999</v>
      </c>
      <c r="D1641" s="880" t="s">
        <v>1453</v>
      </c>
    </row>
    <row r="1642" spans="1:4" s="891" customFormat="1" ht="11.25" customHeight="1" x14ac:dyDescent="0.2">
      <c r="A1642" s="1473"/>
      <c r="B1642" s="887">
        <v>5988.29</v>
      </c>
      <c r="C1642" s="887">
        <v>5988.2890000000007</v>
      </c>
      <c r="D1642" s="886" t="s">
        <v>11</v>
      </c>
    </row>
    <row r="1643" spans="1:4" s="891" customFormat="1" ht="11.25" customHeight="1" x14ac:dyDescent="0.2">
      <c r="A1643" s="1471" t="s">
        <v>1796</v>
      </c>
      <c r="B1643" s="885">
        <v>1200</v>
      </c>
      <c r="C1643" s="885">
        <v>1198.404</v>
      </c>
      <c r="D1643" s="880" t="s">
        <v>2593</v>
      </c>
    </row>
    <row r="1644" spans="1:4" s="891" customFormat="1" ht="11.25" customHeight="1" x14ac:dyDescent="0.2">
      <c r="A1644" s="1471"/>
      <c r="B1644" s="885">
        <v>5083</v>
      </c>
      <c r="C1644" s="885">
        <v>5083</v>
      </c>
      <c r="D1644" s="880" t="s">
        <v>1465</v>
      </c>
    </row>
    <row r="1645" spans="1:4" s="891" customFormat="1" ht="11.25" customHeight="1" x14ac:dyDescent="0.2">
      <c r="A1645" s="1471"/>
      <c r="B1645" s="885">
        <v>26</v>
      </c>
      <c r="C1645" s="885">
        <v>25.995999999999999</v>
      </c>
      <c r="D1645" s="880" t="s">
        <v>1456</v>
      </c>
    </row>
    <row r="1646" spans="1:4" s="891" customFormat="1" ht="11.25" customHeight="1" x14ac:dyDescent="0.2">
      <c r="A1646" s="1471"/>
      <c r="B1646" s="885">
        <v>155.41</v>
      </c>
      <c r="C1646" s="885">
        <v>155.41399999999999</v>
      </c>
      <c r="D1646" s="880" t="s">
        <v>1453</v>
      </c>
    </row>
    <row r="1647" spans="1:4" s="891" customFormat="1" ht="11.25" customHeight="1" x14ac:dyDescent="0.2">
      <c r="A1647" s="1471"/>
      <c r="B1647" s="885">
        <v>6464.41</v>
      </c>
      <c r="C1647" s="885">
        <v>6462.8140000000003</v>
      </c>
      <c r="D1647" s="880" t="s">
        <v>11</v>
      </c>
    </row>
    <row r="1648" spans="1:4" s="891" customFormat="1" ht="11.25" customHeight="1" x14ac:dyDescent="0.2">
      <c r="A1648" s="1472" t="s">
        <v>1813</v>
      </c>
      <c r="B1648" s="888">
        <v>132</v>
      </c>
      <c r="C1648" s="888">
        <v>132</v>
      </c>
      <c r="D1648" s="882" t="s">
        <v>540</v>
      </c>
    </row>
    <row r="1649" spans="1:4" s="891" customFormat="1" ht="11.25" customHeight="1" x14ac:dyDescent="0.2">
      <c r="A1649" s="1471"/>
      <c r="B1649" s="885">
        <v>9024</v>
      </c>
      <c r="C1649" s="885">
        <v>9024</v>
      </c>
      <c r="D1649" s="880" t="s">
        <v>1465</v>
      </c>
    </row>
    <row r="1650" spans="1:4" s="891" customFormat="1" ht="11.25" customHeight="1" x14ac:dyDescent="0.2">
      <c r="A1650" s="1471"/>
      <c r="B1650" s="885">
        <v>44</v>
      </c>
      <c r="C1650" s="885">
        <v>43.999000000000002</v>
      </c>
      <c r="D1650" s="880" t="s">
        <v>1456</v>
      </c>
    </row>
    <row r="1651" spans="1:4" s="891" customFormat="1" ht="11.25" customHeight="1" x14ac:dyDescent="0.2">
      <c r="A1651" s="1471"/>
      <c r="B1651" s="885">
        <v>280.3</v>
      </c>
      <c r="C1651" s="885">
        <v>280.3</v>
      </c>
      <c r="D1651" s="880" t="s">
        <v>1453</v>
      </c>
    </row>
    <row r="1652" spans="1:4" s="891" customFormat="1" ht="11.25" customHeight="1" x14ac:dyDescent="0.2">
      <c r="A1652" s="1473"/>
      <c r="B1652" s="887">
        <v>9480.2999999999993</v>
      </c>
      <c r="C1652" s="887">
        <v>9480.2989999999991</v>
      </c>
      <c r="D1652" s="886" t="s">
        <v>11</v>
      </c>
    </row>
    <row r="1653" spans="1:4" s="891" customFormat="1" ht="11.25" customHeight="1" x14ac:dyDescent="0.2">
      <c r="A1653" s="1471" t="s">
        <v>2592</v>
      </c>
      <c r="B1653" s="885">
        <v>62</v>
      </c>
      <c r="C1653" s="885">
        <v>62</v>
      </c>
      <c r="D1653" s="880" t="s">
        <v>540</v>
      </c>
    </row>
    <row r="1654" spans="1:4" s="891" customFormat="1" ht="11.25" customHeight="1" x14ac:dyDescent="0.2">
      <c r="A1654" s="1471"/>
      <c r="B1654" s="885">
        <v>3487</v>
      </c>
      <c r="C1654" s="885">
        <v>3487</v>
      </c>
      <c r="D1654" s="880" t="s">
        <v>1465</v>
      </c>
    </row>
    <row r="1655" spans="1:4" s="891" customFormat="1" ht="21" x14ac:dyDescent="0.2">
      <c r="A1655" s="1471"/>
      <c r="B1655" s="885">
        <v>223</v>
      </c>
      <c r="C1655" s="885">
        <v>223</v>
      </c>
      <c r="D1655" s="880" t="s">
        <v>2591</v>
      </c>
    </row>
    <row r="1656" spans="1:4" s="891" customFormat="1" ht="11.25" customHeight="1" x14ac:dyDescent="0.2">
      <c r="A1656" s="1471"/>
      <c r="B1656" s="885">
        <v>17.59</v>
      </c>
      <c r="C1656" s="885">
        <v>17.591999999999999</v>
      </c>
      <c r="D1656" s="880" t="s">
        <v>1456</v>
      </c>
    </row>
    <row r="1657" spans="1:4" s="891" customFormat="1" ht="11.25" customHeight="1" x14ac:dyDescent="0.2">
      <c r="A1657" s="1471"/>
      <c r="B1657" s="885">
        <v>113.13</v>
      </c>
      <c r="C1657" s="885">
        <v>113.133</v>
      </c>
      <c r="D1657" s="880" t="s">
        <v>1453</v>
      </c>
    </row>
    <row r="1658" spans="1:4" s="891" customFormat="1" ht="11.25" customHeight="1" x14ac:dyDescent="0.2">
      <c r="A1658" s="1471"/>
      <c r="B1658" s="885">
        <v>3902.7200000000003</v>
      </c>
      <c r="C1658" s="885">
        <v>3902.7249999999999</v>
      </c>
      <c r="D1658" s="880" t="s">
        <v>11</v>
      </c>
    </row>
    <row r="1659" spans="1:4" s="891" customFormat="1" ht="11.25" customHeight="1" x14ac:dyDescent="0.2">
      <c r="A1659" s="1472" t="s">
        <v>1798</v>
      </c>
      <c r="B1659" s="888">
        <v>10765</v>
      </c>
      <c r="C1659" s="888">
        <v>10765</v>
      </c>
      <c r="D1659" s="882" t="s">
        <v>1465</v>
      </c>
    </row>
    <row r="1660" spans="1:4" s="891" customFormat="1" ht="11.25" customHeight="1" x14ac:dyDescent="0.2">
      <c r="A1660" s="1471"/>
      <c r="B1660" s="885">
        <v>950</v>
      </c>
      <c r="C1660" s="885">
        <v>950</v>
      </c>
      <c r="D1660" s="880" t="s">
        <v>2590</v>
      </c>
    </row>
    <row r="1661" spans="1:4" s="891" customFormat="1" ht="11.25" customHeight="1" x14ac:dyDescent="0.2">
      <c r="A1661" s="1471"/>
      <c r="B1661" s="885">
        <v>54.54</v>
      </c>
      <c r="C1661" s="885">
        <v>54.536000000000001</v>
      </c>
      <c r="D1661" s="880" t="s">
        <v>1456</v>
      </c>
    </row>
    <row r="1662" spans="1:4" s="891" customFormat="1" ht="11.25" customHeight="1" x14ac:dyDescent="0.2">
      <c r="A1662" s="1471"/>
      <c r="B1662" s="885">
        <v>316.75</v>
      </c>
      <c r="C1662" s="885">
        <v>316.75</v>
      </c>
      <c r="D1662" s="880" t="s">
        <v>1453</v>
      </c>
    </row>
    <row r="1663" spans="1:4" s="891" customFormat="1" ht="11.25" customHeight="1" x14ac:dyDescent="0.2">
      <c r="A1663" s="1473"/>
      <c r="B1663" s="887">
        <v>12086.29</v>
      </c>
      <c r="C1663" s="887">
        <v>12086.286</v>
      </c>
      <c r="D1663" s="886" t="s">
        <v>11</v>
      </c>
    </row>
    <row r="1664" spans="1:4" s="891" customFormat="1" ht="11.25" customHeight="1" x14ac:dyDescent="0.2">
      <c r="A1664" s="1471" t="s">
        <v>1799</v>
      </c>
      <c r="B1664" s="885">
        <v>5105</v>
      </c>
      <c r="C1664" s="885">
        <v>5105</v>
      </c>
      <c r="D1664" s="880" t="s">
        <v>1465</v>
      </c>
    </row>
    <row r="1665" spans="1:4" s="891" customFormat="1" ht="11.25" customHeight="1" x14ac:dyDescent="0.2">
      <c r="A1665" s="1471"/>
      <c r="B1665" s="885">
        <v>25.29</v>
      </c>
      <c r="C1665" s="885">
        <v>25.289000000000001</v>
      </c>
      <c r="D1665" s="880" t="s">
        <v>1456</v>
      </c>
    </row>
    <row r="1666" spans="1:4" s="891" customFormat="1" ht="11.25" customHeight="1" x14ac:dyDescent="0.2">
      <c r="A1666" s="1471"/>
      <c r="B1666" s="885">
        <v>112.84</v>
      </c>
      <c r="C1666" s="885">
        <v>112.84099999999999</v>
      </c>
      <c r="D1666" s="880" t="s">
        <v>1453</v>
      </c>
    </row>
    <row r="1667" spans="1:4" s="891" customFormat="1" ht="11.25" customHeight="1" x14ac:dyDescent="0.2">
      <c r="A1667" s="1471"/>
      <c r="B1667" s="885">
        <v>5243.13</v>
      </c>
      <c r="C1667" s="885">
        <v>5243.13</v>
      </c>
      <c r="D1667" s="880" t="s">
        <v>11</v>
      </c>
    </row>
    <row r="1668" spans="1:4" s="891" customFormat="1" ht="11.25" customHeight="1" x14ac:dyDescent="0.2">
      <c r="A1668" s="1472" t="s">
        <v>1807</v>
      </c>
      <c r="B1668" s="888">
        <v>3200</v>
      </c>
      <c r="C1668" s="888">
        <v>3200</v>
      </c>
      <c r="D1668" s="882" t="s">
        <v>1465</v>
      </c>
    </row>
    <row r="1669" spans="1:4" s="891" customFormat="1" ht="11.25" customHeight="1" x14ac:dyDescent="0.2">
      <c r="A1669" s="1471"/>
      <c r="B1669" s="885">
        <v>16.420000000000002</v>
      </c>
      <c r="C1669" s="885">
        <v>16.417999999999999</v>
      </c>
      <c r="D1669" s="880" t="s">
        <v>1456</v>
      </c>
    </row>
    <row r="1670" spans="1:4" s="891" customFormat="1" ht="11.25" customHeight="1" x14ac:dyDescent="0.2">
      <c r="A1670" s="1471"/>
      <c r="B1670" s="885">
        <v>112.84</v>
      </c>
      <c r="C1670" s="885">
        <v>112.84099999999999</v>
      </c>
      <c r="D1670" s="880" t="s">
        <v>1453</v>
      </c>
    </row>
    <row r="1671" spans="1:4" s="891" customFormat="1" ht="11.25" customHeight="1" x14ac:dyDescent="0.2">
      <c r="A1671" s="1473"/>
      <c r="B1671" s="887">
        <v>3329.26</v>
      </c>
      <c r="C1671" s="887">
        <v>3329.259</v>
      </c>
      <c r="D1671" s="886" t="s">
        <v>11</v>
      </c>
    </row>
    <row r="1672" spans="1:4" s="891" customFormat="1" ht="11.25" customHeight="1" x14ac:dyDescent="0.2">
      <c r="A1672" s="1471" t="s">
        <v>1766</v>
      </c>
      <c r="B1672" s="885">
        <v>10</v>
      </c>
      <c r="C1672" s="885">
        <v>10</v>
      </c>
      <c r="D1672" s="880" t="s">
        <v>2589</v>
      </c>
    </row>
    <row r="1673" spans="1:4" s="891" customFormat="1" ht="11.25" customHeight="1" x14ac:dyDescent="0.2">
      <c r="A1673" s="1471"/>
      <c r="B1673" s="885">
        <v>94</v>
      </c>
      <c r="C1673" s="885">
        <v>94</v>
      </c>
      <c r="D1673" s="880" t="s">
        <v>540</v>
      </c>
    </row>
    <row r="1674" spans="1:4" s="891" customFormat="1" ht="11.25" customHeight="1" x14ac:dyDescent="0.2">
      <c r="A1674" s="1471"/>
      <c r="B1674" s="885">
        <v>8981</v>
      </c>
      <c r="C1674" s="885">
        <v>8981</v>
      </c>
      <c r="D1674" s="880" t="s">
        <v>1465</v>
      </c>
    </row>
    <row r="1675" spans="1:4" s="891" customFormat="1" ht="11.25" customHeight="1" x14ac:dyDescent="0.2">
      <c r="A1675" s="1471"/>
      <c r="B1675" s="885">
        <v>43.46</v>
      </c>
      <c r="C1675" s="885">
        <v>43.454999999999998</v>
      </c>
      <c r="D1675" s="880" t="s">
        <v>1456</v>
      </c>
    </row>
    <row r="1676" spans="1:4" s="891" customFormat="1" ht="11.25" customHeight="1" x14ac:dyDescent="0.2">
      <c r="A1676" s="1471"/>
      <c r="B1676" s="885">
        <v>295.72000000000003</v>
      </c>
      <c r="C1676" s="885">
        <v>295.72300000000001</v>
      </c>
      <c r="D1676" s="880" t="s">
        <v>1453</v>
      </c>
    </row>
    <row r="1677" spans="1:4" s="891" customFormat="1" ht="11.25" customHeight="1" x14ac:dyDescent="0.2">
      <c r="A1677" s="1471"/>
      <c r="B1677" s="885">
        <v>9424.1799999999985</v>
      </c>
      <c r="C1677" s="885">
        <v>9424.1779999999999</v>
      </c>
      <c r="D1677" s="880" t="s">
        <v>11</v>
      </c>
    </row>
    <row r="1678" spans="1:4" s="891" customFormat="1" ht="11.25" customHeight="1" x14ac:dyDescent="0.2">
      <c r="A1678" s="1472" t="s">
        <v>1770</v>
      </c>
      <c r="B1678" s="888">
        <v>4361</v>
      </c>
      <c r="C1678" s="888">
        <v>4361</v>
      </c>
      <c r="D1678" s="882" t="s">
        <v>1465</v>
      </c>
    </row>
    <row r="1679" spans="1:4" s="891" customFormat="1" ht="11.25" customHeight="1" x14ac:dyDescent="0.2">
      <c r="A1679" s="1471"/>
      <c r="B1679" s="885">
        <v>21.64</v>
      </c>
      <c r="C1679" s="885">
        <v>21.64</v>
      </c>
      <c r="D1679" s="880" t="s">
        <v>1456</v>
      </c>
    </row>
    <row r="1680" spans="1:4" s="891" customFormat="1" ht="11.25" customHeight="1" x14ac:dyDescent="0.2">
      <c r="A1680" s="1471"/>
      <c r="B1680" s="885">
        <v>155.30000000000001</v>
      </c>
      <c r="C1680" s="885">
        <v>155.30099999999999</v>
      </c>
      <c r="D1680" s="880" t="s">
        <v>1453</v>
      </c>
    </row>
    <row r="1681" spans="1:4" s="891" customFormat="1" ht="11.25" customHeight="1" x14ac:dyDescent="0.2">
      <c r="A1681" s="1473"/>
      <c r="B1681" s="887">
        <v>4537.9400000000005</v>
      </c>
      <c r="C1681" s="887">
        <v>4537.9410000000007</v>
      </c>
      <c r="D1681" s="886" t="s">
        <v>11</v>
      </c>
    </row>
    <row r="1682" spans="1:4" s="891" customFormat="1" ht="11.25" customHeight="1" x14ac:dyDescent="0.2">
      <c r="A1682" s="1472" t="s">
        <v>1780</v>
      </c>
      <c r="B1682" s="888">
        <v>21781</v>
      </c>
      <c r="C1682" s="888">
        <v>21781</v>
      </c>
      <c r="D1682" s="882" t="s">
        <v>1465</v>
      </c>
    </row>
    <row r="1683" spans="1:4" s="891" customFormat="1" ht="11.25" customHeight="1" x14ac:dyDescent="0.2">
      <c r="A1683" s="1471"/>
      <c r="B1683" s="885">
        <v>110.18</v>
      </c>
      <c r="C1683" s="885">
        <v>110.184</v>
      </c>
      <c r="D1683" s="880" t="s">
        <v>1456</v>
      </c>
    </row>
    <row r="1684" spans="1:4" s="891" customFormat="1" ht="11.25" customHeight="1" x14ac:dyDescent="0.2">
      <c r="A1684" s="1471"/>
      <c r="B1684" s="885">
        <v>687.5</v>
      </c>
      <c r="C1684" s="885">
        <v>687.50400000000002</v>
      </c>
      <c r="D1684" s="880" t="s">
        <v>1453</v>
      </c>
    </row>
    <row r="1685" spans="1:4" s="891" customFormat="1" ht="11.25" customHeight="1" x14ac:dyDescent="0.2">
      <c r="A1685" s="1473"/>
      <c r="B1685" s="887">
        <v>22578.69</v>
      </c>
      <c r="C1685" s="887">
        <v>22578.688000000002</v>
      </c>
      <c r="D1685" s="886" t="s">
        <v>11</v>
      </c>
    </row>
    <row r="1686" spans="1:4" s="891" customFormat="1" ht="11.25" customHeight="1" x14ac:dyDescent="0.2">
      <c r="A1686" s="1472" t="s">
        <v>2588</v>
      </c>
      <c r="B1686" s="888">
        <v>6919</v>
      </c>
      <c r="C1686" s="888">
        <v>6919</v>
      </c>
      <c r="D1686" s="882" t="s">
        <v>1465</v>
      </c>
    </row>
    <row r="1687" spans="1:4" s="891" customFormat="1" ht="11.25" customHeight="1" x14ac:dyDescent="0.2">
      <c r="A1687" s="1471"/>
      <c r="B1687" s="885">
        <v>35.43</v>
      </c>
      <c r="C1687" s="885">
        <v>35.433999999999997</v>
      </c>
      <c r="D1687" s="880" t="s">
        <v>1456</v>
      </c>
    </row>
    <row r="1688" spans="1:4" s="891" customFormat="1" ht="11.25" customHeight="1" x14ac:dyDescent="0.2">
      <c r="A1688" s="1471"/>
      <c r="B1688" s="885">
        <v>222.92</v>
      </c>
      <c r="C1688" s="885">
        <v>222.92</v>
      </c>
      <c r="D1688" s="880" t="s">
        <v>1453</v>
      </c>
    </row>
    <row r="1689" spans="1:4" s="891" customFormat="1" ht="11.25" customHeight="1" x14ac:dyDescent="0.2">
      <c r="A1689" s="1473"/>
      <c r="B1689" s="887">
        <v>7177.35</v>
      </c>
      <c r="C1689" s="887">
        <v>7177.3540000000003</v>
      </c>
      <c r="D1689" s="886" t="s">
        <v>11</v>
      </c>
    </row>
    <row r="1690" spans="1:4" s="891" customFormat="1" ht="11.25" customHeight="1" x14ac:dyDescent="0.2">
      <c r="A1690" s="1471" t="s">
        <v>1800</v>
      </c>
      <c r="B1690" s="885">
        <v>6480</v>
      </c>
      <c r="C1690" s="885">
        <v>6480</v>
      </c>
      <c r="D1690" s="880" t="s">
        <v>1465</v>
      </c>
    </row>
    <row r="1691" spans="1:4" s="891" customFormat="1" ht="11.25" customHeight="1" x14ac:dyDescent="0.2">
      <c r="A1691" s="1471"/>
      <c r="B1691" s="885">
        <v>33.51</v>
      </c>
      <c r="C1691" s="885">
        <v>33.512</v>
      </c>
      <c r="D1691" s="880" t="s">
        <v>1456</v>
      </c>
    </row>
    <row r="1692" spans="1:4" s="891" customFormat="1" ht="11.25" customHeight="1" x14ac:dyDescent="0.2">
      <c r="A1692" s="1471"/>
      <c r="B1692" s="885">
        <v>214.11</v>
      </c>
      <c r="C1692" s="885">
        <v>214.107</v>
      </c>
      <c r="D1692" s="880" t="s">
        <v>1453</v>
      </c>
    </row>
    <row r="1693" spans="1:4" s="891" customFormat="1" ht="11.25" customHeight="1" x14ac:dyDescent="0.2">
      <c r="A1693" s="1471"/>
      <c r="B1693" s="885">
        <v>6727.62</v>
      </c>
      <c r="C1693" s="885">
        <v>6727.6189999999997</v>
      </c>
      <c r="D1693" s="880" t="s">
        <v>11</v>
      </c>
    </row>
    <row r="1694" spans="1:4" s="891" customFormat="1" ht="11.25" customHeight="1" x14ac:dyDescent="0.2">
      <c r="A1694" s="1472" t="s">
        <v>1793</v>
      </c>
      <c r="B1694" s="888">
        <v>5252</v>
      </c>
      <c r="C1694" s="888">
        <v>5252</v>
      </c>
      <c r="D1694" s="882" t="s">
        <v>1465</v>
      </c>
    </row>
    <row r="1695" spans="1:4" s="891" customFormat="1" ht="11.25" customHeight="1" x14ac:dyDescent="0.2">
      <c r="A1695" s="1471"/>
      <c r="B1695" s="885">
        <v>25.19</v>
      </c>
      <c r="C1695" s="885">
        <v>25.193000000000001</v>
      </c>
      <c r="D1695" s="880" t="s">
        <v>1456</v>
      </c>
    </row>
    <row r="1696" spans="1:4" s="891" customFormat="1" ht="11.25" customHeight="1" x14ac:dyDescent="0.2">
      <c r="A1696" s="1471"/>
      <c r="B1696" s="885">
        <v>155.41</v>
      </c>
      <c r="C1696" s="885">
        <v>155.41399999999999</v>
      </c>
      <c r="D1696" s="880" t="s">
        <v>1453</v>
      </c>
    </row>
    <row r="1697" spans="1:4" s="891" customFormat="1" ht="11.25" customHeight="1" x14ac:dyDescent="0.2">
      <c r="A1697" s="1473"/>
      <c r="B1697" s="887">
        <v>5432.61</v>
      </c>
      <c r="C1697" s="887">
        <v>5432.607</v>
      </c>
      <c r="D1697" s="886" t="s">
        <v>11</v>
      </c>
    </row>
    <row r="1698" spans="1:4" s="891" customFormat="1" ht="11.25" customHeight="1" x14ac:dyDescent="0.2">
      <c r="A1698" s="1471" t="s">
        <v>1817</v>
      </c>
      <c r="B1698" s="885">
        <v>24.86</v>
      </c>
      <c r="C1698" s="885">
        <v>24.829000000000001</v>
      </c>
      <c r="D1698" s="880" t="s">
        <v>1319</v>
      </c>
    </row>
    <row r="1699" spans="1:4" s="891" customFormat="1" ht="11.25" customHeight="1" x14ac:dyDescent="0.2">
      <c r="A1699" s="1471"/>
      <c r="B1699" s="885">
        <v>190</v>
      </c>
      <c r="C1699" s="885">
        <v>190</v>
      </c>
      <c r="D1699" s="880" t="s">
        <v>540</v>
      </c>
    </row>
    <row r="1700" spans="1:4" s="891" customFormat="1" ht="11.25" customHeight="1" x14ac:dyDescent="0.2">
      <c r="A1700" s="1471"/>
      <c r="B1700" s="885">
        <v>5523</v>
      </c>
      <c r="C1700" s="885">
        <v>5523</v>
      </c>
      <c r="D1700" s="880" t="s">
        <v>1465</v>
      </c>
    </row>
    <row r="1701" spans="1:4" s="891" customFormat="1" ht="11.25" customHeight="1" x14ac:dyDescent="0.2">
      <c r="A1701" s="1471"/>
      <c r="B1701" s="885">
        <v>28.47</v>
      </c>
      <c r="C1701" s="885">
        <v>28.472000000000001</v>
      </c>
      <c r="D1701" s="880" t="s">
        <v>1456</v>
      </c>
    </row>
    <row r="1702" spans="1:4" s="891" customFormat="1" ht="11.25" customHeight="1" x14ac:dyDescent="0.2">
      <c r="A1702" s="1471"/>
      <c r="B1702" s="885">
        <v>158.93</v>
      </c>
      <c r="C1702" s="885">
        <v>158.93</v>
      </c>
      <c r="D1702" s="880" t="s">
        <v>1453</v>
      </c>
    </row>
    <row r="1703" spans="1:4" s="891" customFormat="1" ht="11.25" customHeight="1" x14ac:dyDescent="0.2">
      <c r="A1703" s="1471"/>
      <c r="B1703" s="885">
        <v>5925.26</v>
      </c>
      <c r="C1703" s="885">
        <v>5925.2309999999998</v>
      </c>
      <c r="D1703" s="880" t="s">
        <v>11</v>
      </c>
    </row>
    <row r="1704" spans="1:4" s="891" customFormat="1" ht="11.25" customHeight="1" x14ac:dyDescent="0.2">
      <c r="A1704" s="1472" t="s">
        <v>1811</v>
      </c>
      <c r="B1704" s="888">
        <v>15012</v>
      </c>
      <c r="C1704" s="888">
        <v>15012</v>
      </c>
      <c r="D1704" s="882" t="s">
        <v>1465</v>
      </c>
    </row>
    <row r="1705" spans="1:4" s="891" customFormat="1" ht="11.25" customHeight="1" x14ac:dyDescent="0.2">
      <c r="A1705" s="1471"/>
      <c r="B1705" s="885">
        <v>76.53</v>
      </c>
      <c r="C1705" s="885">
        <v>76.533000000000001</v>
      </c>
      <c r="D1705" s="880" t="s">
        <v>1456</v>
      </c>
    </row>
    <row r="1706" spans="1:4" s="891" customFormat="1" ht="11.25" customHeight="1" x14ac:dyDescent="0.2">
      <c r="A1706" s="1471"/>
      <c r="B1706" s="885">
        <v>484.87</v>
      </c>
      <c r="C1706" s="885">
        <v>484.87400000000002</v>
      </c>
      <c r="D1706" s="880" t="s">
        <v>1453</v>
      </c>
    </row>
    <row r="1707" spans="1:4" s="891" customFormat="1" ht="11.25" customHeight="1" x14ac:dyDescent="0.2">
      <c r="A1707" s="1473"/>
      <c r="B1707" s="887">
        <v>15573.41</v>
      </c>
      <c r="C1707" s="887">
        <v>15573.406999999999</v>
      </c>
      <c r="D1707" s="886" t="s">
        <v>11</v>
      </c>
    </row>
    <row r="1708" spans="1:4" s="891" customFormat="1" ht="11.25" customHeight="1" x14ac:dyDescent="0.2">
      <c r="A1708" s="1471" t="s">
        <v>1808</v>
      </c>
      <c r="B1708" s="885">
        <v>5383</v>
      </c>
      <c r="C1708" s="885">
        <v>5383</v>
      </c>
      <c r="D1708" s="880" t="s">
        <v>1465</v>
      </c>
    </row>
    <row r="1709" spans="1:4" s="891" customFormat="1" ht="11.25" customHeight="1" x14ac:dyDescent="0.2">
      <c r="A1709" s="1471"/>
      <c r="B1709" s="885">
        <v>25.99</v>
      </c>
      <c r="C1709" s="885">
        <v>25.989000000000001</v>
      </c>
      <c r="D1709" s="880" t="s">
        <v>1456</v>
      </c>
    </row>
    <row r="1710" spans="1:4" s="891" customFormat="1" ht="11.25" customHeight="1" x14ac:dyDescent="0.2">
      <c r="A1710" s="1471"/>
      <c r="B1710" s="885">
        <v>136.46</v>
      </c>
      <c r="C1710" s="885">
        <v>136.46100000000001</v>
      </c>
      <c r="D1710" s="880" t="s">
        <v>1453</v>
      </c>
    </row>
    <row r="1711" spans="1:4" s="891" customFormat="1" ht="11.25" customHeight="1" x14ac:dyDescent="0.2">
      <c r="A1711" s="1471"/>
      <c r="B1711" s="885">
        <v>5545.45</v>
      </c>
      <c r="C1711" s="885">
        <v>5545.45</v>
      </c>
      <c r="D1711" s="880" t="s">
        <v>11</v>
      </c>
    </row>
    <row r="1712" spans="1:4" s="891" customFormat="1" ht="11.25" customHeight="1" x14ac:dyDescent="0.2">
      <c r="A1712" s="1472" t="s">
        <v>1832</v>
      </c>
      <c r="B1712" s="888">
        <v>2560</v>
      </c>
      <c r="C1712" s="888">
        <v>2560</v>
      </c>
      <c r="D1712" s="882" t="s">
        <v>1465</v>
      </c>
    </row>
    <row r="1713" spans="1:4" s="891" customFormat="1" ht="11.25" customHeight="1" x14ac:dyDescent="0.2">
      <c r="A1713" s="1471"/>
      <c r="B1713" s="885">
        <v>1255</v>
      </c>
      <c r="C1713" s="885">
        <v>1255</v>
      </c>
      <c r="D1713" s="880" t="s">
        <v>2587</v>
      </c>
    </row>
    <row r="1714" spans="1:4" s="891" customFormat="1" ht="11.25" customHeight="1" x14ac:dyDescent="0.2">
      <c r="A1714" s="1471"/>
      <c r="B1714" s="885">
        <v>68</v>
      </c>
      <c r="C1714" s="885">
        <v>68</v>
      </c>
      <c r="D1714" s="880" t="s">
        <v>2586</v>
      </c>
    </row>
    <row r="1715" spans="1:4" s="891" customFormat="1" ht="11.25" customHeight="1" x14ac:dyDescent="0.2">
      <c r="A1715" s="1471"/>
      <c r="B1715" s="885">
        <v>12.57</v>
      </c>
      <c r="C1715" s="885">
        <v>12.571</v>
      </c>
      <c r="D1715" s="880" t="s">
        <v>1456</v>
      </c>
    </row>
    <row r="1716" spans="1:4" s="891" customFormat="1" ht="11.25" customHeight="1" x14ac:dyDescent="0.2">
      <c r="A1716" s="1471"/>
      <c r="B1716" s="885">
        <v>80.83</v>
      </c>
      <c r="C1716" s="885">
        <v>80.83</v>
      </c>
      <c r="D1716" s="880" t="s">
        <v>1453</v>
      </c>
    </row>
    <row r="1717" spans="1:4" s="891" customFormat="1" ht="11.25" customHeight="1" x14ac:dyDescent="0.2">
      <c r="A1717" s="1473"/>
      <c r="B1717" s="887">
        <v>3976.4</v>
      </c>
      <c r="C1717" s="887">
        <v>3976.4009999999998</v>
      </c>
      <c r="D1717" s="886" t="s">
        <v>11</v>
      </c>
    </row>
    <row r="1718" spans="1:4" s="876" customFormat="1" ht="23.25" customHeight="1" x14ac:dyDescent="0.2">
      <c r="A1718" s="879" t="s">
        <v>2585</v>
      </c>
      <c r="B1718" s="890">
        <v>4165681.16</v>
      </c>
      <c r="C1718" s="890">
        <v>4148165.3983899988</v>
      </c>
      <c r="D1718" s="889"/>
    </row>
    <row r="1719" spans="1:4" s="863" customFormat="1" ht="24.75" customHeight="1" x14ac:dyDescent="0.15">
      <c r="A1719" s="884" t="s">
        <v>2584</v>
      </c>
      <c r="B1719" s="874"/>
      <c r="C1719" s="874"/>
      <c r="D1719" s="873"/>
    </row>
    <row r="1720" spans="1:4" ht="11.25" customHeight="1" x14ac:dyDescent="0.25">
      <c r="A1720" s="1472" t="s">
        <v>2583</v>
      </c>
      <c r="B1720" s="888">
        <v>18.5</v>
      </c>
      <c r="C1720" s="888">
        <v>18.5</v>
      </c>
      <c r="D1720" s="882" t="s">
        <v>2540</v>
      </c>
    </row>
    <row r="1721" spans="1:4" ht="11.25" customHeight="1" x14ac:dyDescent="0.25">
      <c r="A1721" s="1471"/>
      <c r="B1721" s="885">
        <v>34319</v>
      </c>
      <c r="C1721" s="885">
        <v>34319</v>
      </c>
      <c r="D1721" s="880" t="s">
        <v>2532</v>
      </c>
    </row>
    <row r="1722" spans="1:4" ht="11.25" customHeight="1" x14ac:dyDescent="0.25">
      <c r="A1722" s="1471"/>
      <c r="B1722" s="885">
        <v>4700</v>
      </c>
      <c r="C1722" s="885">
        <v>4544.8</v>
      </c>
      <c r="D1722" s="880" t="s">
        <v>2582</v>
      </c>
    </row>
    <row r="1723" spans="1:4" ht="11.25" customHeight="1" x14ac:dyDescent="0.25">
      <c r="A1723" s="1471"/>
      <c r="B1723" s="885">
        <v>39037.5</v>
      </c>
      <c r="C1723" s="885">
        <v>38882.300000000003</v>
      </c>
      <c r="D1723" s="880" t="s">
        <v>11</v>
      </c>
    </row>
    <row r="1724" spans="1:4" ht="11.25" customHeight="1" x14ac:dyDescent="0.25">
      <c r="A1724" s="1472" t="s">
        <v>1854</v>
      </c>
      <c r="B1724" s="888">
        <v>8087</v>
      </c>
      <c r="C1724" s="888">
        <v>8087</v>
      </c>
      <c r="D1724" s="882" t="s">
        <v>2532</v>
      </c>
    </row>
    <row r="1725" spans="1:4" ht="11.25" customHeight="1" x14ac:dyDescent="0.25">
      <c r="A1725" s="1471"/>
      <c r="B1725" s="885">
        <v>2400</v>
      </c>
      <c r="C1725" s="885">
        <v>2068.7199999999998</v>
      </c>
      <c r="D1725" s="880" t="s">
        <v>2582</v>
      </c>
    </row>
    <row r="1726" spans="1:4" ht="11.25" customHeight="1" x14ac:dyDescent="0.25">
      <c r="A1726" s="1473"/>
      <c r="B1726" s="887">
        <v>10487</v>
      </c>
      <c r="C1726" s="887">
        <v>10155.719999999999</v>
      </c>
      <c r="D1726" s="886" t="s">
        <v>11</v>
      </c>
    </row>
    <row r="1727" spans="1:4" ht="11.25" customHeight="1" x14ac:dyDescent="0.25">
      <c r="A1727" s="1472" t="s">
        <v>1864</v>
      </c>
      <c r="B1727" s="888">
        <v>45</v>
      </c>
      <c r="C1727" s="888">
        <v>45</v>
      </c>
      <c r="D1727" s="882" t="s">
        <v>2548</v>
      </c>
    </row>
    <row r="1728" spans="1:4" ht="11.25" customHeight="1" x14ac:dyDescent="0.25">
      <c r="A1728" s="1471"/>
      <c r="B1728" s="885">
        <v>400</v>
      </c>
      <c r="C1728" s="885">
        <v>0</v>
      </c>
      <c r="D1728" s="880" t="s">
        <v>2581</v>
      </c>
    </row>
    <row r="1729" spans="1:4" ht="11.25" customHeight="1" x14ac:dyDescent="0.25">
      <c r="A1729" s="1471"/>
      <c r="B1729" s="885">
        <v>7.29</v>
      </c>
      <c r="C1729" s="885">
        <v>7.2823100000000007</v>
      </c>
      <c r="D1729" s="880" t="s">
        <v>2559</v>
      </c>
    </row>
    <row r="1730" spans="1:4" ht="11.25" customHeight="1" x14ac:dyDescent="0.25">
      <c r="A1730" s="1471"/>
      <c r="B1730" s="885">
        <v>600</v>
      </c>
      <c r="C1730" s="885">
        <v>0</v>
      </c>
      <c r="D1730" s="880" t="s">
        <v>2580</v>
      </c>
    </row>
    <row r="1731" spans="1:4" ht="11.25" customHeight="1" x14ac:dyDescent="0.25">
      <c r="A1731" s="1471"/>
      <c r="B1731" s="885">
        <v>50.03</v>
      </c>
      <c r="C1731" s="885">
        <v>50.033000000000001</v>
      </c>
      <c r="D1731" s="880" t="s">
        <v>2540</v>
      </c>
    </row>
    <row r="1732" spans="1:4" ht="11.25" customHeight="1" x14ac:dyDescent="0.25">
      <c r="A1732" s="1471"/>
      <c r="B1732" s="885">
        <v>330</v>
      </c>
      <c r="C1732" s="885">
        <v>330</v>
      </c>
      <c r="D1732" s="880" t="s">
        <v>2532</v>
      </c>
    </row>
    <row r="1733" spans="1:4" ht="11.25" customHeight="1" x14ac:dyDescent="0.25">
      <c r="A1733" s="1471"/>
      <c r="B1733" s="885">
        <v>2294</v>
      </c>
      <c r="C1733" s="885">
        <v>2294</v>
      </c>
      <c r="D1733" s="880" t="s">
        <v>2531</v>
      </c>
    </row>
    <row r="1734" spans="1:4" ht="11.25" customHeight="1" x14ac:dyDescent="0.25">
      <c r="A1734" s="1471"/>
      <c r="B1734" s="885">
        <v>198.62</v>
      </c>
      <c r="C1734" s="885">
        <v>0</v>
      </c>
      <c r="D1734" s="880" t="s">
        <v>2579</v>
      </c>
    </row>
    <row r="1735" spans="1:4" ht="11.25" customHeight="1" x14ac:dyDescent="0.25">
      <c r="A1735" s="1471"/>
      <c r="B1735" s="885">
        <v>6624.55</v>
      </c>
      <c r="C1735" s="885">
        <v>2983.1811899999998</v>
      </c>
      <c r="D1735" s="880" t="s">
        <v>2578</v>
      </c>
    </row>
    <row r="1736" spans="1:4" ht="11.25" customHeight="1" x14ac:dyDescent="0.25">
      <c r="A1736" s="1471"/>
      <c r="B1736" s="885">
        <v>1768.18</v>
      </c>
      <c r="C1736" s="885">
        <v>1768.173</v>
      </c>
      <c r="D1736" s="880" t="s">
        <v>2577</v>
      </c>
    </row>
    <row r="1737" spans="1:4" ht="11.25" customHeight="1" x14ac:dyDescent="0.25">
      <c r="A1737" s="1471"/>
      <c r="B1737" s="885">
        <v>525.24</v>
      </c>
      <c r="C1737" s="885">
        <v>525.24199999999996</v>
      </c>
      <c r="D1737" s="880" t="s">
        <v>2539</v>
      </c>
    </row>
    <row r="1738" spans="1:4" ht="11.25" customHeight="1" x14ac:dyDescent="0.25">
      <c r="A1738" s="1471"/>
      <c r="B1738" s="885">
        <v>88</v>
      </c>
      <c r="C1738" s="885">
        <v>88</v>
      </c>
      <c r="D1738" s="880" t="s">
        <v>1430</v>
      </c>
    </row>
    <row r="1739" spans="1:4" ht="11.25" customHeight="1" x14ac:dyDescent="0.25">
      <c r="A1739" s="1471"/>
      <c r="B1739" s="885">
        <v>93.66</v>
      </c>
      <c r="C1739" s="885">
        <v>93.65894999999999</v>
      </c>
      <c r="D1739" s="880" t="s">
        <v>2576</v>
      </c>
    </row>
    <row r="1740" spans="1:4" ht="11.25" customHeight="1" x14ac:dyDescent="0.25">
      <c r="A1740" s="1471"/>
      <c r="B1740" s="885">
        <v>150</v>
      </c>
      <c r="C1740" s="885">
        <v>150</v>
      </c>
      <c r="D1740" s="880" t="s">
        <v>2575</v>
      </c>
    </row>
    <row r="1741" spans="1:4" ht="11.25" customHeight="1" x14ac:dyDescent="0.25">
      <c r="A1741" s="1471"/>
      <c r="B1741" s="885">
        <v>1500</v>
      </c>
      <c r="C1741" s="885">
        <v>1500</v>
      </c>
      <c r="D1741" s="880" t="s">
        <v>2529</v>
      </c>
    </row>
    <row r="1742" spans="1:4" ht="11.25" customHeight="1" x14ac:dyDescent="0.25">
      <c r="A1742" s="1473"/>
      <c r="B1742" s="887">
        <v>14674.57</v>
      </c>
      <c r="C1742" s="887">
        <v>9834.5704499999993</v>
      </c>
      <c r="D1742" s="886" t="s">
        <v>11</v>
      </c>
    </row>
    <row r="1743" spans="1:4" ht="11.25" customHeight="1" x14ac:dyDescent="0.25">
      <c r="A1743" s="1471" t="s">
        <v>1862</v>
      </c>
      <c r="B1743" s="885">
        <v>3974</v>
      </c>
      <c r="C1743" s="885">
        <v>3974</v>
      </c>
      <c r="D1743" s="880" t="s">
        <v>2549</v>
      </c>
    </row>
    <row r="1744" spans="1:4" ht="11.25" customHeight="1" x14ac:dyDescent="0.25">
      <c r="A1744" s="1471"/>
      <c r="B1744" s="885">
        <v>6200</v>
      </c>
      <c r="C1744" s="885">
        <v>5999.77826</v>
      </c>
      <c r="D1744" s="880" t="s">
        <v>2574</v>
      </c>
    </row>
    <row r="1745" spans="1:4" ht="11.25" customHeight="1" x14ac:dyDescent="0.25">
      <c r="A1745" s="1471"/>
      <c r="B1745" s="885">
        <v>739.05</v>
      </c>
      <c r="C1745" s="885">
        <v>739.04171999999994</v>
      </c>
      <c r="D1745" s="880" t="s">
        <v>2573</v>
      </c>
    </row>
    <row r="1746" spans="1:4" ht="11.25" customHeight="1" x14ac:dyDescent="0.25">
      <c r="A1746" s="1471"/>
      <c r="B1746" s="885">
        <v>4880.55</v>
      </c>
      <c r="C1746" s="885">
        <v>4880.5430100000003</v>
      </c>
      <c r="D1746" s="880" t="s">
        <v>2572</v>
      </c>
    </row>
    <row r="1747" spans="1:4" ht="11.25" customHeight="1" x14ac:dyDescent="0.25">
      <c r="A1747" s="1471"/>
      <c r="B1747" s="885">
        <v>45</v>
      </c>
      <c r="C1747" s="885">
        <v>45</v>
      </c>
      <c r="D1747" s="880" t="s">
        <v>2548</v>
      </c>
    </row>
    <row r="1748" spans="1:4" ht="11.25" customHeight="1" x14ac:dyDescent="0.25">
      <c r="A1748" s="1471"/>
      <c r="B1748" s="885">
        <v>550</v>
      </c>
      <c r="C1748" s="885">
        <v>525.98699999999997</v>
      </c>
      <c r="D1748" s="880" t="s">
        <v>2571</v>
      </c>
    </row>
    <row r="1749" spans="1:4" ht="11.25" customHeight="1" x14ac:dyDescent="0.25">
      <c r="A1749" s="1471"/>
      <c r="B1749" s="885">
        <v>155</v>
      </c>
      <c r="C1749" s="885">
        <v>155</v>
      </c>
      <c r="D1749" s="880" t="s">
        <v>2540</v>
      </c>
    </row>
    <row r="1750" spans="1:4" ht="11.25" customHeight="1" x14ac:dyDescent="0.25">
      <c r="A1750" s="1471"/>
      <c r="B1750" s="885">
        <v>630</v>
      </c>
      <c r="C1750" s="885">
        <v>630</v>
      </c>
      <c r="D1750" s="880" t="s">
        <v>2532</v>
      </c>
    </row>
    <row r="1751" spans="1:4" ht="11.25" customHeight="1" x14ac:dyDescent="0.25">
      <c r="A1751" s="1471"/>
      <c r="B1751" s="885">
        <v>4622</v>
      </c>
      <c r="C1751" s="885">
        <v>4622</v>
      </c>
      <c r="D1751" s="880" t="s">
        <v>2531</v>
      </c>
    </row>
    <row r="1752" spans="1:4" ht="11.25" customHeight="1" x14ac:dyDescent="0.25">
      <c r="A1752" s="1471"/>
      <c r="B1752" s="885">
        <v>451.86</v>
      </c>
      <c r="C1752" s="885">
        <v>400</v>
      </c>
      <c r="D1752" s="880" t="s">
        <v>2570</v>
      </c>
    </row>
    <row r="1753" spans="1:4" ht="11.25" customHeight="1" x14ac:dyDescent="0.25">
      <c r="A1753" s="1471"/>
      <c r="B1753" s="885">
        <v>0.79</v>
      </c>
      <c r="C1753" s="885">
        <v>0.78959999999999997</v>
      </c>
      <c r="D1753" s="880" t="s">
        <v>2569</v>
      </c>
    </row>
    <row r="1754" spans="1:4" ht="11.25" customHeight="1" x14ac:dyDescent="0.25">
      <c r="A1754" s="1471"/>
      <c r="B1754" s="885">
        <v>7688.9</v>
      </c>
      <c r="C1754" s="885">
        <v>7688.8915999999999</v>
      </c>
      <c r="D1754" s="880" t="s">
        <v>2568</v>
      </c>
    </row>
    <row r="1755" spans="1:4" ht="11.25" customHeight="1" x14ac:dyDescent="0.25">
      <c r="A1755" s="1471"/>
      <c r="B1755" s="885">
        <v>661.22</v>
      </c>
      <c r="C1755" s="885">
        <v>381.255</v>
      </c>
      <c r="D1755" s="880" t="s">
        <v>2539</v>
      </c>
    </row>
    <row r="1756" spans="1:4" ht="11.25" customHeight="1" x14ac:dyDescent="0.25">
      <c r="A1756" s="1471"/>
      <c r="B1756" s="885">
        <v>8784</v>
      </c>
      <c r="C1756" s="885">
        <v>46.207999999999998</v>
      </c>
      <c r="D1756" s="880" t="s">
        <v>2567</v>
      </c>
    </row>
    <row r="1757" spans="1:4" ht="11.25" customHeight="1" x14ac:dyDescent="0.25">
      <c r="A1757" s="1471"/>
      <c r="B1757" s="885">
        <v>571.76</v>
      </c>
      <c r="C1757" s="885">
        <v>571.75525000000005</v>
      </c>
      <c r="D1757" s="880" t="s">
        <v>2566</v>
      </c>
    </row>
    <row r="1758" spans="1:4" ht="11.25" customHeight="1" x14ac:dyDescent="0.25">
      <c r="A1758" s="1471"/>
      <c r="B1758" s="885">
        <v>7000</v>
      </c>
      <c r="C1758" s="885">
        <v>190.57499999999999</v>
      </c>
      <c r="D1758" s="880" t="s">
        <v>2565</v>
      </c>
    </row>
    <row r="1759" spans="1:4" ht="11.25" customHeight="1" x14ac:dyDescent="0.25">
      <c r="A1759" s="1471"/>
      <c r="B1759" s="885">
        <v>2500</v>
      </c>
      <c r="C1759" s="885">
        <v>2500</v>
      </c>
      <c r="D1759" s="880" t="s">
        <v>2529</v>
      </c>
    </row>
    <row r="1760" spans="1:4" ht="11.25" customHeight="1" x14ac:dyDescent="0.25">
      <c r="A1760" s="1471"/>
      <c r="B1760" s="885">
        <v>49454.130000000005</v>
      </c>
      <c r="C1760" s="885">
        <v>33350.824439999997</v>
      </c>
      <c r="D1760" s="880" t="s">
        <v>11</v>
      </c>
    </row>
    <row r="1761" spans="1:4" ht="11.25" customHeight="1" x14ac:dyDescent="0.25">
      <c r="A1761" s="1472" t="s">
        <v>1858</v>
      </c>
      <c r="B1761" s="888">
        <v>1158</v>
      </c>
      <c r="C1761" s="888">
        <v>1158</v>
      </c>
      <c r="D1761" s="882" t="s">
        <v>2549</v>
      </c>
    </row>
    <row r="1762" spans="1:4" ht="11.25" customHeight="1" x14ac:dyDescent="0.25">
      <c r="A1762" s="1471"/>
      <c r="B1762" s="885">
        <v>270</v>
      </c>
      <c r="C1762" s="885">
        <v>270</v>
      </c>
      <c r="D1762" s="880" t="s">
        <v>2548</v>
      </c>
    </row>
    <row r="1763" spans="1:4" ht="11.25" customHeight="1" x14ac:dyDescent="0.25">
      <c r="A1763" s="1471"/>
      <c r="B1763" s="885">
        <v>2397.5</v>
      </c>
      <c r="C1763" s="885">
        <v>2397.4650000000001</v>
      </c>
      <c r="D1763" s="880" t="s">
        <v>2564</v>
      </c>
    </row>
    <row r="1764" spans="1:4" ht="11.25" customHeight="1" x14ac:dyDescent="0.25">
      <c r="A1764" s="1471"/>
      <c r="B1764" s="885">
        <v>110</v>
      </c>
      <c r="C1764" s="885">
        <v>80</v>
      </c>
      <c r="D1764" s="880" t="s">
        <v>2559</v>
      </c>
    </row>
    <row r="1765" spans="1:4" ht="11.25" customHeight="1" x14ac:dyDescent="0.25">
      <c r="A1765" s="1471"/>
      <c r="B1765" s="885">
        <v>631.83000000000004</v>
      </c>
      <c r="C1765" s="885">
        <v>631.83000000000004</v>
      </c>
      <c r="D1765" s="880" t="s">
        <v>525</v>
      </c>
    </row>
    <row r="1766" spans="1:4" ht="11.25" customHeight="1" x14ac:dyDescent="0.25">
      <c r="A1766" s="1471"/>
      <c r="B1766" s="885">
        <v>485.74</v>
      </c>
      <c r="C1766" s="885">
        <v>485.73500000000001</v>
      </c>
      <c r="D1766" s="880" t="s">
        <v>2563</v>
      </c>
    </row>
    <row r="1767" spans="1:4" ht="11.25" customHeight="1" x14ac:dyDescent="0.25">
      <c r="A1767" s="1471"/>
      <c r="B1767" s="885">
        <v>350</v>
      </c>
      <c r="C1767" s="885">
        <v>350</v>
      </c>
      <c r="D1767" s="880" t="s">
        <v>2540</v>
      </c>
    </row>
    <row r="1768" spans="1:4" ht="11.25" customHeight="1" x14ac:dyDescent="0.25">
      <c r="A1768" s="1471"/>
      <c r="B1768" s="885">
        <v>330</v>
      </c>
      <c r="C1768" s="885">
        <v>330</v>
      </c>
      <c r="D1768" s="880" t="s">
        <v>2532</v>
      </c>
    </row>
    <row r="1769" spans="1:4" ht="11.25" customHeight="1" x14ac:dyDescent="0.25">
      <c r="A1769" s="1471"/>
      <c r="B1769" s="885">
        <v>1731</v>
      </c>
      <c r="C1769" s="885">
        <v>1731</v>
      </c>
      <c r="D1769" s="880" t="s">
        <v>2531</v>
      </c>
    </row>
    <row r="1770" spans="1:4" ht="11.25" customHeight="1" x14ac:dyDescent="0.25">
      <c r="A1770" s="1471"/>
      <c r="B1770" s="885">
        <v>2442</v>
      </c>
      <c r="C1770" s="885">
        <v>2442</v>
      </c>
      <c r="D1770" s="880" t="s">
        <v>2562</v>
      </c>
    </row>
    <row r="1771" spans="1:4" ht="11.25" customHeight="1" x14ac:dyDescent="0.25">
      <c r="A1771" s="1471"/>
      <c r="B1771" s="885">
        <v>40.450000000000003</v>
      </c>
      <c r="C1771" s="885">
        <v>27.562000000000001</v>
      </c>
      <c r="D1771" s="880" t="s">
        <v>2539</v>
      </c>
    </row>
    <row r="1772" spans="1:4" ht="11.25" customHeight="1" x14ac:dyDescent="0.25">
      <c r="A1772" s="1471"/>
      <c r="B1772" s="885">
        <v>379.65</v>
      </c>
      <c r="C1772" s="885">
        <v>379.54899999999998</v>
      </c>
      <c r="D1772" s="880" t="s">
        <v>1430</v>
      </c>
    </row>
    <row r="1773" spans="1:4" ht="11.25" customHeight="1" x14ac:dyDescent="0.25">
      <c r="A1773" s="1471"/>
      <c r="B1773" s="885">
        <v>250</v>
      </c>
      <c r="C1773" s="885">
        <v>250</v>
      </c>
      <c r="D1773" s="880" t="s">
        <v>2561</v>
      </c>
    </row>
    <row r="1774" spans="1:4" ht="11.25" customHeight="1" x14ac:dyDescent="0.25">
      <c r="A1774" s="1471"/>
      <c r="B1774" s="885">
        <v>1500</v>
      </c>
      <c r="C1774" s="885">
        <v>1500</v>
      </c>
      <c r="D1774" s="880" t="s">
        <v>2529</v>
      </c>
    </row>
    <row r="1775" spans="1:4" ht="11.25" customHeight="1" x14ac:dyDescent="0.25">
      <c r="A1775" s="1473"/>
      <c r="B1775" s="887">
        <v>12076.17</v>
      </c>
      <c r="C1775" s="887">
        <v>12033.141</v>
      </c>
      <c r="D1775" s="886" t="s">
        <v>11</v>
      </c>
    </row>
    <row r="1776" spans="1:4" ht="11.25" customHeight="1" x14ac:dyDescent="0.25">
      <c r="A1776" s="1471" t="s">
        <v>1856</v>
      </c>
      <c r="B1776" s="885">
        <v>45</v>
      </c>
      <c r="C1776" s="885">
        <v>45</v>
      </c>
      <c r="D1776" s="880" t="s">
        <v>2548</v>
      </c>
    </row>
    <row r="1777" spans="1:4" ht="11.25" customHeight="1" x14ac:dyDescent="0.25">
      <c r="A1777" s="1471"/>
      <c r="B1777" s="885">
        <v>2930</v>
      </c>
      <c r="C1777" s="885">
        <v>2930</v>
      </c>
      <c r="D1777" s="880" t="s">
        <v>2560</v>
      </c>
    </row>
    <row r="1778" spans="1:4" ht="11.25" customHeight="1" x14ac:dyDescent="0.25">
      <c r="A1778" s="1471"/>
      <c r="B1778" s="885">
        <v>135</v>
      </c>
      <c r="C1778" s="885">
        <v>135</v>
      </c>
      <c r="D1778" s="880" t="s">
        <v>2559</v>
      </c>
    </row>
    <row r="1779" spans="1:4" ht="11.25" customHeight="1" x14ac:dyDescent="0.25">
      <c r="A1779" s="1471"/>
      <c r="B1779" s="885">
        <v>7750</v>
      </c>
      <c r="C1779" s="885">
        <v>7750</v>
      </c>
      <c r="D1779" s="880" t="s">
        <v>2558</v>
      </c>
    </row>
    <row r="1780" spans="1:4" ht="11.25" customHeight="1" x14ac:dyDescent="0.25">
      <c r="A1780" s="1471"/>
      <c r="B1780" s="885">
        <v>959.99</v>
      </c>
      <c r="C1780" s="885">
        <v>959.97731999999996</v>
      </c>
      <c r="D1780" s="880" t="s">
        <v>2557</v>
      </c>
    </row>
    <row r="1781" spans="1:4" ht="11.25" customHeight="1" x14ac:dyDescent="0.25">
      <c r="A1781" s="1471"/>
      <c r="B1781" s="885">
        <v>12193.88</v>
      </c>
      <c r="C1781" s="885">
        <v>6214.7763600000008</v>
      </c>
      <c r="D1781" s="880" t="s">
        <v>525</v>
      </c>
    </row>
    <row r="1782" spans="1:4" ht="11.25" customHeight="1" x14ac:dyDescent="0.25">
      <c r="A1782" s="1471"/>
      <c r="B1782" s="885">
        <v>546.23</v>
      </c>
      <c r="C1782" s="885">
        <v>546.23</v>
      </c>
      <c r="D1782" s="880" t="s">
        <v>2556</v>
      </c>
    </row>
    <row r="1783" spans="1:4" ht="11.25" customHeight="1" x14ac:dyDescent="0.25">
      <c r="A1783" s="1471"/>
      <c r="B1783" s="885">
        <v>355</v>
      </c>
      <c r="C1783" s="885">
        <v>355</v>
      </c>
      <c r="D1783" s="880" t="s">
        <v>2540</v>
      </c>
    </row>
    <row r="1784" spans="1:4" ht="11.25" customHeight="1" x14ac:dyDescent="0.25">
      <c r="A1784" s="1471"/>
      <c r="B1784" s="885">
        <v>5680</v>
      </c>
      <c r="C1784" s="885">
        <v>5680</v>
      </c>
      <c r="D1784" s="880" t="s">
        <v>2533</v>
      </c>
    </row>
    <row r="1785" spans="1:4" ht="11.25" customHeight="1" x14ac:dyDescent="0.25">
      <c r="A1785" s="1471"/>
      <c r="B1785" s="885">
        <v>330</v>
      </c>
      <c r="C1785" s="885">
        <v>330</v>
      </c>
      <c r="D1785" s="880" t="s">
        <v>2532</v>
      </c>
    </row>
    <row r="1786" spans="1:4" ht="11.25" customHeight="1" x14ac:dyDescent="0.25">
      <c r="A1786" s="1471"/>
      <c r="B1786" s="885">
        <v>1803</v>
      </c>
      <c r="C1786" s="885">
        <v>1803</v>
      </c>
      <c r="D1786" s="880" t="s">
        <v>2531</v>
      </c>
    </row>
    <row r="1787" spans="1:4" ht="11.25" customHeight="1" x14ac:dyDescent="0.25">
      <c r="A1787" s="1471"/>
      <c r="B1787" s="885">
        <v>4780</v>
      </c>
      <c r="C1787" s="885">
        <v>1055.4829999999999</v>
      </c>
      <c r="D1787" s="880" t="s">
        <v>2555</v>
      </c>
    </row>
    <row r="1788" spans="1:4" ht="11.25" customHeight="1" x14ac:dyDescent="0.25">
      <c r="A1788" s="1471"/>
      <c r="B1788" s="885">
        <v>1700</v>
      </c>
      <c r="C1788" s="885">
        <v>52.1312</v>
      </c>
      <c r="D1788" s="880" t="s">
        <v>2554</v>
      </c>
    </row>
    <row r="1789" spans="1:4" ht="11.25" customHeight="1" x14ac:dyDescent="0.25">
      <c r="A1789" s="1471"/>
      <c r="B1789" s="885">
        <v>525.98</v>
      </c>
      <c r="C1789" s="885">
        <v>525.97592000000009</v>
      </c>
      <c r="D1789" s="880" t="s">
        <v>2553</v>
      </c>
    </row>
    <row r="1790" spans="1:4" ht="11.25" customHeight="1" x14ac:dyDescent="0.25">
      <c r="A1790" s="1471"/>
      <c r="B1790" s="885">
        <v>373.01</v>
      </c>
      <c r="C1790" s="885">
        <v>372.83300000000003</v>
      </c>
      <c r="D1790" s="880" t="s">
        <v>2539</v>
      </c>
    </row>
    <row r="1791" spans="1:4" ht="11.25" customHeight="1" x14ac:dyDescent="0.25">
      <c r="A1791" s="1471"/>
      <c r="B1791" s="885">
        <v>2001.26</v>
      </c>
      <c r="C1791" s="885">
        <v>1965.8609999999999</v>
      </c>
      <c r="D1791" s="880" t="s">
        <v>1430</v>
      </c>
    </row>
    <row r="1792" spans="1:4" ht="11.25" customHeight="1" x14ac:dyDescent="0.25">
      <c r="A1792" s="1471"/>
      <c r="B1792" s="885">
        <v>3.15</v>
      </c>
      <c r="C1792" s="885">
        <v>3.1475</v>
      </c>
      <c r="D1792" s="880" t="s">
        <v>2537</v>
      </c>
    </row>
    <row r="1793" spans="1:4" ht="11.25" customHeight="1" x14ac:dyDescent="0.25">
      <c r="A1793" s="1471"/>
      <c r="B1793" s="885">
        <v>1500</v>
      </c>
      <c r="C1793" s="885">
        <v>1500</v>
      </c>
      <c r="D1793" s="880" t="s">
        <v>2529</v>
      </c>
    </row>
    <row r="1794" spans="1:4" ht="11.25" customHeight="1" x14ac:dyDescent="0.25">
      <c r="A1794" s="1471"/>
      <c r="B1794" s="885">
        <v>43611.500000000007</v>
      </c>
      <c r="C1794" s="885">
        <v>32224.415300000001</v>
      </c>
      <c r="D1794" s="880" t="s">
        <v>11</v>
      </c>
    </row>
    <row r="1795" spans="1:4" ht="11.25" customHeight="1" x14ac:dyDescent="0.25">
      <c r="A1795" s="1472" t="s">
        <v>1860</v>
      </c>
      <c r="B1795" s="888">
        <v>3916</v>
      </c>
      <c r="C1795" s="888">
        <v>3916</v>
      </c>
      <c r="D1795" s="882" t="s">
        <v>2552</v>
      </c>
    </row>
    <row r="1796" spans="1:4" ht="11.25" customHeight="1" x14ac:dyDescent="0.25">
      <c r="A1796" s="1471"/>
      <c r="B1796" s="885">
        <v>50</v>
      </c>
      <c r="C1796" s="885">
        <v>50</v>
      </c>
      <c r="D1796" s="880" t="s">
        <v>2540</v>
      </c>
    </row>
    <row r="1797" spans="1:4" ht="11.25" customHeight="1" x14ac:dyDescent="0.25">
      <c r="A1797" s="1471"/>
      <c r="B1797" s="885">
        <v>544</v>
      </c>
      <c r="C1797" s="885">
        <v>544</v>
      </c>
      <c r="D1797" s="880" t="s">
        <v>2532</v>
      </c>
    </row>
    <row r="1798" spans="1:4" ht="11.25" customHeight="1" x14ac:dyDescent="0.25">
      <c r="A1798" s="1471"/>
      <c r="B1798" s="885">
        <v>683</v>
      </c>
      <c r="C1798" s="885">
        <v>683</v>
      </c>
      <c r="D1798" s="880" t="s">
        <v>2531</v>
      </c>
    </row>
    <row r="1799" spans="1:4" ht="11.25" customHeight="1" x14ac:dyDescent="0.25">
      <c r="A1799" s="1471"/>
      <c r="B1799" s="885">
        <v>2000</v>
      </c>
      <c r="C1799" s="885">
        <v>2000</v>
      </c>
      <c r="D1799" s="880" t="s">
        <v>2551</v>
      </c>
    </row>
    <row r="1800" spans="1:4" ht="11.25" customHeight="1" x14ac:dyDescent="0.25">
      <c r="A1800" s="1471"/>
      <c r="B1800" s="885">
        <v>1810</v>
      </c>
      <c r="C1800" s="885">
        <v>1810</v>
      </c>
      <c r="D1800" s="880" t="s">
        <v>2550</v>
      </c>
    </row>
    <row r="1801" spans="1:4" ht="11.25" customHeight="1" x14ac:dyDescent="0.25">
      <c r="A1801" s="1473"/>
      <c r="B1801" s="887">
        <v>9003</v>
      </c>
      <c r="C1801" s="887">
        <v>9003</v>
      </c>
      <c r="D1801" s="886" t="s">
        <v>11</v>
      </c>
    </row>
    <row r="1802" spans="1:4" ht="11.25" customHeight="1" x14ac:dyDescent="0.25">
      <c r="A1802" s="1471" t="s">
        <v>1852</v>
      </c>
      <c r="B1802" s="885">
        <v>1340</v>
      </c>
      <c r="C1802" s="885">
        <v>1340</v>
      </c>
      <c r="D1802" s="880" t="s">
        <v>2549</v>
      </c>
    </row>
    <row r="1803" spans="1:4" ht="11.25" customHeight="1" x14ac:dyDescent="0.25">
      <c r="A1803" s="1471"/>
      <c r="B1803" s="885">
        <v>337.01</v>
      </c>
      <c r="C1803" s="885">
        <v>337.00799999999998</v>
      </c>
      <c r="D1803" s="880" t="s">
        <v>2543</v>
      </c>
    </row>
    <row r="1804" spans="1:4" ht="11.25" customHeight="1" x14ac:dyDescent="0.25">
      <c r="A1804" s="1471"/>
      <c r="B1804" s="885">
        <v>135</v>
      </c>
      <c r="C1804" s="885">
        <v>135</v>
      </c>
      <c r="D1804" s="880" t="s">
        <v>2548</v>
      </c>
    </row>
    <row r="1805" spans="1:4" ht="11.25" customHeight="1" x14ac:dyDescent="0.25">
      <c r="A1805" s="1471"/>
      <c r="B1805" s="885">
        <v>180</v>
      </c>
      <c r="C1805" s="885">
        <v>180</v>
      </c>
      <c r="D1805" s="880" t="s">
        <v>2540</v>
      </c>
    </row>
    <row r="1806" spans="1:4" ht="11.25" customHeight="1" x14ac:dyDescent="0.25">
      <c r="A1806" s="1471"/>
      <c r="B1806" s="885">
        <v>330</v>
      </c>
      <c r="C1806" s="885">
        <v>330</v>
      </c>
      <c r="D1806" s="880" t="s">
        <v>2532</v>
      </c>
    </row>
    <row r="1807" spans="1:4" ht="11.25" customHeight="1" x14ac:dyDescent="0.25">
      <c r="A1807" s="1471"/>
      <c r="B1807" s="885">
        <v>1940</v>
      </c>
      <c r="C1807" s="885">
        <v>1940</v>
      </c>
      <c r="D1807" s="880" t="s">
        <v>2531</v>
      </c>
    </row>
    <row r="1808" spans="1:4" ht="11.25" customHeight="1" x14ac:dyDescent="0.25">
      <c r="A1808" s="1471"/>
      <c r="B1808" s="885">
        <v>582.91</v>
      </c>
      <c r="C1808" s="885">
        <v>582.90868</v>
      </c>
      <c r="D1808" s="880" t="s">
        <v>1387</v>
      </c>
    </row>
    <row r="1809" spans="1:4" ht="11.25" customHeight="1" x14ac:dyDescent="0.25">
      <c r="A1809" s="1471"/>
      <c r="B1809" s="885">
        <v>112.46</v>
      </c>
      <c r="C1809" s="885">
        <v>112.46299999999999</v>
      </c>
      <c r="D1809" s="880" t="s">
        <v>1430</v>
      </c>
    </row>
    <row r="1810" spans="1:4" ht="11.25" customHeight="1" x14ac:dyDescent="0.25">
      <c r="A1810" s="1471"/>
      <c r="B1810" s="885">
        <v>189.38</v>
      </c>
      <c r="C1810" s="885">
        <v>189.37830000000002</v>
      </c>
      <c r="D1810" s="880" t="s">
        <v>2547</v>
      </c>
    </row>
    <row r="1811" spans="1:4" ht="11.25" customHeight="1" x14ac:dyDescent="0.25">
      <c r="A1811" s="1471"/>
      <c r="B1811" s="885">
        <v>4000</v>
      </c>
      <c r="C1811" s="885">
        <v>63</v>
      </c>
      <c r="D1811" s="880" t="s">
        <v>2546</v>
      </c>
    </row>
    <row r="1812" spans="1:4" ht="11.25" customHeight="1" x14ac:dyDescent="0.25">
      <c r="A1812" s="1471"/>
      <c r="B1812" s="885">
        <v>1000</v>
      </c>
      <c r="C1812" s="885">
        <v>1000</v>
      </c>
      <c r="D1812" s="880" t="s">
        <v>2529</v>
      </c>
    </row>
    <row r="1813" spans="1:4" ht="11.25" customHeight="1" x14ac:dyDescent="0.25">
      <c r="A1813" s="1471"/>
      <c r="B1813" s="885">
        <v>10146.76</v>
      </c>
      <c r="C1813" s="885">
        <v>6209.7579800000003</v>
      </c>
      <c r="D1813" s="880" t="s">
        <v>11</v>
      </c>
    </row>
    <row r="1814" spans="1:4" ht="11.25" customHeight="1" x14ac:dyDescent="0.25">
      <c r="A1814" s="1472" t="s">
        <v>1866</v>
      </c>
      <c r="B1814" s="888">
        <v>4500</v>
      </c>
      <c r="C1814" s="888">
        <v>0</v>
      </c>
      <c r="D1814" s="882" t="s">
        <v>2545</v>
      </c>
    </row>
    <row r="1815" spans="1:4" ht="11.25" customHeight="1" x14ac:dyDescent="0.25">
      <c r="A1815" s="1471"/>
      <c r="B1815" s="885">
        <v>354.2</v>
      </c>
      <c r="C1815" s="885">
        <v>354.16896000000003</v>
      </c>
      <c r="D1815" s="880" t="s">
        <v>2544</v>
      </c>
    </row>
    <row r="1816" spans="1:4" ht="11.25" customHeight="1" x14ac:dyDescent="0.25">
      <c r="A1816" s="1471"/>
      <c r="B1816" s="885">
        <v>337.01</v>
      </c>
      <c r="C1816" s="885">
        <v>337.00799999999998</v>
      </c>
      <c r="D1816" s="880" t="s">
        <v>2543</v>
      </c>
    </row>
    <row r="1817" spans="1:4" ht="11.25" customHeight="1" x14ac:dyDescent="0.25">
      <c r="A1817" s="1471"/>
      <c r="B1817" s="885">
        <v>345.65</v>
      </c>
      <c r="C1817" s="885">
        <v>0</v>
      </c>
      <c r="D1817" s="880" t="s">
        <v>2542</v>
      </c>
    </row>
    <row r="1818" spans="1:4" ht="11.25" customHeight="1" x14ac:dyDescent="0.25">
      <c r="A1818" s="1471"/>
      <c r="B1818" s="885">
        <v>2763.08</v>
      </c>
      <c r="C1818" s="885">
        <v>2763.0770000000002</v>
      </c>
      <c r="D1818" s="880" t="s">
        <v>2541</v>
      </c>
    </row>
    <row r="1819" spans="1:4" ht="11.25" customHeight="1" x14ac:dyDescent="0.25">
      <c r="A1819" s="1471"/>
      <c r="B1819" s="885">
        <v>300</v>
      </c>
      <c r="C1819" s="885">
        <v>300</v>
      </c>
      <c r="D1819" s="880" t="s">
        <v>2540</v>
      </c>
    </row>
    <row r="1820" spans="1:4" ht="11.25" customHeight="1" x14ac:dyDescent="0.25">
      <c r="A1820" s="1471"/>
      <c r="B1820" s="885">
        <v>330</v>
      </c>
      <c r="C1820" s="885">
        <v>330</v>
      </c>
      <c r="D1820" s="880" t="s">
        <v>2532</v>
      </c>
    </row>
    <row r="1821" spans="1:4" ht="11.25" customHeight="1" x14ac:dyDescent="0.25">
      <c r="A1821" s="1471"/>
      <c r="B1821" s="885">
        <v>3163</v>
      </c>
      <c r="C1821" s="885">
        <v>3163</v>
      </c>
      <c r="D1821" s="880" t="s">
        <v>2531</v>
      </c>
    </row>
    <row r="1822" spans="1:4" ht="11.25" customHeight="1" x14ac:dyDescent="0.25">
      <c r="A1822" s="1471"/>
      <c r="B1822" s="885">
        <v>313.36</v>
      </c>
      <c r="C1822" s="885">
        <v>313.358</v>
      </c>
      <c r="D1822" s="880" t="s">
        <v>2539</v>
      </c>
    </row>
    <row r="1823" spans="1:4" ht="11.25" customHeight="1" x14ac:dyDescent="0.25">
      <c r="A1823" s="1471"/>
      <c r="B1823" s="885">
        <v>767.1</v>
      </c>
      <c r="C1823" s="885">
        <v>758.09500000000003</v>
      </c>
      <c r="D1823" s="880" t="s">
        <v>1430</v>
      </c>
    </row>
    <row r="1824" spans="1:4" ht="11.25" customHeight="1" x14ac:dyDescent="0.25">
      <c r="A1824" s="1471"/>
      <c r="B1824" s="885">
        <v>1797.04</v>
      </c>
      <c r="C1824" s="885">
        <v>1797.0350000000001</v>
      </c>
      <c r="D1824" s="880" t="s">
        <v>2538</v>
      </c>
    </row>
    <row r="1825" spans="1:4" ht="11.25" customHeight="1" x14ac:dyDescent="0.25">
      <c r="A1825" s="1471"/>
      <c r="B1825" s="885">
        <v>16.88</v>
      </c>
      <c r="C1825" s="885">
        <v>16.875</v>
      </c>
      <c r="D1825" s="880" t="s">
        <v>2537</v>
      </c>
    </row>
    <row r="1826" spans="1:4" ht="11.25" customHeight="1" x14ac:dyDescent="0.25">
      <c r="A1826" s="1471"/>
      <c r="B1826" s="885">
        <v>911.55</v>
      </c>
      <c r="C1826" s="885">
        <v>346.81554</v>
      </c>
      <c r="D1826" s="880" t="s">
        <v>2536</v>
      </c>
    </row>
    <row r="1827" spans="1:4" ht="11.25" customHeight="1" x14ac:dyDescent="0.25">
      <c r="A1827" s="1471"/>
      <c r="B1827" s="885">
        <v>665.5</v>
      </c>
      <c r="C1827" s="885">
        <v>665.5</v>
      </c>
      <c r="D1827" s="880" t="s">
        <v>2535</v>
      </c>
    </row>
    <row r="1828" spans="1:4" ht="11.25" customHeight="1" x14ac:dyDescent="0.25">
      <c r="A1828" s="1471"/>
      <c r="B1828" s="885">
        <v>1000</v>
      </c>
      <c r="C1828" s="885">
        <v>1000</v>
      </c>
      <c r="D1828" s="880" t="s">
        <v>2529</v>
      </c>
    </row>
    <row r="1829" spans="1:4" ht="11.25" customHeight="1" x14ac:dyDescent="0.25">
      <c r="A1829" s="1473"/>
      <c r="B1829" s="887">
        <v>17564.369999999995</v>
      </c>
      <c r="C1829" s="887">
        <v>12144.932499999999</v>
      </c>
      <c r="D1829" s="886" t="s">
        <v>11</v>
      </c>
    </row>
    <row r="1830" spans="1:4" ht="11.25" customHeight="1" x14ac:dyDescent="0.25">
      <c r="A1830" s="1471" t="s">
        <v>2534</v>
      </c>
      <c r="B1830" s="885">
        <v>13000</v>
      </c>
      <c r="C1830" s="885">
        <v>13000</v>
      </c>
      <c r="D1830" s="880" t="s">
        <v>2533</v>
      </c>
    </row>
    <row r="1831" spans="1:4" ht="11.25" customHeight="1" x14ac:dyDescent="0.25">
      <c r="A1831" s="1471"/>
      <c r="B1831" s="885">
        <v>2416.7600000000002</v>
      </c>
      <c r="C1831" s="885">
        <v>2416.7600000000002</v>
      </c>
      <c r="D1831" s="880" t="s">
        <v>1431</v>
      </c>
    </row>
    <row r="1832" spans="1:4" ht="11.25" customHeight="1" x14ac:dyDescent="0.25">
      <c r="A1832" s="1471"/>
      <c r="B1832" s="885">
        <v>303734</v>
      </c>
      <c r="C1832" s="885">
        <v>303734</v>
      </c>
      <c r="D1832" s="880" t="s">
        <v>2532</v>
      </c>
    </row>
    <row r="1833" spans="1:4" ht="11.25" customHeight="1" x14ac:dyDescent="0.25">
      <c r="A1833" s="1471"/>
      <c r="B1833" s="885">
        <v>30850</v>
      </c>
      <c r="C1833" s="885">
        <v>30850</v>
      </c>
      <c r="D1833" s="880" t="s">
        <v>2531</v>
      </c>
    </row>
    <row r="1834" spans="1:4" ht="11.25" customHeight="1" x14ac:dyDescent="0.25">
      <c r="A1834" s="1471"/>
      <c r="B1834" s="885">
        <v>9000</v>
      </c>
      <c r="C1834" s="885">
        <v>9000</v>
      </c>
      <c r="D1834" s="880" t="s">
        <v>2530</v>
      </c>
    </row>
    <row r="1835" spans="1:4" ht="11.25" customHeight="1" x14ac:dyDescent="0.25">
      <c r="A1835" s="1471"/>
      <c r="B1835" s="885">
        <v>1500</v>
      </c>
      <c r="C1835" s="885">
        <v>1500</v>
      </c>
      <c r="D1835" s="880" t="s">
        <v>2529</v>
      </c>
    </row>
    <row r="1836" spans="1:4" ht="11.25" customHeight="1" x14ac:dyDescent="0.25">
      <c r="A1836" s="1471"/>
      <c r="B1836" s="885">
        <v>360500.76</v>
      </c>
      <c r="C1836" s="885">
        <v>360500.76</v>
      </c>
      <c r="D1836" s="880" t="s">
        <v>11</v>
      </c>
    </row>
    <row r="1837" spans="1:4" s="876" customFormat="1" ht="23.25" customHeight="1" x14ac:dyDescent="0.2">
      <c r="A1837" s="879" t="s">
        <v>2528</v>
      </c>
      <c r="B1837" s="878">
        <v>566555.76</v>
      </c>
      <c r="C1837" s="878">
        <v>524339.42166999995</v>
      </c>
      <c r="D1837" s="877"/>
    </row>
    <row r="1838" spans="1:4" s="863" customFormat="1" ht="24.75" customHeight="1" x14ac:dyDescent="0.15">
      <c r="A1838" s="884" t="s">
        <v>2527</v>
      </c>
      <c r="B1838" s="874"/>
      <c r="C1838" s="874"/>
      <c r="D1838" s="873"/>
    </row>
    <row r="1839" spans="1:4" ht="11.25" customHeight="1" x14ac:dyDescent="0.25">
      <c r="A1839" s="1472" t="s">
        <v>1872</v>
      </c>
      <c r="B1839" s="883">
        <v>75</v>
      </c>
      <c r="C1839" s="883">
        <v>71.269000000000005</v>
      </c>
      <c r="D1839" s="882" t="s">
        <v>2526</v>
      </c>
    </row>
    <row r="1840" spans="1:4" ht="11.25" customHeight="1" x14ac:dyDescent="0.25">
      <c r="A1840" s="1471"/>
      <c r="B1840" s="881">
        <v>250</v>
      </c>
      <c r="C1840" s="881">
        <v>241.9879</v>
      </c>
      <c r="D1840" s="880" t="s">
        <v>2525</v>
      </c>
    </row>
    <row r="1841" spans="1:4" ht="11.25" customHeight="1" x14ac:dyDescent="0.25">
      <c r="A1841" s="1471"/>
      <c r="B1841" s="881">
        <v>3675</v>
      </c>
      <c r="C1841" s="881">
        <v>3675</v>
      </c>
      <c r="D1841" s="880" t="s">
        <v>2524</v>
      </c>
    </row>
    <row r="1842" spans="1:4" ht="11.25" customHeight="1" x14ac:dyDescent="0.25">
      <c r="A1842" s="1471"/>
      <c r="B1842" s="881">
        <v>4000</v>
      </c>
      <c r="C1842" s="881">
        <v>3988.2568999999999</v>
      </c>
      <c r="D1842" s="880" t="s">
        <v>11</v>
      </c>
    </row>
    <row r="1843" spans="1:4" s="876" customFormat="1" ht="23.25" customHeight="1" x14ac:dyDescent="0.2">
      <c r="A1843" s="879" t="s">
        <v>2523</v>
      </c>
      <c r="B1843" s="878">
        <v>4000</v>
      </c>
      <c r="C1843" s="878">
        <v>3988.2568999999999</v>
      </c>
      <c r="D1843" s="877"/>
    </row>
    <row r="1844" spans="1:4" s="863" customFormat="1" ht="10.5" x14ac:dyDescent="0.15">
      <c r="A1844" s="875"/>
      <c r="B1844" s="874"/>
      <c r="C1844" s="874"/>
      <c r="D1844" s="873"/>
    </row>
    <row r="1845" spans="1:4" s="868" customFormat="1" ht="21" customHeight="1" x14ac:dyDescent="0.15">
      <c r="A1845" s="872" t="s">
        <v>477</v>
      </c>
      <c r="B1845" s="871">
        <f>B14+B67+B206+B1718+B1837+B1843</f>
        <v>6002967.29</v>
      </c>
      <c r="C1845" s="870">
        <f>C14+C67+C206+C1718+C1837+C1843</f>
        <v>5925724.6935199993</v>
      </c>
      <c r="D1845" s="869"/>
    </row>
    <row r="1846" spans="1:4" s="863" customFormat="1" ht="12.75" customHeight="1" x14ac:dyDescent="0.15">
      <c r="B1846" s="865"/>
      <c r="C1846" s="865"/>
      <c r="D1846" s="864"/>
    </row>
    <row r="1847" spans="1:4" s="863" customFormat="1" ht="12.75" customHeight="1" x14ac:dyDescent="0.15">
      <c r="B1847" s="865"/>
      <c r="C1847" s="865"/>
      <c r="D1847" s="864"/>
    </row>
    <row r="1848" spans="1:4" s="863" customFormat="1" ht="12.75" customHeight="1" x14ac:dyDescent="0.15">
      <c r="A1848" s="867" t="s">
        <v>2522</v>
      </c>
      <c r="B1848" s="865"/>
      <c r="C1848" s="865"/>
      <c r="D1848" s="864"/>
    </row>
    <row r="1849" spans="1:4" s="863" customFormat="1" ht="12.75" customHeight="1" x14ac:dyDescent="0.15">
      <c r="A1849" s="866" t="s">
        <v>2521</v>
      </c>
      <c r="B1849" s="865"/>
      <c r="C1849" s="865"/>
      <c r="D1849" s="864"/>
    </row>
  </sheetData>
  <mergeCells count="227">
    <mergeCell ref="A1639:A1642"/>
    <mergeCell ref="A1668:A1671"/>
    <mergeCell ref="A1672:A1677"/>
    <mergeCell ref="A1678:A1681"/>
    <mergeCell ref="A1682:A1685"/>
    <mergeCell ref="A1686:A1689"/>
    <mergeCell ref="A1690:A1693"/>
    <mergeCell ref="A1776:A1794"/>
    <mergeCell ref="A1795:A1801"/>
    <mergeCell ref="A1694:A1697"/>
    <mergeCell ref="A1698:A1703"/>
    <mergeCell ref="A1704:A1707"/>
    <mergeCell ref="A1708:A1711"/>
    <mergeCell ref="A1712:A1717"/>
    <mergeCell ref="A1720:A1723"/>
    <mergeCell ref="A1634:A1638"/>
    <mergeCell ref="A1802:A1813"/>
    <mergeCell ref="A1814:A1829"/>
    <mergeCell ref="A1830:A1836"/>
    <mergeCell ref="A1839:A1842"/>
    <mergeCell ref="A1:D1"/>
    <mergeCell ref="A1724:A1726"/>
    <mergeCell ref="A1727:A1742"/>
    <mergeCell ref="A1743:A1760"/>
    <mergeCell ref="A1761:A1775"/>
    <mergeCell ref="A1643:A1647"/>
    <mergeCell ref="A1648:A1652"/>
    <mergeCell ref="A1653:A1658"/>
    <mergeCell ref="A1659:A1663"/>
    <mergeCell ref="A1664:A1667"/>
    <mergeCell ref="A1612:A1615"/>
    <mergeCell ref="A1616:A1620"/>
    <mergeCell ref="A1621:A1624"/>
    <mergeCell ref="A1625:A1628"/>
    <mergeCell ref="A1629:A1633"/>
    <mergeCell ref="A1560:A1564"/>
    <mergeCell ref="A1565:A1568"/>
    <mergeCell ref="A1569:A1573"/>
    <mergeCell ref="A1574:A1579"/>
    <mergeCell ref="A1580:A1583"/>
    <mergeCell ref="A1584:A1587"/>
    <mergeCell ref="A1588:A1591"/>
    <mergeCell ref="A1592:A1595"/>
    <mergeCell ref="A1596:A1599"/>
    <mergeCell ref="A1600:A1603"/>
    <mergeCell ref="A1604:A1607"/>
    <mergeCell ref="A1608:A1611"/>
    <mergeCell ref="A1470:A1478"/>
    <mergeCell ref="A1479:A1486"/>
    <mergeCell ref="A1487:A1497"/>
    <mergeCell ref="A1498:A1505"/>
    <mergeCell ref="A1506:A1513"/>
    <mergeCell ref="A1514:A1523"/>
    <mergeCell ref="A1524:A1529"/>
    <mergeCell ref="A1530:A1538"/>
    <mergeCell ref="A1539:A1546"/>
    <mergeCell ref="A1547:A1550"/>
    <mergeCell ref="A1551:A1555"/>
    <mergeCell ref="A1556:A1559"/>
    <mergeCell ref="A1450:A1455"/>
    <mergeCell ref="A1456:A1463"/>
    <mergeCell ref="A1464:A1469"/>
    <mergeCell ref="A1276:A1281"/>
    <mergeCell ref="A1282:A1290"/>
    <mergeCell ref="A1291:A1301"/>
    <mergeCell ref="A1302:A1305"/>
    <mergeCell ref="A1306:A1319"/>
    <mergeCell ref="A1320:A1332"/>
    <mergeCell ref="A1333:A1341"/>
    <mergeCell ref="A1342:A1347"/>
    <mergeCell ref="A1348:A1352"/>
    <mergeCell ref="A1353:A1359"/>
    <mergeCell ref="A1360:A1365"/>
    <mergeCell ref="A1366:A1375"/>
    <mergeCell ref="A1376:A1387"/>
    <mergeCell ref="A1388:A1395"/>
    <mergeCell ref="A1396:A1404"/>
    <mergeCell ref="A1405:A1411"/>
    <mergeCell ref="A1412:A1419"/>
    <mergeCell ref="A1420:A1427"/>
    <mergeCell ref="A1428:A1432"/>
    <mergeCell ref="A1433:A1441"/>
    <mergeCell ref="A1442:A1449"/>
    <mergeCell ref="A1244:A1251"/>
    <mergeCell ref="A1252:A1260"/>
    <mergeCell ref="A1261:A1275"/>
    <mergeCell ref="A1016:A1030"/>
    <mergeCell ref="A1031:A1038"/>
    <mergeCell ref="A1039:A1045"/>
    <mergeCell ref="A1046:A1055"/>
    <mergeCell ref="A1056:A1067"/>
    <mergeCell ref="A1068:A1077"/>
    <mergeCell ref="A1078:A1090"/>
    <mergeCell ref="A1091:A1103"/>
    <mergeCell ref="A1104:A1116"/>
    <mergeCell ref="A1117:A1129"/>
    <mergeCell ref="A1130:A1142"/>
    <mergeCell ref="A1143:A1151"/>
    <mergeCell ref="A1152:A1163"/>
    <mergeCell ref="A1164:A1174"/>
    <mergeCell ref="A1175:A1184"/>
    <mergeCell ref="A1185:A1194"/>
    <mergeCell ref="A1195:A1206"/>
    <mergeCell ref="A1207:A1214"/>
    <mergeCell ref="A1215:A1224"/>
    <mergeCell ref="A1225:A1235"/>
    <mergeCell ref="A1236:A1243"/>
    <mergeCell ref="A989:A997"/>
    <mergeCell ref="A998:A1006"/>
    <mergeCell ref="A1007:A1015"/>
    <mergeCell ref="A777:A788"/>
    <mergeCell ref="A789:A798"/>
    <mergeCell ref="A799:A805"/>
    <mergeCell ref="A806:A813"/>
    <mergeCell ref="A814:A825"/>
    <mergeCell ref="A826:A838"/>
    <mergeCell ref="A839:A846"/>
    <mergeCell ref="A847:A855"/>
    <mergeCell ref="A856:A869"/>
    <mergeCell ref="A870:A877"/>
    <mergeCell ref="A878:A888"/>
    <mergeCell ref="A889:A901"/>
    <mergeCell ref="A902:A909"/>
    <mergeCell ref="A910:A919"/>
    <mergeCell ref="A920:A928"/>
    <mergeCell ref="A929:A938"/>
    <mergeCell ref="A939:A948"/>
    <mergeCell ref="A949:A958"/>
    <mergeCell ref="A959:A967"/>
    <mergeCell ref="A968:A978"/>
    <mergeCell ref="A979:A988"/>
    <mergeCell ref="A752:A758"/>
    <mergeCell ref="A759:A766"/>
    <mergeCell ref="A767:A776"/>
    <mergeCell ref="A569:A580"/>
    <mergeCell ref="A581:A589"/>
    <mergeCell ref="A590:A595"/>
    <mergeCell ref="A596:A602"/>
    <mergeCell ref="A603:A609"/>
    <mergeCell ref="A610:A616"/>
    <mergeCell ref="A617:A623"/>
    <mergeCell ref="A624:A632"/>
    <mergeCell ref="A633:A643"/>
    <mergeCell ref="A644:A656"/>
    <mergeCell ref="A657:A667"/>
    <mergeCell ref="A668:A679"/>
    <mergeCell ref="A680:A690"/>
    <mergeCell ref="A691:A696"/>
    <mergeCell ref="A697:A706"/>
    <mergeCell ref="A707:A714"/>
    <mergeCell ref="A715:A721"/>
    <mergeCell ref="A722:A729"/>
    <mergeCell ref="A730:A737"/>
    <mergeCell ref="A738:A744"/>
    <mergeCell ref="A745:A751"/>
    <mergeCell ref="A545:A551"/>
    <mergeCell ref="A552:A560"/>
    <mergeCell ref="A561:A568"/>
    <mergeCell ref="A338:A346"/>
    <mergeCell ref="A347:A355"/>
    <mergeCell ref="A356:A368"/>
    <mergeCell ref="A369:A378"/>
    <mergeCell ref="A379:A388"/>
    <mergeCell ref="A389:A401"/>
    <mergeCell ref="A402:A410"/>
    <mergeCell ref="A411:A422"/>
    <mergeCell ref="A423:A432"/>
    <mergeCell ref="A433:A441"/>
    <mergeCell ref="A442:A448"/>
    <mergeCell ref="A449:A457"/>
    <mergeCell ref="A458:A466"/>
    <mergeCell ref="A467:A473"/>
    <mergeCell ref="A474:A485"/>
    <mergeCell ref="A486:A492"/>
    <mergeCell ref="A493:A502"/>
    <mergeCell ref="A503:A510"/>
    <mergeCell ref="A511:A518"/>
    <mergeCell ref="A519:A532"/>
    <mergeCell ref="A533:A544"/>
    <mergeCell ref="A314:A319"/>
    <mergeCell ref="A320:A325"/>
    <mergeCell ref="A326:A337"/>
    <mergeCell ref="A157:A165"/>
    <mergeCell ref="A166:A172"/>
    <mergeCell ref="A173:A182"/>
    <mergeCell ref="A183:A189"/>
    <mergeCell ref="A190:A197"/>
    <mergeCell ref="A198:A205"/>
    <mergeCell ref="A208:A222"/>
    <mergeCell ref="A223:A228"/>
    <mergeCell ref="A229:A234"/>
    <mergeCell ref="A235:A240"/>
    <mergeCell ref="A241:A246"/>
    <mergeCell ref="A247:A252"/>
    <mergeCell ref="A253:A259"/>
    <mergeCell ref="A260:A266"/>
    <mergeCell ref="A267:A272"/>
    <mergeCell ref="A273:A278"/>
    <mergeCell ref="A279:A286"/>
    <mergeCell ref="A287:A293"/>
    <mergeCell ref="A294:A299"/>
    <mergeCell ref="A300:A306"/>
    <mergeCell ref="A307:A313"/>
    <mergeCell ref="A141:A144"/>
    <mergeCell ref="A145:A151"/>
    <mergeCell ref="A152:A156"/>
    <mergeCell ref="A5:A13"/>
    <mergeCell ref="A16:A22"/>
    <mergeCell ref="A23:A31"/>
    <mergeCell ref="A32:A36"/>
    <mergeCell ref="A37:A42"/>
    <mergeCell ref="A43:A52"/>
    <mergeCell ref="A53:A60"/>
    <mergeCell ref="A61:A66"/>
    <mergeCell ref="A69:A74"/>
    <mergeCell ref="A75:A82"/>
    <mergeCell ref="A83:A85"/>
    <mergeCell ref="A86:A88"/>
    <mergeCell ref="A89:A94"/>
    <mergeCell ref="A95:A98"/>
    <mergeCell ref="A99:A107"/>
    <mergeCell ref="A108:A111"/>
    <mergeCell ref="A112:A117"/>
    <mergeCell ref="A118:A124"/>
    <mergeCell ref="A125:A128"/>
    <mergeCell ref="A129:A134"/>
    <mergeCell ref="A135:A140"/>
  </mergeCells>
  <printOptions horizontalCentered="1"/>
  <pageMargins left="0.39370078740157483" right="0.39370078740157483" top="0.59055118110236227" bottom="0.39370078740157483" header="0.31496062992125984" footer="0.11811023622047245"/>
  <pageSetup paperSize="9" scale="96" firstPageNumber="329" fitToHeight="0" orientation="landscape" useFirstPageNumber="1" r:id="rId1"/>
  <headerFooter>
    <oddHeader>&amp;L&amp;"Tahoma,Kurzíva"&amp;9Závěrečný účet za rok 2015&amp;R&amp;"Tahoma,Kurzíva"&amp;9Tabulka č. 26</oddHeader>
    <oddFooter>&amp;C&amp;"Tahoma,Obyčejné"&amp;P</oddFooter>
  </headerFooter>
  <rowBreaks count="20" manualBreakCount="20">
    <brk id="44" max="3" man="1"/>
    <brk id="88" max="16383" man="1"/>
    <brk id="134" max="16383" man="1"/>
    <brk id="179" max="16383" man="1"/>
    <brk id="222" max="16383" man="1"/>
    <brk id="266" max="16383" man="1"/>
    <brk id="499" max="16383" man="1"/>
    <brk id="544" max="16383" man="1"/>
    <brk id="589" max="16383" man="1"/>
    <brk id="634" max="16383" man="1"/>
    <brk id="679" max="16383" man="1"/>
    <brk id="818" max="16383" man="1"/>
    <brk id="860" max="16383" man="1"/>
    <brk id="903" max="16383" man="1"/>
    <brk id="948" max="16383" man="1"/>
    <brk id="994" max="3" man="1"/>
    <brk id="1040" max="16383" man="1"/>
    <brk id="1409" max="16383" man="1"/>
    <brk id="1546" max="16383" man="1"/>
    <brk id="1591"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21"/>
  <sheetViews>
    <sheetView zoomScaleNormal="100" zoomScaleSheetLayoutView="100" workbookViewId="0">
      <selection activeCell="E2" sqref="E2"/>
    </sheetView>
  </sheetViews>
  <sheetFormatPr defaultRowHeight="15" x14ac:dyDescent="0.25"/>
  <cols>
    <col min="1" max="1" width="38.5703125" style="940" customWidth="1"/>
    <col min="2" max="3" width="11.140625" style="941" customWidth="1"/>
    <col min="4" max="4" width="87.28515625" style="940" customWidth="1"/>
    <col min="5" max="16384" width="9.140625" style="941"/>
  </cols>
  <sheetData>
    <row r="1" spans="1:4" s="904" customFormat="1" ht="21" customHeight="1" x14ac:dyDescent="0.2">
      <c r="A1" s="1478" t="s">
        <v>2731</v>
      </c>
      <c r="B1" s="1478"/>
      <c r="C1" s="1478"/>
      <c r="D1" s="1478"/>
    </row>
    <row r="2" spans="1:4" s="904" customFormat="1" ht="12.75" x14ac:dyDescent="0.2">
      <c r="A2" s="905"/>
      <c r="B2" s="905"/>
      <c r="C2" s="905"/>
      <c r="D2" s="906" t="s">
        <v>2</v>
      </c>
    </row>
    <row r="3" spans="1:4" s="908" customFormat="1" ht="12.75" x14ac:dyDescent="0.2">
      <c r="A3" s="907" t="s">
        <v>717</v>
      </c>
      <c r="B3" s="907" t="s">
        <v>2729</v>
      </c>
      <c r="C3" s="907" t="s">
        <v>2728</v>
      </c>
      <c r="D3" s="907" t="s">
        <v>2727</v>
      </c>
    </row>
    <row r="4" spans="1:4" s="908" customFormat="1" ht="24.75" customHeight="1" x14ac:dyDescent="0.2">
      <c r="A4" s="909" t="s">
        <v>2732</v>
      </c>
      <c r="B4" s="910"/>
      <c r="C4" s="910"/>
      <c r="D4" s="911"/>
    </row>
    <row r="5" spans="1:4" s="913" customFormat="1" ht="11.25" customHeight="1" x14ac:dyDescent="0.2">
      <c r="A5" s="1476" t="s">
        <v>752</v>
      </c>
      <c r="B5" s="888">
        <v>62.84</v>
      </c>
      <c r="C5" s="888">
        <v>21.6</v>
      </c>
      <c r="D5" s="912" t="s">
        <v>2733</v>
      </c>
    </row>
    <row r="6" spans="1:4" s="913" customFormat="1" ht="11.25" customHeight="1" x14ac:dyDescent="0.2">
      <c r="A6" s="1475"/>
      <c r="B6" s="885">
        <v>8.1999999999999993</v>
      </c>
      <c r="C6" s="885">
        <v>8.1999999999999993</v>
      </c>
      <c r="D6" s="914" t="s">
        <v>751</v>
      </c>
    </row>
    <row r="7" spans="1:4" s="913" customFormat="1" ht="11.25" customHeight="1" x14ac:dyDescent="0.2">
      <c r="A7" s="1477"/>
      <c r="B7" s="887">
        <v>71.040000000000006</v>
      </c>
      <c r="C7" s="887">
        <v>29.8</v>
      </c>
      <c r="D7" s="915" t="s">
        <v>11</v>
      </c>
    </row>
    <row r="8" spans="1:4" s="913" customFormat="1" ht="11.25" customHeight="1" x14ac:dyDescent="0.2">
      <c r="A8" s="1475" t="s">
        <v>723</v>
      </c>
      <c r="B8" s="885">
        <v>223.24</v>
      </c>
      <c r="C8" s="885">
        <v>205.24</v>
      </c>
      <c r="D8" s="914" t="s">
        <v>2733</v>
      </c>
    </row>
    <row r="9" spans="1:4" s="913" customFormat="1" ht="11.25" customHeight="1" x14ac:dyDescent="0.2">
      <c r="A9" s="1475"/>
      <c r="B9" s="885">
        <v>34.299999999999997</v>
      </c>
      <c r="C9" s="885">
        <v>33.036000000000001</v>
      </c>
      <c r="D9" s="914" t="s">
        <v>2734</v>
      </c>
    </row>
    <row r="10" spans="1:4" s="913" customFormat="1" ht="11.25" customHeight="1" x14ac:dyDescent="0.2">
      <c r="A10" s="1475"/>
      <c r="B10" s="885">
        <v>1475</v>
      </c>
      <c r="C10" s="885">
        <v>1475</v>
      </c>
      <c r="D10" s="914" t="s">
        <v>2735</v>
      </c>
    </row>
    <row r="11" spans="1:4" s="913" customFormat="1" ht="11.25" customHeight="1" x14ac:dyDescent="0.2">
      <c r="A11" s="1475"/>
      <c r="B11" s="885">
        <v>90</v>
      </c>
      <c r="C11" s="885">
        <v>0</v>
      </c>
      <c r="D11" s="914" t="s">
        <v>2736</v>
      </c>
    </row>
    <row r="12" spans="1:4" s="913" customFormat="1" ht="11.25" customHeight="1" x14ac:dyDescent="0.2">
      <c r="A12" s="1475"/>
      <c r="B12" s="885">
        <v>500</v>
      </c>
      <c r="C12" s="885">
        <v>0</v>
      </c>
      <c r="D12" s="914" t="s">
        <v>722</v>
      </c>
    </row>
    <row r="13" spans="1:4" s="913" customFormat="1" ht="11.25" customHeight="1" x14ac:dyDescent="0.2">
      <c r="A13" s="1475"/>
      <c r="B13" s="885">
        <v>198.9</v>
      </c>
      <c r="C13" s="885">
        <v>198.9</v>
      </c>
      <c r="D13" s="914" t="s">
        <v>751</v>
      </c>
    </row>
    <row r="14" spans="1:4" s="913" customFormat="1" ht="11.25" customHeight="1" x14ac:dyDescent="0.2">
      <c r="A14" s="1475"/>
      <c r="B14" s="885">
        <v>2521.44</v>
      </c>
      <c r="C14" s="885">
        <v>1912.1760000000002</v>
      </c>
      <c r="D14" s="914" t="s">
        <v>11</v>
      </c>
    </row>
    <row r="15" spans="1:4" s="913" customFormat="1" ht="21" x14ac:dyDescent="0.2">
      <c r="A15" s="1476" t="s">
        <v>753</v>
      </c>
      <c r="B15" s="888">
        <v>100</v>
      </c>
      <c r="C15" s="888">
        <v>59.82</v>
      </c>
      <c r="D15" s="912" t="s">
        <v>2737</v>
      </c>
    </row>
    <row r="16" spans="1:4" s="913" customFormat="1" ht="11.25" customHeight="1" x14ac:dyDescent="0.2">
      <c r="A16" s="1475"/>
      <c r="B16" s="885">
        <v>37.5</v>
      </c>
      <c r="C16" s="885">
        <v>37.5</v>
      </c>
      <c r="D16" s="914" t="s">
        <v>2607</v>
      </c>
    </row>
    <row r="17" spans="1:4" s="913" customFormat="1" ht="11.25" customHeight="1" x14ac:dyDescent="0.2">
      <c r="A17" s="1475"/>
      <c r="B17" s="885">
        <v>62</v>
      </c>
      <c r="C17" s="885">
        <v>33.423000000000002</v>
      </c>
      <c r="D17" s="914" t="s">
        <v>2734</v>
      </c>
    </row>
    <row r="18" spans="1:4" s="913" customFormat="1" ht="11.25" customHeight="1" x14ac:dyDescent="0.2">
      <c r="A18" s="1475"/>
      <c r="B18" s="885">
        <v>2219</v>
      </c>
      <c r="C18" s="885">
        <v>2219</v>
      </c>
      <c r="D18" s="914" t="s">
        <v>2735</v>
      </c>
    </row>
    <row r="19" spans="1:4" s="913" customFormat="1" ht="11.25" customHeight="1" x14ac:dyDescent="0.2">
      <c r="A19" s="1475"/>
      <c r="B19" s="885">
        <v>174</v>
      </c>
      <c r="C19" s="885">
        <v>0</v>
      </c>
      <c r="D19" s="914" t="s">
        <v>2736</v>
      </c>
    </row>
    <row r="20" spans="1:4" s="913" customFormat="1" ht="11.25" customHeight="1" x14ac:dyDescent="0.2">
      <c r="A20" s="1475"/>
      <c r="B20" s="885">
        <v>36.5</v>
      </c>
      <c r="C20" s="885">
        <v>36.5</v>
      </c>
      <c r="D20" s="914" t="s">
        <v>2738</v>
      </c>
    </row>
    <row r="21" spans="1:4" s="913" customFormat="1" ht="11.25" customHeight="1" x14ac:dyDescent="0.2">
      <c r="A21" s="1475"/>
      <c r="B21" s="885">
        <v>1333.9</v>
      </c>
      <c r="C21" s="885">
        <v>1333.9</v>
      </c>
      <c r="D21" s="914" t="s">
        <v>2739</v>
      </c>
    </row>
    <row r="22" spans="1:4" s="913" customFormat="1" ht="11.25" customHeight="1" x14ac:dyDescent="0.2">
      <c r="A22" s="1475"/>
      <c r="B22" s="885">
        <v>30.22</v>
      </c>
      <c r="C22" s="885">
        <v>30.204219999999999</v>
      </c>
      <c r="D22" s="914" t="s">
        <v>2608</v>
      </c>
    </row>
    <row r="23" spans="1:4" s="913" customFormat="1" ht="11.25" customHeight="1" x14ac:dyDescent="0.2">
      <c r="A23" s="1475"/>
      <c r="B23" s="885">
        <v>30</v>
      </c>
      <c r="C23" s="885">
        <v>30</v>
      </c>
      <c r="D23" s="914" t="s">
        <v>2740</v>
      </c>
    </row>
    <row r="24" spans="1:4" s="913" customFormat="1" ht="11.25" customHeight="1" x14ac:dyDescent="0.2">
      <c r="A24" s="1475"/>
      <c r="B24" s="885">
        <v>12.8</v>
      </c>
      <c r="C24" s="885">
        <v>12.8</v>
      </c>
      <c r="D24" s="914" t="s">
        <v>751</v>
      </c>
    </row>
    <row r="25" spans="1:4" s="913" customFormat="1" ht="11.25" customHeight="1" x14ac:dyDescent="0.2">
      <c r="A25" s="1477"/>
      <c r="B25" s="887">
        <v>4035.92</v>
      </c>
      <c r="C25" s="887">
        <v>3793.1472200000003</v>
      </c>
      <c r="D25" s="915" t="s">
        <v>11</v>
      </c>
    </row>
    <row r="26" spans="1:4" s="913" customFormat="1" ht="21" x14ac:dyDescent="0.2">
      <c r="A26" s="1475" t="s">
        <v>754</v>
      </c>
      <c r="B26" s="885">
        <v>40</v>
      </c>
      <c r="C26" s="885">
        <v>40</v>
      </c>
      <c r="D26" s="914" t="s">
        <v>2737</v>
      </c>
    </row>
    <row r="27" spans="1:4" s="913" customFormat="1" ht="11.25" customHeight="1" x14ac:dyDescent="0.2">
      <c r="A27" s="1475"/>
      <c r="B27" s="885">
        <v>43.379999999999995</v>
      </c>
      <c r="C27" s="885">
        <v>24.226999999999997</v>
      </c>
      <c r="D27" s="914" t="s">
        <v>2734</v>
      </c>
    </row>
    <row r="28" spans="1:4" s="913" customFormat="1" ht="11.25" customHeight="1" x14ac:dyDescent="0.2">
      <c r="A28" s="1475"/>
      <c r="B28" s="885">
        <v>9720</v>
      </c>
      <c r="C28" s="885">
        <v>9720</v>
      </c>
      <c r="D28" s="914" t="s">
        <v>2735</v>
      </c>
    </row>
    <row r="29" spans="1:4" s="913" customFormat="1" ht="11.25" customHeight="1" x14ac:dyDescent="0.2">
      <c r="A29" s="1475"/>
      <c r="B29" s="885">
        <v>70</v>
      </c>
      <c r="C29" s="885">
        <v>69.496729999999999</v>
      </c>
      <c r="D29" s="914" t="s">
        <v>2741</v>
      </c>
    </row>
    <row r="30" spans="1:4" s="913" customFormat="1" ht="11.25" customHeight="1" x14ac:dyDescent="0.2">
      <c r="A30" s="1475"/>
      <c r="B30" s="885">
        <v>218.84999999999997</v>
      </c>
      <c r="C30" s="885">
        <v>218.83381999999997</v>
      </c>
      <c r="D30" s="914" t="s">
        <v>2608</v>
      </c>
    </row>
    <row r="31" spans="1:4" s="913" customFormat="1" ht="11.25" customHeight="1" x14ac:dyDescent="0.2">
      <c r="A31" s="1475"/>
      <c r="B31" s="885">
        <v>500</v>
      </c>
      <c r="C31" s="885">
        <v>0</v>
      </c>
      <c r="D31" s="914" t="s">
        <v>1030</v>
      </c>
    </row>
    <row r="32" spans="1:4" s="913" customFormat="1" ht="11.25" customHeight="1" x14ac:dyDescent="0.2">
      <c r="A32" s="1475"/>
      <c r="B32" s="885">
        <v>1700</v>
      </c>
      <c r="C32" s="885">
        <v>1700</v>
      </c>
      <c r="D32" s="914" t="s">
        <v>1099</v>
      </c>
    </row>
    <row r="33" spans="1:4" s="913" customFormat="1" ht="11.25" customHeight="1" x14ac:dyDescent="0.2">
      <c r="A33" s="1475"/>
      <c r="B33" s="885">
        <v>312.10000000000002</v>
      </c>
      <c r="C33" s="885">
        <v>282.93333000000001</v>
      </c>
      <c r="D33" s="914" t="s">
        <v>751</v>
      </c>
    </row>
    <row r="34" spans="1:4" s="913" customFormat="1" ht="11.25" customHeight="1" x14ac:dyDescent="0.2">
      <c r="A34" s="1475"/>
      <c r="B34" s="885">
        <v>1665</v>
      </c>
      <c r="C34" s="885">
        <v>1665</v>
      </c>
      <c r="D34" s="914" t="s">
        <v>2742</v>
      </c>
    </row>
    <row r="35" spans="1:4" s="913" customFormat="1" ht="11.25" customHeight="1" x14ac:dyDescent="0.2">
      <c r="A35" s="1475"/>
      <c r="B35" s="885">
        <v>14269.33</v>
      </c>
      <c r="C35" s="885">
        <v>13720.490880000001</v>
      </c>
      <c r="D35" s="914" t="s">
        <v>11</v>
      </c>
    </row>
    <row r="36" spans="1:4" s="913" customFormat="1" ht="11.25" customHeight="1" x14ac:dyDescent="0.2">
      <c r="A36" s="1476" t="s">
        <v>755</v>
      </c>
      <c r="B36" s="888">
        <v>61.96</v>
      </c>
      <c r="C36" s="888">
        <v>36.96</v>
      </c>
      <c r="D36" s="912" t="s">
        <v>2734</v>
      </c>
    </row>
    <row r="37" spans="1:4" s="913" customFormat="1" ht="11.25" customHeight="1" x14ac:dyDescent="0.2">
      <c r="A37" s="1475"/>
      <c r="B37" s="885">
        <v>4276</v>
      </c>
      <c r="C37" s="885">
        <v>4276</v>
      </c>
      <c r="D37" s="914" t="s">
        <v>2735</v>
      </c>
    </row>
    <row r="38" spans="1:4" s="913" customFormat="1" ht="11.25" customHeight="1" x14ac:dyDescent="0.2">
      <c r="A38" s="1475"/>
      <c r="B38" s="885">
        <v>20.5</v>
      </c>
      <c r="C38" s="885">
        <v>20.5</v>
      </c>
      <c r="D38" s="914" t="s">
        <v>751</v>
      </c>
    </row>
    <row r="39" spans="1:4" s="913" customFormat="1" ht="11.25" customHeight="1" x14ac:dyDescent="0.2">
      <c r="A39" s="1475"/>
      <c r="B39" s="885">
        <v>310</v>
      </c>
      <c r="C39" s="885">
        <v>310</v>
      </c>
      <c r="D39" s="914" t="s">
        <v>2742</v>
      </c>
    </row>
    <row r="40" spans="1:4" s="913" customFormat="1" ht="11.25" customHeight="1" x14ac:dyDescent="0.2">
      <c r="A40" s="1477"/>
      <c r="B40" s="887">
        <v>4668.46</v>
      </c>
      <c r="C40" s="887">
        <v>4643.46</v>
      </c>
      <c r="D40" s="915" t="s">
        <v>11</v>
      </c>
    </row>
    <row r="41" spans="1:4" s="913" customFormat="1" ht="11.25" customHeight="1" x14ac:dyDescent="0.2">
      <c r="A41" s="1475" t="s">
        <v>756</v>
      </c>
      <c r="B41" s="885">
        <v>37.5</v>
      </c>
      <c r="C41" s="885">
        <v>37.5</v>
      </c>
      <c r="D41" s="914" t="s">
        <v>2607</v>
      </c>
    </row>
    <row r="42" spans="1:4" s="913" customFormat="1" ht="11.25" customHeight="1" x14ac:dyDescent="0.2">
      <c r="A42" s="1475"/>
      <c r="B42" s="885">
        <v>210.3</v>
      </c>
      <c r="C42" s="885">
        <v>210.3</v>
      </c>
      <c r="D42" s="914" t="s">
        <v>751</v>
      </c>
    </row>
    <row r="43" spans="1:4" s="913" customFormat="1" ht="11.25" customHeight="1" x14ac:dyDescent="0.2">
      <c r="A43" s="1475"/>
      <c r="B43" s="885">
        <v>247.8</v>
      </c>
      <c r="C43" s="885">
        <v>247.8</v>
      </c>
      <c r="D43" s="914" t="s">
        <v>11</v>
      </c>
    </row>
    <row r="44" spans="1:4" s="913" customFormat="1" ht="11.25" customHeight="1" x14ac:dyDescent="0.2">
      <c r="A44" s="1476" t="s">
        <v>757</v>
      </c>
      <c r="B44" s="888">
        <v>20</v>
      </c>
      <c r="C44" s="888">
        <v>0</v>
      </c>
      <c r="D44" s="912" t="s">
        <v>1217</v>
      </c>
    </row>
    <row r="45" spans="1:4" s="913" customFormat="1" ht="11.25" customHeight="1" x14ac:dyDescent="0.2">
      <c r="A45" s="1475"/>
      <c r="B45" s="885">
        <v>238.9</v>
      </c>
      <c r="C45" s="885">
        <v>238.9</v>
      </c>
      <c r="D45" s="914" t="s">
        <v>751</v>
      </c>
    </row>
    <row r="46" spans="1:4" s="913" customFormat="1" ht="11.25" customHeight="1" x14ac:dyDescent="0.2">
      <c r="A46" s="1477"/>
      <c r="B46" s="887">
        <v>258.89999999999998</v>
      </c>
      <c r="C46" s="887">
        <v>238.9</v>
      </c>
      <c r="D46" s="915" t="s">
        <v>11</v>
      </c>
    </row>
    <row r="47" spans="1:4" s="913" customFormat="1" ht="21" x14ac:dyDescent="0.2">
      <c r="A47" s="1475" t="s">
        <v>758</v>
      </c>
      <c r="B47" s="885">
        <v>60.6</v>
      </c>
      <c r="C47" s="885">
        <v>60.6</v>
      </c>
      <c r="D47" s="914" t="s">
        <v>2737</v>
      </c>
    </row>
    <row r="48" spans="1:4" s="913" customFormat="1" ht="11.25" customHeight="1" x14ac:dyDescent="0.2">
      <c r="A48" s="1475"/>
      <c r="B48" s="885">
        <v>3981</v>
      </c>
      <c r="C48" s="885">
        <v>3981</v>
      </c>
      <c r="D48" s="914" t="s">
        <v>2735</v>
      </c>
    </row>
    <row r="49" spans="1:4" s="913" customFormat="1" ht="11.25" customHeight="1" x14ac:dyDescent="0.2">
      <c r="A49" s="1475"/>
      <c r="B49" s="885">
        <v>185</v>
      </c>
      <c r="C49" s="885">
        <v>0</v>
      </c>
      <c r="D49" s="914" t="s">
        <v>2736</v>
      </c>
    </row>
    <row r="50" spans="1:4" s="913" customFormat="1" ht="11.25" customHeight="1" x14ac:dyDescent="0.2">
      <c r="A50" s="1475"/>
      <c r="B50" s="885">
        <v>350</v>
      </c>
      <c r="C50" s="885">
        <v>329.565</v>
      </c>
      <c r="D50" s="914" t="s">
        <v>2743</v>
      </c>
    </row>
    <row r="51" spans="1:4" s="913" customFormat="1" ht="11.25" customHeight="1" x14ac:dyDescent="0.2">
      <c r="A51" s="1475"/>
      <c r="B51" s="885">
        <v>100</v>
      </c>
      <c r="C51" s="885">
        <v>100</v>
      </c>
      <c r="D51" s="914" t="s">
        <v>2738</v>
      </c>
    </row>
    <row r="52" spans="1:4" s="913" customFormat="1" ht="11.25" customHeight="1" x14ac:dyDescent="0.2">
      <c r="A52" s="1475"/>
      <c r="B52" s="885">
        <v>20</v>
      </c>
      <c r="C52" s="885">
        <v>20</v>
      </c>
      <c r="D52" s="914" t="s">
        <v>2740</v>
      </c>
    </row>
    <row r="53" spans="1:4" s="913" customFormat="1" ht="11.25" customHeight="1" x14ac:dyDescent="0.2">
      <c r="A53" s="1475"/>
      <c r="B53" s="885">
        <v>7.6</v>
      </c>
      <c r="C53" s="885">
        <v>7.6</v>
      </c>
      <c r="D53" s="914" t="s">
        <v>751</v>
      </c>
    </row>
    <row r="54" spans="1:4" s="913" customFormat="1" ht="11.25" customHeight="1" x14ac:dyDescent="0.2">
      <c r="A54" s="1475"/>
      <c r="B54" s="885">
        <v>90</v>
      </c>
      <c r="C54" s="885">
        <v>90</v>
      </c>
      <c r="D54" s="914" t="s">
        <v>978</v>
      </c>
    </row>
    <row r="55" spans="1:4" s="913" customFormat="1" ht="11.25" customHeight="1" x14ac:dyDescent="0.2">
      <c r="A55" s="1475"/>
      <c r="B55" s="885">
        <v>4794.2000000000007</v>
      </c>
      <c r="C55" s="885">
        <v>4588.7650000000003</v>
      </c>
      <c r="D55" s="914" t="s">
        <v>11</v>
      </c>
    </row>
    <row r="56" spans="1:4" s="913" customFormat="1" ht="11.25" customHeight="1" x14ac:dyDescent="0.2">
      <c r="A56" s="1476" t="s">
        <v>759</v>
      </c>
      <c r="B56" s="888">
        <v>93.1</v>
      </c>
      <c r="C56" s="888">
        <v>93.1</v>
      </c>
      <c r="D56" s="912" t="s">
        <v>2738</v>
      </c>
    </row>
    <row r="57" spans="1:4" s="913" customFormat="1" ht="11.25" customHeight="1" x14ac:dyDescent="0.2">
      <c r="A57" s="1475"/>
      <c r="B57" s="885">
        <v>199.15</v>
      </c>
      <c r="C57" s="885">
        <v>199.13988000000003</v>
      </c>
      <c r="D57" s="914" t="s">
        <v>2608</v>
      </c>
    </row>
    <row r="58" spans="1:4" s="913" customFormat="1" ht="11.25" customHeight="1" x14ac:dyDescent="0.2">
      <c r="A58" s="1475"/>
      <c r="B58" s="885">
        <v>11.1</v>
      </c>
      <c r="C58" s="885">
        <v>11.1</v>
      </c>
      <c r="D58" s="914" t="s">
        <v>751</v>
      </c>
    </row>
    <row r="59" spans="1:4" s="913" customFormat="1" ht="11.25" customHeight="1" x14ac:dyDescent="0.2">
      <c r="A59" s="1477"/>
      <c r="B59" s="887">
        <v>303.35000000000002</v>
      </c>
      <c r="C59" s="887">
        <v>303.33988000000005</v>
      </c>
      <c r="D59" s="915" t="s">
        <v>11</v>
      </c>
    </row>
    <row r="60" spans="1:4" s="913" customFormat="1" ht="11.25" customHeight="1" x14ac:dyDescent="0.2">
      <c r="A60" s="1475" t="s">
        <v>760</v>
      </c>
      <c r="B60" s="885">
        <v>970</v>
      </c>
      <c r="C60" s="885">
        <v>970</v>
      </c>
      <c r="D60" s="914" t="s">
        <v>2735</v>
      </c>
    </row>
    <row r="61" spans="1:4" s="913" customFormat="1" ht="11.25" customHeight="1" x14ac:dyDescent="0.2">
      <c r="A61" s="1475"/>
      <c r="B61" s="885">
        <v>168</v>
      </c>
      <c r="C61" s="885">
        <v>0</v>
      </c>
      <c r="D61" s="914" t="s">
        <v>2736</v>
      </c>
    </row>
    <row r="62" spans="1:4" s="913" customFormat="1" ht="11.25" customHeight="1" x14ac:dyDescent="0.2">
      <c r="A62" s="1475"/>
      <c r="B62" s="885">
        <v>821.9</v>
      </c>
      <c r="C62" s="885">
        <v>821.9</v>
      </c>
      <c r="D62" s="914" t="s">
        <v>2739</v>
      </c>
    </row>
    <row r="63" spans="1:4" s="913" customFormat="1" ht="11.25" customHeight="1" x14ac:dyDescent="0.2">
      <c r="A63" s="1475"/>
      <c r="B63" s="885">
        <v>100</v>
      </c>
      <c r="C63" s="885">
        <v>100</v>
      </c>
      <c r="D63" s="914" t="s">
        <v>951</v>
      </c>
    </row>
    <row r="64" spans="1:4" s="913" customFormat="1" ht="11.25" customHeight="1" x14ac:dyDescent="0.2">
      <c r="A64" s="1475"/>
      <c r="B64" s="885">
        <v>4134.7</v>
      </c>
      <c r="C64" s="885">
        <v>4134.7</v>
      </c>
      <c r="D64" s="914" t="s">
        <v>751</v>
      </c>
    </row>
    <row r="65" spans="1:4" s="913" customFormat="1" ht="11.25" customHeight="1" x14ac:dyDescent="0.2">
      <c r="A65" s="1475"/>
      <c r="B65" s="885">
        <v>6194.6</v>
      </c>
      <c r="C65" s="885">
        <v>6026.6</v>
      </c>
      <c r="D65" s="914" t="s">
        <v>11</v>
      </c>
    </row>
    <row r="66" spans="1:4" s="913" customFormat="1" ht="11.25" customHeight="1" x14ac:dyDescent="0.2">
      <c r="A66" s="1476" t="s">
        <v>761</v>
      </c>
      <c r="B66" s="888">
        <v>24.3</v>
      </c>
      <c r="C66" s="888">
        <v>19.8</v>
      </c>
      <c r="D66" s="912" t="s">
        <v>2733</v>
      </c>
    </row>
    <row r="67" spans="1:4" s="913" customFormat="1" ht="11.25" customHeight="1" x14ac:dyDescent="0.2">
      <c r="A67" s="1475"/>
      <c r="B67" s="885">
        <v>8395</v>
      </c>
      <c r="C67" s="885">
        <v>8395</v>
      </c>
      <c r="D67" s="914" t="s">
        <v>2735</v>
      </c>
    </row>
    <row r="68" spans="1:4" s="913" customFormat="1" ht="11.25" customHeight="1" x14ac:dyDescent="0.2">
      <c r="A68" s="1475"/>
      <c r="B68" s="885">
        <v>98.99</v>
      </c>
      <c r="C68" s="885">
        <v>98.968620000000001</v>
      </c>
      <c r="D68" s="914" t="s">
        <v>2608</v>
      </c>
    </row>
    <row r="69" spans="1:4" s="913" customFormat="1" ht="11.25" customHeight="1" x14ac:dyDescent="0.2">
      <c r="A69" s="1475"/>
      <c r="B69" s="885">
        <v>234.9</v>
      </c>
      <c r="C69" s="885">
        <v>234.9</v>
      </c>
      <c r="D69" s="914" t="s">
        <v>751</v>
      </c>
    </row>
    <row r="70" spans="1:4" s="913" customFormat="1" ht="11.25" customHeight="1" x14ac:dyDescent="0.2">
      <c r="A70" s="1475"/>
      <c r="B70" s="885">
        <v>271</v>
      </c>
      <c r="C70" s="885">
        <v>271</v>
      </c>
      <c r="D70" s="914" t="s">
        <v>2742</v>
      </c>
    </row>
    <row r="71" spans="1:4" s="913" customFormat="1" ht="11.25" customHeight="1" x14ac:dyDescent="0.2">
      <c r="A71" s="1477"/>
      <c r="B71" s="887">
        <v>9024.1899999999987</v>
      </c>
      <c r="C71" s="887">
        <v>9019.6686199999986</v>
      </c>
      <c r="D71" s="915" t="s">
        <v>11</v>
      </c>
    </row>
    <row r="72" spans="1:4" s="913" customFormat="1" ht="11.25" customHeight="1" x14ac:dyDescent="0.2">
      <c r="A72" s="1475" t="s">
        <v>762</v>
      </c>
      <c r="B72" s="885">
        <v>72</v>
      </c>
      <c r="C72" s="885">
        <v>67.453000000000003</v>
      </c>
      <c r="D72" s="914" t="s">
        <v>2744</v>
      </c>
    </row>
    <row r="73" spans="1:4" s="913" customFormat="1" ht="11.25" customHeight="1" x14ac:dyDescent="0.2">
      <c r="A73" s="1475"/>
      <c r="B73" s="885">
        <v>1199.06</v>
      </c>
      <c r="C73" s="885">
        <v>729.42499999999995</v>
      </c>
      <c r="D73" s="914" t="s">
        <v>2733</v>
      </c>
    </row>
    <row r="74" spans="1:4" s="913" customFormat="1" ht="11.25" customHeight="1" x14ac:dyDescent="0.2">
      <c r="A74" s="1475"/>
      <c r="B74" s="885">
        <v>62</v>
      </c>
      <c r="C74" s="885">
        <v>37</v>
      </c>
      <c r="D74" s="914" t="s">
        <v>2734</v>
      </c>
    </row>
    <row r="75" spans="1:4" s="913" customFormat="1" ht="11.25" customHeight="1" x14ac:dyDescent="0.2">
      <c r="A75" s="1475"/>
      <c r="B75" s="885">
        <v>256.5</v>
      </c>
      <c r="C75" s="885">
        <v>256.5</v>
      </c>
      <c r="D75" s="914" t="s">
        <v>751</v>
      </c>
    </row>
    <row r="76" spans="1:4" s="913" customFormat="1" ht="11.25" customHeight="1" x14ac:dyDescent="0.2">
      <c r="A76" s="1475"/>
      <c r="B76" s="885">
        <v>1589.56</v>
      </c>
      <c r="C76" s="885">
        <v>1090.3779999999999</v>
      </c>
      <c r="D76" s="914" t="s">
        <v>11</v>
      </c>
    </row>
    <row r="77" spans="1:4" s="913" customFormat="1" ht="11.25" customHeight="1" x14ac:dyDescent="0.2">
      <c r="A77" s="1476" t="s">
        <v>763</v>
      </c>
      <c r="B77" s="888">
        <v>80</v>
      </c>
      <c r="C77" s="888">
        <v>80</v>
      </c>
      <c r="D77" s="912" t="s">
        <v>2744</v>
      </c>
    </row>
    <row r="78" spans="1:4" s="913" customFormat="1" ht="11.25" customHeight="1" x14ac:dyDescent="0.2">
      <c r="A78" s="1475"/>
      <c r="B78" s="885">
        <v>6.12</v>
      </c>
      <c r="C78" s="885">
        <v>6.12</v>
      </c>
      <c r="D78" s="914" t="s">
        <v>2733</v>
      </c>
    </row>
    <row r="79" spans="1:4" s="913" customFormat="1" ht="11.25" customHeight="1" x14ac:dyDescent="0.2">
      <c r="A79" s="1475"/>
      <c r="B79" s="885">
        <v>35</v>
      </c>
      <c r="C79" s="885">
        <v>35</v>
      </c>
      <c r="D79" s="914" t="s">
        <v>2745</v>
      </c>
    </row>
    <row r="80" spans="1:4" s="913" customFormat="1" ht="11.25" customHeight="1" x14ac:dyDescent="0.2">
      <c r="A80" s="1475"/>
      <c r="B80" s="885">
        <v>8379</v>
      </c>
      <c r="C80" s="885">
        <v>8379</v>
      </c>
      <c r="D80" s="914" t="s">
        <v>2735</v>
      </c>
    </row>
    <row r="81" spans="1:4" s="913" customFormat="1" ht="11.25" customHeight="1" x14ac:dyDescent="0.2">
      <c r="A81" s="1475"/>
      <c r="B81" s="885">
        <v>75</v>
      </c>
      <c r="C81" s="885">
        <v>75</v>
      </c>
      <c r="D81" s="914" t="s">
        <v>951</v>
      </c>
    </row>
    <row r="82" spans="1:4" s="913" customFormat="1" ht="11.25" customHeight="1" x14ac:dyDescent="0.2">
      <c r="A82" s="1475"/>
      <c r="B82" s="885">
        <v>215.7</v>
      </c>
      <c r="C82" s="885">
        <v>215.7</v>
      </c>
      <c r="D82" s="914" t="s">
        <v>751</v>
      </c>
    </row>
    <row r="83" spans="1:4" s="913" customFormat="1" ht="11.25" customHeight="1" x14ac:dyDescent="0.2">
      <c r="A83" s="1477"/>
      <c r="B83" s="887">
        <v>8790.8200000000015</v>
      </c>
      <c r="C83" s="887">
        <v>8790.8200000000015</v>
      </c>
      <c r="D83" s="915" t="s">
        <v>11</v>
      </c>
    </row>
    <row r="84" spans="1:4" s="913" customFormat="1" ht="11.25" customHeight="1" x14ac:dyDescent="0.2">
      <c r="A84" s="1475" t="s">
        <v>764</v>
      </c>
      <c r="B84" s="885">
        <v>218.6</v>
      </c>
      <c r="C84" s="885">
        <v>218.6</v>
      </c>
      <c r="D84" s="914" t="s">
        <v>751</v>
      </c>
    </row>
    <row r="85" spans="1:4" s="913" customFormat="1" ht="11.25" customHeight="1" x14ac:dyDescent="0.2">
      <c r="A85" s="1475"/>
      <c r="B85" s="885">
        <v>218.6</v>
      </c>
      <c r="C85" s="885">
        <v>218.6</v>
      </c>
      <c r="D85" s="914" t="s">
        <v>11</v>
      </c>
    </row>
    <row r="86" spans="1:4" s="913" customFormat="1" ht="11.25" customHeight="1" x14ac:dyDescent="0.2">
      <c r="A86" s="1476" t="s">
        <v>765</v>
      </c>
      <c r="B86" s="888">
        <v>86</v>
      </c>
      <c r="C86" s="888">
        <v>0</v>
      </c>
      <c r="D86" s="912" t="s">
        <v>2736</v>
      </c>
    </row>
    <row r="87" spans="1:4" s="913" customFormat="1" ht="11.25" customHeight="1" x14ac:dyDescent="0.2">
      <c r="A87" s="1475"/>
      <c r="B87" s="885">
        <v>370.35</v>
      </c>
      <c r="C87" s="885">
        <v>370.32826999999997</v>
      </c>
      <c r="D87" s="914" t="s">
        <v>2608</v>
      </c>
    </row>
    <row r="88" spans="1:4" s="913" customFormat="1" ht="11.25" customHeight="1" x14ac:dyDescent="0.2">
      <c r="A88" s="1475"/>
      <c r="B88" s="885">
        <v>19.399999999999999</v>
      </c>
      <c r="C88" s="885">
        <v>19.399999999999999</v>
      </c>
      <c r="D88" s="914" t="s">
        <v>751</v>
      </c>
    </row>
    <row r="89" spans="1:4" s="913" customFormat="1" ht="11.25" customHeight="1" x14ac:dyDescent="0.2">
      <c r="A89" s="1475"/>
      <c r="B89" s="885">
        <v>473</v>
      </c>
      <c r="C89" s="885">
        <v>473</v>
      </c>
      <c r="D89" s="914" t="s">
        <v>2742</v>
      </c>
    </row>
    <row r="90" spans="1:4" s="913" customFormat="1" ht="11.25" customHeight="1" x14ac:dyDescent="0.2">
      <c r="A90" s="1477"/>
      <c r="B90" s="887">
        <v>948.75</v>
      </c>
      <c r="C90" s="887">
        <v>862.72826999999995</v>
      </c>
      <c r="D90" s="915" t="s">
        <v>11</v>
      </c>
    </row>
    <row r="91" spans="1:4" s="913" customFormat="1" ht="11.25" customHeight="1" x14ac:dyDescent="0.2">
      <c r="A91" s="1475" t="s">
        <v>766</v>
      </c>
      <c r="B91" s="885">
        <v>47.37</v>
      </c>
      <c r="C91" s="885">
        <v>47.366</v>
      </c>
      <c r="D91" s="914" t="s">
        <v>2733</v>
      </c>
    </row>
    <row r="92" spans="1:4" s="913" customFormat="1" ht="11.25" customHeight="1" x14ac:dyDescent="0.2">
      <c r="A92" s="1475"/>
      <c r="B92" s="885">
        <v>50</v>
      </c>
      <c r="C92" s="885">
        <v>49.738</v>
      </c>
      <c r="D92" s="914" t="s">
        <v>2734</v>
      </c>
    </row>
    <row r="93" spans="1:4" s="913" customFormat="1" ht="11.25" customHeight="1" x14ac:dyDescent="0.2">
      <c r="A93" s="1475"/>
      <c r="B93" s="885">
        <v>111</v>
      </c>
      <c r="C93" s="885">
        <v>111</v>
      </c>
      <c r="D93" s="914" t="s">
        <v>2735</v>
      </c>
    </row>
    <row r="94" spans="1:4" s="913" customFormat="1" ht="11.25" customHeight="1" x14ac:dyDescent="0.2">
      <c r="A94" s="1475"/>
      <c r="B94" s="885">
        <v>494</v>
      </c>
      <c r="C94" s="885">
        <v>0</v>
      </c>
      <c r="D94" s="914" t="s">
        <v>2736</v>
      </c>
    </row>
    <row r="95" spans="1:4" s="913" customFormat="1" ht="11.25" customHeight="1" x14ac:dyDescent="0.2">
      <c r="A95" s="1475"/>
      <c r="B95" s="885">
        <v>219.98</v>
      </c>
      <c r="C95" s="885">
        <v>219.98099999999999</v>
      </c>
      <c r="D95" s="914" t="s">
        <v>2743</v>
      </c>
    </row>
    <row r="96" spans="1:4" s="913" customFormat="1" ht="11.25" customHeight="1" x14ac:dyDescent="0.2">
      <c r="A96" s="1475"/>
      <c r="B96" s="885">
        <v>120</v>
      </c>
      <c r="C96" s="885">
        <v>118.136</v>
      </c>
      <c r="D96" s="914" t="s">
        <v>2738</v>
      </c>
    </row>
    <row r="97" spans="1:4" s="913" customFormat="1" ht="11.25" customHeight="1" x14ac:dyDescent="0.2">
      <c r="A97" s="1475"/>
      <c r="B97" s="885">
        <v>269.2</v>
      </c>
      <c r="C97" s="885">
        <v>269.2</v>
      </c>
      <c r="D97" s="914" t="s">
        <v>751</v>
      </c>
    </row>
    <row r="98" spans="1:4" s="913" customFormat="1" ht="11.25" customHeight="1" x14ac:dyDescent="0.2">
      <c r="A98" s="1475"/>
      <c r="B98" s="885">
        <v>1311.55</v>
      </c>
      <c r="C98" s="885">
        <v>815.42100000000005</v>
      </c>
      <c r="D98" s="914" t="s">
        <v>11</v>
      </c>
    </row>
    <row r="99" spans="1:4" s="913" customFormat="1" ht="11.25" customHeight="1" x14ac:dyDescent="0.2">
      <c r="A99" s="1476" t="s">
        <v>2746</v>
      </c>
      <c r="B99" s="888">
        <v>133.65</v>
      </c>
      <c r="C99" s="888">
        <v>104.45399999999999</v>
      </c>
      <c r="D99" s="912" t="s">
        <v>2733</v>
      </c>
    </row>
    <row r="100" spans="1:4" s="913" customFormat="1" ht="11.25" customHeight="1" x14ac:dyDescent="0.2">
      <c r="A100" s="1475"/>
      <c r="B100" s="885">
        <v>79</v>
      </c>
      <c r="C100" s="885">
        <v>79</v>
      </c>
      <c r="D100" s="914" t="s">
        <v>2743</v>
      </c>
    </row>
    <row r="101" spans="1:4" s="913" customFormat="1" ht="11.25" customHeight="1" x14ac:dyDescent="0.2">
      <c r="A101" s="1475"/>
      <c r="B101" s="885">
        <v>145</v>
      </c>
      <c r="C101" s="885">
        <v>134.66900000000001</v>
      </c>
      <c r="D101" s="914" t="s">
        <v>2738</v>
      </c>
    </row>
    <row r="102" spans="1:4" s="913" customFormat="1" ht="11.25" customHeight="1" x14ac:dyDescent="0.2">
      <c r="A102" s="1477"/>
      <c r="B102" s="887">
        <v>357.65</v>
      </c>
      <c r="C102" s="887">
        <v>318.12300000000005</v>
      </c>
      <c r="D102" s="915" t="s">
        <v>11</v>
      </c>
    </row>
    <row r="103" spans="1:4" s="913" customFormat="1" ht="11.25" customHeight="1" x14ac:dyDescent="0.2">
      <c r="A103" s="1475" t="s">
        <v>767</v>
      </c>
      <c r="B103" s="885">
        <v>150</v>
      </c>
      <c r="C103" s="885">
        <v>134.16</v>
      </c>
      <c r="D103" s="914" t="s">
        <v>2744</v>
      </c>
    </row>
    <row r="104" spans="1:4" s="913" customFormat="1" ht="11.25" customHeight="1" x14ac:dyDescent="0.2">
      <c r="A104" s="1475"/>
      <c r="B104" s="885">
        <v>12</v>
      </c>
      <c r="C104" s="885">
        <v>12</v>
      </c>
      <c r="D104" s="914" t="s">
        <v>2734</v>
      </c>
    </row>
    <row r="105" spans="1:4" s="913" customFormat="1" ht="11.25" customHeight="1" x14ac:dyDescent="0.2">
      <c r="A105" s="1475"/>
      <c r="B105" s="885">
        <v>500</v>
      </c>
      <c r="C105" s="885">
        <v>104.428</v>
      </c>
      <c r="D105" s="914" t="s">
        <v>2747</v>
      </c>
    </row>
    <row r="106" spans="1:4" s="913" customFormat="1" ht="11.25" customHeight="1" x14ac:dyDescent="0.2">
      <c r="A106" s="1475"/>
      <c r="B106" s="885">
        <v>1287</v>
      </c>
      <c r="C106" s="885">
        <v>1287</v>
      </c>
      <c r="D106" s="914" t="s">
        <v>2735</v>
      </c>
    </row>
    <row r="107" spans="1:4" s="913" customFormat="1" ht="11.25" customHeight="1" x14ac:dyDescent="0.2">
      <c r="A107" s="1475"/>
      <c r="B107" s="885">
        <v>50</v>
      </c>
      <c r="C107" s="885">
        <v>45</v>
      </c>
      <c r="D107" s="914" t="s">
        <v>2738</v>
      </c>
    </row>
    <row r="108" spans="1:4" s="913" customFormat="1" ht="11.25" customHeight="1" x14ac:dyDescent="0.2">
      <c r="A108" s="1475"/>
      <c r="B108" s="885">
        <v>6.8</v>
      </c>
      <c r="C108" s="885">
        <v>6.8</v>
      </c>
      <c r="D108" s="914" t="s">
        <v>751</v>
      </c>
    </row>
    <row r="109" spans="1:4" s="913" customFormat="1" ht="11.25" customHeight="1" x14ac:dyDescent="0.2">
      <c r="A109" s="1475"/>
      <c r="B109" s="885">
        <v>2005.8</v>
      </c>
      <c r="C109" s="885">
        <v>1589.3879999999999</v>
      </c>
      <c r="D109" s="914" t="s">
        <v>11</v>
      </c>
    </row>
    <row r="110" spans="1:4" s="913" customFormat="1" ht="11.25" customHeight="1" x14ac:dyDescent="0.2">
      <c r="A110" s="1476" t="s">
        <v>768</v>
      </c>
      <c r="B110" s="888">
        <v>150</v>
      </c>
      <c r="C110" s="888">
        <v>140.07300000000001</v>
      </c>
      <c r="D110" s="912" t="s">
        <v>2744</v>
      </c>
    </row>
    <row r="111" spans="1:4" s="913" customFormat="1" ht="11.25" customHeight="1" x14ac:dyDescent="0.2">
      <c r="A111" s="1475"/>
      <c r="B111" s="885">
        <v>231.48</v>
      </c>
      <c r="C111" s="885">
        <v>158.06700000000001</v>
      </c>
      <c r="D111" s="914" t="s">
        <v>2733</v>
      </c>
    </row>
    <row r="112" spans="1:4" s="913" customFormat="1" ht="11.25" customHeight="1" x14ac:dyDescent="0.2">
      <c r="A112" s="1475"/>
      <c r="B112" s="885">
        <v>62</v>
      </c>
      <c r="C112" s="885">
        <v>37</v>
      </c>
      <c r="D112" s="914" t="s">
        <v>2734</v>
      </c>
    </row>
    <row r="113" spans="1:4" s="913" customFormat="1" ht="11.25" customHeight="1" x14ac:dyDescent="0.2">
      <c r="A113" s="1475"/>
      <c r="B113" s="885">
        <v>3188</v>
      </c>
      <c r="C113" s="885">
        <v>3188</v>
      </c>
      <c r="D113" s="914" t="s">
        <v>2735</v>
      </c>
    </row>
    <row r="114" spans="1:4" s="913" customFormat="1" ht="11.25" customHeight="1" x14ac:dyDescent="0.2">
      <c r="A114" s="1475"/>
      <c r="B114" s="885">
        <v>709.5</v>
      </c>
      <c r="C114" s="885">
        <v>709.5</v>
      </c>
      <c r="D114" s="914" t="s">
        <v>2739</v>
      </c>
    </row>
    <row r="115" spans="1:4" s="913" customFormat="1" ht="11.25" customHeight="1" x14ac:dyDescent="0.2">
      <c r="A115" s="1475"/>
      <c r="B115" s="885">
        <v>2000</v>
      </c>
      <c r="C115" s="885">
        <v>2000</v>
      </c>
      <c r="D115" s="914" t="s">
        <v>1030</v>
      </c>
    </row>
    <row r="116" spans="1:4" s="913" customFormat="1" ht="11.25" customHeight="1" x14ac:dyDescent="0.2">
      <c r="A116" s="1475"/>
      <c r="B116" s="885">
        <v>50</v>
      </c>
      <c r="C116" s="885">
        <v>50</v>
      </c>
      <c r="D116" s="914" t="s">
        <v>1111</v>
      </c>
    </row>
    <row r="117" spans="1:4" s="913" customFormat="1" ht="11.25" customHeight="1" x14ac:dyDescent="0.2">
      <c r="A117" s="1475"/>
      <c r="B117" s="885">
        <v>354.8</v>
      </c>
      <c r="C117" s="885">
        <v>354.8</v>
      </c>
      <c r="D117" s="914" t="s">
        <v>751</v>
      </c>
    </row>
    <row r="118" spans="1:4" s="913" customFormat="1" ht="11.25" customHeight="1" x14ac:dyDescent="0.2">
      <c r="A118" s="1477"/>
      <c r="B118" s="887">
        <v>6745.78</v>
      </c>
      <c r="C118" s="887">
        <v>6637.4400000000005</v>
      </c>
      <c r="D118" s="915" t="s">
        <v>11</v>
      </c>
    </row>
    <row r="119" spans="1:4" s="913" customFormat="1" ht="11.25" customHeight="1" x14ac:dyDescent="0.2">
      <c r="A119" s="1475" t="s">
        <v>769</v>
      </c>
      <c r="B119" s="885">
        <v>3475</v>
      </c>
      <c r="C119" s="885">
        <v>3475</v>
      </c>
      <c r="D119" s="914" t="s">
        <v>2735</v>
      </c>
    </row>
    <row r="120" spans="1:4" s="913" customFormat="1" ht="11.25" customHeight="1" x14ac:dyDescent="0.2">
      <c r="A120" s="1475"/>
      <c r="B120" s="885">
        <v>181.5</v>
      </c>
      <c r="C120" s="885">
        <v>181.5</v>
      </c>
      <c r="D120" s="914" t="s">
        <v>751</v>
      </c>
    </row>
    <row r="121" spans="1:4" s="913" customFormat="1" ht="11.25" customHeight="1" x14ac:dyDescent="0.2">
      <c r="A121" s="1475"/>
      <c r="B121" s="885">
        <v>3656.5</v>
      </c>
      <c r="C121" s="885">
        <v>3656.5</v>
      </c>
      <c r="D121" s="914" t="s">
        <v>11</v>
      </c>
    </row>
    <row r="122" spans="1:4" s="913" customFormat="1" ht="11.25" customHeight="1" x14ac:dyDescent="0.2">
      <c r="A122" s="1476" t="s">
        <v>770</v>
      </c>
      <c r="B122" s="888">
        <v>51.19</v>
      </c>
      <c r="C122" s="888">
        <v>50.599999999999994</v>
      </c>
      <c r="D122" s="912" t="s">
        <v>2734</v>
      </c>
    </row>
    <row r="123" spans="1:4" s="913" customFormat="1" ht="11.25" customHeight="1" x14ac:dyDescent="0.2">
      <c r="A123" s="1475"/>
      <c r="B123" s="885">
        <v>11535</v>
      </c>
      <c r="C123" s="885">
        <v>11535</v>
      </c>
      <c r="D123" s="914" t="s">
        <v>2735</v>
      </c>
    </row>
    <row r="124" spans="1:4" s="913" customFormat="1" ht="11.25" customHeight="1" x14ac:dyDescent="0.2">
      <c r="A124" s="1475"/>
      <c r="B124" s="885">
        <v>570.19999999999993</v>
      </c>
      <c r="C124" s="885">
        <v>565.88879999999995</v>
      </c>
      <c r="D124" s="914" t="s">
        <v>2619</v>
      </c>
    </row>
    <row r="125" spans="1:4" s="913" customFormat="1" ht="11.25" customHeight="1" x14ac:dyDescent="0.2">
      <c r="A125" s="1475"/>
      <c r="B125" s="885">
        <v>308.34999999999997</v>
      </c>
      <c r="C125" s="885">
        <v>307.97757000000001</v>
      </c>
      <c r="D125" s="914" t="s">
        <v>2608</v>
      </c>
    </row>
    <row r="126" spans="1:4" s="913" customFormat="1" ht="11.25" customHeight="1" x14ac:dyDescent="0.2">
      <c r="A126" s="1475"/>
      <c r="B126" s="885">
        <v>50</v>
      </c>
      <c r="C126" s="885">
        <v>50</v>
      </c>
      <c r="D126" s="914" t="s">
        <v>969</v>
      </c>
    </row>
    <row r="127" spans="1:4" s="913" customFormat="1" ht="11.25" customHeight="1" x14ac:dyDescent="0.2">
      <c r="A127" s="1475"/>
      <c r="B127" s="885">
        <v>237.83</v>
      </c>
      <c r="C127" s="885">
        <v>218.70750000000001</v>
      </c>
      <c r="D127" s="914" t="s">
        <v>1030</v>
      </c>
    </row>
    <row r="128" spans="1:4" s="913" customFormat="1" ht="11.25" customHeight="1" x14ac:dyDescent="0.2">
      <c r="A128" s="1475"/>
      <c r="B128" s="885">
        <v>40</v>
      </c>
      <c r="C128" s="885">
        <v>40</v>
      </c>
      <c r="D128" s="914" t="s">
        <v>1109</v>
      </c>
    </row>
    <row r="129" spans="1:4" s="913" customFormat="1" ht="11.25" customHeight="1" x14ac:dyDescent="0.2">
      <c r="A129" s="1475"/>
      <c r="B129" s="885">
        <v>263.5</v>
      </c>
      <c r="C129" s="885">
        <v>263.5</v>
      </c>
      <c r="D129" s="914" t="s">
        <v>751</v>
      </c>
    </row>
    <row r="130" spans="1:4" s="913" customFormat="1" ht="11.25" customHeight="1" x14ac:dyDescent="0.2">
      <c r="A130" s="1477"/>
      <c r="B130" s="887">
        <v>13056.070000000002</v>
      </c>
      <c r="C130" s="887">
        <v>13031.673870000002</v>
      </c>
      <c r="D130" s="915" t="s">
        <v>11</v>
      </c>
    </row>
    <row r="131" spans="1:4" s="913" customFormat="1" ht="11.25" customHeight="1" x14ac:dyDescent="0.2">
      <c r="A131" s="1475" t="s">
        <v>771</v>
      </c>
      <c r="B131" s="885">
        <v>715.23</v>
      </c>
      <c r="C131" s="885">
        <v>665.60400000000004</v>
      </c>
      <c r="D131" s="914" t="s">
        <v>2733</v>
      </c>
    </row>
    <row r="132" spans="1:4" s="913" customFormat="1" ht="11.25" customHeight="1" x14ac:dyDescent="0.2">
      <c r="A132" s="1475"/>
      <c r="B132" s="885">
        <v>224.4</v>
      </c>
      <c r="C132" s="885">
        <v>224.4</v>
      </c>
      <c r="D132" s="914" t="s">
        <v>751</v>
      </c>
    </row>
    <row r="133" spans="1:4" s="913" customFormat="1" ht="11.25" customHeight="1" x14ac:dyDescent="0.2">
      <c r="A133" s="1475"/>
      <c r="B133" s="885">
        <v>939.63</v>
      </c>
      <c r="C133" s="885">
        <v>890.00400000000002</v>
      </c>
      <c r="D133" s="914" t="s">
        <v>11</v>
      </c>
    </row>
    <row r="134" spans="1:4" s="913" customFormat="1" ht="11.25" customHeight="1" x14ac:dyDescent="0.2">
      <c r="A134" s="1476" t="s">
        <v>772</v>
      </c>
      <c r="B134" s="888">
        <v>251.86</v>
      </c>
      <c r="C134" s="888">
        <v>0</v>
      </c>
      <c r="D134" s="912" t="s">
        <v>2733</v>
      </c>
    </row>
    <row r="135" spans="1:4" s="913" customFormat="1" ht="11.25" customHeight="1" x14ac:dyDescent="0.2">
      <c r="A135" s="1475"/>
      <c r="B135" s="885">
        <v>59.07</v>
      </c>
      <c r="C135" s="885">
        <v>34.070999999999998</v>
      </c>
      <c r="D135" s="914" t="s">
        <v>2734</v>
      </c>
    </row>
    <row r="136" spans="1:4" s="913" customFormat="1" ht="11.25" customHeight="1" x14ac:dyDescent="0.2">
      <c r="A136" s="1475"/>
      <c r="B136" s="885">
        <v>1413</v>
      </c>
      <c r="C136" s="885">
        <v>1413</v>
      </c>
      <c r="D136" s="914" t="s">
        <v>2735</v>
      </c>
    </row>
    <row r="137" spans="1:4" s="913" customFormat="1" ht="11.25" customHeight="1" x14ac:dyDescent="0.2">
      <c r="A137" s="1475"/>
      <c r="B137" s="885">
        <v>350</v>
      </c>
      <c r="C137" s="885">
        <v>350</v>
      </c>
      <c r="D137" s="914" t="s">
        <v>2743</v>
      </c>
    </row>
    <row r="138" spans="1:4" s="913" customFormat="1" ht="11.25" customHeight="1" x14ac:dyDescent="0.2">
      <c r="A138" s="1475"/>
      <c r="B138" s="885">
        <v>137.71</v>
      </c>
      <c r="C138" s="885">
        <v>137.70474999999999</v>
      </c>
      <c r="D138" s="914" t="s">
        <v>2608</v>
      </c>
    </row>
    <row r="139" spans="1:4" s="913" customFormat="1" ht="11.25" customHeight="1" x14ac:dyDescent="0.2">
      <c r="A139" s="1475"/>
      <c r="B139" s="885">
        <v>10000</v>
      </c>
      <c r="C139" s="885">
        <v>0</v>
      </c>
      <c r="D139" s="914" t="s">
        <v>1030</v>
      </c>
    </row>
    <row r="140" spans="1:4" s="913" customFormat="1" ht="11.25" customHeight="1" x14ac:dyDescent="0.2">
      <c r="A140" s="1475"/>
      <c r="B140" s="885">
        <v>43</v>
      </c>
      <c r="C140" s="885">
        <v>43</v>
      </c>
      <c r="D140" s="914" t="s">
        <v>1109</v>
      </c>
    </row>
    <row r="141" spans="1:4" s="913" customFormat="1" ht="11.25" customHeight="1" x14ac:dyDescent="0.2">
      <c r="A141" s="1475"/>
      <c r="B141" s="885">
        <v>30</v>
      </c>
      <c r="C141" s="885">
        <v>30</v>
      </c>
      <c r="D141" s="914" t="s">
        <v>1056</v>
      </c>
    </row>
    <row r="142" spans="1:4" s="913" customFormat="1" ht="11.25" customHeight="1" x14ac:dyDescent="0.2">
      <c r="A142" s="1475"/>
      <c r="B142" s="885">
        <v>4.4000000000000004</v>
      </c>
      <c r="C142" s="885">
        <v>4.4000000000000004</v>
      </c>
      <c r="D142" s="914" t="s">
        <v>751</v>
      </c>
    </row>
    <row r="143" spans="1:4" s="913" customFormat="1" ht="11.25" customHeight="1" x14ac:dyDescent="0.2">
      <c r="A143" s="1475"/>
      <c r="B143" s="885">
        <v>2661</v>
      </c>
      <c r="C143" s="885">
        <v>2661</v>
      </c>
      <c r="D143" s="914" t="s">
        <v>2742</v>
      </c>
    </row>
    <row r="144" spans="1:4" s="913" customFormat="1" ht="11.25" customHeight="1" x14ac:dyDescent="0.2">
      <c r="A144" s="1477"/>
      <c r="B144" s="887">
        <v>14950.039999999999</v>
      </c>
      <c r="C144" s="887">
        <v>4673.1757500000003</v>
      </c>
      <c r="D144" s="915" t="s">
        <v>11</v>
      </c>
    </row>
    <row r="145" spans="1:4" s="913" customFormat="1" ht="11.25" customHeight="1" x14ac:dyDescent="0.2">
      <c r="A145" s="1475" t="s">
        <v>773</v>
      </c>
      <c r="B145" s="885">
        <v>56.49</v>
      </c>
      <c r="C145" s="885">
        <v>33.692999999999998</v>
      </c>
      <c r="D145" s="914" t="s">
        <v>2734</v>
      </c>
    </row>
    <row r="146" spans="1:4" s="913" customFormat="1" ht="11.25" customHeight="1" x14ac:dyDescent="0.2">
      <c r="A146" s="1475"/>
      <c r="B146" s="885">
        <v>285</v>
      </c>
      <c r="C146" s="885">
        <v>0</v>
      </c>
      <c r="D146" s="914" t="s">
        <v>2736</v>
      </c>
    </row>
    <row r="147" spans="1:4" s="913" customFormat="1" ht="11.25" customHeight="1" x14ac:dyDescent="0.2">
      <c r="A147" s="1475"/>
      <c r="B147" s="885">
        <v>212.10999999999999</v>
      </c>
      <c r="C147" s="885">
        <v>212.09582</v>
      </c>
      <c r="D147" s="914" t="s">
        <v>2602</v>
      </c>
    </row>
    <row r="148" spans="1:4" s="913" customFormat="1" ht="11.25" customHeight="1" x14ac:dyDescent="0.2">
      <c r="A148" s="1475"/>
      <c r="B148" s="885">
        <v>210.3</v>
      </c>
      <c r="C148" s="885">
        <v>210.3</v>
      </c>
      <c r="D148" s="914" t="s">
        <v>751</v>
      </c>
    </row>
    <row r="149" spans="1:4" s="913" customFormat="1" ht="11.25" customHeight="1" x14ac:dyDescent="0.2">
      <c r="A149" s="1475"/>
      <c r="B149" s="885">
        <v>40</v>
      </c>
      <c r="C149" s="885">
        <v>40</v>
      </c>
      <c r="D149" s="914" t="s">
        <v>934</v>
      </c>
    </row>
    <row r="150" spans="1:4" s="913" customFormat="1" ht="11.25" customHeight="1" x14ac:dyDescent="0.2">
      <c r="A150" s="1475"/>
      <c r="B150" s="885">
        <v>803.90000000000009</v>
      </c>
      <c r="C150" s="885">
        <v>496.08882</v>
      </c>
      <c r="D150" s="914" t="s">
        <v>11</v>
      </c>
    </row>
    <row r="151" spans="1:4" s="913" customFormat="1" ht="11.25" customHeight="1" x14ac:dyDescent="0.2">
      <c r="A151" s="1476" t="s">
        <v>774</v>
      </c>
      <c r="B151" s="888">
        <v>8309</v>
      </c>
      <c r="C151" s="888">
        <v>8309</v>
      </c>
      <c r="D151" s="912" t="s">
        <v>2735</v>
      </c>
    </row>
    <row r="152" spans="1:4" s="913" customFormat="1" ht="11.25" customHeight="1" x14ac:dyDescent="0.2">
      <c r="A152" s="1475"/>
      <c r="B152" s="885">
        <v>86.97</v>
      </c>
      <c r="C152" s="885">
        <v>86.967500000000001</v>
      </c>
      <c r="D152" s="914" t="s">
        <v>2748</v>
      </c>
    </row>
    <row r="153" spans="1:4" s="913" customFormat="1" ht="11.25" customHeight="1" x14ac:dyDescent="0.2">
      <c r="A153" s="1475"/>
      <c r="B153" s="885">
        <v>1684.1399999999999</v>
      </c>
      <c r="C153" s="885">
        <v>1664.9359400000003</v>
      </c>
      <c r="D153" s="914" t="s">
        <v>2608</v>
      </c>
    </row>
    <row r="154" spans="1:4" s="913" customFormat="1" ht="11.25" customHeight="1" x14ac:dyDescent="0.2">
      <c r="A154" s="1475"/>
      <c r="B154" s="885">
        <v>13.8</v>
      </c>
      <c r="C154" s="885">
        <v>13.8</v>
      </c>
      <c r="D154" s="914" t="s">
        <v>751</v>
      </c>
    </row>
    <row r="155" spans="1:4" s="913" customFormat="1" ht="11.25" customHeight="1" x14ac:dyDescent="0.2">
      <c r="A155" s="1477"/>
      <c r="B155" s="887">
        <v>10093.909999999998</v>
      </c>
      <c r="C155" s="887">
        <v>10074.703440000001</v>
      </c>
      <c r="D155" s="915" t="s">
        <v>11</v>
      </c>
    </row>
    <row r="156" spans="1:4" s="913" customFormat="1" ht="11.25" customHeight="1" x14ac:dyDescent="0.2">
      <c r="A156" s="1475" t="s">
        <v>775</v>
      </c>
      <c r="B156" s="885">
        <v>96.6</v>
      </c>
      <c r="C156" s="885">
        <v>96.6</v>
      </c>
      <c r="D156" s="914" t="s">
        <v>2743</v>
      </c>
    </row>
    <row r="157" spans="1:4" s="913" customFormat="1" ht="11.25" customHeight="1" x14ac:dyDescent="0.2">
      <c r="A157" s="1475"/>
      <c r="B157" s="885">
        <v>12.1</v>
      </c>
      <c r="C157" s="885">
        <v>12.1</v>
      </c>
      <c r="D157" s="914" t="s">
        <v>751</v>
      </c>
    </row>
    <row r="158" spans="1:4" s="913" customFormat="1" ht="11.25" customHeight="1" x14ac:dyDescent="0.2">
      <c r="A158" s="1475"/>
      <c r="B158" s="885">
        <v>108.69999999999999</v>
      </c>
      <c r="C158" s="885">
        <v>108.69999999999999</v>
      </c>
      <c r="D158" s="914" t="s">
        <v>11</v>
      </c>
    </row>
    <row r="159" spans="1:4" s="913" customFormat="1" ht="11.25" customHeight="1" x14ac:dyDescent="0.2">
      <c r="A159" s="1476" t="s">
        <v>737</v>
      </c>
      <c r="B159" s="888">
        <v>1000</v>
      </c>
      <c r="C159" s="888">
        <v>1000</v>
      </c>
      <c r="D159" s="912" t="s">
        <v>735</v>
      </c>
    </row>
    <row r="160" spans="1:4" s="913" customFormat="1" ht="11.25" customHeight="1" x14ac:dyDescent="0.2">
      <c r="A160" s="1475"/>
      <c r="B160" s="885">
        <v>2.8</v>
      </c>
      <c r="C160" s="885">
        <v>2.8</v>
      </c>
      <c r="D160" s="914" t="s">
        <v>751</v>
      </c>
    </row>
    <row r="161" spans="1:4" s="913" customFormat="1" ht="11.25" customHeight="1" x14ac:dyDescent="0.2">
      <c r="A161" s="1477"/>
      <c r="B161" s="887">
        <v>1002.8</v>
      </c>
      <c r="C161" s="887">
        <v>1002.8</v>
      </c>
      <c r="D161" s="915" t="s">
        <v>11</v>
      </c>
    </row>
    <row r="162" spans="1:4" s="913" customFormat="1" ht="11.25" customHeight="1" x14ac:dyDescent="0.2">
      <c r="A162" s="1475" t="s">
        <v>776</v>
      </c>
      <c r="B162" s="885">
        <v>224.1</v>
      </c>
      <c r="C162" s="885">
        <v>192.87</v>
      </c>
      <c r="D162" s="914" t="s">
        <v>2733</v>
      </c>
    </row>
    <row r="163" spans="1:4" s="913" customFormat="1" ht="11.25" customHeight="1" x14ac:dyDescent="0.2">
      <c r="A163" s="1475"/>
      <c r="B163" s="885">
        <v>49</v>
      </c>
      <c r="C163" s="885">
        <v>24.5</v>
      </c>
      <c r="D163" s="914" t="s">
        <v>2734</v>
      </c>
    </row>
    <row r="164" spans="1:4" s="913" customFormat="1" ht="11.25" customHeight="1" x14ac:dyDescent="0.2">
      <c r="A164" s="1475"/>
      <c r="B164" s="885">
        <v>70</v>
      </c>
      <c r="C164" s="885">
        <v>0</v>
      </c>
      <c r="D164" s="914" t="s">
        <v>1007</v>
      </c>
    </row>
    <row r="165" spans="1:4" s="913" customFormat="1" ht="11.25" customHeight="1" x14ac:dyDescent="0.2">
      <c r="A165" s="1475"/>
      <c r="B165" s="885">
        <v>200.5</v>
      </c>
      <c r="C165" s="885">
        <v>200.5</v>
      </c>
      <c r="D165" s="914" t="s">
        <v>751</v>
      </c>
    </row>
    <row r="166" spans="1:4" s="913" customFormat="1" ht="11.25" customHeight="1" x14ac:dyDescent="0.2">
      <c r="A166" s="1475"/>
      <c r="B166" s="885">
        <v>543.6</v>
      </c>
      <c r="C166" s="885">
        <v>417.87</v>
      </c>
      <c r="D166" s="914" t="s">
        <v>11</v>
      </c>
    </row>
    <row r="167" spans="1:4" s="913" customFormat="1" ht="11.25" customHeight="1" x14ac:dyDescent="0.2">
      <c r="A167" s="1476" t="s">
        <v>777</v>
      </c>
      <c r="B167" s="888">
        <v>82</v>
      </c>
      <c r="C167" s="888">
        <v>82</v>
      </c>
      <c r="D167" s="912" t="s">
        <v>2735</v>
      </c>
    </row>
    <row r="168" spans="1:4" s="913" customFormat="1" ht="11.25" customHeight="1" x14ac:dyDescent="0.2">
      <c r="A168" s="1475"/>
      <c r="B168" s="885">
        <v>465</v>
      </c>
      <c r="C168" s="885">
        <v>0</v>
      </c>
      <c r="D168" s="914" t="s">
        <v>2736</v>
      </c>
    </row>
    <row r="169" spans="1:4" s="913" customFormat="1" ht="11.25" customHeight="1" x14ac:dyDescent="0.2">
      <c r="A169" s="1475"/>
      <c r="B169" s="885">
        <v>23.1</v>
      </c>
      <c r="C169" s="885">
        <v>23.1</v>
      </c>
      <c r="D169" s="914" t="s">
        <v>751</v>
      </c>
    </row>
    <row r="170" spans="1:4" s="913" customFormat="1" ht="11.25" customHeight="1" x14ac:dyDescent="0.2">
      <c r="A170" s="1477"/>
      <c r="B170" s="887">
        <v>570.1</v>
      </c>
      <c r="C170" s="887">
        <v>105.1</v>
      </c>
      <c r="D170" s="915" t="s">
        <v>11</v>
      </c>
    </row>
    <row r="171" spans="1:4" s="913" customFormat="1" ht="11.25" customHeight="1" x14ac:dyDescent="0.2">
      <c r="A171" s="1475" t="s">
        <v>778</v>
      </c>
      <c r="B171" s="885">
        <v>183.78</v>
      </c>
      <c r="C171" s="885">
        <v>107.602</v>
      </c>
      <c r="D171" s="914" t="s">
        <v>2733</v>
      </c>
    </row>
    <row r="172" spans="1:4" s="913" customFormat="1" ht="11.25" customHeight="1" x14ac:dyDescent="0.2">
      <c r="A172" s="1475"/>
      <c r="B172" s="885">
        <v>61.32</v>
      </c>
      <c r="C172" s="885">
        <v>36.316000000000003</v>
      </c>
      <c r="D172" s="914" t="s">
        <v>2734</v>
      </c>
    </row>
    <row r="173" spans="1:4" s="913" customFormat="1" ht="11.25" customHeight="1" x14ac:dyDescent="0.2">
      <c r="A173" s="1475"/>
      <c r="B173" s="885">
        <v>188</v>
      </c>
      <c r="C173" s="885">
        <v>188</v>
      </c>
      <c r="D173" s="914" t="s">
        <v>751</v>
      </c>
    </row>
    <row r="174" spans="1:4" s="913" customFormat="1" ht="11.25" customHeight="1" x14ac:dyDescent="0.2">
      <c r="A174" s="1475"/>
      <c r="B174" s="885">
        <v>433.1</v>
      </c>
      <c r="C174" s="885">
        <v>331.91800000000001</v>
      </c>
      <c r="D174" s="914" t="s">
        <v>11</v>
      </c>
    </row>
    <row r="175" spans="1:4" s="913" customFormat="1" ht="11.25" customHeight="1" x14ac:dyDescent="0.2">
      <c r="A175" s="1476" t="s">
        <v>779</v>
      </c>
      <c r="B175" s="888">
        <v>300</v>
      </c>
      <c r="C175" s="888">
        <v>300</v>
      </c>
      <c r="D175" s="912" t="s">
        <v>2749</v>
      </c>
    </row>
    <row r="176" spans="1:4" s="913" customFormat="1" ht="11.25" customHeight="1" x14ac:dyDescent="0.2">
      <c r="A176" s="1475"/>
      <c r="B176" s="885">
        <v>239.4</v>
      </c>
      <c r="C176" s="885">
        <v>239.4</v>
      </c>
      <c r="D176" s="914" t="s">
        <v>2743</v>
      </c>
    </row>
    <row r="177" spans="1:4" s="913" customFormat="1" ht="11.25" customHeight="1" x14ac:dyDescent="0.2">
      <c r="A177" s="1475"/>
      <c r="B177" s="885">
        <v>382.1</v>
      </c>
      <c r="C177" s="885">
        <v>382.1</v>
      </c>
      <c r="D177" s="914" t="s">
        <v>751</v>
      </c>
    </row>
    <row r="178" spans="1:4" s="913" customFormat="1" ht="11.25" customHeight="1" x14ac:dyDescent="0.2">
      <c r="A178" s="1477"/>
      <c r="B178" s="887">
        <v>921.5</v>
      </c>
      <c r="C178" s="887">
        <v>921.5</v>
      </c>
      <c r="D178" s="915" t="s">
        <v>11</v>
      </c>
    </row>
    <row r="179" spans="1:4" s="913" customFormat="1" ht="11.25" customHeight="1" x14ac:dyDescent="0.2">
      <c r="A179" s="1475" t="s">
        <v>780</v>
      </c>
      <c r="B179" s="885">
        <v>18</v>
      </c>
      <c r="C179" s="885">
        <v>18</v>
      </c>
      <c r="D179" s="914" t="s">
        <v>2735</v>
      </c>
    </row>
    <row r="180" spans="1:4" s="913" customFormat="1" ht="11.25" customHeight="1" x14ac:dyDescent="0.2">
      <c r="A180" s="1475"/>
      <c r="B180" s="885">
        <v>1005.6</v>
      </c>
      <c r="C180" s="885">
        <v>1005.6</v>
      </c>
      <c r="D180" s="914" t="s">
        <v>751</v>
      </c>
    </row>
    <row r="181" spans="1:4" s="913" customFormat="1" ht="11.25" customHeight="1" x14ac:dyDescent="0.2">
      <c r="A181" s="1475"/>
      <c r="B181" s="885">
        <v>1023.6</v>
      </c>
      <c r="C181" s="885">
        <v>1023.6</v>
      </c>
      <c r="D181" s="914" t="s">
        <v>11</v>
      </c>
    </row>
    <row r="182" spans="1:4" s="913" customFormat="1" ht="11.25" customHeight="1" x14ac:dyDescent="0.2">
      <c r="A182" s="1476" t="s">
        <v>781</v>
      </c>
      <c r="B182" s="888">
        <v>62</v>
      </c>
      <c r="C182" s="888">
        <v>37</v>
      </c>
      <c r="D182" s="912" t="s">
        <v>2734</v>
      </c>
    </row>
    <row r="183" spans="1:4" s="913" customFormat="1" ht="11.25" customHeight="1" x14ac:dyDescent="0.2">
      <c r="A183" s="1475"/>
      <c r="B183" s="885">
        <v>179.8</v>
      </c>
      <c r="C183" s="885">
        <v>179.8</v>
      </c>
      <c r="D183" s="914" t="s">
        <v>751</v>
      </c>
    </row>
    <row r="184" spans="1:4" s="913" customFormat="1" ht="11.25" customHeight="1" x14ac:dyDescent="0.2">
      <c r="A184" s="1477"/>
      <c r="B184" s="887">
        <v>241.8</v>
      </c>
      <c r="C184" s="887">
        <v>216.8</v>
      </c>
      <c r="D184" s="915" t="s">
        <v>11</v>
      </c>
    </row>
    <row r="185" spans="1:4" s="913" customFormat="1" ht="11.25" customHeight="1" x14ac:dyDescent="0.2">
      <c r="A185" s="1475" t="s">
        <v>782</v>
      </c>
      <c r="B185" s="885">
        <v>59.2</v>
      </c>
      <c r="C185" s="885">
        <v>34.700000000000003</v>
      </c>
      <c r="D185" s="914" t="s">
        <v>2734</v>
      </c>
    </row>
    <row r="186" spans="1:4" s="913" customFormat="1" ht="11.25" customHeight="1" x14ac:dyDescent="0.2">
      <c r="A186" s="1475"/>
      <c r="B186" s="885">
        <v>14334</v>
      </c>
      <c r="C186" s="885">
        <v>14334</v>
      </c>
      <c r="D186" s="914" t="s">
        <v>2735</v>
      </c>
    </row>
    <row r="187" spans="1:4" s="913" customFormat="1" ht="21" x14ac:dyDescent="0.2">
      <c r="A187" s="1475"/>
      <c r="B187" s="885">
        <v>50</v>
      </c>
      <c r="C187" s="885">
        <v>50</v>
      </c>
      <c r="D187" s="914" t="s">
        <v>2750</v>
      </c>
    </row>
    <row r="188" spans="1:4" s="913" customFormat="1" ht="11.25" customHeight="1" x14ac:dyDescent="0.2">
      <c r="A188" s="1475"/>
      <c r="B188" s="885">
        <v>1520.3</v>
      </c>
      <c r="C188" s="885">
        <v>1520.3</v>
      </c>
      <c r="D188" s="914" t="s">
        <v>2739</v>
      </c>
    </row>
    <row r="189" spans="1:4" s="913" customFormat="1" ht="11.25" customHeight="1" x14ac:dyDescent="0.2">
      <c r="A189" s="1475"/>
      <c r="B189" s="885">
        <v>97.7</v>
      </c>
      <c r="C189" s="885">
        <v>97.7</v>
      </c>
      <c r="D189" s="914" t="s">
        <v>2748</v>
      </c>
    </row>
    <row r="190" spans="1:4" s="913" customFormat="1" ht="11.25" customHeight="1" x14ac:dyDescent="0.2">
      <c r="A190" s="1475"/>
      <c r="B190" s="885">
        <v>44</v>
      </c>
      <c r="C190" s="885">
        <v>44</v>
      </c>
      <c r="D190" s="914" t="s">
        <v>2608</v>
      </c>
    </row>
    <row r="191" spans="1:4" s="913" customFormat="1" ht="11.25" customHeight="1" x14ac:dyDescent="0.2">
      <c r="A191" s="1475"/>
      <c r="B191" s="885">
        <v>50</v>
      </c>
      <c r="C191" s="885">
        <v>50</v>
      </c>
      <c r="D191" s="914" t="s">
        <v>2740</v>
      </c>
    </row>
    <row r="192" spans="1:4" s="913" customFormat="1" ht="11.25" customHeight="1" x14ac:dyDescent="0.2">
      <c r="A192" s="1475"/>
      <c r="B192" s="885">
        <v>194.7</v>
      </c>
      <c r="C192" s="885">
        <v>194.7</v>
      </c>
      <c r="D192" s="914" t="s">
        <v>751</v>
      </c>
    </row>
    <row r="193" spans="1:4" s="913" customFormat="1" ht="11.25" customHeight="1" x14ac:dyDescent="0.2">
      <c r="A193" s="1475"/>
      <c r="B193" s="885">
        <v>1116</v>
      </c>
      <c r="C193" s="885">
        <v>1116</v>
      </c>
      <c r="D193" s="914" t="s">
        <v>2742</v>
      </c>
    </row>
    <row r="194" spans="1:4" s="913" customFormat="1" ht="11.25" customHeight="1" x14ac:dyDescent="0.2">
      <c r="A194" s="1475"/>
      <c r="B194" s="885">
        <v>17465.900000000001</v>
      </c>
      <c r="C194" s="885">
        <v>17441.400000000001</v>
      </c>
      <c r="D194" s="914" t="s">
        <v>11</v>
      </c>
    </row>
    <row r="195" spans="1:4" s="913" customFormat="1" ht="21" x14ac:dyDescent="0.2">
      <c r="A195" s="1476" t="s">
        <v>783</v>
      </c>
      <c r="B195" s="888">
        <v>58.2</v>
      </c>
      <c r="C195" s="888">
        <v>58.2</v>
      </c>
      <c r="D195" s="912" t="s">
        <v>2737</v>
      </c>
    </row>
    <row r="196" spans="1:4" s="913" customFormat="1" ht="11.25" customHeight="1" x14ac:dyDescent="0.2">
      <c r="A196" s="1475"/>
      <c r="B196" s="885">
        <v>50</v>
      </c>
      <c r="C196" s="885">
        <v>0</v>
      </c>
      <c r="D196" s="914" t="s">
        <v>2734</v>
      </c>
    </row>
    <row r="197" spans="1:4" s="913" customFormat="1" ht="11.25" customHeight="1" x14ac:dyDescent="0.2">
      <c r="A197" s="1475"/>
      <c r="B197" s="885">
        <v>345</v>
      </c>
      <c r="C197" s="885">
        <v>345</v>
      </c>
      <c r="D197" s="914" t="s">
        <v>2735</v>
      </c>
    </row>
    <row r="198" spans="1:4" s="913" customFormat="1" ht="11.25" customHeight="1" x14ac:dyDescent="0.2">
      <c r="A198" s="1475"/>
      <c r="B198" s="885">
        <v>531</v>
      </c>
      <c r="C198" s="885">
        <v>531</v>
      </c>
      <c r="D198" s="914" t="s">
        <v>2739</v>
      </c>
    </row>
    <row r="199" spans="1:4" s="913" customFormat="1" ht="11.25" customHeight="1" x14ac:dyDescent="0.2">
      <c r="A199" s="1475"/>
      <c r="B199" s="885">
        <v>208.8</v>
      </c>
      <c r="C199" s="885">
        <v>208.8</v>
      </c>
      <c r="D199" s="914" t="s">
        <v>751</v>
      </c>
    </row>
    <row r="200" spans="1:4" s="913" customFormat="1" ht="11.25" customHeight="1" x14ac:dyDescent="0.2">
      <c r="A200" s="1475"/>
      <c r="B200" s="885">
        <v>357</v>
      </c>
      <c r="C200" s="885">
        <v>357</v>
      </c>
      <c r="D200" s="914" t="s">
        <v>2742</v>
      </c>
    </row>
    <row r="201" spans="1:4" s="913" customFormat="1" ht="11.25" customHeight="1" x14ac:dyDescent="0.2">
      <c r="A201" s="1475"/>
      <c r="B201" s="885">
        <v>40</v>
      </c>
      <c r="C201" s="885">
        <v>40</v>
      </c>
      <c r="D201" s="914" t="s">
        <v>934</v>
      </c>
    </row>
    <row r="202" spans="1:4" s="913" customFormat="1" ht="11.25" customHeight="1" x14ac:dyDescent="0.2">
      <c r="A202" s="1477"/>
      <c r="B202" s="887">
        <v>1590</v>
      </c>
      <c r="C202" s="887">
        <v>1540</v>
      </c>
      <c r="D202" s="915" t="s">
        <v>11</v>
      </c>
    </row>
    <row r="203" spans="1:4" s="913" customFormat="1" ht="11.25" customHeight="1" x14ac:dyDescent="0.2">
      <c r="A203" s="1475" t="s">
        <v>784</v>
      </c>
      <c r="B203" s="885">
        <v>73</v>
      </c>
      <c r="C203" s="885">
        <v>73</v>
      </c>
      <c r="D203" s="914" t="s">
        <v>2735</v>
      </c>
    </row>
    <row r="204" spans="1:4" s="913" customFormat="1" ht="11.25" customHeight="1" x14ac:dyDescent="0.2">
      <c r="A204" s="1475"/>
      <c r="B204" s="885">
        <v>291.64</v>
      </c>
      <c r="C204" s="885">
        <v>291.63382999999999</v>
      </c>
      <c r="D204" s="914" t="s">
        <v>2608</v>
      </c>
    </row>
    <row r="205" spans="1:4" s="913" customFormat="1" ht="11.25" customHeight="1" x14ac:dyDescent="0.2">
      <c r="A205" s="1475"/>
      <c r="B205" s="885">
        <v>208.2</v>
      </c>
      <c r="C205" s="885">
        <v>208.2</v>
      </c>
      <c r="D205" s="914" t="s">
        <v>751</v>
      </c>
    </row>
    <row r="206" spans="1:4" s="913" customFormat="1" ht="11.25" customHeight="1" x14ac:dyDescent="0.2">
      <c r="A206" s="1475"/>
      <c r="B206" s="885">
        <v>188</v>
      </c>
      <c r="C206" s="885">
        <v>188</v>
      </c>
      <c r="D206" s="914" t="s">
        <v>2742</v>
      </c>
    </row>
    <row r="207" spans="1:4" s="913" customFormat="1" ht="11.25" customHeight="1" x14ac:dyDescent="0.2">
      <c r="A207" s="1475"/>
      <c r="B207" s="885">
        <v>760.83999999999992</v>
      </c>
      <c r="C207" s="885">
        <v>760.83383000000003</v>
      </c>
      <c r="D207" s="914" t="s">
        <v>11</v>
      </c>
    </row>
    <row r="208" spans="1:4" s="913" customFormat="1" ht="11.25" customHeight="1" x14ac:dyDescent="0.2">
      <c r="A208" s="1476" t="s">
        <v>785</v>
      </c>
      <c r="B208" s="888">
        <v>89.97</v>
      </c>
      <c r="C208" s="888">
        <v>89.965999999999994</v>
      </c>
      <c r="D208" s="912" t="s">
        <v>2733</v>
      </c>
    </row>
    <row r="209" spans="1:4" s="913" customFormat="1" ht="11.25" customHeight="1" x14ac:dyDescent="0.2">
      <c r="A209" s="1475"/>
      <c r="B209" s="885">
        <v>4799</v>
      </c>
      <c r="C209" s="885">
        <v>4799</v>
      </c>
      <c r="D209" s="914" t="s">
        <v>2735</v>
      </c>
    </row>
    <row r="210" spans="1:4" s="913" customFormat="1" ht="11.25" customHeight="1" x14ac:dyDescent="0.2">
      <c r="A210" s="1475"/>
      <c r="B210" s="885">
        <v>270</v>
      </c>
      <c r="C210" s="885">
        <v>0</v>
      </c>
      <c r="D210" s="914" t="s">
        <v>2736</v>
      </c>
    </row>
    <row r="211" spans="1:4" s="913" customFormat="1" ht="11.25" customHeight="1" x14ac:dyDescent="0.2">
      <c r="A211" s="1475"/>
      <c r="B211" s="885">
        <v>335.8</v>
      </c>
      <c r="C211" s="885">
        <v>125.65</v>
      </c>
      <c r="D211" s="914" t="s">
        <v>2751</v>
      </c>
    </row>
    <row r="212" spans="1:4" s="913" customFormat="1" ht="11.25" customHeight="1" x14ac:dyDescent="0.2">
      <c r="A212" s="1475"/>
      <c r="B212" s="885">
        <v>50</v>
      </c>
      <c r="C212" s="885">
        <v>50</v>
      </c>
      <c r="D212" s="914" t="s">
        <v>2740</v>
      </c>
    </row>
    <row r="213" spans="1:4" s="913" customFormat="1" ht="11.25" customHeight="1" x14ac:dyDescent="0.2">
      <c r="A213" s="1475"/>
      <c r="B213" s="885">
        <v>431.1</v>
      </c>
      <c r="C213" s="885">
        <v>431.1</v>
      </c>
      <c r="D213" s="914" t="s">
        <v>751</v>
      </c>
    </row>
    <row r="214" spans="1:4" s="913" customFormat="1" ht="11.25" customHeight="1" x14ac:dyDescent="0.2">
      <c r="A214" s="1477"/>
      <c r="B214" s="887">
        <v>5975.8700000000008</v>
      </c>
      <c r="C214" s="887">
        <v>5495.7160000000003</v>
      </c>
      <c r="D214" s="915" t="s">
        <v>11</v>
      </c>
    </row>
    <row r="215" spans="1:4" s="913" customFormat="1" ht="11.25" customHeight="1" x14ac:dyDescent="0.2">
      <c r="A215" s="1475" t="s">
        <v>786</v>
      </c>
      <c r="B215" s="885">
        <v>248.1</v>
      </c>
      <c r="C215" s="885">
        <v>238.262</v>
      </c>
      <c r="D215" s="914" t="s">
        <v>2752</v>
      </c>
    </row>
    <row r="216" spans="1:4" s="913" customFormat="1" ht="11.25" customHeight="1" x14ac:dyDescent="0.2">
      <c r="A216" s="1475"/>
      <c r="B216" s="885">
        <v>142</v>
      </c>
      <c r="C216" s="885">
        <v>0</v>
      </c>
      <c r="D216" s="914" t="s">
        <v>2736</v>
      </c>
    </row>
    <row r="217" spans="1:4" s="913" customFormat="1" ht="11.25" customHeight="1" x14ac:dyDescent="0.2">
      <c r="A217" s="1475"/>
      <c r="B217" s="885">
        <v>184.6</v>
      </c>
      <c r="C217" s="885">
        <v>184.6</v>
      </c>
      <c r="D217" s="914" t="s">
        <v>751</v>
      </c>
    </row>
    <row r="218" spans="1:4" s="913" customFormat="1" ht="11.25" customHeight="1" x14ac:dyDescent="0.2">
      <c r="A218" s="1475"/>
      <c r="B218" s="885">
        <v>574.70000000000005</v>
      </c>
      <c r="C218" s="885">
        <v>422.86199999999997</v>
      </c>
      <c r="D218" s="914" t="s">
        <v>11</v>
      </c>
    </row>
    <row r="219" spans="1:4" s="913" customFormat="1" ht="11.25" customHeight="1" x14ac:dyDescent="0.2">
      <c r="A219" s="1476" t="s">
        <v>787</v>
      </c>
      <c r="B219" s="888">
        <v>3.2</v>
      </c>
      <c r="C219" s="888">
        <v>3.2</v>
      </c>
      <c r="D219" s="912" t="s">
        <v>751</v>
      </c>
    </row>
    <row r="220" spans="1:4" s="913" customFormat="1" ht="11.25" customHeight="1" x14ac:dyDescent="0.2">
      <c r="A220" s="1477"/>
      <c r="B220" s="887">
        <v>3.2</v>
      </c>
      <c r="C220" s="887">
        <v>3.2</v>
      </c>
      <c r="D220" s="915" t="s">
        <v>11</v>
      </c>
    </row>
    <row r="221" spans="1:4" s="913" customFormat="1" ht="11.25" customHeight="1" x14ac:dyDescent="0.2">
      <c r="A221" s="1475" t="s">
        <v>788</v>
      </c>
      <c r="B221" s="885">
        <v>79.14</v>
      </c>
      <c r="C221" s="885">
        <v>76.44</v>
      </c>
      <c r="D221" s="914" t="s">
        <v>2733</v>
      </c>
    </row>
    <row r="222" spans="1:4" s="913" customFormat="1" ht="11.25" customHeight="1" x14ac:dyDescent="0.2">
      <c r="A222" s="1475"/>
      <c r="B222" s="885">
        <v>292.05</v>
      </c>
      <c r="C222" s="885">
        <v>292.04190999999997</v>
      </c>
      <c r="D222" s="914" t="s">
        <v>2608</v>
      </c>
    </row>
    <row r="223" spans="1:4" s="913" customFormat="1" ht="11.25" customHeight="1" x14ac:dyDescent="0.2">
      <c r="A223" s="1475"/>
      <c r="B223" s="885">
        <v>20</v>
      </c>
      <c r="C223" s="885">
        <v>20</v>
      </c>
      <c r="D223" s="914" t="s">
        <v>2740</v>
      </c>
    </row>
    <row r="224" spans="1:4" s="913" customFormat="1" ht="11.25" customHeight="1" x14ac:dyDescent="0.2">
      <c r="A224" s="1475"/>
      <c r="B224" s="885">
        <v>4.8</v>
      </c>
      <c r="C224" s="885">
        <v>4.8</v>
      </c>
      <c r="D224" s="914" t="s">
        <v>751</v>
      </c>
    </row>
    <row r="225" spans="1:4" s="913" customFormat="1" ht="11.25" customHeight="1" x14ac:dyDescent="0.2">
      <c r="A225" s="1475"/>
      <c r="B225" s="885">
        <v>40</v>
      </c>
      <c r="C225" s="885">
        <v>40</v>
      </c>
      <c r="D225" s="914" t="s">
        <v>934</v>
      </c>
    </row>
    <row r="226" spans="1:4" s="913" customFormat="1" ht="11.25" customHeight="1" x14ac:dyDescent="0.2">
      <c r="A226" s="1475"/>
      <c r="B226" s="885">
        <v>435.99</v>
      </c>
      <c r="C226" s="885">
        <v>433.28190999999998</v>
      </c>
      <c r="D226" s="914" t="s">
        <v>11</v>
      </c>
    </row>
    <row r="227" spans="1:4" s="913" customFormat="1" ht="11.25" customHeight="1" x14ac:dyDescent="0.2">
      <c r="A227" s="1476" t="s">
        <v>789</v>
      </c>
      <c r="B227" s="888">
        <v>2</v>
      </c>
      <c r="C227" s="888">
        <v>2</v>
      </c>
      <c r="D227" s="912" t="s">
        <v>751</v>
      </c>
    </row>
    <row r="228" spans="1:4" s="913" customFormat="1" ht="11.25" customHeight="1" x14ac:dyDescent="0.2">
      <c r="A228" s="1477"/>
      <c r="B228" s="887">
        <v>2</v>
      </c>
      <c r="C228" s="887">
        <v>2</v>
      </c>
      <c r="D228" s="915" t="s">
        <v>11</v>
      </c>
    </row>
    <row r="229" spans="1:4" s="913" customFormat="1" ht="11.25" customHeight="1" x14ac:dyDescent="0.2">
      <c r="A229" s="1475" t="s">
        <v>790</v>
      </c>
      <c r="B229" s="885">
        <v>11.7</v>
      </c>
      <c r="C229" s="885">
        <v>11.7</v>
      </c>
      <c r="D229" s="914" t="s">
        <v>751</v>
      </c>
    </row>
    <row r="230" spans="1:4" s="913" customFormat="1" ht="11.25" customHeight="1" x14ac:dyDescent="0.2">
      <c r="A230" s="1475"/>
      <c r="B230" s="885">
        <v>11.7</v>
      </c>
      <c r="C230" s="885">
        <v>11.7</v>
      </c>
      <c r="D230" s="914" t="s">
        <v>11</v>
      </c>
    </row>
    <row r="231" spans="1:4" s="913" customFormat="1" ht="11.25" customHeight="1" x14ac:dyDescent="0.2">
      <c r="A231" s="1476" t="s">
        <v>791</v>
      </c>
      <c r="B231" s="888">
        <v>240</v>
      </c>
      <c r="C231" s="888">
        <v>0</v>
      </c>
      <c r="D231" s="912" t="s">
        <v>2736</v>
      </c>
    </row>
    <row r="232" spans="1:4" s="913" customFormat="1" ht="11.25" customHeight="1" x14ac:dyDescent="0.2">
      <c r="A232" s="1475"/>
      <c r="B232" s="885">
        <v>8.4</v>
      </c>
      <c r="C232" s="885">
        <v>8.4</v>
      </c>
      <c r="D232" s="914" t="s">
        <v>751</v>
      </c>
    </row>
    <row r="233" spans="1:4" s="913" customFormat="1" ht="11.25" customHeight="1" x14ac:dyDescent="0.2">
      <c r="A233" s="1477"/>
      <c r="B233" s="887">
        <v>248.4</v>
      </c>
      <c r="C233" s="887">
        <v>8.4</v>
      </c>
      <c r="D233" s="915" t="s">
        <v>11</v>
      </c>
    </row>
    <row r="234" spans="1:4" s="913" customFormat="1" ht="11.25" customHeight="1" x14ac:dyDescent="0.2">
      <c r="A234" s="1475" t="s">
        <v>2753</v>
      </c>
      <c r="B234" s="885">
        <v>249.5</v>
      </c>
      <c r="C234" s="885">
        <v>249.5</v>
      </c>
      <c r="D234" s="914" t="s">
        <v>2752</v>
      </c>
    </row>
    <row r="235" spans="1:4" s="913" customFormat="1" ht="11.25" customHeight="1" x14ac:dyDescent="0.2">
      <c r="A235" s="1475"/>
      <c r="B235" s="885">
        <v>472</v>
      </c>
      <c r="C235" s="885">
        <v>0</v>
      </c>
      <c r="D235" s="914" t="s">
        <v>2736</v>
      </c>
    </row>
    <row r="236" spans="1:4" s="913" customFormat="1" ht="11.25" customHeight="1" x14ac:dyDescent="0.2">
      <c r="A236" s="1475"/>
      <c r="B236" s="885">
        <v>721.5</v>
      </c>
      <c r="C236" s="885">
        <v>249.5</v>
      </c>
      <c r="D236" s="914" t="s">
        <v>11</v>
      </c>
    </row>
    <row r="237" spans="1:4" s="913" customFormat="1" ht="11.25" customHeight="1" x14ac:dyDescent="0.2">
      <c r="A237" s="1476" t="s">
        <v>792</v>
      </c>
      <c r="B237" s="888">
        <v>90.79</v>
      </c>
      <c r="C237" s="888">
        <v>90.782880000000006</v>
      </c>
      <c r="D237" s="912" t="s">
        <v>1194</v>
      </c>
    </row>
    <row r="238" spans="1:4" s="913" customFormat="1" ht="11.25" customHeight="1" x14ac:dyDescent="0.2">
      <c r="A238" s="1475"/>
      <c r="B238" s="885">
        <v>1.6</v>
      </c>
      <c r="C238" s="885">
        <v>1.6</v>
      </c>
      <c r="D238" s="914" t="s">
        <v>751</v>
      </c>
    </row>
    <row r="239" spans="1:4" s="913" customFormat="1" ht="11.25" customHeight="1" x14ac:dyDescent="0.2">
      <c r="A239" s="1477"/>
      <c r="B239" s="887">
        <v>92.39</v>
      </c>
      <c r="C239" s="887">
        <v>92.38288</v>
      </c>
      <c r="D239" s="915" t="s">
        <v>11</v>
      </c>
    </row>
    <row r="240" spans="1:4" s="913" customFormat="1" ht="11.25" customHeight="1" x14ac:dyDescent="0.2">
      <c r="A240" s="1475" t="s">
        <v>2754</v>
      </c>
      <c r="B240" s="885">
        <v>209.03</v>
      </c>
      <c r="C240" s="885">
        <v>0</v>
      </c>
      <c r="D240" s="914" t="s">
        <v>2733</v>
      </c>
    </row>
    <row r="241" spans="1:4" s="913" customFormat="1" ht="11.25" customHeight="1" x14ac:dyDescent="0.2">
      <c r="A241" s="1475"/>
      <c r="B241" s="885">
        <v>209.03</v>
      </c>
      <c r="C241" s="885">
        <v>0</v>
      </c>
      <c r="D241" s="914" t="s">
        <v>11</v>
      </c>
    </row>
    <row r="242" spans="1:4" s="913" customFormat="1" ht="11.25" customHeight="1" x14ac:dyDescent="0.2">
      <c r="A242" s="1476" t="s">
        <v>793</v>
      </c>
      <c r="B242" s="888">
        <v>3.6</v>
      </c>
      <c r="C242" s="888">
        <v>3.6</v>
      </c>
      <c r="D242" s="912" t="s">
        <v>751</v>
      </c>
    </row>
    <row r="243" spans="1:4" s="913" customFormat="1" ht="11.25" customHeight="1" x14ac:dyDescent="0.2">
      <c r="A243" s="1475"/>
      <c r="B243" s="885">
        <v>30</v>
      </c>
      <c r="C243" s="885">
        <v>30</v>
      </c>
      <c r="D243" s="914" t="s">
        <v>934</v>
      </c>
    </row>
    <row r="244" spans="1:4" s="913" customFormat="1" ht="11.25" customHeight="1" x14ac:dyDescent="0.2">
      <c r="A244" s="1477"/>
      <c r="B244" s="887">
        <v>33.6</v>
      </c>
      <c r="C244" s="887">
        <v>33.6</v>
      </c>
      <c r="D244" s="915" t="s">
        <v>11</v>
      </c>
    </row>
    <row r="245" spans="1:4" s="913" customFormat="1" ht="11.25" customHeight="1" x14ac:dyDescent="0.2">
      <c r="A245" s="1475" t="s">
        <v>2755</v>
      </c>
      <c r="B245" s="885">
        <v>250</v>
      </c>
      <c r="C245" s="885">
        <v>125</v>
      </c>
      <c r="D245" s="914" t="s">
        <v>2752</v>
      </c>
    </row>
    <row r="246" spans="1:4" s="913" customFormat="1" ht="11.25" customHeight="1" x14ac:dyDescent="0.2">
      <c r="A246" s="1475"/>
      <c r="B246" s="885">
        <v>405</v>
      </c>
      <c r="C246" s="885">
        <v>0</v>
      </c>
      <c r="D246" s="914" t="s">
        <v>2736</v>
      </c>
    </row>
    <row r="247" spans="1:4" s="913" customFormat="1" ht="11.25" customHeight="1" x14ac:dyDescent="0.2">
      <c r="A247" s="1475"/>
      <c r="B247" s="885">
        <v>655</v>
      </c>
      <c r="C247" s="885">
        <v>125</v>
      </c>
      <c r="D247" s="914" t="s">
        <v>11</v>
      </c>
    </row>
    <row r="248" spans="1:4" s="913" customFormat="1" ht="11.25" customHeight="1" x14ac:dyDescent="0.2">
      <c r="A248" s="1476" t="s">
        <v>794</v>
      </c>
      <c r="B248" s="888">
        <v>102</v>
      </c>
      <c r="C248" s="888">
        <v>0</v>
      </c>
      <c r="D248" s="912" t="s">
        <v>2736</v>
      </c>
    </row>
    <row r="249" spans="1:4" s="913" customFormat="1" ht="11.25" customHeight="1" x14ac:dyDescent="0.2">
      <c r="A249" s="1475"/>
      <c r="B249" s="885">
        <v>12.2</v>
      </c>
      <c r="C249" s="885">
        <v>12.2</v>
      </c>
      <c r="D249" s="914" t="s">
        <v>751</v>
      </c>
    </row>
    <row r="250" spans="1:4" s="913" customFormat="1" ht="11.25" customHeight="1" x14ac:dyDescent="0.2">
      <c r="A250" s="1477"/>
      <c r="B250" s="887">
        <v>114.2</v>
      </c>
      <c r="C250" s="887">
        <v>12.2</v>
      </c>
      <c r="D250" s="915" t="s">
        <v>11</v>
      </c>
    </row>
    <row r="251" spans="1:4" s="913" customFormat="1" ht="11.25" customHeight="1" x14ac:dyDescent="0.2">
      <c r="A251" s="1475" t="s">
        <v>2756</v>
      </c>
      <c r="B251" s="885">
        <v>408.33</v>
      </c>
      <c r="C251" s="885">
        <v>383.31</v>
      </c>
      <c r="D251" s="914" t="s">
        <v>2733</v>
      </c>
    </row>
    <row r="252" spans="1:4" s="913" customFormat="1" ht="11.25" customHeight="1" x14ac:dyDescent="0.2">
      <c r="A252" s="1475"/>
      <c r="B252" s="885">
        <v>408.33</v>
      </c>
      <c r="C252" s="885">
        <v>383.31</v>
      </c>
      <c r="D252" s="914" t="s">
        <v>11</v>
      </c>
    </row>
    <row r="253" spans="1:4" s="913" customFormat="1" ht="11.25" customHeight="1" x14ac:dyDescent="0.2">
      <c r="A253" s="1476" t="s">
        <v>795</v>
      </c>
      <c r="B253" s="888">
        <v>175</v>
      </c>
      <c r="C253" s="888">
        <v>175</v>
      </c>
      <c r="D253" s="912" t="s">
        <v>751</v>
      </c>
    </row>
    <row r="254" spans="1:4" s="913" customFormat="1" ht="11.25" customHeight="1" x14ac:dyDescent="0.2">
      <c r="A254" s="1477"/>
      <c r="B254" s="887">
        <v>175</v>
      </c>
      <c r="C254" s="887">
        <v>175</v>
      </c>
      <c r="D254" s="915" t="s">
        <v>11</v>
      </c>
    </row>
    <row r="255" spans="1:4" s="913" customFormat="1" ht="11.25" customHeight="1" x14ac:dyDescent="0.2">
      <c r="A255" s="1475" t="s">
        <v>796</v>
      </c>
      <c r="B255" s="885">
        <v>1.2</v>
      </c>
      <c r="C255" s="885">
        <v>1.2</v>
      </c>
      <c r="D255" s="914" t="s">
        <v>751</v>
      </c>
    </row>
    <row r="256" spans="1:4" s="913" customFormat="1" ht="11.25" customHeight="1" x14ac:dyDescent="0.2">
      <c r="A256" s="1475"/>
      <c r="B256" s="885">
        <v>1.2</v>
      </c>
      <c r="C256" s="885">
        <v>1.2</v>
      </c>
      <c r="D256" s="914" t="s">
        <v>11</v>
      </c>
    </row>
    <row r="257" spans="1:4" s="913" customFormat="1" ht="11.25" customHeight="1" x14ac:dyDescent="0.2">
      <c r="A257" s="1476" t="s">
        <v>797</v>
      </c>
      <c r="B257" s="888">
        <v>1.6</v>
      </c>
      <c r="C257" s="888">
        <v>1.6</v>
      </c>
      <c r="D257" s="912" t="s">
        <v>751</v>
      </c>
    </row>
    <row r="258" spans="1:4" s="913" customFormat="1" ht="11.25" customHeight="1" x14ac:dyDescent="0.2">
      <c r="A258" s="1477"/>
      <c r="B258" s="887">
        <v>1.6</v>
      </c>
      <c r="C258" s="887">
        <v>1.6</v>
      </c>
      <c r="D258" s="915" t="s">
        <v>11</v>
      </c>
    </row>
    <row r="259" spans="1:4" s="913" customFormat="1" ht="11.25" customHeight="1" x14ac:dyDescent="0.2">
      <c r="A259" s="1475" t="s">
        <v>798</v>
      </c>
      <c r="B259" s="885">
        <v>1273.5999999999999</v>
      </c>
      <c r="C259" s="885">
        <v>1229.49035</v>
      </c>
      <c r="D259" s="914" t="s">
        <v>2757</v>
      </c>
    </row>
    <row r="260" spans="1:4" s="913" customFormat="1" ht="11.25" customHeight="1" x14ac:dyDescent="0.2">
      <c r="A260" s="1475"/>
      <c r="B260" s="885">
        <v>21.9</v>
      </c>
      <c r="C260" s="885">
        <v>21.9</v>
      </c>
      <c r="D260" s="914" t="s">
        <v>751</v>
      </c>
    </row>
    <row r="261" spans="1:4" s="913" customFormat="1" ht="11.25" customHeight="1" x14ac:dyDescent="0.2">
      <c r="A261" s="1475"/>
      <c r="B261" s="885">
        <v>1295.5</v>
      </c>
      <c r="C261" s="885">
        <v>1251.3903500000001</v>
      </c>
      <c r="D261" s="914" t="s">
        <v>11</v>
      </c>
    </row>
    <row r="262" spans="1:4" s="913" customFormat="1" ht="11.25" customHeight="1" x14ac:dyDescent="0.2">
      <c r="A262" s="1476" t="s">
        <v>799</v>
      </c>
      <c r="B262" s="888">
        <v>102.15</v>
      </c>
      <c r="C262" s="888">
        <v>89.55</v>
      </c>
      <c r="D262" s="912" t="s">
        <v>2733</v>
      </c>
    </row>
    <row r="263" spans="1:4" s="913" customFormat="1" ht="11.25" customHeight="1" x14ac:dyDescent="0.2">
      <c r="A263" s="1475"/>
      <c r="B263" s="885">
        <v>250</v>
      </c>
      <c r="C263" s="885">
        <v>250</v>
      </c>
      <c r="D263" s="914" t="s">
        <v>2752</v>
      </c>
    </row>
    <row r="264" spans="1:4" s="913" customFormat="1" ht="11.25" customHeight="1" x14ac:dyDescent="0.2">
      <c r="A264" s="1475"/>
      <c r="B264" s="885">
        <v>17.899999999999999</v>
      </c>
      <c r="C264" s="885">
        <v>17.899999999999999</v>
      </c>
      <c r="D264" s="914" t="s">
        <v>751</v>
      </c>
    </row>
    <row r="265" spans="1:4" s="913" customFormat="1" ht="11.25" customHeight="1" x14ac:dyDescent="0.2">
      <c r="A265" s="1477"/>
      <c r="B265" s="887">
        <v>370.04999999999995</v>
      </c>
      <c r="C265" s="887">
        <v>357.45</v>
      </c>
      <c r="D265" s="915" t="s">
        <v>11</v>
      </c>
    </row>
    <row r="266" spans="1:4" s="913" customFormat="1" ht="11.25" customHeight="1" x14ac:dyDescent="0.2">
      <c r="A266" s="1475" t="s">
        <v>800</v>
      </c>
      <c r="B266" s="885">
        <v>1.6</v>
      </c>
      <c r="C266" s="885">
        <v>1.6</v>
      </c>
      <c r="D266" s="914" t="s">
        <v>751</v>
      </c>
    </row>
    <row r="267" spans="1:4" s="913" customFormat="1" ht="11.25" customHeight="1" x14ac:dyDescent="0.2">
      <c r="A267" s="1475"/>
      <c r="B267" s="885">
        <v>1.6</v>
      </c>
      <c r="C267" s="885">
        <v>1.6</v>
      </c>
      <c r="D267" s="914" t="s">
        <v>11</v>
      </c>
    </row>
    <row r="268" spans="1:4" s="913" customFormat="1" ht="11.25" customHeight="1" x14ac:dyDescent="0.2">
      <c r="A268" s="1476" t="s">
        <v>801</v>
      </c>
      <c r="B268" s="888">
        <v>487</v>
      </c>
      <c r="C268" s="888">
        <v>0</v>
      </c>
      <c r="D268" s="912" t="s">
        <v>2736</v>
      </c>
    </row>
    <row r="269" spans="1:4" s="913" customFormat="1" ht="11.25" customHeight="1" x14ac:dyDescent="0.2">
      <c r="A269" s="1475"/>
      <c r="B269" s="885">
        <v>150</v>
      </c>
      <c r="C269" s="885">
        <v>128.453</v>
      </c>
      <c r="D269" s="914" t="s">
        <v>2738</v>
      </c>
    </row>
    <row r="270" spans="1:4" s="913" customFormat="1" ht="11.25" customHeight="1" x14ac:dyDescent="0.2">
      <c r="A270" s="1475"/>
      <c r="B270" s="885">
        <v>407</v>
      </c>
      <c r="C270" s="885">
        <v>0</v>
      </c>
      <c r="D270" s="914" t="s">
        <v>1211</v>
      </c>
    </row>
    <row r="271" spans="1:4" s="913" customFormat="1" ht="11.25" customHeight="1" x14ac:dyDescent="0.2">
      <c r="A271" s="1475"/>
      <c r="B271" s="885">
        <v>5.2</v>
      </c>
      <c r="C271" s="885">
        <v>5.2</v>
      </c>
      <c r="D271" s="914" t="s">
        <v>751</v>
      </c>
    </row>
    <row r="272" spans="1:4" s="913" customFormat="1" ht="11.25" customHeight="1" x14ac:dyDescent="0.2">
      <c r="A272" s="1477"/>
      <c r="B272" s="887">
        <v>1049.2</v>
      </c>
      <c r="C272" s="887">
        <v>133.65299999999999</v>
      </c>
      <c r="D272" s="915" t="s">
        <v>11</v>
      </c>
    </row>
    <row r="273" spans="1:4" s="913" customFormat="1" ht="11.25" customHeight="1" x14ac:dyDescent="0.2">
      <c r="A273" s="1475" t="s">
        <v>2758</v>
      </c>
      <c r="B273" s="885">
        <v>76.45</v>
      </c>
      <c r="C273" s="885">
        <v>76.45</v>
      </c>
      <c r="D273" s="914" t="s">
        <v>2733</v>
      </c>
    </row>
    <row r="274" spans="1:4" s="913" customFormat="1" ht="11.25" customHeight="1" x14ac:dyDescent="0.2">
      <c r="A274" s="1475"/>
      <c r="B274" s="885">
        <v>76.45</v>
      </c>
      <c r="C274" s="885">
        <v>76.45</v>
      </c>
      <c r="D274" s="914" t="s">
        <v>11</v>
      </c>
    </row>
    <row r="275" spans="1:4" s="913" customFormat="1" ht="11.25" customHeight="1" x14ac:dyDescent="0.2">
      <c r="A275" s="1476" t="s">
        <v>995</v>
      </c>
      <c r="B275" s="888">
        <v>62</v>
      </c>
      <c r="C275" s="888">
        <v>37</v>
      </c>
      <c r="D275" s="912" t="s">
        <v>2734</v>
      </c>
    </row>
    <row r="276" spans="1:4" s="913" customFormat="1" ht="11.25" customHeight="1" x14ac:dyDescent="0.2">
      <c r="A276" s="1475"/>
      <c r="B276" s="885">
        <v>286</v>
      </c>
      <c r="C276" s="885">
        <v>286</v>
      </c>
      <c r="D276" s="914" t="s">
        <v>2735</v>
      </c>
    </row>
    <row r="277" spans="1:4" s="913" customFormat="1" ht="11.25" customHeight="1" x14ac:dyDescent="0.2">
      <c r="A277" s="1475"/>
      <c r="B277" s="885">
        <v>500</v>
      </c>
      <c r="C277" s="885">
        <v>0</v>
      </c>
      <c r="D277" s="914" t="s">
        <v>2736</v>
      </c>
    </row>
    <row r="278" spans="1:4" s="913" customFormat="1" ht="11.25" customHeight="1" x14ac:dyDescent="0.2">
      <c r="A278" s="1475"/>
      <c r="B278" s="885">
        <v>72.3</v>
      </c>
      <c r="C278" s="885">
        <v>72.3</v>
      </c>
      <c r="D278" s="914" t="s">
        <v>978</v>
      </c>
    </row>
    <row r="279" spans="1:4" s="913" customFormat="1" ht="11.25" customHeight="1" x14ac:dyDescent="0.2">
      <c r="A279" s="1477"/>
      <c r="B279" s="887">
        <v>920.3</v>
      </c>
      <c r="C279" s="887">
        <v>395.3</v>
      </c>
      <c r="D279" s="915" t="s">
        <v>11</v>
      </c>
    </row>
    <row r="280" spans="1:4" s="913" customFormat="1" ht="11.25" customHeight="1" x14ac:dyDescent="0.2">
      <c r="A280" s="1476" t="s">
        <v>2759</v>
      </c>
      <c r="B280" s="888">
        <v>116.91</v>
      </c>
      <c r="C280" s="888">
        <v>65.665000000000006</v>
      </c>
      <c r="D280" s="912" t="s">
        <v>2733</v>
      </c>
    </row>
    <row r="281" spans="1:4" s="913" customFormat="1" ht="11.25" customHeight="1" x14ac:dyDescent="0.2">
      <c r="A281" s="1477"/>
      <c r="B281" s="887">
        <v>116.91</v>
      </c>
      <c r="C281" s="887">
        <v>65.665000000000006</v>
      </c>
      <c r="D281" s="915" t="s">
        <v>11</v>
      </c>
    </row>
    <row r="282" spans="1:4" s="913" customFormat="1" ht="11.25" customHeight="1" x14ac:dyDescent="0.2">
      <c r="A282" s="1476" t="s">
        <v>2760</v>
      </c>
      <c r="B282" s="888">
        <v>250</v>
      </c>
      <c r="C282" s="888">
        <v>125</v>
      </c>
      <c r="D282" s="912" t="s">
        <v>2752</v>
      </c>
    </row>
    <row r="283" spans="1:4" s="913" customFormat="1" ht="11.25" customHeight="1" x14ac:dyDescent="0.2">
      <c r="A283" s="1475"/>
      <c r="B283" s="885">
        <v>308</v>
      </c>
      <c r="C283" s="885">
        <v>0</v>
      </c>
      <c r="D283" s="914" t="s">
        <v>2736</v>
      </c>
    </row>
    <row r="284" spans="1:4" s="913" customFormat="1" ht="11.25" customHeight="1" x14ac:dyDescent="0.2">
      <c r="A284" s="1477"/>
      <c r="B284" s="887">
        <v>558</v>
      </c>
      <c r="C284" s="887">
        <v>125</v>
      </c>
      <c r="D284" s="915" t="s">
        <v>11</v>
      </c>
    </row>
    <row r="285" spans="1:4" s="913" customFormat="1" ht="11.25" customHeight="1" x14ac:dyDescent="0.2">
      <c r="A285" s="1475" t="s">
        <v>802</v>
      </c>
      <c r="B285" s="885">
        <v>12.2</v>
      </c>
      <c r="C285" s="885">
        <v>12.2</v>
      </c>
      <c r="D285" s="914" t="s">
        <v>751</v>
      </c>
    </row>
    <row r="286" spans="1:4" s="913" customFormat="1" ht="11.25" customHeight="1" x14ac:dyDescent="0.2">
      <c r="A286" s="1475"/>
      <c r="B286" s="885">
        <v>12.2</v>
      </c>
      <c r="C286" s="885">
        <v>12.2</v>
      </c>
      <c r="D286" s="914" t="s">
        <v>11</v>
      </c>
    </row>
    <row r="287" spans="1:4" s="913" customFormat="1" ht="11.25" customHeight="1" x14ac:dyDescent="0.2">
      <c r="A287" s="1476" t="s">
        <v>803</v>
      </c>
      <c r="B287" s="888">
        <v>65.7</v>
      </c>
      <c r="C287" s="888">
        <v>65.7</v>
      </c>
      <c r="D287" s="912" t="s">
        <v>2733</v>
      </c>
    </row>
    <row r="288" spans="1:4" s="913" customFormat="1" ht="11.25" customHeight="1" x14ac:dyDescent="0.2">
      <c r="A288" s="1475"/>
      <c r="B288" s="885">
        <v>4.4000000000000004</v>
      </c>
      <c r="C288" s="885">
        <v>4.4000000000000004</v>
      </c>
      <c r="D288" s="914" t="s">
        <v>751</v>
      </c>
    </row>
    <row r="289" spans="1:4" s="913" customFormat="1" ht="11.25" customHeight="1" x14ac:dyDescent="0.2">
      <c r="A289" s="1477"/>
      <c r="B289" s="887">
        <v>70.100000000000009</v>
      </c>
      <c r="C289" s="887">
        <v>70.100000000000009</v>
      </c>
      <c r="D289" s="915" t="s">
        <v>11</v>
      </c>
    </row>
    <row r="290" spans="1:4" s="913" customFormat="1" ht="11.25" customHeight="1" x14ac:dyDescent="0.2">
      <c r="A290" s="1475" t="s">
        <v>804</v>
      </c>
      <c r="B290" s="885">
        <v>27</v>
      </c>
      <c r="C290" s="885">
        <v>27</v>
      </c>
      <c r="D290" s="914" t="s">
        <v>2607</v>
      </c>
    </row>
    <row r="291" spans="1:4" s="913" customFormat="1" ht="11.25" customHeight="1" x14ac:dyDescent="0.2">
      <c r="A291" s="1475"/>
      <c r="B291" s="885">
        <v>116.55999999999999</v>
      </c>
      <c r="C291" s="885">
        <v>116.55000999999999</v>
      </c>
      <c r="D291" s="914" t="s">
        <v>2608</v>
      </c>
    </row>
    <row r="292" spans="1:4" s="913" customFormat="1" ht="11.25" customHeight="1" x14ac:dyDescent="0.2">
      <c r="A292" s="1475"/>
      <c r="B292" s="885">
        <v>26.2</v>
      </c>
      <c r="C292" s="885">
        <v>26.2</v>
      </c>
      <c r="D292" s="914" t="s">
        <v>751</v>
      </c>
    </row>
    <row r="293" spans="1:4" s="913" customFormat="1" ht="11.25" customHeight="1" x14ac:dyDescent="0.2">
      <c r="A293" s="1475"/>
      <c r="B293" s="885">
        <v>169.76</v>
      </c>
      <c r="C293" s="885">
        <v>169.75000999999997</v>
      </c>
      <c r="D293" s="914" t="s">
        <v>11</v>
      </c>
    </row>
    <row r="294" spans="1:4" s="913" customFormat="1" ht="11.25" customHeight="1" x14ac:dyDescent="0.2">
      <c r="A294" s="1476" t="s">
        <v>2761</v>
      </c>
      <c r="B294" s="888">
        <v>64.8</v>
      </c>
      <c r="C294" s="888">
        <v>0</v>
      </c>
      <c r="D294" s="912" t="s">
        <v>2733</v>
      </c>
    </row>
    <row r="295" spans="1:4" s="913" customFormat="1" ht="11.25" customHeight="1" x14ac:dyDescent="0.2">
      <c r="A295" s="1475"/>
      <c r="B295" s="885">
        <v>443</v>
      </c>
      <c r="C295" s="885">
        <v>424.15700000000004</v>
      </c>
      <c r="D295" s="914" t="s">
        <v>2752</v>
      </c>
    </row>
    <row r="296" spans="1:4" s="913" customFormat="1" ht="11.25" customHeight="1" x14ac:dyDescent="0.2">
      <c r="A296" s="1475"/>
      <c r="B296" s="885">
        <v>53</v>
      </c>
      <c r="C296" s="885">
        <v>0</v>
      </c>
      <c r="D296" s="914" t="s">
        <v>2736</v>
      </c>
    </row>
    <row r="297" spans="1:4" s="913" customFormat="1" ht="11.25" customHeight="1" x14ac:dyDescent="0.2">
      <c r="A297" s="1477"/>
      <c r="B297" s="887">
        <v>560.79999999999995</v>
      </c>
      <c r="C297" s="887">
        <v>424.15700000000004</v>
      </c>
      <c r="D297" s="915" t="s">
        <v>11</v>
      </c>
    </row>
    <row r="298" spans="1:4" s="913" customFormat="1" ht="11.25" customHeight="1" x14ac:dyDescent="0.2">
      <c r="A298" s="1475" t="s">
        <v>805</v>
      </c>
      <c r="B298" s="885">
        <v>249</v>
      </c>
      <c r="C298" s="885">
        <v>249</v>
      </c>
      <c r="D298" s="914" t="s">
        <v>2735</v>
      </c>
    </row>
    <row r="299" spans="1:4" s="913" customFormat="1" ht="11.25" customHeight="1" x14ac:dyDescent="0.2">
      <c r="A299" s="1475"/>
      <c r="B299" s="885">
        <v>1.2</v>
      </c>
      <c r="C299" s="885">
        <v>1.2</v>
      </c>
      <c r="D299" s="914" t="s">
        <v>751</v>
      </c>
    </row>
    <row r="300" spans="1:4" s="913" customFormat="1" ht="11.25" customHeight="1" x14ac:dyDescent="0.2">
      <c r="A300" s="1475"/>
      <c r="B300" s="885">
        <v>250.2</v>
      </c>
      <c r="C300" s="885">
        <v>250.2</v>
      </c>
      <c r="D300" s="914" t="s">
        <v>11</v>
      </c>
    </row>
    <row r="301" spans="1:4" s="913" customFormat="1" ht="11.25" customHeight="1" x14ac:dyDescent="0.2">
      <c r="A301" s="1476" t="s">
        <v>996</v>
      </c>
      <c r="B301" s="888">
        <v>150</v>
      </c>
      <c r="C301" s="888">
        <v>0</v>
      </c>
      <c r="D301" s="912" t="s">
        <v>2736</v>
      </c>
    </row>
    <row r="302" spans="1:4" s="913" customFormat="1" ht="11.25" customHeight="1" x14ac:dyDescent="0.2">
      <c r="A302" s="1475"/>
      <c r="B302" s="885">
        <v>150</v>
      </c>
      <c r="C302" s="885">
        <v>150</v>
      </c>
      <c r="D302" s="914" t="s">
        <v>978</v>
      </c>
    </row>
    <row r="303" spans="1:4" s="913" customFormat="1" ht="11.25" customHeight="1" x14ac:dyDescent="0.2">
      <c r="A303" s="1477"/>
      <c r="B303" s="887">
        <v>300</v>
      </c>
      <c r="C303" s="887">
        <v>150</v>
      </c>
      <c r="D303" s="915" t="s">
        <v>11</v>
      </c>
    </row>
    <row r="304" spans="1:4" s="913" customFormat="1" ht="11.25" customHeight="1" x14ac:dyDescent="0.2">
      <c r="A304" s="1475" t="s">
        <v>742</v>
      </c>
      <c r="B304" s="885">
        <v>199</v>
      </c>
      <c r="C304" s="885">
        <v>0</v>
      </c>
      <c r="D304" s="914" t="s">
        <v>2736</v>
      </c>
    </row>
    <row r="305" spans="1:4" s="913" customFormat="1" ht="11.25" customHeight="1" x14ac:dyDescent="0.2">
      <c r="A305" s="1475"/>
      <c r="B305" s="885">
        <v>300</v>
      </c>
      <c r="C305" s="885">
        <v>300</v>
      </c>
      <c r="D305" s="914" t="s">
        <v>735</v>
      </c>
    </row>
    <row r="306" spans="1:4" s="913" customFormat="1" ht="11.25" customHeight="1" x14ac:dyDescent="0.2">
      <c r="A306" s="1475"/>
      <c r="B306" s="885">
        <v>15.8</v>
      </c>
      <c r="C306" s="885">
        <v>15.8</v>
      </c>
      <c r="D306" s="914" t="s">
        <v>751</v>
      </c>
    </row>
    <row r="307" spans="1:4" s="913" customFormat="1" ht="11.25" customHeight="1" x14ac:dyDescent="0.2">
      <c r="A307" s="1475"/>
      <c r="B307" s="885">
        <v>190</v>
      </c>
      <c r="C307" s="885">
        <v>190</v>
      </c>
      <c r="D307" s="914" t="s">
        <v>2742</v>
      </c>
    </row>
    <row r="308" spans="1:4" s="913" customFormat="1" ht="11.25" customHeight="1" x14ac:dyDescent="0.2">
      <c r="A308" s="1475"/>
      <c r="B308" s="885">
        <v>704.8</v>
      </c>
      <c r="C308" s="885">
        <v>505.8</v>
      </c>
      <c r="D308" s="914" t="s">
        <v>11</v>
      </c>
    </row>
    <row r="309" spans="1:4" s="913" customFormat="1" ht="11.25" customHeight="1" x14ac:dyDescent="0.2">
      <c r="A309" s="1476" t="s">
        <v>806</v>
      </c>
      <c r="B309" s="888">
        <v>81.83</v>
      </c>
      <c r="C309" s="888">
        <v>68.25</v>
      </c>
      <c r="D309" s="912" t="s">
        <v>2733</v>
      </c>
    </row>
    <row r="310" spans="1:4" s="913" customFormat="1" ht="11.25" customHeight="1" x14ac:dyDescent="0.2">
      <c r="A310" s="1475"/>
      <c r="B310" s="885">
        <v>105</v>
      </c>
      <c r="C310" s="885">
        <v>0</v>
      </c>
      <c r="D310" s="914" t="s">
        <v>2736</v>
      </c>
    </row>
    <row r="311" spans="1:4" s="913" customFormat="1" ht="11.25" customHeight="1" x14ac:dyDescent="0.2">
      <c r="A311" s="1475"/>
      <c r="B311" s="885">
        <v>7.3</v>
      </c>
      <c r="C311" s="885">
        <v>7.3</v>
      </c>
      <c r="D311" s="914" t="s">
        <v>751</v>
      </c>
    </row>
    <row r="312" spans="1:4" s="913" customFormat="1" ht="11.25" customHeight="1" x14ac:dyDescent="0.2">
      <c r="A312" s="1477"/>
      <c r="B312" s="887">
        <v>194.13</v>
      </c>
      <c r="C312" s="887">
        <v>75.55</v>
      </c>
      <c r="D312" s="915" t="s">
        <v>11</v>
      </c>
    </row>
    <row r="313" spans="1:4" s="913" customFormat="1" ht="11.25" customHeight="1" x14ac:dyDescent="0.2">
      <c r="A313" s="1475" t="s">
        <v>807</v>
      </c>
      <c r="B313" s="885">
        <v>1</v>
      </c>
      <c r="C313" s="885">
        <v>1</v>
      </c>
      <c r="D313" s="914" t="s">
        <v>751</v>
      </c>
    </row>
    <row r="314" spans="1:4" s="913" customFormat="1" ht="11.25" customHeight="1" x14ac:dyDescent="0.2">
      <c r="A314" s="1475"/>
      <c r="B314" s="885">
        <v>1</v>
      </c>
      <c r="C314" s="885">
        <v>1</v>
      </c>
      <c r="D314" s="914" t="s">
        <v>11</v>
      </c>
    </row>
    <row r="315" spans="1:4" s="913" customFormat="1" ht="11.25" customHeight="1" x14ac:dyDescent="0.2">
      <c r="A315" s="1476" t="s">
        <v>808</v>
      </c>
      <c r="B315" s="888">
        <v>1.2</v>
      </c>
      <c r="C315" s="888">
        <v>1.2</v>
      </c>
      <c r="D315" s="912" t="s">
        <v>751</v>
      </c>
    </row>
    <row r="316" spans="1:4" s="913" customFormat="1" ht="11.25" customHeight="1" x14ac:dyDescent="0.2">
      <c r="A316" s="1477"/>
      <c r="B316" s="887">
        <v>1.2</v>
      </c>
      <c r="C316" s="887">
        <v>1.2</v>
      </c>
      <c r="D316" s="915" t="s">
        <v>11</v>
      </c>
    </row>
    <row r="317" spans="1:4" s="913" customFormat="1" ht="11.25" customHeight="1" x14ac:dyDescent="0.2">
      <c r="A317" s="1475" t="s">
        <v>2762</v>
      </c>
      <c r="B317" s="885">
        <v>2493</v>
      </c>
      <c r="C317" s="885">
        <v>2132.6388999999999</v>
      </c>
      <c r="D317" s="914" t="s">
        <v>2757</v>
      </c>
    </row>
    <row r="318" spans="1:4" s="913" customFormat="1" ht="11.25" customHeight="1" x14ac:dyDescent="0.2">
      <c r="A318" s="1475"/>
      <c r="B318" s="885">
        <v>30</v>
      </c>
      <c r="C318" s="885">
        <v>30</v>
      </c>
      <c r="D318" s="914" t="s">
        <v>2752</v>
      </c>
    </row>
    <row r="319" spans="1:4" s="913" customFormat="1" ht="11.25" customHeight="1" x14ac:dyDescent="0.2">
      <c r="A319" s="1475"/>
      <c r="B319" s="885">
        <v>2523</v>
      </c>
      <c r="C319" s="885">
        <v>2162.6388999999999</v>
      </c>
      <c r="D319" s="914" t="s">
        <v>11</v>
      </c>
    </row>
    <row r="320" spans="1:4" s="913" customFormat="1" ht="11.25" customHeight="1" x14ac:dyDescent="0.2">
      <c r="A320" s="1476" t="s">
        <v>809</v>
      </c>
      <c r="B320" s="888">
        <v>108</v>
      </c>
      <c r="C320" s="888">
        <v>108</v>
      </c>
      <c r="D320" s="912" t="s">
        <v>2735</v>
      </c>
    </row>
    <row r="321" spans="1:4" s="913" customFormat="1" ht="11.25" customHeight="1" x14ac:dyDescent="0.2">
      <c r="A321" s="1475"/>
      <c r="B321" s="885">
        <v>5.6</v>
      </c>
      <c r="C321" s="885">
        <v>5.6</v>
      </c>
      <c r="D321" s="914" t="s">
        <v>751</v>
      </c>
    </row>
    <row r="322" spans="1:4" s="913" customFormat="1" ht="11.25" customHeight="1" x14ac:dyDescent="0.2">
      <c r="A322" s="1477"/>
      <c r="B322" s="887">
        <v>113.6</v>
      </c>
      <c r="C322" s="887">
        <v>113.6</v>
      </c>
      <c r="D322" s="915" t="s">
        <v>11</v>
      </c>
    </row>
    <row r="323" spans="1:4" s="913" customFormat="1" ht="11.25" customHeight="1" x14ac:dyDescent="0.2">
      <c r="A323" s="1475" t="s">
        <v>810</v>
      </c>
      <c r="B323" s="885">
        <v>196.6</v>
      </c>
      <c r="C323" s="885">
        <v>196.6</v>
      </c>
      <c r="D323" s="914" t="s">
        <v>751</v>
      </c>
    </row>
    <row r="324" spans="1:4" s="913" customFormat="1" ht="11.25" customHeight="1" x14ac:dyDescent="0.2">
      <c r="A324" s="1475"/>
      <c r="B324" s="885">
        <v>196.6</v>
      </c>
      <c r="C324" s="885">
        <v>196.6</v>
      </c>
      <c r="D324" s="914" t="s">
        <v>11</v>
      </c>
    </row>
    <row r="325" spans="1:4" s="913" customFormat="1" ht="11.25" customHeight="1" x14ac:dyDescent="0.2">
      <c r="A325" s="1476" t="s">
        <v>811</v>
      </c>
      <c r="B325" s="888">
        <v>2.8</v>
      </c>
      <c r="C325" s="888">
        <v>2.8</v>
      </c>
      <c r="D325" s="912" t="s">
        <v>751</v>
      </c>
    </row>
    <row r="326" spans="1:4" s="913" customFormat="1" ht="11.25" customHeight="1" x14ac:dyDescent="0.2">
      <c r="A326" s="1477"/>
      <c r="B326" s="887">
        <v>2.8</v>
      </c>
      <c r="C326" s="887">
        <v>2.8</v>
      </c>
      <c r="D326" s="915" t="s">
        <v>11</v>
      </c>
    </row>
    <row r="327" spans="1:4" s="913" customFormat="1" ht="11.25" customHeight="1" x14ac:dyDescent="0.2">
      <c r="A327" s="1476" t="s">
        <v>2763</v>
      </c>
      <c r="B327" s="888">
        <v>150</v>
      </c>
      <c r="C327" s="888">
        <v>150</v>
      </c>
      <c r="D327" s="912" t="s">
        <v>2752</v>
      </c>
    </row>
    <row r="328" spans="1:4" s="913" customFormat="1" ht="11.25" customHeight="1" x14ac:dyDescent="0.2">
      <c r="A328" s="1477"/>
      <c r="B328" s="887">
        <v>150</v>
      </c>
      <c r="C328" s="887">
        <v>150</v>
      </c>
      <c r="D328" s="915" t="s">
        <v>11</v>
      </c>
    </row>
    <row r="329" spans="1:4" s="913" customFormat="1" ht="11.25" customHeight="1" x14ac:dyDescent="0.2">
      <c r="A329" s="1476" t="s">
        <v>812</v>
      </c>
      <c r="B329" s="888">
        <v>8.1999999999999993</v>
      </c>
      <c r="C329" s="888">
        <v>8.1999999999999993</v>
      </c>
      <c r="D329" s="912" t="s">
        <v>751</v>
      </c>
    </row>
    <row r="330" spans="1:4" s="913" customFormat="1" ht="11.25" customHeight="1" x14ac:dyDescent="0.2">
      <c r="A330" s="1477"/>
      <c r="B330" s="887">
        <v>8.1999999999999993</v>
      </c>
      <c r="C330" s="887">
        <v>8.1999999999999993</v>
      </c>
      <c r="D330" s="915" t="s">
        <v>11</v>
      </c>
    </row>
    <row r="331" spans="1:4" s="913" customFormat="1" ht="11.25" customHeight="1" x14ac:dyDescent="0.2">
      <c r="A331" s="1475" t="s">
        <v>813</v>
      </c>
      <c r="B331" s="885">
        <v>128.9</v>
      </c>
      <c r="C331" s="885">
        <v>128.9</v>
      </c>
      <c r="D331" s="914" t="s">
        <v>2733</v>
      </c>
    </row>
    <row r="332" spans="1:4" s="913" customFormat="1" ht="11.25" customHeight="1" x14ac:dyDescent="0.2">
      <c r="A332" s="1475"/>
      <c r="B332" s="885">
        <v>195</v>
      </c>
      <c r="C332" s="885">
        <v>0</v>
      </c>
      <c r="D332" s="914" t="s">
        <v>2736</v>
      </c>
    </row>
    <row r="333" spans="1:4" s="913" customFormat="1" ht="11.25" customHeight="1" x14ac:dyDescent="0.2">
      <c r="A333" s="1475"/>
      <c r="B333" s="885">
        <v>186.5</v>
      </c>
      <c r="C333" s="885">
        <v>186.5</v>
      </c>
      <c r="D333" s="914" t="s">
        <v>751</v>
      </c>
    </row>
    <row r="334" spans="1:4" s="913" customFormat="1" ht="11.25" customHeight="1" x14ac:dyDescent="0.2">
      <c r="A334" s="1475"/>
      <c r="B334" s="885">
        <v>510.4</v>
      </c>
      <c r="C334" s="885">
        <v>315.39999999999998</v>
      </c>
      <c r="D334" s="914" t="s">
        <v>11</v>
      </c>
    </row>
    <row r="335" spans="1:4" s="913" customFormat="1" ht="11.25" customHeight="1" x14ac:dyDescent="0.2">
      <c r="A335" s="1476" t="s">
        <v>814</v>
      </c>
      <c r="B335" s="888">
        <v>17.66</v>
      </c>
      <c r="C335" s="888">
        <v>16.309999999999999</v>
      </c>
      <c r="D335" s="912" t="s">
        <v>2733</v>
      </c>
    </row>
    <row r="336" spans="1:4" s="913" customFormat="1" ht="11.25" customHeight="1" x14ac:dyDescent="0.2">
      <c r="A336" s="1475"/>
      <c r="B336" s="885">
        <v>6807</v>
      </c>
      <c r="C336" s="885">
        <v>6807</v>
      </c>
      <c r="D336" s="914" t="s">
        <v>2735</v>
      </c>
    </row>
    <row r="337" spans="1:4" s="913" customFormat="1" ht="11.25" customHeight="1" x14ac:dyDescent="0.2">
      <c r="A337" s="1475"/>
      <c r="B337" s="885">
        <v>4.8</v>
      </c>
      <c r="C337" s="885">
        <v>4.8</v>
      </c>
      <c r="D337" s="914" t="s">
        <v>751</v>
      </c>
    </row>
    <row r="338" spans="1:4" s="913" customFormat="1" ht="11.25" customHeight="1" x14ac:dyDescent="0.2">
      <c r="A338" s="1477"/>
      <c r="B338" s="887">
        <v>6829.46</v>
      </c>
      <c r="C338" s="887">
        <v>6828.1100000000006</v>
      </c>
      <c r="D338" s="915" t="s">
        <v>11</v>
      </c>
    </row>
    <row r="339" spans="1:4" s="913" customFormat="1" ht="11.25" customHeight="1" x14ac:dyDescent="0.2">
      <c r="A339" s="1475" t="s">
        <v>2764</v>
      </c>
      <c r="B339" s="885">
        <v>57.36</v>
      </c>
      <c r="C339" s="885">
        <v>35.67</v>
      </c>
      <c r="D339" s="914" t="s">
        <v>2733</v>
      </c>
    </row>
    <row r="340" spans="1:4" s="913" customFormat="1" ht="11.25" customHeight="1" x14ac:dyDescent="0.2">
      <c r="A340" s="1475"/>
      <c r="B340" s="885">
        <v>57.36</v>
      </c>
      <c r="C340" s="885">
        <v>35.67</v>
      </c>
      <c r="D340" s="914" t="s">
        <v>11</v>
      </c>
    </row>
    <row r="341" spans="1:4" s="913" customFormat="1" ht="11.25" customHeight="1" x14ac:dyDescent="0.2">
      <c r="A341" s="1476" t="s">
        <v>815</v>
      </c>
      <c r="B341" s="888">
        <v>1</v>
      </c>
      <c r="C341" s="888">
        <v>0</v>
      </c>
      <c r="D341" s="912" t="s">
        <v>751</v>
      </c>
    </row>
    <row r="342" spans="1:4" s="913" customFormat="1" ht="11.25" customHeight="1" x14ac:dyDescent="0.2">
      <c r="A342" s="1477"/>
      <c r="B342" s="887">
        <v>1</v>
      </c>
      <c r="C342" s="887">
        <v>0</v>
      </c>
      <c r="D342" s="915" t="s">
        <v>11</v>
      </c>
    </row>
    <row r="343" spans="1:4" s="913" customFormat="1" ht="11.25" customHeight="1" x14ac:dyDescent="0.2">
      <c r="A343" s="1475" t="s">
        <v>816</v>
      </c>
      <c r="B343" s="885">
        <v>250</v>
      </c>
      <c r="C343" s="885">
        <v>250</v>
      </c>
      <c r="D343" s="914" t="s">
        <v>2752</v>
      </c>
    </row>
    <row r="344" spans="1:4" s="913" customFormat="1" ht="11.25" customHeight="1" x14ac:dyDescent="0.2">
      <c r="A344" s="1475"/>
      <c r="B344" s="885">
        <v>1.2</v>
      </c>
      <c r="C344" s="885">
        <v>1.2</v>
      </c>
      <c r="D344" s="914" t="s">
        <v>751</v>
      </c>
    </row>
    <row r="345" spans="1:4" s="913" customFormat="1" ht="11.25" customHeight="1" x14ac:dyDescent="0.2">
      <c r="A345" s="1475"/>
      <c r="B345" s="885">
        <v>40</v>
      </c>
      <c r="C345" s="885">
        <v>40</v>
      </c>
      <c r="D345" s="914" t="s">
        <v>934</v>
      </c>
    </row>
    <row r="346" spans="1:4" s="913" customFormat="1" ht="11.25" customHeight="1" x14ac:dyDescent="0.2">
      <c r="A346" s="1475"/>
      <c r="B346" s="885">
        <v>291.2</v>
      </c>
      <c r="C346" s="885">
        <v>291.2</v>
      </c>
      <c r="D346" s="914" t="s">
        <v>11</v>
      </c>
    </row>
    <row r="347" spans="1:4" s="913" customFormat="1" ht="11.25" customHeight="1" x14ac:dyDescent="0.2">
      <c r="A347" s="1476" t="s">
        <v>817</v>
      </c>
      <c r="B347" s="888">
        <v>250</v>
      </c>
      <c r="C347" s="888">
        <v>250</v>
      </c>
      <c r="D347" s="912" t="s">
        <v>2752</v>
      </c>
    </row>
    <row r="348" spans="1:4" s="913" customFormat="1" ht="11.25" customHeight="1" x14ac:dyDescent="0.2">
      <c r="A348" s="1475"/>
      <c r="B348" s="885">
        <v>1.2</v>
      </c>
      <c r="C348" s="885">
        <v>1.2</v>
      </c>
      <c r="D348" s="914" t="s">
        <v>751</v>
      </c>
    </row>
    <row r="349" spans="1:4" s="913" customFormat="1" ht="11.25" customHeight="1" x14ac:dyDescent="0.2">
      <c r="A349" s="1475"/>
      <c r="B349" s="885">
        <v>150</v>
      </c>
      <c r="C349" s="885">
        <v>150</v>
      </c>
      <c r="D349" s="914" t="s">
        <v>2765</v>
      </c>
    </row>
    <row r="350" spans="1:4" s="913" customFormat="1" ht="11.25" customHeight="1" x14ac:dyDescent="0.2">
      <c r="A350" s="1477"/>
      <c r="B350" s="887">
        <v>401.2</v>
      </c>
      <c r="C350" s="887">
        <v>401.2</v>
      </c>
      <c r="D350" s="915" t="s">
        <v>11</v>
      </c>
    </row>
    <row r="351" spans="1:4" s="913" customFormat="1" ht="11.25" customHeight="1" x14ac:dyDescent="0.2">
      <c r="A351" s="1475" t="s">
        <v>2766</v>
      </c>
      <c r="B351" s="885">
        <v>119.7</v>
      </c>
      <c r="C351" s="885">
        <v>119.7</v>
      </c>
      <c r="D351" s="914" t="s">
        <v>2752</v>
      </c>
    </row>
    <row r="352" spans="1:4" s="913" customFormat="1" ht="11.25" customHeight="1" x14ac:dyDescent="0.2">
      <c r="A352" s="1475"/>
      <c r="B352" s="885">
        <v>277</v>
      </c>
      <c r="C352" s="885">
        <v>0</v>
      </c>
      <c r="D352" s="914" t="s">
        <v>2736</v>
      </c>
    </row>
    <row r="353" spans="1:4" s="913" customFormat="1" ht="11.25" customHeight="1" x14ac:dyDescent="0.2">
      <c r="A353" s="1475"/>
      <c r="B353" s="885">
        <v>396.7</v>
      </c>
      <c r="C353" s="885">
        <v>119.7</v>
      </c>
      <c r="D353" s="914" t="s">
        <v>11</v>
      </c>
    </row>
    <row r="354" spans="1:4" s="913" customFormat="1" ht="11.25" customHeight="1" x14ac:dyDescent="0.2">
      <c r="A354" s="1476" t="s">
        <v>818</v>
      </c>
      <c r="B354" s="888">
        <v>32.99</v>
      </c>
      <c r="C354" s="888">
        <v>26.686</v>
      </c>
      <c r="D354" s="912" t="s">
        <v>2733</v>
      </c>
    </row>
    <row r="355" spans="1:4" s="913" customFormat="1" ht="11.25" customHeight="1" x14ac:dyDescent="0.2">
      <c r="A355" s="1475"/>
      <c r="B355" s="885">
        <v>2.8</v>
      </c>
      <c r="C355" s="885">
        <v>2.8</v>
      </c>
      <c r="D355" s="914" t="s">
        <v>751</v>
      </c>
    </row>
    <row r="356" spans="1:4" s="913" customFormat="1" ht="11.25" customHeight="1" x14ac:dyDescent="0.2">
      <c r="A356" s="1477"/>
      <c r="B356" s="887">
        <v>35.79</v>
      </c>
      <c r="C356" s="887">
        <v>29.486000000000001</v>
      </c>
      <c r="D356" s="915" t="s">
        <v>11</v>
      </c>
    </row>
    <row r="357" spans="1:4" s="913" customFormat="1" ht="11.25" customHeight="1" x14ac:dyDescent="0.2">
      <c r="A357" s="1475" t="s">
        <v>819</v>
      </c>
      <c r="B357" s="885">
        <v>1.6</v>
      </c>
      <c r="C357" s="885">
        <v>1.6</v>
      </c>
      <c r="D357" s="914" t="s">
        <v>751</v>
      </c>
    </row>
    <row r="358" spans="1:4" s="913" customFormat="1" ht="11.25" customHeight="1" x14ac:dyDescent="0.2">
      <c r="A358" s="1475"/>
      <c r="B358" s="885">
        <v>1.6</v>
      </c>
      <c r="C358" s="885">
        <v>1.6</v>
      </c>
      <c r="D358" s="914" t="s">
        <v>11</v>
      </c>
    </row>
    <row r="359" spans="1:4" s="913" customFormat="1" ht="11.25" customHeight="1" x14ac:dyDescent="0.2">
      <c r="A359" s="1476" t="s">
        <v>2767</v>
      </c>
      <c r="B359" s="888">
        <v>260</v>
      </c>
      <c r="C359" s="888">
        <v>0</v>
      </c>
      <c r="D359" s="912" t="s">
        <v>2736</v>
      </c>
    </row>
    <row r="360" spans="1:4" s="913" customFormat="1" ht="11.25" customHeight="1" x14ac:dyDescent="0.2">
      <c r="A360" s="1475"/>
      <c r="B360" s="885">
        <v>58.91</v>
      </c>
      <c r="C360" s="885">
        <v>58.884969999999996</v>
      </c>
      <c r="D360" s="914" t="s">
        <v>2608</v>
      </c>
    </row>
    <row r="361" spans="1:4" s="913" customFormat="1" ht="11.25" customHeight="1" x14ac:dyDescent="0.2">
      <c r="A361" s="1477"/>
      <c r="B361" s="887">
        <v>318.90999999999997</v>
      </c>
      <c r="C361" s="887">
        <v>58.884969999999996</v>
      </c>
      <c r="D361" s="915" t="s">
        <v>11</v>
      </c>
    </row>
    <row r="362" spans="1:4" s="913" customFormat="1" ht="11.25" customHeight="1" x14ac:dyDescent="0.2">
      <c r="A362" s="1475" t="s">
        <v>820</v>
      </c>
      <c r="B362" s="885">
        <v>500</v>
      </c>
      <c r="C362" s="885">
        <v>0</v>
      </c>
      <c r="D362" s="914" t="s">
        <v>2736</v>
      </c>
    </row>
    <row r="363" spans="1:4" s="913" customFormat="1" ht="11.25" customHeight="1" x14ac:dyDescent="0.2">
      <c r="A363" s="1475"/>
      <c r="B363" s="885">
        <v>5.7</v>
      </c>
      <c r="C363" s="885">
        <v>5.7</v>
      </c>
      <c r="D363" s="914" t="s">
        <v>751</v>
      </c>
    </row>
    <row r="364" spans="1:4" s="913" customFormat="1" ht="11.25" customHeight="1" x14ac:dyDescent="0.2">
      <c r="A364" s="1475"/>
      <c r="B364" s="885">
        <v>505.7</v>
      </c>
      <c r="C364" s="885">
        <v>5.7</v>
      </c>
      <c r="D364" s="914" t="s">
        <v>11</v>
      </c>
    </row>
    <row r="365" spans="1:4" s="913" customFormat="1" ht="11.25" customHeight="1" x14ac:dyDescent="0.2">
      <c r="A365" s="1476" t="s">
        <v>821</v>
      </c>
      <c r="B365" s="888">
        <v>8</v>
      </c>
      <c r="C365" s="888">
        <v>8</v>
      </c>
      <c r="D365" s="912" t="s">
        <v>751</v>
      </c>
    </row>
    <row r="366" spans="1:4" s="913" customFormat="1" ht="11.25" customHeight="1" x14ac:dyDescent="0.2">
      <c r="A366" s="1475"/>
      <c r="B366" s="885">
        <v>503</v>
      </c>
      <c r="C366" s="885">
        <v>503</v>
      </c>
      <c r="D366" s="914" t="s">
        <v>2742</v>
      </c>
    </row>
    <row r="367" spans="1:4" s="913" customFormat="1" ht="11.25" customHeight="1" x14ac:dyDescent="0.2">
      <c r="A367" s="1477"/>
      <c r="B367" s="887">
        <v>511</v>
      </c>
      <c r="C367" s="887">
        <v>511</v>
      </c>
      <c r="D367" s="915" t="s">
        <v>11</v>
      </c>
    </row>
    <row r="368" spans="1:4" s="913" customFormat="1" ht="11.25" customHeight="1" x14ac:dyDescent="0.2">
      <c r="A368" s="1475" t="s">
        <v>2768</v>
      </c>
      <c r="B368" s="885">
        <v>188.5</v>
      </c>
      <c r="C368" s="885">
        <v>188.5</v>
      </c>
      <c r="D368" s="914" t="s">
        <v>2743</v>
      </c>
    </row>
    <row r="369" spans="1:4" s="913" customFormat="1" ht="11.25" customHeight="1" x14ac:dyDescent="0.2">
      <c r="A369" s="1475"/>
      <c r="B369" s="885">
        <v>188.5</v>
      </c>
      <c r="C369" s="885">
        <v>188.5</v>
      </c>
      <c r="D369" s="914" t="s">
        <v>11</v>
      </c>
    </row>
    <row r="370" spans="1:4" s="913" customFormat="1" ht="11.25" customHeight="1" x14ac:dyDescent="0.2">
      <c r="A370" s="1476" t="s">
        <v>743</v>
      </c>
      <c r="B370" s="888">
        <v>249</v>
      </c>
      <c r="C370" s="888">
        <v>0</v>
      </c>
      <c r="D370" s="912" t="s">
        <v>2736</v>
      </c>
    </row>
    <row r="371" spans="1:4" s="913" customFormat="1" ht="11.25" customHeight="1" x14ac:dyDescent="0.2">
      <c r="A371" s="1475"/>
      <c r="B371" s="885">
        <v>300</v>
      </c>
      <c r="C371" s="885">
        <v>300</v>
      </c>
      <c r="D371" s="914" t="s">
        <v>735</v>
      </c>
    </row>
    <row r="372" spans="1:4" s="913" customFormat="1" ht="11.25" customHeight="1" x14ac:dyDescent="0.2">
      <c r="A372" s="1475"/>
      <c r="B372" s="885">
        <v>1</v>
      </c>
      <c r="C372" s="885">
        <v>1</v>
      </c>
      <c r="D372" s="914" t="s">
        <v>751</v>
      </c>
    </row>
    <row r="373" spans="1:4" s="913" customFormat="1" ht="11.25" customHeight="1" x14ac:dyDescent="0.2">
      <c r="A373" s="1477"/>
      <c r="B373" s="887">
        <v>550</v>
      </c>
      <c r="C373" s="887">
        <v>301</v>
      </c>
      <c r="D373" s="915" t="s">
        <v>11</v>
      </c>
    </row>
    <row r="374" spans="1:4" s="913" customFormat="1" ht="11.25" customHeight="1" x14ac:dyDescent="0.2">
      <c r="A374" s="1476" t="s">
        <v>822</v>
      </c>
      <c r="B374" s="888">
        <v>4.4000000000000004</v>
      </c>
      <c r="C374" s="888">
        <v>4.4000000000000004</v>
      </c>
      <c r="D374" s="912" t="s">
        <v>751</v>
      </c>
    </row>
    <row r="375" spans="1:4" s="913" customFormat="1" ht="11.25" customHeight="1" x14ac:dyDescent="0.2">
      <c r="A375" s="1477"/>
      <c r="B375" s="887">
        <v>4.4000000000000004</v>
      </c>
      <c r="C375" s="887">
        <v>4.4000000000000004</v>
      </c>
      <c r="D375" s="915" t="s">
        <v>11</v>
      </c>
    </row>
    <row r="376" spans="1:4" s="913" customFormat="1" ht="11.25" customHeight="1" x14ac:dyDescent="0.2">
      <c r="A376" s="1476" t="s">
        <v>2769</v>
      </c>
      <c r="B376" s="888">
        <v>184.98</v>
      </c>
      <c r="C376" s="888">
        <v>184.98263</v>
      </c>
      <c r="D376" s="912" t="s">
        <v>2752</v>
      </c>
    </row>
    <row r="377" spans="1:4" s="913" customFormat="1" ht="11.25" customHeight="1" x14ac:dyDescent="0.2">
      <c r="A377" s="1477"/>
      <c r="B377" s="887">
        <v>184.98</v>
      </c>
      <c r="C377" s="887">
        <v>184.98263</v>
      </c>
      <c r="D377" s="915" t="s">
        <v>11</v>
      </c>
    </row>
    <row r="378" spans="1:4" s="913" customFormat="1" ht="11.25" customHeight="1" x14ac:dyDescent="0.2">
      <c r="A378" s="1475" t="s">
        <v>823</v>
      </c>
      <c r="B378" s="885">
        <v>495</v>
      </c>
      <c r="C378" s="885">
        <v>0</v>
      </c>
      <c r="D378" s="914" t="s">
        <v>2736</v>
      </c>
    </row>
    <row r="379" spans="1:4" s="913" customFormat="1" ht="11.25" customHeight="1" x14ac:dyDescent="0.2">
      <c r="A379" s="1475"/>
      <c r="B379" s="885">
        <v>8</v>
      </c>
      <c r="C379" s="885">
        <v>8</v>
      </c>
      <c r="D379" s="914" t="s">
        <v>751</v>
      </c>
    </row>
    <row r="380" spans="1:4" s="913" customFormat="1" ht="11.25" customHeight="1" x14ac:dyDescent="0.2">
      <c r="A380" s="1475"/>
      <c r="B380" s="885">
        <v>503</v>
      </c>
      <c r="C380" s="885">
        <v>8</v>
      </c>
      <c r="D380" s="914" t="s">
        <v>11</v>
      </c>
    </row>
    <row r="381" spans="1:4" s="913" customFormat="1" ht="11.25" customHeight="1" x14ac:dyDescent="0.2">
      <c r="A381" s="1476" t="s">
        <v>824</v>
      </c>
      <c r="B381" s="888">
        <v>498</v>
      </c>
      <c r="C381" s="888">
        <v>0</v>
      </c>
      <c r="D381" s="912" t="s">
        <v>2736</v>
      </c>
    </row>
    <row r="382" spans="1:4" s="913" customFormat="1" ht="11.25" customHeight="1" x14ac:dyDescent="0.2">
      <c r="A382" s="1475"/>
      <c r="B382" s="885">
        <v>66.849999999999994</v>
      </c>
      <c r="C382" s="885">
        <v>66.849999999999994</v>
      </c>
      <c r="D382" s="914" t="s">
        <v>2770</v>
      </c>
    </row>
    <row r="383" spans="1:4" s="913" customFormat="1" ht="11.25" customHeight="1" x14ac:dyDescent="0.2">
      <c r="A383" s="1475"/>
      <c r="B383" s="885">
        <v>173.4</v>
      </c>
      <c r="C383" s="885">
        <v>173.4</v>
      </c>
      <c r="D383" s="914" t="s">
        <v>751</v>
      </c>
    </row>
    <row r="384" spans="1:4" s="913" customFormat="1" ht="11.25" customHeight="1" x14ac:dyDescent="0.2">
      <c r="A384" s="1477"/>
      <c r="B384" s="887">
        <v>738.25</v>
      </c>
      <c r="C384" s="887">
        <v>240.25</v>
      </c>
      <c r="D384" s="915" t="s">
        <v>11</v>
      </c>
    </row>
    <row r="385" spans="1:4" s="913" customFormat="1" ht="11.25" customHeight="1" x14ac:dyDescent="0.2">
      <c r="A385" s="1475" t="s">
        <v>825</v>
      </c>
      <c r="B385" s="885">
        <v>2.1</v>
      </c>
      <c r="C385" s="885">
        <v>2.1</v>
      </c>
      <c r="D385" s="914" t="s">
        <v>751</v>
      </c>
    </row>
    <row r="386" spans="1:4" s="913" customFormat="1" ht="11.25" customHeight="1" x14ac:dyDescent="0.2">
      <c r="A386" s="1475"/>
      <c r="B386" s="885">
        <v>2.1</v>
      </c>
      <c r="C386" s="885">
        <v>2.1</v>
      </c>
      <c r="D386" s="914" t="s">
        <v>11</v>
      </c>
    </row>
    <row r="387" spans="1:4" s="913" customFormat="1" ht="11.25" customHeight="1" x14ac:dyDescent="0.2">
      <c r="A387" s="1476" t="s">
        <v>2771</v>
      </c>
      <c r="B387" s="888">
        <v>164.6</v>
      </c>
      <c r="C387" s="888">
        <v>0</v>
      </c>
      <c r="D387" s="912" t="s">
        <v>2733</v>
      </c>
    </row>
    <row r="388" spans="1:4" s="913" customFormat="1" ht="11.25" customHeight="1" x14ac:dyDescent="0.2">
      <c r="A388" s="1477"/>
      <c r="B388" s="887">
        <v>164.6</v>
      </c>
      <c r="C388" s="887">
        <v>0</v>
      </c>
      <c r="D388" s="915" t="s">
        <v>11</v>
      </c>
    </row>
    <row r="389" spans="1:4" s="913" customFormat="1" ht="11.25" customHeight="1" x14ac:dyDescent="0.2">
      <c r="A389" s="1475" t="s">
        <v>2772</v>
      </c>
      <c r="B389" s="885">
        <v>500</v>
      </c>
      <c r="C389" s="885">
        <v>0</v>
      </c>
      <c r="D389" s="914" t="s">
        <v>2736</v>
      </c>
    </row>
    <row r="390" spans="1:4" s="913" customFormat="1" ht="11.25" customHeight="1" x14ac:dyDescent="0.2">
      <c r="A390" s="1475"/>
      <c r="B390" s="885">
        <v>500</v>
      </c>
      <c r="C390" s="885">
        <v>0</v>
      </c>
      <c r="D390" s="914" t="s">
        <v>11</v>
      </c>
    </row>
    <row r="391" spans="1:4" s="913" customFormat="1" ht="11.25" customHeight="1" x14ac:dyDescent="0.2">
      <c r="A391" s="1476" t="s">
        <v>2773</v>
      </c>
      <c r="B391" s="888">
        <v>756.92</v>
      </c>
      <c r="C391" s="888">
        <v>71.617000000000004</v>
      </c>
      <c r="D391" s="912" t="s">
        <v>2757</v>
      </c>
    </row>
    <row r="392" spans="1:4" s="913" customFormat="1" ht="11.25" customHeight="1" x14ac:dyDescent="0.2">
      <c r="A392" s="1475"/>
      <c r="B392" s="885">
        <v>58.54</v>
      </c>
      <c r="C392" s="885">
        <v>58.534999999999997</v>
      </c>
      <c r="D392" s="914" t="s">
        <v>2743</v>
      </c>
    </row>
    <row r="393" spans="1:4" s="913" customFormat="1" ht="11.25" customHeight="1" x14ac:dyDescent="0.2">
      <c r="A393" s="1477"/>
      <c r="B393" s="887">
        <v>815.45999999999992</v>
      </c>
      <c r="C393" s="887">
        <v>130.15199999999999</v>
      </c>
      <c r="D393" s="915" t="s">
        <v>11</v>
      </c>
    </row>
    <row r="394" spans="1:4" s="913" customFormat="1" ht="11.25" customHeight="1" x14ac:dyDescent="0.2">
      <c r="A394" s="1475" t="s">
        <v>724</v>
      </c>
      <c r="B394" s="885">
        <v>205.93</v>
      </c>
      <c r="C394" s="885">
        <v>205.92500000000001</v>
      </c>
      <c r="D394" s="914" t="s">
        <v>2752</v>
      </c>
    </row>
    <row r="395" spans="1:4" s="913" customFormat="1" ht="11.25" customHeight="1" x14ac:dyDescent="0.2">
      <c r="A395" s="1475"/>
      <c r="B395" s="885">
        <v>2059</v>
      </c>
      <c r="C395" s="885">
        <v>2059</v>
      </c>
      <c r="D395" s="914" t="s">
        <v>2735</v>
      </c>
    </row>
    <row r="396" spans="1:4" s="913" customFormat="1" ht="11.25" customHeight="1" x14ac:dyDescent="0.2">
      <c r="A396" s="1475"/>
      <c r="B396" s="885">
        <v>4000</v>
      </c>
      <c r="C396" s="885">
        <v>0</v>
      </c>
      <c r="D396" s="914" t="s">
        <v>722</v>
      </c>
    </row>
    <row r="397" spans="1:4" s="913" customFormat="1" ht="11.25" customHeight="1" x14ac:dyDescent="0.2">
      <c r="A397" s="1475"/>
      <c r="B397" s="885">
        <v>2.6</v>
      </c>
      <c r="C397" s="885">
        <v>2.6</v>
      </c>
      <c r="D397" s="914" t="s">
        <v>751</v>
      </c>
    </row>
    <row r="398" spans="1:4" s="913" customFormat="1" ht="11.25" customHeight="1" x14ac:dyDescent="0.2">
      <c r="A398" s="1475"/>
      <c r="B398" s="885">
        <v>6267.5300000000007</v>
      </c>
      <c r="C398" s="885">
        <v>2267.5250000000001</v>
      </c>
      <c r="D398" s="914" t="s">
        <v>11</v>
      </c>
    </row>
    <row r="399" spans="1:4" s="913" customFormat="1" ht="11.25" customHeight="1" x14ac:dyDescent="0.2">
      <c r="A399" s="1476" t="s">
        <v>744</v>
      </c>
      <c r="B399" s="888">
        <v>29.16</v>
      </c>
      <c r="C399" s="888">
        <v>29.16</v>
      </c>
      <c r="D399" s="912" t="s">
        <v>2733</v>
      </c>
    </row>
    <row r="400" spans="1:4" s="913" customFormat="1" ht="11.25" customHeight="1" x14ac:dyDescent="0.2">
      <c r="A400" s="1475"/>
      <c r="B400" s="885">
        <v>250</v>
      </c>
      <c r="C400" s="885">
        <v>250</v>
      </c>
      <c r="D400" s="914" t="s">
        <v>2752</v>
      </c>
    </row>
    <row r="401" spans="1:4" s="913" customFormat="1" ht="11.25" customHeight="1" x14ac:dyDescent="0.2">
      <c r="A401" s="1475"/>
      <c r="B401" s="885">
        <v>230</v>
      </c>
      <c r="C401" s="885">
        <v>0</v>
      </c>
      <c r="D401" s="914" t="s">
        <v>2736</v>
      </c>
    </row>
    <row r="402" spans="1:4" s="913" customFormat="1" ht="11.25" customHeight="1" x14ac:dyDescent="0.2">
      <c r="A402" s="1475"/>
      <c r="B402" s="885">
        <v>100</v>
      </c>
      <c r="C402" s="885">
        <v>100</v>
      </c>
      <c r="D402" s="914" t="s">
        <v>735</v>
      </c>
    </row>
    <row r="403" spans="1:4" s="913" customFormat="1" ht="11.25" customHeight="1" x14ac:dyDescent="0.2">
      <c r="A403" s="1477"/>
      <c r="B403" s="887">
        <v>609.16000000000008</v>
      </c>
      <c r="C403" s="887">
        <v>379.16</v>
      </c>
      <c r="D403" s="915" t="s">
        <v>11</v>
      </c>
    </row>
    <row r="404" spans="1:4" s="913" customFormat="1" ht="11.25" customHeight="1" x14ac:dyDescent="0.2">
      <c r="A404" s="1475" t="s">
        <v>2774</v>
      </c>
      <c r="B404" s="885">
        <v>75</v>
      </c>
      <c r="C404" s="885">
        <v>0</v>
      </c>
      <c r="D404" s="914" t="s">
        <v>2752</v>
      </c>
    </row>
    <row r="405" spans="1:4" s="913" customFormat="1" ht="11.25" customHeight="1" x14ac:dyDescent="0.2">
      <c r="A405" s="1475"/>
      <c r="B405" s="885">
        <v>75</v>
      </c>
      <c r="C405" s="885">
        <v>0</v>
      </c>
      <c r="D405" s="914" t="s">
        <v>11</v>
      </c>
    </row>
    <row r="406" spans="1:4" s="913" customFormat="1" ht="11.25" customHeight="1" x14ac:dyDescent="0.2">
      <c r="A406" s="1476" t="s">
        <v>936</v>
      </c>
      <c r="B406" s="888">
        <v>94.5</v>
      </c>
      <c r="C406" s="888">
        <v>94.5</v>
      </c>
      <c r="D406" s="912" t="s">
        <v>2733</v>
      </c>
    </row>
    <row r="407" spans="1:4" s="913" customFormat="1" ht="11.25" customHeight="1" x14ac:dyDescent="0.2">
      <c r="A407" s="1475"/>
      <c r="B407" s="885">
        <v>145</v>
      </c>
      <c r="C407" s="885">
        <v>0</v>
      </c>
      <c r="D407" s="914" t="s">
        <v>2736</v>
      </c>
    </row>
    <row r="408" spans="1:4" s="913" customFormat="1" ht="11.25" customHeight="1" x14ac:dyDescent="0.2">
      <c r="A408" s="1475"/>
      <c r="B408" s="885">
        <v>40</v>
      </c>
      <c r="C408" s="885">
        <v>39.927999999999997</v>
      </c>
      <c r="D408" s="914" t="s">
        <v>934</v>
      </c>
    </row>
    <row r="409" spans="1:4" s="913" customFormat="1" ht="11.25" customHeight="1" x14ac:dyDescent="0.2">
      <c r="A409" s="1477"/>
      <c r="B409" s="887">
        <v>279.5</v>
      </c>
      <c r="C409" s="887">
        <v>134.428</v>
      </c>
      <c r="D409" s="915" t="s">
        <v>11</v>
      </c>
    </row>
    <row r="410" spans="1:4" s="913" customFormat="1" ht="11.25" customHeight="1" x14ac:dyDescent="0.2">
      <c r="A410" s="1475" t="s">
        <v>2775</v>
      </c>
      <c r="B410" s="885">
        <v>250</v>
      </c>
      <c r="C410" s="885">
        <v>125</v>
      </c>
      <c r="D410" s="914" t="s">
        <v>2752</v>
      </c>
    </row>
    <row r="411" spans="1:4" s="913" customFormat="1" ht="11.25" customHeight="1" x14ac:dyDescent="0.2">
      <c r="A411" s="1475"/>
      <c r="B411" s="885">
        <v>148</v>
      </c>
      <c r="C411" s="885">
        <v>0</v>
      </c>
      <c r="D411" s="914" t="s">
        <v>2736</v>
      </c>
    </row>
    <row r="412" spans="1:4" s="913" customFormat="1" ht="11.25" customHeight="1" x14ac:dyDescent="0.2">
      <c r="A412" s="1475"/>
      <c r="B412" s="885">
        <v>398</v>
      </c>
      <c r="C412" s="885">
        <v>125</v>
      </c>
      <c r="D412" s="914" t="s">
        <v>11</v>
      </c>
    </row>
    <row r="413" spans="1:4" s="913" customFormat="1" ht="11.25" customHeight="1" x14ac:dyDescent="0.2">
      <c r="A413" s="1476" t="s">
        <v>826</v>
      </c>
      <c r="B413" s="888">
        <v>500</v>
      </c>
      <c r="C413" s="888">
        <v>500</v>
      </c>
      <c r="D413" s="912" t="s">
        <v>2752</v>
      </c>
    </row>
    <row r="414" spans="1:4" s="913" customFormat="1" ht="11.25" customHeight="1" x14ac:dyDescent="0.2">
      <c r="A414" s="1475"/>
      <c r="B414" s="885">
        <v>3.2</v>
      </c>
      <c r="C414" s="885">
        <v>3.2</v>
      </c>
      <c r="D414" s="914" t="s">
        <v>751</v>
      </c>
    </row>
    <row r="415" spans="1:4" s="913" customFormat="1" ht="11.25" customHeight="1" x14ac:dyDescent="0.2">
      <c r="A415" s="1477"/>
      <c r="B415" s="887">
        <v>503.2</v>
      </c>
      <c r="C415" s="887">
        <v>503.2</v>
      </c>
      <c r="D415" s="915" t="s">
        <v>11</v>
      </c>
    </row>
    <row r="416" spans="1:4" s="913" customFormat="1" ht="11.25" customHeight="1" x14ac:dyDescent="0.2">
      <c r="A416" s="1476" t="s">
        <v>827</v>
      </c>
      <c r="B416" s="888">
        <v>684.7</v>
      </c>
      <c r="C416" s="888">
        <v>684.7</v>
      </c>
      <c r="D416" s="912" t="s">
        <v>2757</v>
      </c>
    </row>
    <row r="417" spans="1:4" s="913" customFormat="1" ht="11.25" customHeight="1" x14ac:dyDescent="0.2">
      <c r="A417" s="1475"/>
      <c r="B417" s="885">
        <v>1.2</v>
      </c>
      <c r="C417" s="885">
        <v>1.2</v>
      </c>
      <c r="D417" s="914" t="s">
        <v>751</v>
      </c>
    </row>
    <row r="418" spans="1:4" s="913" customFormat="1" ht="11.25" customHeight="1" x14ac:dyDescent="0.2">
      <c r="A418" s="1477"/>
      <c r="B418" s="887">
        <v>685.90000000000009</v>
      </c>
      <c r="C418" s="887">
        <v>685.90000000000009</v>
      </c>
      <c r="D418" s="915" t="s">
        <v>11</v>
      </c>
    </row>
    <row r="419" spans="1:4" s="913" customFormat="1" ht="11.25" customHeight="1" x14ac:dyDescent="0.2">
      <c r="A419" s="1476" t="s">
        <v>828</v>
      </c>
      <c r="B419" s="888">
        <v>300</v>
      </c>
      <c r="C419" s="888">
        <v>300</v>
      </c>
      <c r="D419" s="912" t="s">
        <v>1030</v>
      </c>
    </row>
    <row r="420" spans="1:4" s="913" customFormat="1" ht="11.25" customHeight="1" x14ac:dyDescent="0.2">
      <c r="A420" s="1475"/>
      <c r="B420" s="885">
        <v>1.2</v>
      </c>
      <c r="C420" s="885">
        <v>1.2</v>
      </c>
      <c r="D420" s="914" t="s">
        <v>751</v>
      </c>
    </row>
    <row r="421" spans="1:4" s="913" customFormat="1" ht="11.25" customHeight="1" x14ac:dyDescent="0.2">
      <c r="A421" s="1477"/>
      <c r="B421" s="887">
        <v>301.2</v>
      </c>
      <c r="C421" s="887">
        <v>301.2</v>
      </c>
      <c r="D421" s="915" t="s">
        <v>11</v>
      </c>
    </row>
    <row r="422" spans="1:4" s="913" customFormat="1" ht="11.25" customHeight="1" x14ac:dyDescent="0.2">
      <c r="A422" s="1476" t="s">
        <v>829</v>
      </c>
      <c r="B422" s="888">
        <v>500</v>
      </c>
      <c r="C422" s="888">
        <v>0</v>
      </c>
      <c r="D422" s="912" t="s">
        <v>2736</v>
      </c>
    </row>
    <row r="423" spans="1:4" s="913" customFormat="1" ht="11.25" customHeight="1" x14ac:dyDescent="0.2">
      <c r="A423" s="1475"/>
      <c r="B423" s="885">
        <v>8.1</v>
      </c>
      <c r="C423" s="885">
        <v>8.1</v>
      </c>
      <c r="D423" s="914" t="s">
        <v>751</v>
      </c>
    </row>
    <row r="424" spans="1:4" s="913" customFormat="1" ht="11.25" customHeight="1" x14ac:dyDescent="0.2">
      <c r="A424" s="1477"/>
      <c r="B424" s="887">
        <v>508.1</v>
      </c>
      <c r="C424" s="887">
        <v>8.1</v>
      </c>
      <c r="D424" s="915" t="s">
        <v>11</v>
      </c>
    </row>
    <row r="425" spans="1:4" s="913" customFormat="1" ht="11.25" customHeight="1" x14ac:dyDescent="0.2">
      <c r="A425" s="1475" t="s">
        <v>725</v>
      </c>
      <c r="B425" s="885">
        <v>719.29</v>
      </c>
      <c r="C425" s="885">
        <v>522.05999999999995</v>
      </c>
      <c r="D425" s="914" t="s">
        <v>2733</v>
      </c>
    </row>
    <row r="426" spans="1:4" s="913" customFormat="1" ht="11.25" customHeight="1" x14ac:dyDescent="0.2">
      <c r="A426" s="1475"/>
      <c r="B426" s="885">
        <v>500</v>
      </c>
      <c r="C426" s="885">
        <v>0</v>
      </c>
      <c r="D426" s="914" t="s">
        <v>2736</v>
      </c>
    </row>
    <row r="427" spans="1:4" s="913" customFormat="1" ht="11.25" customHeight="1" x14ac:dyDescent="0.2">
      <c r="A427" s="1475"/>
      <c r="B427" s="885">
        <v>2168.6799999999998</v>
      </c>
      <c r="C427" s="885">
        <v>2168.6750000000002</v>
      </c>
      <c r="D427" s="914" t="s">
        <v>722</v>
      </c>
    </row>
    <row r="428" spans="1:4" s="913" customFormat="1" ht="11.25" customHeight="1" x14ac:dyDescent="0.2">
      <c r="A428" s="1475"/>
      <c r="B428" s="885">
        <v>3.2</v>
      </c>
      <c r="C428" s="885">
        <v>3.2</v>
      </c>
      <c r="D428" s="914" t="s">
        <v>751</v>
      </c>
    </row>
    <row r="429" spans="1:4" s="913" customFormat="1" ht="11.25" customHeight="1" x14ac:dyDescent="0.2">
      <c r="A429" s="1475"/>
      <c r="B429" s="885">
        <v>3391.1699999999996</v>
      </c>
      <c r="C429" s="885">
        <v>2693.9349999999999</v>
      </c>
      <c r="D429" s="914" t="s">
        <v>11</v>
      </c>
    </row>
    <row r="430" spans="1:4" s="913" customFormat="1" ht="11.25" customHeight="1" x14ac:dyDescent="0.2">
      <c r="A430" s="1476" t="s">
        <v>2776</v>
      </c>
      <c r="B430" s="888">
        <v>211</v>
      </c>
      <c r="C430" s="888">
        <v>211</v>
      </c>
      <c r="D430" s="912" t="s">
        <v>2752</v>
      </c>
    </row>
    <row r="431" spans="1:4" s="913" customFormat="1" ht="11.25" customHeight="1" x14ac:dyDescent="0.2">
      <c r="A431" s="1475"/>
      <c r="B431" s="885">
        <v>196</v>
      </c>
      <c r="C431" s="885">
        <v>0</v>
      </c>
      <c r="D431" s="914" t="s">
        <v>2736</v>
      </c>
    </row>
    <row r="432" spans="1:4" s="913" customFormat="1" ht="11.25" customHeight="1" x14ac:dyDescent="0.2">
      <c r="A432" s="1477"/>
      <c r="B432" s="887">
        <v>407</v>
      </c>
      <c r="C432" s="887">
        <v>211</v>
      </c>
      <c r="D432" s="915" t="s">
        <v>11</v>
      </c>
    </row>
    <row r="433" spans="1:4" s="913" customFormat="1" ht="11.25" customHeight="1" x14ac:dyDescent="0.2">
      <c r="A433" s="1475" t="s">
        <v>830</v>
      </c>
      <c r="B433" s="885">
        <v>239</v>
      </c>
      <c r="C433" s="885">
        <v>0</v>
      </c>
      <c r="D433" s="914" t="s">
        <v>2736</v>
      </c>
    </row>
    <row r="434" spans="1:4" s="913" customFormat="1" ht="11.25" customHeight="1" x14ac:dyDescent="0.2">
      <c r="A434" s="1475"/>
      <c r="B434" s="885">
        <v>177.5</v>
      </c>
      <c r="C434" s="885">
        <v>177.5</v>
      </c>
      <c r="D434" s="914" t="s">
        <v>751</v>
      </c>
    </row>
    <row r="435" spans="1:4" s="913" customFormat="1" ht="11.25" customHeight="1" x14ac:dyDescent="0.2">
      <c r="A435" s="1475"/>
      <c r="B435" s="885">
        <v>40</v>
      </c>
      <c r="C435" s="885">
        <v>40</v>
      </c>
      <c r="D435" s="914" t="s">
        <v>934</v>
      </c>
    </row>
    <row r="436" spans="1:4" s="913" customFormat="1" ht="11.25" customHeight="1" x14ac:dyDescent="0.2">
      <c r="A436" s="1475"/>
      <c r="B436" s="885">
        <v>456.5</v>
      </c>
      <c r="C436" s="885">
        <v>217.5</v>
      </c>
      <c r="D436" s="914" t="s">
        <v>11</v>
      </c>
    </row>
    <row r="437" spans="1:4" s="913" customFormat="1" ht="11.25" customHeight="1" x14ac:dyDescent="0.2">
      <c r="A437" s="1476" t="s">
        <v>831</v>
      </c>
      <c r="B437" s="888">
        <v>26.4</v>
      </c>
      <c r="C437" s="888">
        <v>26.4</v>
      </c>
      <c r="D437" s="912" t="s">
        <v>751</v>
      </c>
    </row>
    <row r="438" spans="1:4" s="913" customFormat="1" ht="11.25" customHeight="1" x14ac:dyDescent="0.2">
      <c r="A438" s="1477"/>
      <c r="B438" s="887">
        <v>26.4</v>
      </c>
      <c r="C438" s="887">
        <v>26.4</v>
      </c>
      <c r="D438" s="915" t="s">
        <v>11</v>
      </c>
    </row>
    <row r="439" spans="1:4" s="913" customFormat="1" ht="11.25" customHeight="1" x14ac:dyDescent="0.2">
      <c r="A439" s="1475" t="s">
        <v>832</v>
      </c>
      <c r="B439" s="885">
        <v>244.64</v>
      </c>
      <c r="C439" s="885">
        <v>244.637</v>
      </c>
      <c r="D439" s="914" t="s">
        <v>2752</v>
      </c>
    </row>
    <row r="440" spans="1:4" s="913" customFormat="1" ht="11.25" customHeight="1" x14ac:dyDescent="0.2">
      <c r="A440" s="1475"/>
      <c r="B440" s="885">
        <v>244</v>
      </c>
      <c r="C440" s="885">
        <v>0</v>
      </c>
      <c r="D440" s="914" t="s">
        <v>2736</v>
      </c>
    </row>
    <row r="441" spans="1:4" s="913" customFormat="1" ht="11.25" customHeight="1" x14ac:dyDescent="0.2">
      <c r="A441" s="1475"/>
      <c r="B441" s="885">
        <v>1.6</v>
      </c>
      <c r="C441" s="885">
        <v>1.6</v>
      </c>
      <c r="D441" s="914" t="s">
        <v>751</v>
      </c>
    </row>
    <row r="442" spans="1:4" s="913" customFormat="1" ht="11.25" customHeight="1" x14ac:dyDescent="0.2">
      <c r="A442" s="1475"/>
      <c r="B442" s="885">
        <v>490.24</v>
      </c>
      <c r="C442" s="885">
        <v>246.23699999999999</v>
      </c>
      <c r="D442" s="914" t="s">
        <v>11</v>
      </c>
    </row>
    <row r="443" spans="1:4" s="913" customFormat="1" ht="11.25" customHeight="1" x14ac:dyDescent="0.2">
      <c r="A443" s="1476" t="s">
        <v>833</v>
      </c>
      <c r="B443" s="888">
        <v>53.65</v>
      </c>
      <c r="C443" s="888">
        <v>0</v>
      </c>
      <c r="D443" s="912" t="s">
        <v>2752</v>
      </c>
    </row>
    <row r="444" spans="1:4" s="913" customFormat="1" ht="11.25" customHeight="1" x14ac:dyDescent="0.2">
      <c r="A444" s="1475"/>
      <c r="B444" s="885">
        <v>30</v>
      </c>
      <c r="C444" s="885">
        <v>30</v>
      </c>
      <c r="D444" s="914" t="s">
        <v>2740</v>
      </c>
    </row>
    <row r="445" spans="1:4" s="913" customFormat="1" ht="11.25" customHeight="1" x14ac:dyDescent="0.2">
      <c r="A445" s="1475"/>
      <c r="B445" s="885">
        <v>187.6</v>
      </c>
      <c r="C445" s="885">
        <v>187.6</v>
      </c>
      <c r="D445" s="914" t="s">
        <v>751</v>
      </c>
    </row>
    <row r="446" spans="1:4" s="913" customFormat="1" ht="11.25" customHeight="1" x14ac:dyDescent="0.2">
      <c r="A446" s="1477"/>
      <c r="B446" s="887">
        <v>271.25</v>
      </c>
      <c r="C446" s="887">
        <v>217.6</v>
      </c>
      <c r="D446" s="915" t="s">
        <v>11</v>
      </c>
    </row>
    <row r="447" spans="1:4" s="913" customFormat="1" ht="11.25" customHeight="1" x14ac:dyDescent="0.2">
      <c r="A447" s="1475" t="s">
        <v>2777</v>
      </c>
      <c r="B447" s="885">
        <v>140.35</v>
      </c>
      <c r="C447" s="885">
        <v>140.33869000000001</v>
      </c>
      <c r="D447" s="914" t="s">
        <v>2608</v>
      </c>
    </row>
    <row r="448" spans="1:4" s="913" customFormat="1" ht="11.25" customHeight="1" x14ac:dyDescent="0.2">
      <c r="A448" s="1475"/>
      <c r="B448" s="885">
        <v>140.35</v>
      </c>
      <c r="C448" s="885">
        <v>140.33869000000001</v>
      </c>
      <c r="D448" s="914" t="s">
        <v>11</v>
      </c>
    </row>
    <row r="449" spans="1:4" s="913" customFormat="1" ht="11.25" customHeight="1" x14ac:dyDescent="0.2">
      <c r="A449" s="1476" t="s">
        <v>834</v>
      </c>
      <c r="B449" s="888">
        <v>375</v>
      </c>
      <c r="C449" s="888">
        <v>0</v>
      </c>
      <c r="D449" s="912" t="s">
        <v>2736</v>
      </c>
    </row>
    <row r="450" spans="1:4" s="913" customFormat="1" ht="11.25" customHeight="1" x14ac:dyDescent="0.2">
      <c r="A450" s="1475"/>
      <c r="B450" s="885">
        <v>6.8</v>
      </c>
      <c r="C450" s="885">
        <v>6.8</v>
      </c>
      <c r="D450" s="914" t="s">
        <v>751</v>
      </c>
    </row>
    <row r="451" spans="1:4" s="913" customFormat="1" ht="11.25" customHeight="1" x14ac:dyDescent="0.2">
      <c r="A451" s="1477"/>
      <c r="B451" s="887">
        <v>381.8</v>
      </c>
      <c r="C451" s="887">
        <v>6.8</v>
      </c>
      <c r="D451" s="915" t="s">
        <v>11</v>
      </c>
    </row>
    <row r="452" spans="1:4" s="913" customFormat="1" ht="11.25" customHeight="1" x14ac:dyDescent="0.2">
      <c r="A452" s="1475" t="s">
        <v>835</v>
      </c>
      <c r="B452" s="885">
        <v>3.6</v>
      </c>
      <c r="C452" s="885">
        <v>3.6</v>
      </c>
      <c r="D452" s="914" t="s">
        <v>751</v>
      </c>
    </row>
    <row r="453" spans="1:4" s="913" customFormat="1" ht="11.25" customHeight="1" x14ac:dyDescent="0.2">
      <c r="A453" s="1475"/>
      <c r="B453" s="885">
        <v>3.6</v>
      </c>
      <c r="C453" s="885">
        <v>3.6</v>
      </c>
      <c r="D453" s="914" t="s">
        <v>11</v>
      </c>
    </row>
    <row r="454" spans="1:4" s="913" customFormat="1" ht="11.25" customHeight="1" x14ac:dyDescent="0.2">
      <c r="A454" s="1476" t="s">
        <v>836</v>
      </c>
      <c r="B454" s="888">
        <v>9564</v>
      </c>
      <c r="C454" s="888">
        <v>9564</v>
      </c>
      <c r="D454" s="912" t="s">
        <v>2735</v>
      </c>
    </row>
    <row r="455" spans="1:4" s="913" customFormat="1" ht="11.25" customHeight="1" x14ac:dyDescent="0.2">
      <c r="A455" s="1475"/>
      <c r="B455" s="885">
        <v>201</v>
      </c>
      <c r="C455" s="885">
        <v>0</v>
      </c>
      <c r="D455" s="914" t="s">
        <v>2736</v>
      </c>
    </row>
    <row r="456" spans="1:4" s="913" customFormat="1" ht="11.25" customHeight="1" x14ac:dyDescent="0.2">
      <c r="A456" s="1475"/>
      <c r="B456" s="885">
        <v>1.2</v>
      </c>
      <c r="C456" s="885">
        <v>1.2</v>
      </c>
      <c r="D456" s="914" t="s">
        <v>751</v>
      </c>
    </row>
    <row r="457" spans="1:4" s="913" customFormat="1" ht="11.25" customHeight="1" x14ac:dyDescent="0.2">
      <c r="A457" s="1477"/>
      <c r="B457" s="887">
        <v>9766.2000000000007</v>
      </c>
      <c r="C457" s="887">
        <v>9565.2000000000007</v>
      </c>
      <c r="D457" s="915" t="s">
        <v>11</v>
      </c>
    </row>
    <row r="458" spans="1:4" s="913" customFormat="1" ht="11.25" customHeight="1" x14ac:dyDescent="0.2">
      <c r="A458" s="1475" t="s">
        <v>2778</v>
      </c>
      <c r="B458" s="885">
        <v>250</v>
      </c>
      <c r="C458" s="885">
        <v>250</v>
      </c>
      <c r="D458" s="914" t="s">
        <v>2752</v>
      </c>
    </row>
    <row r="459" spans="1:4" s="913" customFormat="1" ht="11.25" customHeight="1" x14ac:dyDescent="0.2">
      <c r="A459" s="1475"/>
      <c r="B459" s="885">
        <v>250</v>
      </c>
      <c r="C459" s="885">
        <v>250</v>
      </c>
      <c r="D459" s="914" t="s">
        <v>11</v>
      </c>
    </row>
    <row r="460" spans="1:4" s="913" customFormat="1" ht="11.25" customHeight="1" x14ac:dyDescent="0.2">
      <c r="A460" s="1476" t="s">
        <v>837</v>
      </c>
      <c r="B460" s="888">
        <v>40.5</v>
      </c>
      <c r="C460" s="888">
        <v>40.5</v>
      </c>
      <c r="D460" s="912" t="s">
        <v>2733</v>
      </c>
    </row>
    <row r="461" spans="1:4" s="913" customFormat="1" ht="11.25" customHeight="1" x14ac:dyDescent="0.2">
      <c r="A461" s="1475"/>
      <c r="B461" s="885">
        <v>30</v>
      </c>
      <c r="C461" s="885">
        <v>30</v>
      </c>
      <c r="D461" s="914" t="s">
        <v>2740</v>
      </c>
    </row>
    <row r="462" spans="1:4" s="913" customFormat="1" ht="11.25" customHeight="1" x14ac:dyDescent="0.2">
      <c r="A462" s="1475"/>
      <c r="B462" s="885">
        <v>2.5</v>
      </c>
      <c r="C462" s="885">
        <v>2.5</v>
      </c>
      <c r="D462" s="914" t="s">
        <v>751</v>
      </c>
    </row>
    <row r="463" spans="1:4" s="913" customFormat="1" ht="11.25" customHeight="1" x14ac:dyDescent="0.2">
      <c r="A463" s="1477"/>
      <c r="B463" s="887">
        <v>73</v>
      </c>
      <c r="C463" s="887">
        <v>73</v>
      </c>
      <c r="D463" s="915" t="s">
        <v>11</v>
      </c>
    </row>
    <row r="464" spans="1:4" s="913" customFormat="1" ht="11.25" customHeight="1" x14ac:dyDescent="0.2">
      <c r="A464" s="1475" t="s">
        <v>838</v>
      </c>
      <c r="B464" s="885">
        <v>360</v>
      </c>
      <c r="C464" s="885">
        <v>0</v>
      </c>
      <c r="D464" s="914" t="s">
        <v>2736</v>
      </c>
    </row>
    <row r="465" spans="1:4" s="913" customFormat="1" ht="11.25" customHeight="1" x14ac:dyDescent="0.2">
      <c r="A465" s="1475"/>
      <c r="B465" s="885">
        <v>3.2</v>
      </c>
      <c r="C465" s="885">
        <v>3.2</v>
      </c>
      <c r="D465" s="914" t="s">
        <v>751</v>
      </c>
    </row>
    <row r="466" spans="1:4" s="913" customFormat="1" ht="11.25" customHeight="1" x14ac:dyDescent="0.2">
      <c r="A466" s="1475"/>
      <c r="B466" s="885">
        <v>363.2</v>
      </c>
      <c r="C466" s="885">
        <v>3.2</v>
      </c>
      <c r="D466" s="914" t="s">
        <v>11</v>
      </c>
    </row>
    <row r="467" spans="1:4" s="913" customFormat="1" ht="11.25" customHeight="1" x14ac:dyDescent="0.2">
      <c r="A467" s="1476" t="s">
        <v>2779</v>
      </c>
      <c r="B467" s="888">
        <v>75</v>
      </c>
      <c r="C467" s="888">
        <v>75</v>
      </c>
      <c r="D467" s="912" t="s">
        <v>2752</v>
      </c>
    </row>
    <row r="468" spans="1:4" s="913" customFormat="1" ht="11.25" customHeight="1" x14ac:dyDescent="0.2">
      <c r="A468" s="1477"/>
      <c r="B468" s="887">
        <v>75</v>
      </c>
      <c r="C468" s="887">
        <v>75</v>
      </c>
      <c r="D468" s="915" t="s">
        <v>11</v>
      </c>
    </row>
    <row r="469" spans="1:4" s="913" customFormat="1" ht="11.25" customHeight="1" x14ac:dyDescent="0.2">
      <c r="A469" s="1475" t="s">
        <v>839</v>
      </c>
      <c r="B469" s="885">
        <v>500</v>
      </c>
      <c r="C469" s="885">
        <v>0</v>
      </c>
      <c r="D469" s="914" t="s">
        <v>2736</v>
      </c>
    </row>
    <row r="470" spans="1:4" s="913" customFormat="1" ht="11.25" customHeight="1" x14ac:dyDescent="0.2">
      <c r="A470" s="1475"/>
      <c r="B470" s="885">
        <v>451.65</v>
      </c>
      <c r="C470" s="885">
        <v>451.62165000000005</v>
      </c>
      <c r="D470" s="914" t="s">
        <v>2608</v>
      </c>
    </row>
    <row r="471" spans="1:4" s="913" customFormat="1" ht="11.25" customHeight="1" x14ac:dyDescent="0.2">
      <c r="A471" s="1475"/>
      <c r="B471" s="885">
        <v>2.2999999999999998</v>
      </c>
      <c r="C471" s="885">
        <v>2.2999999999999998</v>
      </c>
      <c r="D471" s="914" t="s">
        <v>751</v>
      </c>
    </row>
    <row r="472" spans="1:4" s="913" customFormat="1" ht="11.25" customHeight="1" x14ac:dyDescent="0.2">
      <c r="A472" s="1475"/>
      <c r="B472" s="885">
        <v>953.94999999999993</v>
      </c>
      <c r="C472" s="885">
        <v>453.92165000000006</v>
      </c>
      <c r="D472" s="914" t="s">
        <v>11</v>
      </c>
    </row>
    <row r="473" spans="1:4" s="913" customFormat="1" ht="11.25" customHeight="1" x14ac:dyDescent="0.2">
      <c r="A473" s="1476" t="s">
        <v>840</v>
      </c>
      <c r="B473" s="888">
        <v>286.98</v>
      </c>
      <c r="C473" s="888">
        <v>189.779</v>
      </c>
      <c r="D473" s="912" t="s">
        <v>2752</v>
      </c>
    </row>
    <row r="474" spans="1:4" s="913" customFormat="1" ht="11.25" customHeight="1" x14ac:dyDescent="0.2">
      <c r="A474" s="1475"/>
      <c r="B474" s="885">
        <v>1.2</v>
      </c>
      <c r="C474" s="885">
        <v>1.2</v>
      </c>
      <c r="D474" s="914" t="s">
        <v>751</v>
      </c>
    </row>
    <row r="475" spans="1:4" s="913" customFormat="1" ht="11.25" customHeight="1" x14ac:dyDescent="0.2">
      <c r="A475" s="1477"/>
      <c r="B475" s="887">
        <v>288.18</v>
      </c>
      <c r="C475" s="887">
        <v>190.97899999999998</v>
      </c>
      <c r="D475" s="915" t="s">
        <v>11</v>
      </c>
    </row>
    <row r="476" spans="1:4" s="913" customFormat="1" ht="11.25" customHeight="1" x14ac:dyDescent="0.2">
      <c r="A476" s="1475" t="s">
        <v>2780</v>
      </c>
      <c r="B476" s="885">
        <v>75</v>
      </c>
      <c r="C476" s="885">
        <v>75</v>
      </c>
      <c r="D476" s="914" t="s">
        <v>2752</v>
      </c>
    </row>
    <row r="477" spans="1:4" s="913" customFormat="1" ht="11.25" customHeight="1" x14ac:dyDescent="0.2">
      <c r="A477" s="1475"/>
      <c r="B477" s="885">
        <v>75</v>
      </c>
      <c r="C477" s="885">
        <v>75</v>
      </c>
      <c r="D477" s="914" t="s">
        <v>11</v>
      </c>
    </row>
    <row r="478" spans="1:4" s="913" customFormat="1" ht="11.25" customHeight="1" x14ac:dyDescent="0.2">
      <c r="A478" s="1476" t="s">
        <v>841</v>
      </c>
      <c r="B478" s="888">
        <v>1</v>
      </c>
      <c r="C478" s="888">
        <v>1</v>
      </c>
      <c r="D478" s="912" t="s">
        <v>751</v>
      </c>
    </row>
    <row r="479" spans="1:4" s="913" customFormat="1" ht="11.25" customHeight="1" x14ac:dyDescent="0.2">
      <c r="A479" s="1477"/>
      <c r="B479" s="887">
        <v>1</v>
      </c>
      <c r="C479" s="887">
        <v>1</v>
      </c>
      <c r="D479" s="915" t="s">
        <v>11</v>
      </c>
    </row>
    <row r="480" spans="1:4" s="913" customFormat="1" ht="11.25" customHeight="1" x14ac:dyDescent="0.2">
      <c r="A480" s="1475" t="s">
        <v>842</v>
      </c>
      <c r="B480" s="885">
        <v>5.5</v>
      </c>
      <c r="C480" s="885">
        <v>5.5</v>
      </c>
      <c r="D480" s="914" t="s">
        <v>751</v>
      </c>
    </row>
    <row r="481" spans="1:4" s="913" customFormat="1" ht="11.25" customHeight="1" x14ac:dyDescent="0.2">
      <c r="A481" s="1475"/>
      <c r="B481" s="885">
        <v>5.5</v>
      </c>
      <c r="C481" s="885">
        <v>5.5</v>
      </c>
      <c r="D481" s="914" t="s">
        <v>11</v>
      </c>
    </row>
    <row r="482" spans="1:4" s="913" customFormat="1" ht="11.25" customHeight="1" x14ac:dyDescent="0.2">
      <c r="A482" s="1476" t="s">
        <v>2781</v>
      </c>
      <c r="B482" s="888">
        <v>125.47</v>
      </c>
      <c r="C482" s="888">
        <v>125.46404</v>
      </c>
      <c r="D482" s="912" t="s">
        <v>2608</v>
      </c>
    </row>
    <row r="483" spans="1:4" s="913" customFormat="1" ht="11.25" customHeight="1" x14ac:dyDescent="0.2">
      <c r="A483" s="1475"/>
      <c r="B483" s="885">
        <v>275</v>
      </c>
      <c r="C483" s="885">
        <v>275</v>
      </c>
      <c r="D483" s="914" t="s">
        <v>2765</v>
      </c>
    </row>
    <row r="484" spans="1:4" s="913" customFormat="1" ht="11.25" customHeight="1" x14ac:dyDescent="0.2">
      <c r="A484" s="1477"/>
      <c r="B484" s="887">
        <v>400.47</v>
      </c>
      <c r="C484" s="887">
        <v>400.46404000000001</v>
      </c>
      <c r="D484" s="915" t="s">
        <v>11</v>
      </c>
    </row>
    <row r="485" spans="1:4" s="913" customFormat="1" ht="11.25" customHeight="1" x14ac:dyDescent="0.2">
      <c r="A485" s="1475" t="s">
        <v>843</v>
      </c>
      <c r="B485" s="885">
        <v>250</v>
      </c>
      <c r="C485" s="885">
        <v>250</v>
      </c>
      <c r="D485" s="914" t="s">
        <v>2752</v>
      </c>
    </row>
    <row r="486" spans="1:4" s="913" customFormat="1" ht="11.25" customHeight="1" x14ac:dyDescent="0.2">
      <c r="A486" s="1475"/>
      <c r="B486" s="885">
        <v>217</v>
      </c>
      <c r="C486" s="885">
        <v>0</v>
      </c>
      <c r="D486" s="914" t="s">
        <v>2736</v>
      </c>
    </row>
    <row r="487" spans="1:4" s="913" customFormat="1" ht="11.25" customHeight="1" x14ac:dyDescent="0.2">
      <c r="A487" s="1475"/>
      <c r="B487" s="885">
        <v>60</v>
      </c>
      <c r="C487" s="885">
        <v>60</v>
      </c>
      <c r="D487" s="914" t="s">
        <v>2738</v>
      </c>
    </row>
    <row r="488" spans="1:4" s="913" customFormat="1" ht="11.25" customHeight="1" x14ac:dyDescent="0.2">
      <c r="A488" s="1475"/>
      <c r="B488" s="885">
        <v>50</v>
      </c>
      <c r="C488" s="885">
        <v>50</v>
      </c>
      <c r="D488" s="914" t="s">
        <v>1030</v>
      </c>
    </row>
    <row r="489" spans="1:4" s="913" customFormat="1" ht="11.25" customHeight="1" x14ac:dyDescent="0.2">
      <c r="A489" s="1475"/>
      <c r="B489" s="885">
        <v>14.5</v>
      </c>
      <c r="C489" s="885">
        <v>14.5</v>
      </c>
      <c r="D489" s="914" t="s">
        <v>751</v>
      </c>
    </row>
    <row r="490" spans="1:4" s="913" customFormat="1" ht="11.25" customHeight="1" x14ac:dyDescent="0.2">
      <c r="A490" s="1475"/>
      <c r="B490" s="885">
        <v>591.5</v>
      </c>
      <c r="C490" s="885">
        <v>374.5</v>
      </c>
      <c r="D490" s="914" t="s">
        <v>11</v>
      </c>
    </row>
    <row r="491" spans="1:4" s="913" customFormat="1" ht="11.25" customHeight="1" x14ac:dyDescent="0.2">
      <c r="A491" s="1476" t="s">
        <v>2782</v>
      </c>
      <c r="B491" s="888">
        <v>24.3</v>
      </c>
      <c r="C491" s="888">
        <v>24.3</v>
      </c>
      <c r="D491" s="912" t="s">
        <v>2733</v>
      </c>
    </row>
    <row r="492" spans="1:4" s="913" customFormat="1" ht="11.25" customHeight="1" x14ac:dyDescent="0.2">
      <c r="A492" s="1475"/>
      <c r="B492" s="885">
        <v>230</v>
      </c>
      <c r="C492" s="885">
        <v>152.5</v>
      </c>
      <c r="D492" s="914" t="s">
        <v>2752</v>
      </c>
    </row>
    <row r="493" spans="1:4" s="913" customFormat="1" ht="11.25" customHeight="1" x14ac:dyDescent="0.2">
      <c r="A493" s="1477"/>
      <c r="B493" s="887">
        <v>254.3</v>
      </c>
      <c r="C493" s="887">
        <v>176.8</v>
      </c>
      <c r="D493" s="915" t="s">
        <v>11</v>
      </c>
    </row>
    <row r="494" spans="1:4" s="913" customFormat="1" ht="11.25" customHeight="1" x14ac:dyDescent="0.2">
      <c r="A494" s="1475" t="s">
        <v>844</v>
      </c>
      <c r="B494" s="885">
        <v>3.6</v>
      </c>
      <c r="C494" s="885">
        <v>3.6</v>
      </c>
      <c r="D494" s="914" t="s">
        <v>751</v>
      </c>
    </row>
    <row r="495" spans="1:4" s="913" customFormat="1" ht="11.25" customHeight="1" x14ac:dyDescent="0.2">
      <c r="A495" s="1475"/>
      <c r="B495" s="885">
        <v>3.6</v>
      </c>
      <c r="C495" s="885">
        <v>3.6</v>
      </c>
      <c r="D495" s="914" t="s">
        <v>11</v>
      </c>
    </row>
    <row r="496" spans="1:4" s="913" customFormat="1" ht="11.25" customHeight="1" x14ac:dyDescent="0.2">
      <c r="A496" s="1476" t="s">
        <v>2783</v>
      </c>
      <c r="B496" s="888">
        <v>74.459999999999994</v>
      </c>
      <c r="C496" s="888">
        <v>74.459999999999994</v>
      </c>
      <c r="D496" s="912" t="s">
        <v>2752</v>
      </c>
    </row>
    <row r="497" spans="1:4" s="913" customFormat="1" ht="11.25" customHeight="1" x14ac:dyDescent="0.2">
      <c r="A497" s="1477"/>
      <c r="B497" s="887">
        <v>74.459999999999994</v>
      </c>
      <c r="C497" s="887">
        <v>74.459999999999994</v>
      </c>
      <c r="D497" s="915" t="s">
        <v>11</v>
      </c>
    </row>
    <row r="498" spans="1:4" s="913" customFormat="1" ht="11.25" customHeight="1" x14ac:dyDescent="0.2">
      <c r="A498" s="1475" t="s">
        <v>845</v>
      </c>
      <c r="B498" s="885">
        <v>7500</v>
      </c>
      <c r="C498" s="885">
        <v>0</v>
      </c>
      <c r="D498" s="914" t="s">
        <v>2757</v>
      </c>
    </row>
    <row r="499" spans="1:4" s="913" customFormat="1" ht="11.25" customHeight="1" x14ac:dyDescent="0.2">
      <c r="A499" s="1475"/>
      <c r="B499" s="885">
        <v>195</v>
      </c>
      <c r="C499" s="885">
        <v>0</v>
      </c>
      <c r="D499" s="914" t="s">
        <v>2736</v>
      </c>
    </row>
    <row r="500" spans="1:4" s="913" customFormat="1" ht="11.25" customHeight="1" x14ac:dyDescent="0.2">
      <c r="A500" s="1475"/>
      <c r="B500" s="885">
        <v>1.6</v>
      </c>
      <c r="C500" s="885">
        <v>1.6</v>
      </c>
      <c r="D500" s="914" t="s">
        <v>751</v>
      </c>
    </row>
    <row r="501" spans="1:4" s="913" customFormat="1" ht="11.25" customHeight="1" x14ac:dyDescent="0.2">
      <c r="A501" s="1475"/>
      <c r="B501" s="885">
        <v>7696.6</v>
      </c>
      <c r="C501" s="885">
        <v>1.6</v>
      </c>
      <c r="D501" s="914" t="s">
        <v>11</v>
      </c>
    </row>
    <row r="502" spans="1:4" s="913" customFormat="1" ht="11.25" customHeight="1" x14ac:dyDescent="0.2">
      <c r="A502" s="1476" t="s">
        <v>846</v>
      </c>
      <c r="B502" s="888">
        <v>585</v>
      </c>
      <c r="C502" s="888">
        <v>546.75202999999999</v>
      </c>
      <c r="D502" s="912" t="s">
        <v>2757</v>
      </c>
    </row>
    <row r="503" spans="1:4" s="913" customFormat="1" ht="11.25" customHeight="1" x14ac:dyDescent="0.2">
      <c r="A503" s="1475"/>
      <c r="B503" s="885">
        <v>513.74</v>
      </c>
      <c r="C503" s="885">
        <v>499.82</v>
      </c>
      <c r="D503" s="914" t="s">
        <v>2733</v>
      </c>
    </row>
    <row r="504" spans="1:4" s="913" customFormat="1" ht="11.25" customHeight="1" x14ac:dyDescent="0.2">
      <c r="A504" s="1475"/>
      <c r="B504" s="885">
        <v>1.6</v>
      </c>
      <c r="C504" s="885">
        <v>1.6</v>
      </c>
      <c r="D504" s="914" t="s">
        <v>751</v>
      </c>
    </row>
    <row r="505" spans="1:4" s="913" customFormat="1" ht="11.25" customHeight="1" x14ac:dyDescent="0.2">
      <c r="A505" s="1475"/>
      <c r="B505" s="885">
        <v>1</v>
      </c>
      <c r="C505" s="885">
        <v>1</v>
      </c>
      <c r="D505" s="914" t="s">
        <v>11</v>
      </c>
    </row>
    <row r="506" spans="1:4" s="913" customFormat="1" ht="11.25" customHeight="1" x14ac:dyDescent="0.2">
      <c r="A506" s="1477"/>
      <c r="B506" s="887">
        <v>1101.3399999999999</v>
      </c>
      <c r="C506" s="887">
        <v>1049.1720299999999</v>
      </c>
      <c r="D506" s="915" t="s">
        <v>11</v>
      </c>
    </row>
    <row r="507" spans="1:4" s="913" customFormat="1" ht="11.25" customHeight="1" x14ac:dyDescent="0.2">
      <c r="A507" s="1475" t="s">
        <v>847</v>
      </c>
      <c r="B507" s="885">
        <v>1.6</v>
      </c>
      <c r="C507" s="885">
        <v>0</v>
      </c>
      <c r="D507" s="914" t="s">
        <v>751</v>
      </c>
    </row>
    <row r="508" spans="1:4" s="913" customFormat="1" ht="11.25" customHeight="1" x14ac:dyDescent="0.2">
      <c r="A508" s="1475"/>
      <c r="B508" s="885">
        <v>1.6</v>
      </c>
      <c r="C508" s="885">
        <v>0</v>
      </c>
      <c r="D508" s="914" t="s">
        <v>11</v>
      </c>
    </row>
    <row r="509" spans="1:4" s="913" customFormat="1" ht="11.25" customHeight="1" x14ac:dyDescent="0.2">
      <c r="A509" s="1476" t="s">
        <v>848</v>
      </c>
      <c r="B509" s="888">
        <v>824.5</v>
      </c>
      <c r="C509" s="888">
        <v>0</v>
      </c>
      <c r="D509" s="912" t="s">
        <v>2757</v>
      </c>
    </row>
    <row r="510" spans="1:4" s="913" customFormat="1" ht="11.25" customHeight="1" x14ac:dyDescent="0.2">
      <c r="A510" s="1475"/>
      <c r="B510" s="885">
        <v>117</v>
      </c>
      <c r="C510" s="885">
        <v>0</v>
      </c>
      <c r="D510" s="914" t="s">
        <v>2736</v>
      </c>
    </row>
    <row r="511" spans="1:4" s="913" customFormat="1" ht="11.25" customHeight="1" x14ac:dyDescent="0.2">
      <c r="A511" s="1475"/>
      <c r="B511" s="885">
        <v>30.45</v>
      </c>
      <c r="C511" s="885">
        <v>30.45</v>
      </c>
      <c r="D511" s="914" t="s">
        <v>2770</v>
      </c>
    </row>
    <row r="512" spans="1:4" s="913" customFormat="1" ht="11.25" customHeight="1" x14ac:dyDescent="0.2">
      <c r="A512" s="1475"/>
      <c r="B512" s="885">
        <v>215.4</v>
      </c>
      <c r="C512" s="885">
        <v>215.4</v>
      </c>
      <c r="D512" s="914" t="s">
        <v>751</v>
      </c>
    </row>
    <row r="513" spans="1:4" s="913" customFormat="1" ht="11.25" customHeight="1" x14ac:dyDescent="0.2">
      <c r="A513" s="1477"/>
      <c r="B513" s="887">
        <v>1187.3500000000001</v>
      </c>
      <c r="C513" s="887">
        <v>245.85</v>
      </c>
      <c r="D513" s="915" t="s">
        <v>11</v>
      </c>
    </row>
    <row r="514" spans="1:4" s="913" customFormat="1" ht="11.25" customHeight="1" x14ac:dyDescent="0.2">
      <c r="A514" s="1475" t="s">
        <v>745</v>
      </c>
      <c r="B514" s="885">
        <v>40.61</v>
      </c>
      <c r="C514" s="885">
        <v>40.61</v>
      </c>
      <c r="D514" s="914" t="s">
        <v>2752</v>
      </c>
    </row>
    <row r="515" spans="1:4" s="913" customFormat="1" ht="11.25" customHeight="1" x14ac:dyDescent="0.2">
      <c r="A515" s="1475"/>
      <c r="B515" s="885">
        <v>270</v>
      </c>
      <c r="C515" s="885">
        <v>0</v>
      </c>
      <c r="D515" s="914" t="s">
        <v>735</v>
      </c>
    </row>
    <row r="516" spans="1:4" s="913" customFormat="1" ht="11.25" customHeight="1" x14ac:dyDescent="0.2">
      <c r="A516" s="1475"/>
      <c r="B516" s="885">
        <v>2</v>
      </c>
      <c r="C516" s="885">
        <v>2</v>
      </c>
      <c r="D516" s="914" t="s">
        <v>751</v>
      </c>
    </row>
    <row r="517" spans="1:4" s="913" customFormat="1" ht="11.25" customHeight="1" x14ac:dyDescent="0.2">
      <c r="A517" s="1475"/>
      <c r="B517" s="885">
        <v>312.61</v>
      </c>
      <c r="C517" s="885">
        <v>42.61</v>
      </c>
      <c r="D517" s="914" t="s">
        <v>11</v>
      </c>
    </row>
    <row r="518" spans="1:4" s="913" customFormat="1" ht="11.25" customHeight="1" x14ac:dyDescent="0.2">
      <c r="A518" s="1476" t="s">
        <v>849</v>
      </c>
      <c r="B518" s="888">
        <v>172</v>
      </c>
      <c r="C518" s="888">
        <v>0</v>
      </c>
      <c r="D518" s="912" t="s">
        <v>2736</v>
      </c>
    </row>
    <row r="519" spans="1:4" s="913" customFormat="1" ht="11.25" customHeight="1" x14ac:dyDescent="0.2">
      <c r="A519" s="1475"/>
      <c r="B519" s="885">
        <v>4.8</v>
      </c>
      <c r="C519" s="885">
        <v>4.8</v>
      </c>
      <c r="D519" s="914" t="s">
        <v>751</v>
      </c>
    </row>
    <row r="520" spans="1:4" s="913" customFormat="1" ht="11.25" customHeight="1" x14ac:dyDescent="0.2">
      <c r="A520" s="1477"/>
      <c r="B520" s="887">
        <v>176.8</v>
      </c>
      <c r="C520" s="887">
        <v>4.8</v>
      </c>
      <c r="D520" s="915" t="s">
        <v>11</v>
      </c>
    </row>
    <row r="521" spans="1:4" s="913" customFormat="1" ht="11.25" customHeight="1" x14ac:dyDescent="0.2">
      <c r="A521" s="1475" t="s">
        <v>850</v>
      </c>
      <c r="B521" s="885">
        <v>27.2</v>
      </c>
      <c r="C521" s="885">
        <v>27.2</v>
      </c>
      <c r="D521" s="914" t="s">
        <v>751</v>
      </c>
    </row>
    <row r="522" spans="1:4" s="913" customFormat="1" ht="11.25" customHeight="1" x14ac:dyDescent="0.2">
      <c r="A522" s="1475"/>
      <c r="B522" s="885">
        <v>27.2</v>
      </c>
      <c r="C522" s="885">
        <v>27.2</v>
      </c>
      <c r="D522" s="914" t="s">
        <v>11</v>
      </c>
    </row>
    <row r="523" spans="1:4" s="913" customFormat="1" ht="11.25" customHeight="1" x14ac:dyDescent="0.2">
      <c r="A523" s="1476" t="s">
        <v>851</v>
      </c>
      <c r="B523" s="888">
        <v>270.98</v>
      </c>
      <c r="C523" s="888">
        <v>270.98</v>
      </c>
      <c r="D523" s="912" t="s">
        <v>2770</v>
      </c>
    </row>
    <row r="524" spans="1:4" s="913" customFormat="1" ht="11.25" customHeight="1" x14ac:dyDescent="0.2">
      <c r="A524" s="1475"/>
      <c r="B524" s="885">
        <v>173.6</v>
      </c>
      <c r="C524" s="885">
        <v>173.6</v>
      </c>
      <c r="D524" s="914" t="s">
        <v>751</v>
      </c>
    </row>
    <row r="525" spans="1:4" s="913" customFormat="1" ht="11.25" customHeight="1" x14ac:dyDescent="0.2">
      <c r="A525" s="1477"/>
      <c r="B525" s="887">
        <v>444.58000000000004</v>
      </c>
      <c r="C525" s="887">
        <v>444.58000000000004</v>
      </c>
      <c r="D525" s="915" t="s">
        <v>11</v>
      </c>
    </row>
    <row r="526" spans="1:4" s="913" customFormat="1" ht="11.25" customHeight="1" x14ac:dyDescent="0.2">
      <c r="A526" s="1475" t="s">
        <v>2784</v>
      </c>
      <c r="B526" s="885">
        <v>41.99</v>
      </c>
      <c r="C526" s="885">
        <v>40.04</v>
      </c>
      <c r="D526" s="914" t="s">
        <v>2733</v>
      </c>
    </row>
    <row r="527" spans="1:4" s="913" customFormat="1" ht="11.25" customHeight="1" x14ac:dyDescent="0.2">
      <c r="A527" s="1475"/>
      <c r="B527" s="885">
        <v>41.99</v>
      </c>
      <c r="C527" s="885">
        <v>40.04</v>
      </c>
      <c r="D527" s="914" t="s">
        <v>11</v>
      </c>
    </row>
    <row r="528" spans="1:4" s="913" customFormat="1" ht="11.25" customHeight="1" x14ac:dyDescent="0.2">
      <c r="A528" s="1476" t="s">
        <v>852</v>
      </c>
      <c r="B528" s="888">
        <v>10.3</v>
      </c>
      <c r="C528" s="888">
        <v>10.3</v>
      </c>
      <c r="D528" s="912" t="s">
        <v>751</v>
      </c>
    </row>
    <row r="529" spans="1:4" s="913" customFormat="1" ht="11.25" customHeight="1" x14ac:dyDescent="0.2">
      <c r="A529" s="1477"/>
      <c r="B529" s="887">
        <v>10.3</v>
      </c>
      <c r="C529" s="887">
        <v>10.3</v>
      </c>
      <c r="D529" s="915" t="s">
        <v>11</v>
      </c>
    </row>
    <row r="530" spans="1:4" s="913" customFormat="1" ht="11.25" customHeight="1" x14ac:dyDescent="0.2">
      <c r="A530" s="1475" t="s">
        <v>853</v>
      </c>
      <c r="B530" s="885">
        <v>190.93</v>
      </c>
      <c r="C530" s="885">
        <v>190.92777999999998</v>
      </c>
      <c r="D530" s="914" t="s">
        <v>2608</v>
      </c>
    </row>
    <row r="531" spans="1:4" s="913" customFormat="1" ht="11.25" customHeight="1" x14ac:dyDescent="0.2">
      <c r="A531" s="1475"/>
      <c r="B531" s="885">
        <v>229.5</v>
      </c>
      <c r="C531" s="885">
        <v>229.5</v>
      </c>
      <c r="D531" s="914" t="s">
        <v>751</v>
      </c>
    </row>
    <row r="532" spans="1:4" s="913" customFormat="1" ht="11.25" customHeight="1" x14ac:dyDescent="0.2">
      <c r="A532" s="1475"/>
      <c r="B532" s="885">
        <v>420.43</v>
      </c>
      <c r="C532" s="885">
        <v>420.42777999999998</v>
      </c>
      <c r="D532" s="914" t="s">
        <v>11</v>
      </c>
    </row>
    <row r="533" spans="1:4" s="913" customFormat="1" ht="11.25" customHeight="1" x14ac:dyDescent="0.2">
      <c r="A533" s="1476" t="s">
        <v>854</v>
      </c>
      <c r="B533" s="888">
        <v>80</v>
      </c>
      <c r="C533" s="888">
        <v>80</v>
      </c>
      <c r="D533" s="912" t="s">
        <v>2607</v>
      </c>
    </row>
    <row r="534" spans="1:4" s="913" customFormat="1" ht="11.25" customHeight="1" x14ac:dyDescent="0.2">
      <c r="A534" s="1475"/>
      <c r="B534" s="885">
        <v>45</v>
      </c>
      <c r="C534" s="885">
        <v>26.1</v>
      </c>
      <c r="D534" s="914" t="s">
        <v>2733</v>
      </c>
    </row>
    <row r="535" spans="1:4" s="913" customFormat="1" ht="11.25" customHeight="1" x14ac:dyDescent="0.2">
      <c r="A535" s="1475"/>
      <c r="B535" s="885">
        <v>250</v>
      </c>
      <c r="C535" s="885">
        <v>125</v>
      </c>
      <c r="D535" s="914" t="s">
        <v>2752</v>
      </c>
    </row>
    <row r="536" spans="1:4" s="913" customFormat="1" ht="11.25" customHeight="1" x14ac:dyDescent="0.2">
      <c r="A536" s="1475"/>
      <c r="B536" s="885">
        <v>4.9000000000000004</v>
      </c>
      <c r="C536" s="885">
        <v>4.9000000000000004</v>
      </c>
      <c r="D536" s="914" t="s">
        <v>751</v>
      </c>
    </row>
    <row r="537" spans="1:4" s="913" customFormat="1" ht="11.25" customHeight="1" x14ac:dyDescent="0.2">
      <c r="A537" s="1477"/>
      <c r="B537" s="887">
        <v>379.9</v>
      </c>
      <c r="C537" s="887">
        <v>236</v>
      </c>
      <c r="D537" s="915" t="s">
        <v>11</v>
      </c>
    </row>
    <row r="538" spans="1:4" s="913" customFormat="1" ht="11.25" customHeight="1" x14ac:dyDescent="0.2">
      <c r="A538" s="1475" t="s">
        <v>2785</v>
      </c>
      <c r="B538" s="885">
        <v>364.07</v>
      </c>
      <c r="C538" s="885">
        <v>364.07010000000002</v>
      </c>
      <c r="D538" s="914" t="s">
        <v>2752</v>
      </c>
    </row>
    <row r="539" spans="1:4" s="913" customFormat="1" ht="11.25" customHeight="1" x14ac:dyDescent="0.2">
      <c r="A539" s="1475"/>
      <c r="B539" s="885">
        <v>364.07</v>
      </c>
      <c r="C539" s="885">
        <v>364.07010000000002</v>
      </c>
      <c r="D539" s="914" t="s">
        <v>11</v>
      </c>
    </row>
    <row r="540" spans="1:4" s="913" customFormat="1" ht="11.25" customHeight="1" x14ac:dyDescent="0.2">
      <c r="A540" s="1476" t="s">
        <v>855</v>
      </c>
      <c r="B540" s="888">
        <v>30</v>
      </c>
      <c r="C540" s="888">
        <v>27</v>
      </c>
      <c r="D540" s="912" t="s">
        <v>2733</v>
      </c>
    </row>
    <row r="541" spans="1:4" s="913" customFormat="1" ht="11.25" customHeight="1" x14ac:dyDescent="0.2">
      <c r="A541" s="1475"/>
      <c r="B541" s="885">
        <v>487</v>
      </c>
      <c r="C541" s="885">
        <v>0</v>
      </c>
      <c r="D541" s="914" t="s">
        <v>2736</v>
      </c>
    </row>
    <row r="542" spans="1:4" s="913" customFormat="1" ht="11.25" customHeight="1" x14ac:dyDescent="0.2">
      <c r="A542" s="1475"/>
      <c r="B542" s="885">
        <v>1.6</v>
      </c>
      <c r="C542" s="885">
        <v>1.6</v>
      </c>
      <c r="D542" s="914" t="s">
        <v>751</v>
      </c>
    </row>
    <row r="543" spans="1:4" s="913" customFormat="1" ht="11.25" customHeight="1" x14ac:dyDescent="0.2">
      <c r="A543" s="1477"/>
      <c r="B543" s="887">
        <v>518.6</v>
      </c>
      <c r="C543" s="887">
        <v>28.6</v>
      </c>
      <c r="D543" s="915" t="s">
        <v>11</v>
      </c>
    </row>
    <row r="544" spans="1:4" s="913" customFormat="1" ht="11.25" customHeight="1" x14ac:dyDescent="0.2">
      <c r="A544" s="1475" t="s">
        <v>856</v>
      </c>
      <c r="B544" s="885">
        <v>250</v>
      </c>
      <c r="C544" s="885">
        <v>104.47200000000001</v>
      </c>
      <c r="D544" s="914" t="s">
        <v>2752</v>
      </c>
    </row>
    <row r="545" spans="1:4" s="913" customFormat="1" ht="11.25" customHeight="1" x14ac:dyDescent="0.2">
      <c r="A545" s="1475"/>
      <c r="B545" s="885">
        <v>6.8</v>
      </c>
      <c r="C545" s="885">
        <v>6.8</v>
      </c>
      <c r="D545" s="914" t="s">
        <v>751</v>
      </c>
    </row>
    <row r="546" spans="1:4" s="913" customFormat="1" ht="11.25" customHeight="1" x14ac:dyDescent="0.2">
      <c r="A546" s="1475"/>
      <c r="B546" s="885">
        <v>256.8</v>
      </c>
      <c r="C546" s="885">
        <v>111.27200000000002</v>
      </c>
      <c r="D546" s="914" t="s">
        <v>11</v>
      </c>
    </row>
    <row r="547" spans="1:4" s="913" customFormat="1" ht="11.25" customHeight="1" x14ac:dyDescent="0.2">
      <c r="A547" s="1476" t="s">
        <v>857</v>
      </c>
      <c r="B547" s="888">
        <v>72</v>
      </c>
      <c r="C547" s="888">
        <v>0</v>
      </c>
      <c r="D547" s="912" t="s">
        <v>2733</v>
      </c>
    </row>
    <row r="548" spans="1:4" s="913" customFormat="1" ht="11.25" customHeight="1" x14ac:dyDescent="0.2">
      <c r="A548" s="1475"/>
      <c r="B548" s="885">
        <v>66</v>
      </c>
      <c r="C548" s="885">
        <v>66</v>
      </c>
      <c r="D548" s="914" t="s">
        <v>2752</v>
      </c>
    </row>
    <row r="549" spans="1:4" s="913" customFormat="1" ht="11.25" customHeight="1" x14ac:dyDescent="0.2">
      <c r="A549" s="1475"/>
      <c r="B549" s="885">
        <v>2.4</v>
      </c>
      <c r="C549" s="885">
        <v>2.4</v>
      </c>
      <c r="D549" s="914" t="s">
        <v>751</v>
      </c>
    </row>
    <row r="550" spans="1:4" s="913" customFormat="1" ht="11.25" customHeight="1" x14ac:dyDescent="0.2">
      <c r="A550" s="1477"/>
      <c r="B550" s="887">
        <v>140.4</v>
      </c>
      <c r="C550" s="887">
        <v>68.400000000000006</v>
      </c>
      <c r="D550" s="915" t="s">
        <v>11</v>
      </c>
    </row>
    <row r="551" spans="1:4" s="913" customFormat="1" ht="11.25" customHeight="1" x14ac:dyDescent="0.2">
      <c r="A551" s="1475" t="s">
        <v>858</v>
      </c>
      <c r="B551" s="885">
        <v>7.7</v>
      </c>
      <c r="C551" s="885">
        <v>7.7039999999999997</v>
      </c>
      <c r="D551" s="914" t="s">
        <v>2733</v>
      </c>
    </row>
    <row r="552" spans="1:4" s="913" customFormat="1" ht="11.25" customHeight="1" x14ac:dyDescent="0.2">
      <c r="A552" s="1475"/>
      <c r="B552" s="885">
        <v>1.9</v>
      </c>
      <c r="C552" s="885">
        <v>1.9</v>
      </c>
      <c r="D552" s="914" t="s">
        <v>751</v>
      </c>
    </row>
    <row r="553" spans="1:4" s="913" customFormat="1" ht="11.25" customHeight="1" x14ac:dyDescent="0.2">
      <c r="A553" s="1475"/>
      <c r="B553" s="885">
        <v>9.6</v>
      </c>
      <c r="C553" s="885">
        <v>9.6039999999999992</v>
      </c>
      <c r="D553" s="914" t="s">
        <v>11</v>
      </c>
    </row>
    <row r="554" spans="1:4" s="913" customFormat="1" ht="11.25" customHeight="1" x14ac:dyDescent="0.2">
      <c r="A554" s="1476" t="s">
        <v>859</v>
      </c>
      <c r="B554" s="888">
        <v>1957.4</v>
      </c>
      <c r="C554" s="888">
        <v>0</v>
      </c>
      <c r="D554" s="912" t="s">
        <v>2757</v>
      </c>
    </row>
    <row r="555" spans="1:4" s="913" customFormat="1" ht="11.25" customHeight="1" x14ac:dyDescent="0.2">
      <c r="A555" s="1475"/>
      <c r="B555" s="885">
        <v>38</v>
      </c>
      <c r="C555" s="885">
        <v>38</v>
      </c>
      <c r="D555" s="914" t="s">
        <v>2770</v>
      </c>
    </row>
    <row r="556" spans="1:4" s="913" customFormat="1" ht="11.25" customHeight="1" x14ac:dyDescent="0.2">
      <c r="A556" s="1475"/>
      <c r="B556" s="885">
        <v>21.51</v>
      </c>
      <c r="C556" s="885">
        <v>21.504999999999999</v>
      </c>
      <c r="D556" s="914" t="s">
        <v>2786</v>
      </c>
    </row>
    <row r="557" spans="1:4" s="913" customFormat="1" ht="11.25" customHeight="1" x14ac:dyDescent="0.2">
      <c r="A557" s="1475"/>
      <c r="B557" s="885">
        <v>3.2</v>
      </c>
      <c r="C557" s="885">
        <v>3.2</v>
      </c>
      <c r="D557" s="914" t="s">
        <v>751</v>
      </c>
    </row>
    <row r="558" spans="1:4" s="913" customFormat="1" ht="11.25" customHeight="1" x14ac:dyDescent="0.2">
      <c r="A558" s="1477"/>
      <c r="B558" s="887">
        <v>2020.1100000000001</v>
      </c>
      <c r="C558" s="887">
        <v>62.704999999999998</v>
      </c>
      <c r="D558" s="915" t="s">
        <v>11</v>
      </c>
    </row>
    <row r="559" spans="1:4" s="913" customFormat="1" ht="11.25" customHeight="1" x14ac:dyDescent="0.2">
      <c r="A559" s="1476" t="s">
        <v>860</v>
      </c>
      <c r="B559" s="888">
        <v>43.74</v>
      </c>
      <c r="C559" s="888">
        <v>32.130000000000003</v>
      </c>
      <c r="D559" s="912" t="s">
        <v>2733</v>
      </c>
    </row>
    <row r="560" spans="1:4" s="913" customFormat="1" ht="11.25" customHeight="1" x14ac:dyDescent="0.2">
      <c r="A560" s="1475"/>
      <c r="B560" s="885">
        <v>1</v>
      </c>
      <c r="C560" s="885">
        <v>1</v>
      </c>
      <c r="D560" s="914" t="s">
        <v>751</v>
      </c>
    </row>
    <row r="561" spans="1:4" s="913" customFormat="1" ht="11.25" customHeight="1" x14ac:dyDescent="0.2">
      <c r="A561" s="1477"/>
      <c r="B561" s="887">
        <v>44.74</v>
      </c>
      <c r="C561" s="887">
        <v>33.130000000000003</v>
      </c>
      <c r="D561" s="915" t="s">
        <v>11</v>
      </c>
    </row>
    <row r="562" spans="1:4" s="913" customFormat="1" ht="11.25" customHeight="1" x14ac:dyDescent="0.2">
      <c r="A562" s="1476" t="s">
        <v>861</v>
      </c>
      <c r="B562" s="888">
        <v>307</v>
      </c>
      <c r="C562" s="888">
        <v>0</v>
      </c>
      <c r="D562" s="912" t="s">
        <v>2736</v>
      </c>
    </row>
    <row r="563" spans="1:4" s="913" customFormat="1" ht="11.25" customHeight="1" x14ac:dyDescent="0.2">
      <c r="A563" s="1475"/>
      <c r="B563" s="885">
        <v>5.5</v>
      </c>
      <c r="C563" s="885">
        <v>5.5</v>
      </c>
      <c r="D563" s="914" t="s">
        <v>751</v>
      </c>
    </row>
    <row r="564" spans="1:4" s="913" customFormat="1" ht="11.25" customHeight="1" x14ac:dyDescent="0.2">
      <c r="A564" s="1477"/>
      <c r="B564" s="887">
        <v>312.5</v>
      </c>
      <c r="C564" s="887">
        <v>5.5</v>
      </c>
      <c r="D564" s="915" t="s">
        <v>11</v>
      </c>
    </row>
    <row r="565" spans="1:4" s="913" customFormat="1" ht="11.25" customHeight="1" x14ac:dyDescent="0.2">
      <c r="A565" s="1475" t="s">
        <v>746</v>
      </c>
      <c r="B565" s="885">
        <v>1410.5</v>
      </c>
      <c r="C565" s="885">
        <v>1271.00657</v>
      </c>
      <c r="D565" s="914" t="s">
        <v>2757</v>
      </c>
    </row>
    <row r="566" spans="1:4" s="913" customFormat="1" ht="11.25" customHeight="1" x14ac:dyDescent="0.2">
      <c r="A566" s="1475"/>
      <c r="B566" s="885">
        <v>61.95</v>
      </c>
      <c r="C566" s="885">
        <v>36.947000000000003</v>
      </c>
      <c r="D566" s="914" t="s">
        <v>2734</v>
      </c>
    </row>
    <row r="567" spans="1:4" s="913" customFormat="1" ht="11.25" customHeight="1" x14ac:dyDescent="0.2">
      <c r="A567" s="1475"/>
      <c r="B567" s="885">
        <v>278</v>
      </c>
      <c r="C567" s="885">
        <v>0</v>
      </c>
      <c r="D567" s="914" t="s">
        <v>2736</v>
      </c>
    </row>
    <row r="568" spans="1:4" s="913" customFormat="1" ht="11.25" customHeight="1" x14ac:dyDescent="0.2">
      <c r="A568" s="1475"/>
      <c r="B568" s="885">
        <v>121.93</v>
      </c>
      <c r="C568" s="885">
        <v>121.931</v>
      </c>
      <c r="D568" s="914" t="s">
        <v>2743</v>
      </c>
    </row>
    <row r="569" spans="1:4" s="913" customFormat="1" ht="11.25" customHeight="1" x14ac:dyDescent="0.2">
      <c r="A569" s="1475"/>
      <c r="B569" s="885">
        <v>300</v>
      </c>
      <c r="C569" s="885">
        <v>0</v>
      </c>
      <c r="D569" s="914" t="s">
        <v>735</v>
      </c>
    </row>
    <row r="570" spans="1:4" s="913" customFormat="1" ht="11.25" customHeight="1" x14ac:dyDescent="0.2">
      <c r="A570" s="1475"/>
      <c r="B570" s="885">
        <v>370.7</v>
      </c>
      <c r="C570" s="885">
        <v>370.7</v>
      </c>
      <c r="D570" s="914" t="s">
        <v>751</v>
      </c>
    </row>
    <row r="571" spans="1:4" s="913" customFormat="1" ht="11.25" customHeight="1" x14ac:dyDescent="0.2">
      <c r="A571" s="1475"/>
      <c r="B571" s="885">
        <v>2543.08</v>
      </c>
      <c r="C571" s="885">
        <v>1800.5845700000002</v>
      </c>
      <c r="D571" s="914" t="s">
        <v>11</v>
      </c>
    </row>
    <row r="572" spans="1:4" s="913" customFormat="1" ht="11.25" customHeight="1" x14ac:dyDescent="0.2">
      <c r="A572" s="1476" t="s">
        <v>862</v>
      </c>
      <c r="B572" s="888">
        <v>82.78</v>
      </c>
      <c r="C572" s="888">
        <v>78.94</v>
      </c>
      <c r="D572" s="912" t="s">
        <v>2733</v>
      </c>
    </row>
    <row r="573" spans="1:4" s="913" customFormat="1" ht="11.25" customHeight="1" x14ac:dyDescent="0.2">
      <c r="A573" s="1475"/>
      <c r="B573" s="885">
        <v>1.6</v>
      </c>
      <c r="C573" s="885">
        <v>1.6</v>
      </c>
      <c r="D573" s="914" t="s">
        <v>751</v>
      </c>
    </row>
    <row r="574" spans="1:4" s="913" customFormat="1" ht="11.25" customHeight="1" x14ac:dyDescent="0.2">
      <c r="A574" s="1477"/>
      <c r="B574" s="887">
        <v>84.38</v>
      </c>
      <c r="C574" s="887">
        <v>80.539999999999992</v>
      </c>
      <c r="D574" s="915" t="s">
        <v>11</v>
      </c>
    </row>
    <row r="575" spans="1:4" s="913" customFormat="1" ht="11.25" customHeight="1" x14ac:dyDescent="0.2">
      <c r="A575" s="1475" t="s">
        <v>863</v>
      </c>
      <c r="B575" s="885">
        <v>4</v>
      </c>
      <c r="C575" s="885">
        <v>4</v>
      </c>
      <c r="D575" s="914" t="s">
        <v>751</v>
      </c>
    </row>
    <row r="576" spans="1:4" s="913" customFormat="1" ht="11.25" customHeight="1" x14ac:dyDescent="0.2">
      <c r="A576" s="1475"/>
      <c r="B576" s="885">
        <v>4</v>
      </c>
      <c r="C576" s="885">
        <v>4</v>
      </c>
      <c r="D576" s="914" t="s">
        <v>11</v>
      </c>
    </row>
    <row r="577" spans="1:4" s="913" customFormat="1" ht="11.25" customHeight="1" x14ac:dyDescent="0.2">
      <c r="A577" s="1476" t="s">
        <v>864</v>
      </c>
      <c r="B577" s="888">
        <v>2642.16</v>
      </c>
      <c r="C577" s="888">
        <v>2226.0289600000001</v>
      </c>
      <c r="D577" s="912" t="s">
        <v>2757</v>
      </c>
    </row>
    <row r="578" spans="1:4" s="913" customFormat="1" ht="11.25" customHeight="1" x14ac:dyDescent="0.2">
      <c r="A578" s="1475"/>
      <c r="B578" s="885">
        <v>250</v>
      </c>
      <c r="C578" s="885">
        <v>250</v>
      </c>
      <c r="D578" s="914" t="s">
        <v>2752</v>
      </c>
    </row>
    <row r="579" spans="1:4" s="913" customFormat="1" ht="11.25" customHeight="1" x14ac:dyDescent="0.2">
      <c r="A579" s="1475"/>
      <c r="B579" s="885">
        <v>1.2</v>
      </c>
      <c r="C579" s="885">
        <v>1.2</v>
      </c>
      <c r="D579" s="914" t="s">
        <v>751</v>
      </c>
    </row>
    <row r="580" spans="1:4" s="913" customFormat="1" ht="11.25" customHeight="1" x14ac:dyDescent="0.2">
      <c r="A580" s="1477"/>
      <c r="B580" s="887">
        <v>2893.3599999999997</v>
      </c>
      <c r="C580" s="887">
        <v>2477.2289599999999</v>
      </c>
      <c r="D580" s="915" t="s">
        <v>11</v>
      </c>
    </row>
    <row r="581" spans="1:4" s="913" customFormat="1" ht="11.25" customHeight="1" x14ac:dyDescent="0.2">
      <c r="A581" s="1475" t="s">
        <v>865</v>
      </c>
      <c r="B581" s="885">
        <v>1.6</v>
      </c>
      <c r="C581" s="885">
        <v>1.5</v>
      </c>
      <c r="D581" s="914" t="s">
        <v>751</v>
      </c>
    </row>
    <row r="582" spans="1:4" s="913" customFormat="1" ht="11.25" customHeight="1" x14ac:dyDescent="0.2">
      <c r="A582" s="1475"/>
      <c r="B582" s="885">
        <v>1.6</v>
      </c>
      <c r="C582" s="885">
        <v>1.5</v>
      </c>
      <c r="D582" s="914" t="s">
        <v>11</v>
      </c>
    </row>
    <row r="583" spans="1:4" s="913" customFormat="1" ht="11.25" customHeight="1" x14ac:dyDescent="0.2">
      <c r="A583" s="1476" t="s">
        <v>866</v>
      </c>
      <c r="B583" s="888">
        <v>1.6</v>
      </c>
      <c r="C583" s="888">
        <v>1.6</v>
      </c>
      <c r="D583" s="912" t="s">
        <v>751</v>
      </c>
    </row>
    <row r="584" spans="1:4" s="913" customFormat="1" ht="11.25" customHeight="1" x14ac:dyDescent="0.2">
      <c r="A584" s="1477"/>
      <c r="B584" s="887">
        <v>1.6</v>
      </c>
      <c r="C584" s="887">
        <v>1.6</v>
      </c>
      <c r="D584" s="915" t="s">
        <v>11</v>
      </c>
    </row>
    <row r="585" spans="1:4" s="913" customFormat="1" ht="11.25" customHeight="1" x14ac:dyDescent="0.2">
      <c r="A585" s="1475" t="s">
        <v>937</v>
      </c>
      <c r="B585" s="885">
        <v>50</v>
      </c>
      <c r="C585" s="885">
        <v>50</v>
      </c>
      <c r="D585" s="914" t="s">
        <v>2740</v>
      </c>
    </row>
    <row r="586" spans="1:4" s="913" customFormat="1" ht="11.25" customHeight="1" x14ac:dyDescent="0.2">
      <c r="A586" s="1475"/>
      <c r="B586" s="885">
        <v>28</v>
      </c>
      <c r="C586" s="885">
        <v>28</v>
      </c>
      <c r="D586" s="914" t="s">
        <v>934</v>
      </c>
    </row>
    <row r="587" spans="1:4" s="913" customFormat="1" ht="11.25" customHeight="1" x14ac:dyDescent="0.2">
      <c r="A587" s="1475"/>
      <c r="B587" s="885">
        <v>78</v>
      </c>
      <c r="C587" s="885">
        <v>78</v>
      </c>
      <c r="D587" s="914" t="s">
        <v>11</v>
      </c>
    </row>
    <row r="588" spans="1:4" s="913" customFormat="1" ht="11.25" customHeight="1" x14ac:dyDescent="0.2">
      <c r="A588" s="1476" t="s">
        <v>2787</v>
      </c>
      <c r="B588" s="888">
        <v>20</v>
      </c>
      <c r="C588" s="888">
        <v>20</v>
      </c>
      <c r="D588" s="912" t="s">
        <v>2740</v>
      </c>
    </row>
    <row r="589" spans="1:4" s="913" customFormat="1" ht="11.25" customHeight="1" x14ac:dyDescent="0.2">
      <c r="A589" s="1477"/>
      <c r="B589" s="887">
        <v>20</v>
      </c>
      <c r="C589" s="887">
        <v>20</v>
      </c>
      <c r="D589" s="915" t="s">
        <v>11</v>
      </c>
    </row>
    <row r="590" spans="1:4" s="913" customFormat="1" ht="11.25" customHeight="1" x14ac:dyDescent="0.2">
      <c r="A590" s="1475" t="s">
        <v>867</v>
      </c>
      <c r="B590" s="885">
        <v>34.020000000000003</v>
      </c>
      <c r="C590" s="885">
        <v>34.020000000000003</v>
      </c>
      <c r="D590" s="914" t="s">
        <v>2752</v>
      </c>
    </row>
    <row r="591" spans="1:4" s="913" customFormat="1" ht="11.25" customHeight="1" x14ac:dyDescent="0.2">
      <c r="A591" s="1475"/>
      <c r="B591" s="885">
        <v>1.2</v>
      </c>
      <c r="C591" s="885">
        <v>1.2</v>
      </c>
      <c r="D591" s="914" t="s">
        <v>751</v>
      </c>
    </row>
    <row r="592" spans="1:4" s="913" customFormat="1" ht="11.25" customHeight="1" x14ac:dyDescent="0.2">
      <c r="A592" s="1475"/>
      <c r="B592" s="885">
        <v>35.220000000000006</v>
      </c>
      <c r="C592" s="885">
        <v>35.220000000000006</v>
      </c>
      <c r="D592" s="914" t="s">
        <v>11</v>
      </c>
    </row>
    <row r="593" spans="1:4" s="913" customFormat="1" ht="11.25" customHeight="1" x14ac:dyDescent="0.2">
      <c r="A593" s="1476" t="s">
        <v>868</v>
      </c>
      <c r="B593" s="888">
        <v>84</v>
      </c>
      <c r="C593" s="888">
        <v>0</v>
      </c>
      <c r="D593" s="912" t="s">
        <v>2736</v>
      </c>
    </row>
    <row r="594" spans="1:4" s="913" customFormat="1" ht="11.25" customHeight="1" x14ac:dyDescent="0.2">
      <c r="A594" s="1475"/>
      <c r="B594" s="885">
        <v>1.6</v>
      </c>
      <c r="C594" s="885">
        <v>0</v>
      </c>
      <c r="D594" s="914" t="s">
        <v>751</v>
      </c>
    </row>
    <row r="595" spans="1:4" s="913" customFormat="1" ht="11.25" customHeight="1" x14ac:dyDescent="0.2">
      <c r="A595" s="1477"/>
      <c r="B595" s="887">
        <v>85.6</v>
      </c>
      <c r="C595" s="887">
        <v>0</v>
      </c>
      <c r="D595" s="915" t="s">
        <v>11</v>
      </c>
    </row>
    <row r="596" spans="1:4" s="913" customFormat="1" ht="11.25" customHeight="1" x14ac:dyDescent="0.2">
      <c r="A596" s="1475" t="s">
        <v>2788</v>
      </c>
      <c r="B596" s="885">
        <v>500</v>
      </c>
      <c r="C596" s="885">
        <v>368.15463999999997</v>
      </c>
      <c r="D596" s="914" t="s">
        <v>2752</v>
      </c>
    </row>
    <row r="597" spans="1:4" s="913" customFormat="1" ht="11.25" customHeight="1" x14ac:dyDescent="0.2">
      <c r="A597" s="1475"/>
      <c r="B597" s="885">
        <v>111.52000000000001</v>
      </c>
      <c r="C597" s="885">
        <v>111.51038000000001</v>
      </c>
      <c r="D597" s="914" t="s">
        <v>2608</v>
      </c>
    </row>
    <row r="598" spans="1:4" s="913" customFormat="1" ht="11.25" customHeight="1" x14ac:dyDescent="0.2">
      <c r="A598" s="1475"/>
      <c r="B598" s="885">
        <v>611.52</v>
      </c>
      <c r="C598" s="885">
        <v>479.66501999999997</v>
      </c>
      <c r="D598" s="914" t="s">
        <v>11</v>
      </c>
    </row>
    <row r="599" spans="1:4" s="913" customFormat="1" ht="11.25" customHeight="1" x14ac:dyDescent="0.2">
      <c r="A599" s="1476" t="s">
        <v>869</v>
      </c>
      <c r="B599" s="888">
        <v>153.09</v>
      </c>
      <c r="C599" s="888">
        <v>153.09</v>
      </c>
      <c r="D599" s="912" t="s">
        <v>2733</v>
      </c>
    </row>
    <row r="600" spans="1:4" s="913" customFormat="1" ht="11.25" customHeight="1" x14ac:dyDescent="0.2">
      <c r="A600" s="1475"/>
      <c r="B600" s="885">
        <v>4132</v>
      </c>
      <c r="C600" s="885">
        <v>4132</v>
      </c>
      <c r="D600" s="914" t="s">
        <v>2735</v>
      </c>
    </row>
    <row r="601" spans="1:4" s="913" customFormat="1" ht="11.25" customHeight="1" x14ac:dyDescent="0.2">
      <c r="A601" s="1475"/>
      <c r="B601" s="885">
        <v>495</v>
      </c>
      <c r="C601" s="885">
        <v>0</v>
      </c>
      <c r="D601" s="914" t="s">
        <v>2736</v>
      </c>
    </row>
    <row r="602" spans="1:4" s="913" customFormat="1" ht="11.25" customHeight="1" x14ac:dyDescent="0.2">
      <c r="A602" s="1475"/>
      <c r="B602" s="885">
        <v>17</v>
      </c>
      <c r="C602" s="885">
        <v>17</v>
      </c>
      <c r="D602" s="914" t="s">
        <v>751</v>
      </c>
    </row>
    <row r="603" spans="1:4" s="913" customFormat="1" ht="11.25" customHeight="1" x14ac:dyDescent="0.2">
      <c r="A603" s="1477"/>
      <c r="B603" s="887">
        <v>4797.09</v>
      </c>
      <c r="C603" s="887">
        <v>4302.09</v>
      </c>
      <c r="D603" s="915" t="s">
        <v>11</v>
      </c>
    </row>
    <row r="604" spans="1:4" s="913" customFormat="1" ht="11.25" customHeight="1" x14ac:dyDescent="0.2">
      <c r="A604" s="1475" t="s">
        <v>870</v>
      </c>
      <c r="B604" s="885">
        <v>10.1</v>
      </c>
      <c r="C604" s="885">
        <v>10.1</v>
      </c>
      <c r="D604" s="914" t="s">
        <v>751</v>
      </c>
    </row>
    <row r="605" spans="1:4" s="913" customFormat="1" ht="11.25" customHeight="1" x14ac:dyDescent="0.2">
      <c r="A605" s="1475"/>
      <c r="B605" s="885">
        <v>10.1</v>
      </c>
      <c r="C605" s="885">
        <v>10.1</v>
      </c>
      <c r="D605" s="914" t="s">
        <v>11</v>
      </c>
    </row>
    <row r="606" spans="1:4" s="913" customFormat="1" ht="11.25" customHeight="1" x14ac:dyDescent="0.2">
      <c r="A606" s="1476" t="s">
        <v>2789</v>
      </c>
      <c r="B606" s="888">
        <v>143.35</v>
      </c>
      <c r="C606" s="888">
        <v>141.75</v>
      </c>
      <c r="D606" s="912" t="s">
        <v>2752</v>
      </c>
    </row>
    <row r="607" spans="1:4" s="913" customFormat="1" ht="11.25" customHeight="1" x14ac:dyDescent="0.2">
      <c r="A607" s="1477"/>
      <c r="B607" s="887">
        <v>143.35</v>
      </c>
      <c r="C607" s="887">
        <v>141.75</v>
      </c>
      <c r="D607" s="915" t="s">
        <v>11</v>
      </c>
    </row>
    <row r="608" spans="1:4" s="913" customFormat="1" ht="11.25" customHeight="1" x14ac:dyDescent="0.2">
      <c r="A608" s="1475" t="s">
        <v>871</v>
      </c>
      <c r="B608" s="885">
        <v>398.98</v>
      </c>
      <c r="C608" s="885">
        <v>249.93</v>
      </c>
      <c r="D608" s="914" t="s">
        <v>2733</v>
      </c>
    </row>
    <row r="609" spans="1:4" s="913" customFormat="1" ht="11.25" customHeight="1" x14ac:dyDescent="0.2">
      <c r="A609" s="1475"/>
      <c r="B609" s="885">
        <v>255</v>
      </c>
      <c r="C609" s="885">
        <v>252.06825000000001</v>
      </c>
      <c r="D609" s="914" t="s">
        <v>2608</v>
      </c>
    </row>
    <row r="610" spans="1:4" s="913" customFormat="1" ht="11.25" customHeight="1" x14ac:dyDescent="0.2">
      <c r="A610" s="1475"/>
      <c r="B610" s="885">
        <v>7.4</v>
      </c>
      <c r="C610" s="885">
        <v>7.4</v>
      </c>
      <c r="D610" s="914" t="s">
        <v>751</v>
      </c>
    </row>
    <row r="611" spans="1:4" s="913" customFormat="1" ht="11.25" customHeight="1" x14ac:dyDescent="0.2">
      <c r="A611" s="1475"/>
      <c r="B611" s="885">
        <v>661.38</v>
      </c>
      <c r="C611" s="885">
        <v>509.39824999999996</v>
      </c>
      <c r="D611" s="914" t="s">
        <v>11</v>
      </c>
    </row>
    <row r="612" spans="1:4" s="913" customFormat="1" ht="11.25" customHeight="1" x14ac:dyDescent="0.2">
      <c r="A612" s="1476" t="s">
        <v>872</v>
      </c>
      <c r="B612" s="888">
        <v>68</v>
      </c>
      <c r="C612" s="888">
        <v>68</v>
      </c>
      <c r="D612" s="912" t="s">
        <v>2752</v>
      </c>
    </row>
    <row r="613" spans="1:4" s="913" customFormat="1" ht="11.25" customHeight="1" x14ac:dyDescent="0.2">
      <c r="A613" s="1475"/>
      <c r="B613" s="885">
        <v>1.6</v>
      </c>
      <c r="C613" s="885">
        <v>1.6</v>
      </c>
      <c r="D613" s="914" t="s">
        <v>751</v>
      </c>
    </row>
    <row r="614" spans="1:4" s="913" customFormat="1" ht="11.25" customHeight="1" x14ac:dyDescent="0.2">
      <c r="A614" s="1477"/>
      <c r="B614" s="887">
        <v>69.599999999999994</v>
      </c>
      <c r="C614" s="887">
        <v>69.599999999999994</v>
      </c>
      <c r="D614" s="915" t="s">
        <v>11</v>
      </c>
    </row>
    <row r="615" spans="1:4" s="913" customFormat="1" ht="11.25" customHeight="1" x14ac:dyDescent="0.2">
      <c r="A615" s="1475" t="s">
        <v>1212</v>
      </c>
      <c r="B615" s="885">
        <v>300</v>
      </c>
      <c r="C615" s="885">
        <v>150</v>
      </c>
      <c r="D615" s="914" t="s">
        <v>1211</v>
      </c>
    </row>
    <row r="616" spans="1:4" s="913" customFormat="1" ht="11.25" customHeight="1" x14ac:dyDescent="0.2">
      <c r="A616" s="1475"/>
      <c r="B616" s="885">
        <v>300</v>
      </c>
      <c r="C616" s="885">
        <v>150</v>
      </c>
      <c r="D616" s="914" t="s">
        <v>11</v>
      </c>
    </row>
    <row r="617" spans="1:4" s="913" customFormat="1" ht="11.25" customHeight="1" x14ac:dyDescent="0.2">
      <c r="A617" s="1476" t="s">
        <v>873</v>
      </c>
      <c r="B617" s="888">
        <v>7.5699999999999994</v>
      </c>
      <c r="C617" s="888">
        <v>7.5541900000000011</v>
      </c>
      <c r="D617" s="912" t="s">
        <v>2608</v>
      </c>
    </row>
    <row r="618" spans="1:4" s="913" customFormat="1" ht="11.25" customHeight="1" x14ac:dyDescent="0.2">
      <c r="A618" s="1475"/>
      <c r="B618" s="885">
        <v>16.8</v>
      </c>
      <c r="C618" s="885">
        <v>16.8</v>
      </c>
      <c r="D618" s="914" t="s">
        <v>751</v>
      </c>
    </row>
    <row r="619" spans="1:4" s="913" customFormat="1" ht="11.25" customHeight="1" x14ac:dyDescent="0.2">
      <c r="A619" s="1477"/>
      <c r="B619" s="887">
        <v>24.37</v>
      </c>
      <c r="C619" s="887">
        <v>24.354190000000003</v>
      </c>
      <c r="D619" s="915" t="s">
        <v>11</v>
      </c>
    </row>
    <row r="620" spans="1:4" s="913" customFormat="1" ht="11.25" customHeight="1" x14ac:dyDescent="0.2">
      <c r="A620" s="1475" t="s">
        <v>747</v>
      </c>
      <c r="B620" s="885">
        <v>300</v>
      </c>
      <c r="C620" s="885">
        <v>300</v>
      </c>
      <c r="D620" s="914" t="s">
        <v>735</v>
      </c>
    </row>
    <row r="621" spans="1:4" s="913" customFormat="1" ht="11.25" customHeight="1" x14ac:dyDescent="0.2">
      <c r="A621" s="1475"/>
      <c r="B621" s="885">
        <v>8</v>
      </c>
      <c r="C621" s="885">
        <v>8</v>
      </c>
      <c r="D621" s="914" t="s">
        <v>751</v>
      </c>
    </row>
    <row r="622" spans="1:4" s="913" customFormat="1" ht="11.25" customHeight="1" x14ac:dyDescent="0.2">
      <c r="A622" s="1475"/>
      <c r="B622" s="885">
        <v>308</v>
      </c>
      <c r="C622" s="885">
        <v>308</v>
      </c>
      <c r="D622" s="914" t="s">
        <v>11</v>
      </c>
    </row>
    <row r="623" spans="1:4" s="913" customFormat="1" ht="11.25" customHeight="1" x14ac:dyDescent="0.2">
      <c r="A623" s="1476" t="s">
        <v>874</v>
      </c>
      <c r="B623" s="888">
        <v>164.49</v>
      </c>
      <c r="C623" s="888">
        <v>164.49</v>
      </c>
      <c r="D623" s="912" t="s">
        <v>2752</v>
      </c>
    </row>
    <row r="624" spans="1:4" s="913" customFormat="1" ht="11.25" customHeight="1" x14ac:dyDescent="0.2">
      <c r="A624" s="1475"/>
      <c r="B624" s="885">
        <v>530</v>
      </c>
      <c r="C624" s="885">
        <v>200</v>
      </c>
      <c r="D624" s="914" t="s">
        <v>2736</v>
      </c>
    </row>
    <row r="625" spans="1:4" s="913" customFormat="1" ht="11.25" customHeight="1" x14ac:dyDescent="0.2">
      <c r="A625" s="1475"/>
      <c r="B625" s="885">
        <v>4.8</v>
      </c>
      <c r="C625" s="885">
        <v>4.8</v>
      </c>
      <c r="D625" s="914" t="s">
        <v>751</v>
      </c>
    </row>
    <row r="626" spans="1:4" s="913" customFormat="1" ht="11.25" customHeight="1" x14ac:dyDescent="0.2">
      <c r="A626" s="1477"/>
      <c r="B626" s="887">
        <v>699.29</v>
      </c>
      <c r="C626" s="887">
        <v>369.29</v>
      </c>
      <c r="D626" s="915" t="s">
        <v>11</v>
      </c>
    </row>
    <row r="627" spans="1:4" s="913" customFormat="1" ht="11.25" customHeight="1" x14ac:dyDescent="0.2">
      <c r="A627" s="1475" t="s">
        <v>1213</v>
      </c>
      <c r="B627" s="885">
        <v>495</v>
      </c>
      <c r="C627" s="885">
        <v>0</v>
      </c>
      <c r="D627" s="914" t="s">
        <v>2736</v>
      </c>
    </row>
    <row r="628" spans="1:4" s="913" customFormat="1" ht="11.25" customHeight="1" x14ac:dyDescent="0.2">
      <c r="A628" s="1475"/>
      <c r="B628" s="885">
        <v>75</v>
      </c>
      <c r="C628" s="885">
        <v>75</v>
      </c>
      <c r="D628" s="914" t="s">
        <v>2738</v>
      </c>
    </row>
    <row r="629" spans="1:4" s="913" customFormat="1" ht="11.25" customHeight="1" x14ac:dyDescent="0.2">
      <c r="A629" s="1475"/>
      <c r="B629" s="885">
        <v>786</v>
      </c>
      <c r="C629" s="885">
        <v>0</v>
      </c>
      <c r="D629" s="914" t="s">
        <v>1211</v>
      </c>
    </row>
    <row r="630" spans="1:4" s="913" customFormat="1" ht="11.25" customHeight="1" x14ac:dyDescent="0.2">
      <c r="A630" s="1475"/>
      <c r="B630" s="885">
        <v>1356</v>
      </c>
      <c r="C630" s="885">
        <v>75</v>
      </c>
      <c r="D630" s="914" t="s">
        <v>11</v>
      </c>
    </row>
    <row r="631" spans="1:4" s="913" customFormat="1" ht="11.25" customHeight="1" x14ac:dyDescent="0.2">
      <c r="A631" s="1476" t="s">
        <v>875</v>
      </c>
      <c r="B631" s="888">
        <v>190</v>
      </c>
      <c r="C631" s="888">
        <v>0</v>
      </c>
      <c r="D631" s="912" t="s">
        <v>2736</v>
      </c>
    </row>
    <row r="632" spans="1:4" s="913" customFormat="1" ht="11.25" customHeight="1" x14ac:dyDescent="0.2">
      <c r="A632" s="1475"/>
      <c r="B632" s="885">
        <v>2.4</v>
      </c>
      <c r="C632" s="885">
        <v>2.4</v>
      </c>
      <c r="D632" s="914" t="s">
        <v>751</v>
      </c>
    </row>
    <row r="633" spans="1:4" s="913" customFormat="1" ht="11.25" customHeight="1" x14ac:dyDescent="0.2">
      <c r="A633" s="1477"/>
      <c r="B633" s="887">
        <v>192.4</v>
      </c>
      <c r="C633" s="887">
        <v>2.4</v>
      </c>
      <c r="D633" s="915" t="s">
        <v>11</v>
      </c>
    </row>
    <row r="634" spans="1:4" s="913" customFormat="1" ht="11.25" customHeight="1" x14ac:dyDescent="0.2">
      <c r="A634" s="1475" t="s">
        <v>876</v>
      </c>
      <c r="B634" s="885">
        <v>12</v>
      </c>
      <c r="C634" s="885">
        <v>12</v>
      </c>
      <c r="D634" s="914" t="s">
        <v>751</v>
      </c>
    </row>
    <row r="635" spans="1:4" s="913" customFormat="1" ht="11.25" customHeight="1" x14ac:dyDescent="0.2">
      <c r="A635" s="1475"/>
      <c r="B635" s="885">
        <v>12</v>
      </c>
      <c r="C635" s="885">
        <v>12</v>
      </c>
      <c r="D635" s="914" t="s">
        <v>11</v>
      </c>
    </row>
    <row r="636" spans="1:4" s="913" customFormat="1" ht="11.25" customHeight="1" x14ac:dyDescent="0.2">
      <c r="A636" s="1476" t="s">
        <v>877</v>
      </c>
      <c r="B636" s="888">
        <v>7</v>
      </c>
      <c r="C636" s="888">
        <v>7</v>
      </c>
      <c r="D636" s="912" t="s">
        <v>751</v>
      </c>
    </row>
    <row r="637" spans="1:4" s="913" customFormat="1" ht="11.25" customHeight="1" x14ac:dyDescent="0.2">
      <c r="A637" s="1477"/>
      <c r="B637" s="887">
        <v>7</v>
      </c>
      <c r="C637" s="887">
        <v>7</v>
      </c>
      <c r="D637" s="915" t="s">
        <v>11</v>
      </c>
    </row>
    <row r="638" spans="1:4" s="913" customFormat="1" ht="11.25" customHeight="1" x14ac:dyDescent="0.2">
      <c r="A638" s="1475" t="s">
        <v>878</v>
      </c>
      <c r="B638" s="885">
        <v>2.4</v>
      </c>
      <c r="C638" s="885">
        <v>2.4</v>
      </c>
      <c r="D638" s="914" t="s">
        <v>751</v>
      </c>
    </row>
    <row r="639" spans="1:4" s="913" customFormat="1" ht="11.25" customHeight="1" x14ac:dyDescent="0.2">
      <c r="A639" s="1475"/>
      <c r="B639" s="885">
        <v>2.4</v>
      </c>
      <c r="C639" s="885">
        <v>2.4</v>
      </c>
      <c r="D639" s="914" t="s">
        <v>11</v>
      </c>
    </row>
    <row r="640" spans="1:4" s="913" customFormat="1" ht="11.25" customHeight="1" x14ac:dyDescent="0.2">
      <c r="A640" s="1476" t="s">
        <v>879</v>
      </c>
      <c r="B640" s="888">
        <v>4940.6000000000004</v>
      </c>
      <c r="C640" s="888">
        <v>3525</v>
      </c>
      <c r="D640" s="912" t="s">
        <v>2757</v>
      </c>
    </row>
    <row r="641" spans="1:4" s="913" customFormat="1" ht="11.25" customHeight="1" x14ac:dyDescent="0.2">
      <c r="A641" s="1475"/>
      <c r="B641" s="885">
        <v>28.8</v>
      </c>
      <c r="C641" s="885">
        <v>27.45</v>
      </c>
      <c r="D641" s="914" t="s">
        <v>2733</v>
      </c>
    </row>
    <row r="642" spans="1:4" s="913" customFormat="1" ht="11.25" customHeight="1" x14ac:dyDescent="0.2">
      <c r="A642" s="1475"/>
      <c r="B642" s="885">
        <v>240</v>
      </c>
      <c r="C642" s="885">
        <v>240</v>
      </c>
      <c r="D642" s="914" t="s">
        <v>2752</v>
      </c>
    </row>
    <row r="643" spans="1:4" s="913" customFormat="1" ht="11.25" customHeight="1" x14ac:dyDescent="0.2">
      <c r="A643" s="1475"/>
      <c r="B643" s="885">
        <v>17.8</v>
      </c>
      <c r="C643" s="885">
        <v>17.8</v>
      </c>
      <c r="D643" s="914" t="s">
        <v>751</v>
      </c>
    </row>
    <row r="644" spans="1:4" s="913" customFormat="1" ht="11.25" customHeight="1" x14ac:dyDescent="0.2">
      <c r="A644" s="1477"/>
      <c r="B644" s="887">
        <v>5227.2000000000007</v>
      </c>
      <c r="C644" s="887">
        <v>3810.25</v>
      </c>
      <c r="D644" s="915" t="s">
        <v>11</v>
      </c>
    </row>
    <row r="645" spans="1:4" s="913" customFormat="1" ht="11.25" customHeight="1" x14ac:dyDescent="0.2">
      <c r="A645" s="1475" t="s">
        <v>880</v>
      </c>
      <c r="B645" s="885">
        <v>32.15</v>
      </c>
      <c r="C645" s="885">
        <v>20.149999999999999</v>
      </c>
      <c r="D645" s="914" t="s">
        <v>2733</v>
      </c>
    </row>
    <row r="646" spans="1:4" s="913" customFormat="1" ht="11.25" customHeight="1" x14ac:dyDescent="0.2">
      <c r="A646" s="1475"/>
      <c r="B646" s="885">
        <v>4.4000000000000004</v>
      </c>
      <c r="C646" s="885">
        <v>4.4000000000000004</v>
      </c>
      <c r="D646" s="914" t="s">
        <v>751</v>
      </c>
    </row>
    <row r="647" spans="1:4" s="913" customFormat="1" ht="11.25" customHeight="1" x14ac:dyDescent="0.2">
      <c r="A647" s="1475"/>
      <c r="B647" s="885">
        <v>36.549999999999997</v>
      </c>
      <c r="C647" s="885">
        <v>24.549999999999997</v>
      </c>
      <c r="D647" s="914" t="s">
        <v>11</v>
      </c>
    </row>
    <row r="648" spans="1:4" s="913" customFormat="1" ht="11.25" customHeight="1" x14ac:dyDescent="0.2">
      <c r="A648" s="1476" t="s">
        <v>881</v>
      </c>
      <c r="B648" s="888">
        <v>23.9</v>
      </c>
      <c r="C648" s="888">
        <v>23.9</v>
      </c>
      <c r="D648" s="912" t="s">
        <v>751</v>
      </c>
    </row>
    <row r="649" spans="1:4" s="913" customFormat="1" ht="11.25" customHeight="1" x14ac:dyDescent="0.2">
      <c r="A649" s="1477"/>
      <c r="B649" s="887">
        <v>23.9</v>
      </c>
      <c r="C649" s="887">
        <v>23.9</v>
      </c>
      <c r="D649" s="915" t="s">
        <v>11</v>
      </c>
    </row>
    <row r="650" spans="1:4" s="913" customFormat="1" ht="11.25" customHeight="1" x14ac:dyDescent="0.2">
      <c r="A650" s="1475" t="s">
        <v>2790</v>
      </c>
      <c r="B650" s="885">
        <v>15</v>
      </c>
      <c r="C650" s="885">
        <v>15</v>
      </c>
      <c r="D650" s="914" t="s">
        <v>2752</v>
      </c>
    </row>
    <row r="651" spans="1:4" s="913" customFormat="1" ht="11.25" customHeight="1" x14ac:dyDescent="0.2">
      <c r="A651" s="1475"/>
      <c r="B651" s="885">
        <v>15</v>
      </c>
      <c r="C651" s="885">
        <v>15</v>
      </c>
      <c r="D651" s="914" t="s">
        <v>11</v>
      </c>
    </row>
    <row r="652" spans="1:4" s="913" customFormat="1" ht="11.25" customHeight="1" x14ac:dyDescent="0.2">
      <c r="A652" s="1476" t="s">
        <v>938</v>
      </c>
      <c r="B652" s="888">
        <v>325</v>
      </c>
      <c r="C652" s="888">
        <v>281.30772999999999</v>
      </c>
      <c r="D652" s="912" t="s">
        <v>2752</v>
      </c>
    </row>
    <row r="653" spans="1:4" s="913" customFormat="1" ht="11.25" customHeight="1" x14ac:dyDescent="0.2">
      <c r="A653" s="1475"/>
      <c r="B653" s="885">
        <v>40</v>
      </c>
      <c r="C653" s="885">
        <v>40</v>
      </c>
      <c r="D653" s="914" t="s">
        <v>934</v>
      </c>
    </row>
    <row r="654" spans="1:4" s="913" customFormat="1" ht="11.25" customHeight="1" x14ac:dyDescent="0.2">
      <c r="A654" s="1477"/>
      <c r="B654" s="887">
        <v>365</v>
      </c>
      <c r="C654" s="887">
        <v>321.30772999999999</v>
      </c>
      <c r="D654" s="915" t="s">
        <v>11</v>
      </c>
    </row>
    <row r="655" spans="1:4" s="913" customFormat="1" ht="11.25" customHeight="1" x14ac:dyDescent="0.2">
      <c r="A655" s="1475" t="s">
        <v>882</v>
      </c>
      <c r="B655" s="885">
        <v>250</v>
      </c>
      <c r="C655" s="885">
        <v>157.00200000000001</v>
      </c>
      <c r="D655" s="914" t="s">
        <v>2752</v>
      </c>
    </row>
    <row r="656" spans="1:4" s="913" customFormat="1" ht="11.25" customHeight="1" x14ac:dyDescent="0.2">
      <c r="A656" s="1475"/>
      <c r="B656" s="885">
        <v>302</v>
      </c>
      <c r="C656" s="885">
        <v>0</v>
      </c>
      <c r="D656" s="914" t="s">
        <v>2736</v>
      </c>
    </row>
    <row r="657" spans="1:4" s="913" customFormat="1" ht="11.25" customHeight="1" x14ac:dyDescent="0.2">
      <c r="A657" s="1475"/>
      <c r="B657" s="885">
        <v>1</v>
      </c>
      <c r="C657" s="885">
        <v>1</v>
      </c>
      <c r="D657" s="914" t="s">
        <v>751</v>
      </c>
    </row>
    <row r="658" spans="1:4" s="913" customFormat="1" ht="11.25" customHeight="1" x14ac:dyDescent="0.2">
      <c r="A658" s="1475"/>
      <c r="B658" s="885">
        <v>553</v>
      </c>
      <c r="C658" s="885">
        <v>158.00200000000001</v>
      </c>
      <c r="D658" s="914" t="s">
        <v>11</v>
      </c>
    </row>
    <row r="659" spans="1:4" s="913" customFormat="1" ht="11.25" customHeight="1" x14ac:dyDescent="0.2">
      <c r="A659" s="1476" t="s">
        <v>939</v>
      </c>
      <c r="B659" s="888">
        <v>499</v>
      </c>
      <c r="C659" s="888">
        <v>0</v>
      </c>
      <c r="D659" s="912" t="s">
        <v>2736</v>
      </c>
    </row>
    <row r="660" spans="1:4" s="913" customFormat="1" ht="11.25" customHeight="1" x14ac:dyDescent="0.2">
      <c r="A660" s="1475"/>
      <c r="B660" s="885">
        <v>40</v>
      </c>
      <c r="C660" s="885">
        <v>40</v>
      </c>
      <c r="D660" s="914" t="s">
        <v>934</v>
      </c>
    </row>
    <row r="661" spans="1:4" s="913" customFormat="1" ht="11.25" customHeight="1" x14ac:dyDescent="0.2">
      <c r="A661" s="1477"/>
      <c r="B661" s="887">
        <v>539</v>
      </c>
      <c r="C661" s="887">
        <v>40</v>
      </c>
      <c r="D661" s="915" t="s">
        <v>11</v>
      </c>
    </row>
    <row r="662" spans="1:4" s="913" customFormat="1" ht="11.25" customHeight="1" x14ac:dyDescent="0.2">
      <c r="A662" s="1475" t="s">
        <v>2791</v>
      </c>
      <c r="B662" s="885">
        <v>121.6</v>
      </c>
      <c r="C662" s="885">
        <v>121.6</v>
      </c>
      <c r="D662" s="914" t="s">
        <v>2752</v>
      </c>
    </row>
    <row r="663" spans="1:4" s="913" customFormat="1" ht="11.25" customHeight="1" x14ac:dyDescent="0.2">
      <c r="A663" s="1475"/>
      <c r="B663" s="885">
        <v>121.6</v>
      </c>
      <c r="C663" s="885">
        <v>121.6</v>
      </c>
      <c r="D663" s="914" t="s">
        <v>11</v>
      </c>
    </row>
    <row r="664" spans="1:4" s="913" customFormat="1" ht="11.25" customHeight="1" x14ac:dyDescent="0.2">
      <c r="A664" s="1476" t="s">
        <v>883</v>
      </c>
      <c r="B664" s="888">
        <v>968.5</v>
      </c>
      <c r="C664" s="888">
        <v>968.5</v>
      </c>
      <c r="D664" s="912" t="s">
        <v>2757</v>
      </c>
    </row>
    <row r="665" spans="1:4" s="913" customFormat="1" ht="11.25" customHeight="1" x14ac:dyDescent="0.2">
      <c r="A665" s="1475"/>
      <c r="B665" s="885">
        <v>124.8</v>
      </c>
      <c r="C665" s="885">
        <v>124.8</v>
      </c>
      <c r="D665" s="914" t="s">
        <v>2733</v>
      </c>
    </row>
    <row r="666" spans="1:4" s="913" customFormat="1" ht="11.25" customHeight="1" x14ac:dyDescent="0.2">
      <c r="A666" s="1475"/>
      <c r="B666" s="885">
        <v>1.2</v>
      </c>
      <c r="C666" s="885">
        <v>1.2</v>
      </c>
      <c r="D666" s="914" t="s">
        <v>751</v>
      </c>
    </row>
    <row r="667" spans="1:4" s="913" customFormat="1" ht="11.25" customHeight="1" x14ac:dyDescent="0.2">
      <c r="A667" s="1477"/>
      <c r="B667" s="887">
        <v>1094.5</v>
      </c>
      <c r="C667" s="887">
        <v>1094.5</v>
      </c>
      <c r="D667" s="915" t="s">
        <v>11</v>
      </c>
    </row>
    <row r="668" spans="1:4" s="913" customFormat="1" ht="11.25" customHeight="1" x14ac:dyDescent="0.2">
      <c r="A668" s="1475" t="s">
        <v>884</v>
      </c>
      <c r="B668" s="885">
        <v>1</v>
      </c>
      <c r="C668" s="885">
        <v>1</v>
      </c>
      <c r="D668" s="914" t="s">
        <v>751</v>
      </c>
    </row>
    <row r="669" spans="1:4" s="913" customFormat="1" ht="11.25" customHeight="1" x14ac:dyDescent="0.2">
      <c r="A669" s="1475"/>
      <c r="B669" s="885">
        <v>1</v>
      </c>
      <c r="C669" s="885">
        <v>1</v>
      </c>
      <c r="D669" s="914" t="s">
        <v>11</v>
      </c>
    </row>
    <row r="670" spans="1:4" s="913" customFormat="1" ht="11.25" customHeight="1" x14ac:dyDescent="0.2">
      <c r="A670" s="1476" t="s">
        <v>885</v>
      </c>
      <c r="B670" s="888">
        <v>250</v>
      </c>
      <c r="C670" s="888">
        <v>125</v>
      </c>
      <c r="D670" s="912" t="s">
        <v>2752</v>
      </c>
    </row>
    <row r="671" spans="1:4" s="913" customFormat="1" ht="11.25" customHeight="1" x14ac:dyDescent="0.2">
      <c r="A671" s="1475"/>
      <c r="B671" s="885">
        <v>500</v>
      </c>
      <c r="C671" s="885">
        <v>0</v>
      </c>
      <c r="D671" s="914" t="s">
        <v>2736</v>
      </c>
    </row>
    <row r="672" spans="1:4" s="913" customFormat="1" ht="11.25" customHeight="1" x14ac:dyDescent="0.2">
      <c r="A672" s="1475"/>
      <c r="B672" s="885">
        <v>92.65</v>
      </c>
      <c r="C672" s="885">
        <v>92.65</v>
      </c>
      <c r="D672" s="914" t="s">
        <v>2748</v>
      </c>
    </row>
    <row r="673" spans="1:4" s="913" customFormat="1" ht="11.25" customHeight="1" x14ac:dyDescent="0.2">
      <c r="A673" s="1475"/>
      <c r="B673" s="885">
        <v>4.8</v>
      </c>
      <c r="C673" s="885">
        <v>4.8</v>
      </c>
      <c r="D673" s="914" t="s">
        <v>751</v>
      </c>
    </row>
    <row r="674" spans="1:4" s="913" customFormat="1" ht="11.25" customHeight="1" x14ac:dyDescent="0.2">
      <c r="A674" s="1477"/>
      <c r="B674" s="887">
        <v>847.44999999999993</v>
      </c>
      <c r="C674" s="887">
        <v>222.45000000000002</v>
      </c>
      <c r="D674" s="915" t="s">
        <v>11</v>
      </c>
    </row>
    <row r="675" spans="1:4" s="913" customFormat="1" ht="11.25" customHeight="1" x14ac:dyDescent="0.2">
      <c r="A675" s="1475" t="s">
        <v>886</v>
      </c>
      <c r="B675" s="885">
        <v>241.05</v>
      </c>
      <c r="C675" s="885">
        <v>241.05199999999999</v>
      </c>
      <c r="D675" s="914" t="s">
        <v>2752</v>
      </c>
    </row>
    <row r="676" spans="1:4" s="913" customFormat="1" ht="11.25" customHeight="1" x14ac:dyDescent="0.2">
      <c r="A676" s="1475"/>
      <c r="B676" s="885">
        <v>3.2</v>
      </c>
      <c r="C676" s="885">
        <v>3.2</v>
      </c>
      <c r="D676" s="914" t="s">
        <v>751</v>
      </c>
    </row>
    <row r="677" spans="1:4" s="913" customFormat="1" ht="11.25" customHeight="1" x14ac:dyDescent="0.2">
      <c r="A677" s="1475"/>
      <c r="B677" s="885">
        <v>244.25</v>
      </c>
      <c r="C677" s="885">
        <v>244.25199999999998</v>
      </c>
      <c r="D677" s="914" t="s">
        <v>11</v>
      </c>
    </row>
    <row r="678" spans="1:4" s="913" customFormat="1" ht="11.25" customHeight="1" x14ac:dyDescent="0.2">
      <c r="A678" s="1476" t="s">
        <v>887</v>
      </c>
      <c r="B678" s="888">
        <v>3.5</v>
      </c>
      <c r="C678" s="888">
        <v>3.5</v>
      </c>
      <c r="D678" s="912" t="s">
        <v>751</v>
      </c>
    </row>
    <row r="679" spans="1:4" s="913" customFormat="1" ht="11.25" customHeight="1" x14ac:dyDescent="0.2">
      <c r="A679" s="1477"/>
      <c r="B679" s="887">
        <v>3.5</v>
      </c>
      <c r="C679" s="887">
        <v>3.5</v>
      </c>
      <c r="D679" s="915" t="s">
        <v>11</v>
      </c>
    </row>
    <row r="680" spans="1:4" s="913" customFormat="1" ht="11.25" customHeight="1" x14ac:dyDescent="0.2">
      <c r="A680" s="1475" t="s">
        <v>888</v>
      </c>
      <c r="B680" s="885">
        <v>250</v>
      </c>
      <c r="C680" s="885">
        <v>250</v>
      </c>
      <c r="D680" s="914" t="s">
        <v>2752</v>
      </c>
    </row>
    <row r="681" spans="1:4" s="913" customFormat="1" ht="11.25" customHeight="1" x14ac:dyDescent="0.2">
      <c r="A681" s="1475"/>
      <c r="B681" s="885">
        <v>1.2</v>
      </c>
      <c r="C681" s="885">
        <v>1.2</v>
      </c>
      <c r="D681" s="914" t="s">
        <v>751</v>
      </c>
    </row>
    <row r="682" spans="1:4" s="913" customFormat="1" ht="11.25" customHeight="1" x14ac:dyDescent="0.2">
      <c r="A682" s="1475"/>
      <c r="B682" s="885">
        <v>251.2</v>
      </c>
      <c r="C682" s="885">
        <v>251.2</v>
      </c>
      <c r="D682" s="914" t="s">
        <v>11</v>
      </c>
    </row>
    <row r="683" spans="1:4" s="913" customFormat="1" ht="11.25" customHeight="1" x14ac:dyDescent="0.2">
      <c r="A683" s="1476" t="s">
        <v>889</v>
      </c>
      <c r="B683" s="888">
        <v>1.2</v>
      </c>
      <c r="C683" s="888">
        <v>1.2</v>
      </c>
      <c r="D683" s="912" t="s">
        <v>751</v>
      </c>
    </row>
    <row r="684" spans="1:4" s="913" customFormat="1" ht="11.25" customHeight="1" x14ac:dyDescent="0.2">
      <c r="A684" s="1477"/>
      <c r="B684" s="887">
        <v>1.2</v>
      </c>
      <c r="C684" s="887">
        <v>1.2</v>
      </c>
      <c r="D684" s="915" t="s">
        <v>11</v>
      </c>
    </row>
    <row r="685" spans="1:4" s="913" customFormat="1" ht="11.25" customHeight="1" x14ac:dyDescent="0.2">
      <c r="A685" s="1475" t="s">
        <v>890</v>
      </c>
      <c r="B685" s="885">
        <v>201.57999999999998</v>
      </c>
      <c r="C685" s="885">
        <v>194.21</v>
      </c>
      <c r="D685" s="914" t="s">
        <v>2733</v>
      </c>
    </row>
    <row r="686" spans="1:4" s="913" customFormat="1" ht="11.25" customHeight="1" x14ac:dyDescent="0.2">
      <c r="A686" s="1475"/>
      <c r="B686" s="885">
        <v>12.5</v>
      </c>
      <c r="C686" s="885">
        <v>12.5</v>
      </c>
      <c r="D686" s="914" t="s">
        <v>751</v>
      </c>
    </row>
    <row r="687" spans="1:4" s="913" customFormat="1" ht="11.25" customHeight="1" x14ac:dyDescent="0.2">
      <c r="A687" s="1475"/>
      <c r="B687" s="885">
        <v>214.07999999999998</v>
      </c>
      <c r="C687" s="885">
        <v>206.71</v>
      </c>
      <c r="D687" s="914" t="s">
        <v>11</v>
      </c>
    </row>
    <row r="688" spans="1:4" s="913" customFormat="1" ht="11.25" customHeight="1" x14ac:dyDescent="0.2">
      <c r="A688" s="1476" t="s">
        <v>891</v>
      </c>
      <c r="B688" s="888">
        <v>3095</v>
      </c>
      <c r="C688" s="888">
        <v>3095</v>
      </c>
      <c r="D688" s="912" t="s">
        <v>2735</v>
      </c>
    </row>
    <row r="689" spans="1:4" s="913" customFormat="1" ht="11.25" customHeight="1" x14ac:dyDescent="0.2">
      <c r="A689" s="1475"/>
      <c r="B689" s="885">
        <v>500</v>
      </c>
      <c r="C689" s="885">
        <v>0</v>
      </c>
      <c r="D689" s="914" t="s">
        <v>2736</v>
      </c>
    </row>
    <row r="690" spans="1:4" s="913" customFormat="1" ht="11.25" customHeight="1" x14ac:dyDescent="0.2">
      <c r="A690" s="1475"/>
      <c r="B690" s="885">
        <v>2</v>
      </c>
      <c r="C690" s="885">
        <v>2</v>
      </c>
      <c r="D690" s="914" t="s">
        <v>751</v>
      </c>
    </row>
    <row r="691" spans="1:4" s="913" customFormat="1" ht="11.25" customHeight="1" x14ac:dyDescent="0.2">
      <c r="A691" s="1477"/>
      <c r="B691" s="887">
        <v>3597</v>
      </c>
      <c r="C691" s="887">
        <v>3097</v>
      </c>
      <c r="D691" s="915" t="s">
        <v>11</v>
      </c>
    </row>
    <row r="692" spans="1:4" s="913" customFormat="1" ht="11.25" customHeight="1" x14ac:dyDescent="0.2">
      <c r="A692" s="1475" t="s">
        <v>892</v>
      </c>
      <c r="B692" s="885">
        <v>152.69999999999999</v>
      </c>
      <c r="C692" s="885">
        <v>152.69999999999999</v>
      </c>
      <c r="D692" s="914" t="s">
        <v>2743</v>
      </c>
    </row>
    <row r="693" spans="1:4" s="913" customFormat="1" ht="11.25" customHeight="1" x14ac:dyDescent="0.2">
      <c r="A693" s="1475"/>
      <c r="B693" s="885">
        <v>5</v>
      </c>
      <c r="C693" s="885">
        <v>5</v>
      </c>
      <c r="D693" s="914" t="s">
        <v>751</v>
      </c>
    </row>
    <row r="694" spans="1:4" s="913" customFormat="1" ht="11.25" customHeight="1" x14ac:dyDescent="0.2">
      <c r="A694" s="1475"/>
      <c r="B694" s="885">
        <v>157.69999999999999</v>
      </c>
      <c r="C694" s="885">
        <v>157.69999999999999</v>
      </c>
      <c r="D694" s="914" t="s">
        <v>11</v>
      </c>
    </row>
    <row r="695" spans="1:4" s="913" customFormat="1" ht="11.25" customHeight="1" x14ac:dyDescent="0.2">
      <c r="A695" s="1476" t="s">
        <v>2792</v>
      </c>
      <c r="B695" s="888">
        <v>135</v>
      </c>
      <c r="C695" s="888">
        <v>135</v>
      </c>
      <c r="D695" s="912" t="s">
        <v>2752</v>
      </c>
    </row>
    <row r="696" spans="1:4" s="913" customFormat="1" ht="11.25" customHeight="1" x14ac:dyDescent="0.2">
      <c r="A696" s="1475"/>
      <c r="B696" s="885">
        <v>100</v>
      </c>
      <c r="C696" s="885">
        <v>100</v>
      </c>
      <c r="D696" s="914" t="s">
        <v>2765</v>
      </c>
    </row>
    <row r="697" spans="1:4" s="913" customFormat="1" ht="11.25" customHeight="1" x14ac:dyDescent="0.2">
      <c r="A697" s="1477"/>
      <c r="B697" s="887">
        <v>235</v>
      </c>
      <c r="C697" s="887">
        <v>235</v>
      </c>
      <c r="D697" s="915" t="s">
        <v>11</v>
      </c>
    </row>
    <row r="698" spans="1:4" s="913" customFormat="1" ht="11.25" customHeight="1" x14ac:dyDescent="0.2">
      <c r="A698" s="1475" t="s">
        <v>2793</v>
      </c>
      <c r="B698" s="885">
        <v>345</v>
      </c>
      <c r="C698" s="885">
        <v>0</v>
      </c>
      <c r="D698" s="914" t="s">
        <v>2736</v>
      </c>
    </row>
    <row r="699" spans="1:4" s="913" customFormat="1" ht="11.25" customHeight="1" x14ac:dyDescent="0.2">
      <c r="A699" s="1475"/>
      <c r="B699" s="885">
        <v>345</v>
      </c>
      <c r="C699" s="885">
        <v>0</v>
      </c>
      <c r="D699" s="914" t="s">
        <v>11</v>
      </c>
    </row>
    <row r="700" spans="1:4" s="913" customFormat="1" ht="11.25" customHeight="1" x14ac:dyDescent="0.2">
      <c r="A700" s="1476" t="s">
        <v>2794</v>
      </c>
      <c r="B700" s="888">
        <v>250</v>
      </c>
      <c r="C700" s="888">
        <v>250</v>
      </c>
      <c r="D700" s="912" t="s">
        <v>2752</v>
      </c>
    </row>
    <row r="701" spans="1:4" s="913" customFormat="1" ht="11.25" customHeight="1" x14ac:dyDescent="0.2">
      <c r="A701" s="1477"/>
      <c r="B701" s="887">
        <v>250</v>
      </c>
      <c r="C701" s="887">
        <v>250</v>
      </c>
      <c r="D701" s="915" t="s">
        <v>11</v>
      </c>
    </row>
    <row r="702" spans="1:4" s="913" customFormat="1" ht="11.25" customHeight="1" x14ac:dyDescent="0.2">
      <c r="A702" s="1475" t="s">
        <v>893</v>
      </c>
      <c r="B702" s="885">
        <v>7.7</v>
      </c>
      <c r="C702" s="885">
        <v>7.7</v>
      </c>
      <c r="D702" s="914" t="s">
        <v>751</v>
      </c>
    </row>
    <row r="703" spans="1:4" s="913" customFormat="1" ht="11.25" customHeight="1" x14ac:dyDescent="0.2">
      <c r="A703" s="1475"/>
      <c r="B703" s="885">
        <v>7.7</v>
      </c>
      <c r="C703" s="885">
        <v>7.7</v>
      </c>
      <c r="D703" s="914" t="s">
        <v>11</v>
      </c>
    </row>
    <row r="704" spans="1:4" s="913" customFormat="1" ht="11.25" customHeight="1" x14ac:dyDescent="0.2">
      <c r="A704" s="1476" t="s">
        <v>894</v>
      </c>
      <c r="B704" s="888">
        <v>250</v>
      </c>
      <c r="C704" s="888">
        <v>250</v>
      </c>
      <c r="D704" s="912" t="s">
        <v>2752</v>
      </c>
    </row>
    <row r="705" spans="1:4" s="913" customFormat="1" ht="11.25" customHeight="1" x14ac:dyDescent="0.2">
      <c r="A705" s="1475"/>
      <c r="B705" s="885">
        <v>22.2</v>
      </c>
      <c r="C705" s="885">
        <v>22.2</v>
      </c>
      <c r="D705" s="914" t="s">
        <v>751</v>
      </c>
    </row>
    <row r="706" spans="1:4" s="913" customFormat="1" ht="11.25" customHeight="1" x14ac:dyDescent="0.2">
      <c r="A706" s="1477"/>
      <c r="B706" s="887">
        <v>272.2</v>
      </c>
      <c r="C706" s="887">
        <v>272.2</v>
      </c>
      <c r="D706" s="915" t="s">
        <v>11</v>
      </c>
    </row>
    <row r="707" spans="1:4" s="913" customFormat="1" ht="11.25" customHeight="1" x14ac:dyDescent="0.2">
      <c r="A707" s="1475" t="s">
        <v>1037</v>
      </c>
      <c r="B707" s="885">
        <v>58</v>
      </c>
      <c r="C707" s="885">
        <v>0</v>
      </c>
      <c r="D707" s="914" t="s">
        <v>2736</v>
      </c>
    </row>
    <row r="708" spans="1:4" s="913" customFormat="1" ht="11.25" customHeight="1" x14ac:dyDescent="0.2">
      <c r="A708" s="1475"/>
      <c r="B708" s="885">
        <v>206.86</v>
      </c>
      <c r="C708" s="885">
        <v>206.86</v>
      </c>
      <c r="D708" s="914" t="s">
        <v>1030</v>
      </c>
    </row>
    <row r="709" spans="1:4" s="913" customFormat="1" ht="11.25" customHeight="1" x14ac:dyDescent="0.2">
      <c r="A709" s="1475"/>
      <c r="B709" s="885">
        <v>264.86</v>
      </c>
      <c r="C709" s="885">
        <v>206.86</v>
      </c>
      <c r="D709" s="914" t="s">
        <v>11</v>
      </c>
    </row>
    <row r="710" spans="1:4" s="913" customFormat="1" ht="11.25" customHeight="1" x14ac:dyDescent="0.2">
      <c r="A710" s="1476" t="s">
        <v>2795</v>
      </c>
      <c r="B710" s="888">
        <v>39.380000000000003</v>
      </c>
      <c r="C710" s="888">
        <v>39.1</v>
      </c>
      <c r="D710" s="912" t="s">
        <v>2733</v>
      </c>
    </row>
    <row r="711" spans="1:4" s="913" customFormat="1" ht="11.25" customHeight="1" x14ac:dyDescent="0.2">
      <c r="A711" s="1475"/>
      <c r="B711" s="885">
        <v>276</v>
      </c>
      <c r="C711" s="885">
        <v>0</v>
      </c>
      <c r="D711" s="914" t="s">
        <v>2736</v>
      </c>
    </row>
    <row r="712" spans="1:4" s="913" customFormat="1" ht="11.25" customHeight="1" x14ac:dyDescent="0.2">
      <c r="A712" s="1477"/>
      <c r="B712" s="887">
        <v>315.38</v>
      </c>
      <c r="C712" s="887">
        <v>39.1</v>
      </c>
      <c r="D712" s="915" t="s">
        <v>11</v>
      </c>
    </row>
    <row r="713" spans="1:4" s="913" customFormat="1" ht="11.25" customHeight="1" x14ac:dyDescent="0.2">
      <c r="A713" s="1475" t="s">
        <v>2796</v>
      </c>
      <c r="B713" s="885">
        <v>5.2</v>
      </c>
      <c r="C713" s="885">
        <v>5.2</v>
      </c>
      <c r="D713" s="914" t="s">
        <v>751</v>
      </c>
    </row>
    <row r="714" spans="1:4" s="913" customFormat="1" ht="11.25" customHeight="1" x14ac:dyDescent="0.2">
      <c r="A714" s="1475"/>
      <c r="B714" s="885">
        <v>5.2</v>
      </c>
      <c r="C714" s="885">
        <v>5.2</v>
      </c>
      <c r="D714" s="914" t="s">
        <v>11</v>
      </c>
    </row>
    <row r="715" spans="1:4" s="913" customFormat="1" ht="11.25" customHeight="1" x14ac:dyDescent="0.2">
      <c r="A715" s="1476" t="s">
        <v>2797</v>
      </c>
      <c r="B715" s="888">
        <v>152.80000000000001</v>
      </c>
      <c r="C715" s="888">
        <v>0</v>
      </c>
      <c r="D715" s="912" t="s">
        <v>2752</v>
      </c>
    </row>
    <row r="716" spans="1:4" s="913" customFormat="1" ht="11.25" customHeight="1" x14ac:dyDescent="0.2">
      <c r="A716" s="1477"/>
      <c r="B716" s="887">
        <v>152.80000000000001</v>
      </c>
      <c r="C716" s="887">
        <v>0</v>
      </c>
      <c r="D716" s="915" t="s">
        <v>11</v>
      </c>
    </row>
    <row r="717" spans="1:4" s="913" customFormat="1" ht="11.25" customHeight="1" x14ac:dyDescent="0.2">
      <c r="A717" s="1475" t="s">
        <v>896</v>
      </c>
      <c r="B717" s="885">
        <v>316.35000000000002</v>
      </c>
      <c r="C717" s="885">
        <v>299.25</v>
      </c>
      <c r="D717" s="914" t="s">
        <v>2733</v>
      </c>
    </row>
    <row r="718" spans="1:4" s="913" customFormat="1" ht="11.25" customHeight="1" x14ac:dyDescent="0.2">
      <c r="A718" s="1475"/>
      <c r="B718" s="885">
        <v>195.4</v>
      </c>
      <c r="C718" s="885">
        <v>195.4</v>
      </c>
      <c r="D718" s="914" t="s">
        <v>751</v>
      </c>
    </row>
    <row r="719" spans="1:4" s="913" customFormat="1" ht="11.25" customHeight="1" x14ac:dyDescent="0.2">
      <c r="A719" s="1475"/>
      <c r="B719" s="885">
        <v>511.75</v>
      </c>
      <c r="C719" s="885">
        <v>494.65</v>
      </c>
      <c r="D719" s="914" t="s">
        <v>11</v>
      </c>
    </row>
    <row r="720" spans="1:4" s="913" customFormat="1" ht="11.25" customHeight="1" x14ac:dyDescent="0.2">
      <c r="A720" s="1476" t="s">
        <v>940</v>
      </c>
      <c r="B720" s="888">
        <v>40</v>
      </c>
      <c r="C720" s="888">
        <v>40</v>
      </c>
      <c r="D720" s="912" t="s">
        <v>934</v>
      </c>
    </row>
    <row r="721" spans="1:4" s="913" customFormat="1" ht="11.25" customHeight="1" x14ac:dyDescent="0.2">
      <c r="A721" s="1477"/>
      <c r="B721" s="887">
        <v>40</v>
      </c>
      <c r="C721" s="887">
        <v>40</v>
      </c>
      <c r="D721" s="915" t="s">
        <v>11</v>
      </c>
    </row>
    <row r="722" spans="1:4" s="913" customFormat="1" ht="11.25" customHeight="1" x14ac:dyDescent="0.2">
      <c r="A722" s="1475" t="s">
        <v>897</v>
      </c>
      <c r="B722" s="885">
        <v>3.6</v>
      </c>
      <c r="C722" s="885">
        <v>3.6</v>
      </c>
      <c r="D722" s="914" t="s">
        <v>751</v>
      </c>
    </row>
    <row r="723" spans="1:4" s="913" customFormat="1" ht="11.25" customHeight="1" x14ac:dyDescent="0.2">
      <c r="A723" s="1475"/>
      <c r="B723" s="885">
        <v>3.6</v>
      </c>
      <c r="C723" s="885">
        <v>3.6</v>
      </c>
      <c r="D723" s="914" t="s">
        <v>11</v>
      </c>
    </row>
    <row r="724" spans="1:4" s="913" customFormat="1" ht="11.25" customHeight="1" x14ac:dyDescent="0.2">
      <c r="A724" s="1476" t="s">
        <v>898</v>
      </c>
      <c r="B724" s="888">
        <v>101.4</v>
      </c>
      <c r="C724" s="888">
        <v>101.4</v>
      </c>
      <c r="D724" s="912" t="s">
        <v>2748</v>
      </c>
    </row>
    <row r="725" spans="1:4" s="913" customFormat="1" ht="11.25" customHeight="1" x14ac:dyDescent="0.2">
      <c r="A725" s="1475"/>
      <c r="B725" s="885">
        <v>3.2</v>
      </c>
      <c r="C725" s="885">
        <v>3.2</v>
      </c>
      <c r="D725" s="914" t="s">
        <v>751</v>
      </c>
    </row>
    <row r="726" spans="1:4" s="913" customFormat="1" ht="11.25" customHeight="1" x14ac:dyDescent="0.2">
      <c r="A726" s="1475"/>
      <c r="B726" s="885">
        <v>150</v>
      </c>
      <c r="C726" s="885">
        <v>149.71299999999999</v>
      </c>
      <c r="D726" s="914" t="s">
        <v>978</v>
      </c>
    </row>
    <row r="727" spans="1:4" s="913" customFormat="1" ht="11.25" customHeight="1" x14ac:dyDescent="0.2">
      <c r="A727" s="1477"/>
      <c r="B727" s="887">
        <v>254.60000000000002</v>
      </c>
      <c r="C727" s="887">
        <v>254.31300000000002</v>
      </c>
      <c r="D727" s="915" t="s">
        <v>11</v>
      </c>
    </row>
    <row r="728" spans="1:4" s="913" customFormat="1" ht="11.25" customHeight="1" x14ac:dyDescent="0.2">
      <c r="A728" s="1475" t="s">
        <v>899</v>
      </c>
      <c r="B728" s="885">
        <v>3.2</v>
      </c>
      <c r="C728" s="885">
        <v>3.2</v>
      </c>
      <c r="D728" s="914" t="s">
        <v>751</v>
      </c>
    </row>
    <row r="729" spans="1:4" s="913" customFormat="1" ht="11.25" customHeight="1" x14ac:dyDescent="0.2">
      <c r="A729" s="1475"/>
      <c r="B729" s="885">
        <v>3.2</v>
      </c>
      <c r="C729" s="885">
        <v>3.2</v>
      </c>
      <c r="D729" s="914" t="s">
        <v>11</v>
      </c>
    </row>
    <row r="730" spans="1:4" s="913" customFormat="1" ht="11.25" customHeight="1" x14ac:dyDescent="0.2">
      <c r="A730" s="1476" t="s">
        <v>2798</v>
      </c>
      <c r="B730" s="888">
        <v>272</v>
      </c>
      <c r="C730" s="888">
        <v>0</v>
      </c>
      <c r="D730" s="912" t="s">
        <v>2736</v>
      </c>
    </row>
    <row r="731" spans="1:4" s="913" customFormat="1" ht="11.25" customHeight="1" x14ac:dyDescent="0.2">
      <c r="A731" s="1477"/>
      <c r="B731" s="887">
        <v>272</v>
      </c>
      <c r="C731" s="887">
        <v>0</v>
      </c>
      <c r="D731" s="915" t="s">
        <v>11</v>
      </c>
    </row>
    <row r="732" spans="1:4" s="913" customFormat="1" ht="11.25" customHeight="1" x14ac:dyDescent="0.2">
      <c r="A732" s="1475" t="s">
        <v>941</v>
      </c>
      <c r="B732" s="885">
        <v>40</v>
      </c>
      <c r="C732" s="885">
        <v>40</v>
      </c>
      <c r="D732" s="914" t="s">
        <v>934</v>
      </c>
    </row>
    <row r="733" spans="1:4" s="913" customFormat="1" ht="11.25" customHeight="1" x14ac:dyDescent="0.2">
      <c r="A733" s="1475"/>
      <c r="B733" s="885">
        <v>40</v>
      </c>
      <c r="C733" s="885">
        <v>40</v>
      </c>
      <c r="D733" s="914" t="s">
        <v>11</v>
      </c>
    </row>
    <row r="734" spans="1:4" s="913" customFormat="1" ht="11.25" customHeight="1" x14ac:dyDescent="0.2">
      <c r="A734" s="1476" t="s">
        <v>2799</v>
      </c>
      <c r="B734" s="888">
        <v>250</v>
      </c>
      <c r="C734" s="888">
        <v>203.75531000000001</v>
      </c>
      <c r="D734" s="912" t="s">
        <v>2752</v>
      </c>
    </row>
    <row r="735" spans="1:4" s="913" customFormat="1" ht="11.25" customHeight="1" x14ac:dyDescent="0.2">
      <c r="A735" s="1477"/>
      <c r="B735" s="887">
        <v>250</v>
      </c>
      <c r="C735" s="887">
        <v>203.75531000000001</v>
      </c>
      <c r="D735" s="915" t="s">
        <v>11</v>
      </c>
    </row>
    <row r="736" spans="1:4" s="913" customFormat="1" ht="11.25" customHeight="1" x14ac:dyDescent="0.2">
      <c r="A736" s="1475" t="s">
        <v>900</v>
      </c>
      <c r="B736" s="885">
        <v>221.15</v>
      </c>
      <c r="C736" s="885">
        <v>214.48600000000002</v>
      </c>
      <c r="D736" s="914" t="s">
        <v>2733</v>
      </c>
    </row>
    <row r="737" spans="1:4" s="913" customFormat="1" ht="11.25" customHeight="1" x14ac:dyDescent="0.2">
      <c r="A737" s="1475"/>
      <c r="B737" s="885">
        <v>186.9</v>
      </c>
      <c r="C737" s="885">
        <v>186.9</v>
      </c>
      <c r="D737" s="914" t="s">
        <v>751</v>
      </c>
    </row>
    <row r="738" spans="1:4" s="913" customFormat="1" ht="11.25" customHeight="1" x14ac:dyDescent="0.2">
      <c r="A738" s="1477"/>
      <c r="B738" s="887">
        <v>408.05</v>
      </c>
      <c r="C738" s="887">
        <v>401.38600000000002</v>
      </c>
      <c r="D738" s="915" t="s">
        <v>11</v>
      </c>
    </row>
    <row r="739" spans="1:4" s="913" customFormat="1" ht="11.25" customHeight="1" x14ac:dyDescent="0.2">
      <c r="A739" s="1476" t="s">
        <v>942</v>
      </c>
      <c r="B739" s="888">
        <v>113.9</v>
      </c>
      <c r="C739" s="888">
        <v>113.9</v>
      </c>
      <c r="D739" s="912" t="s">
        <v>2752</v>
      </c>
    </row>
    <row r="740" spans="1:4" s="913" customFormat="1" ht="11.25" customHeight="1" x14ac:dyDescent="0.2">
      <c r="A740" s="1475"/>
      <c r="B740" s="885">
        <v>12</v>
      </c>
      <c r="C740" s="885">
        <v>12</v>
      </c>
      <c r="D740" s="914" t="s">
        <v>934</v>
      </c>
    </row>
    <row r="741" spans="1:4" s="913" customFormat="1" ht="11.25" customHeight="1" x14ac:dyDescent="0.2">
      <c r="A741" s="1477"/>
      <c r="B741" s="887">
        <v>125.9</v>
      </c>
      <c r="C741" s="887">
        <v>125.9</v>
      </c>
      <c r="D741" s="915" t="s">
        <v>11</v>
      </c>
    </row>
    <row r="742" spans="1:4" s="913" customFormat="1" ht="11.25" customHeight="1" x14ac:dyDescent="0.2">
      <c r="A742" s="1475" t="s">
        <v>2800</v>
      </c>
      <c r="B742" s="885">
        <v>238</v>
      </c>
      <c r="C742" s="885">
        <v>0</v>
      </c>
      <c r="D742" s="914" t="s">
        <v>2736</v>
      </c>
    </row>
    <row r="743" spans="1:4" s="913" customFormat="1" ht="11.25" customHeight="1" x14ac:dyDescent="0.2">
      <c r="A743" s="1475"/>
      <c r="B743" s="885">
        <v>238</v>
      </c>
      <c r="C743" s="885">
        <v>0</v>
      </c>
      <c r="D743" s="914" t="s">
        <v>11</v>
      </c>
    </row>
    <row r="744" spans="1:4" s="913" customFormat="1" ht="11.25" customHeight="1" x14ac:dyDescent="0.2">
      <c r="A744" s="1476" t="s">
        <v>901</v>
      </c>
      <c r="B744" s="888">
        <v>262</v>
      </c>
      <c r="C744" s="888">
        <v>0</v>
      </c>
      <c r="D744" s="912" t="s">
        <v>2736</v>
      </c>
    </row>
    <row r="745" spans="1:4" s="913" customFormat="1" ht="11.25" customHeight="1" x14ac:dyDescent="0.2">
      <c r="A745" s="1475"/>
      <c r="B745" s="885">
        <v>7.2</v>
      </c>
      <c r="C745" s="885">
        <v>7.2</v>
      </c>
      <c r="D745" s="914" t="s">
        <v>751</v>
      </c>
    </row>
    <row r="746" spans="1:4" s="913" customFormat="1" ht="11.25" customHeight="1" x14ac:dyDescent="0.2">
      <c r="A746" s="1477"/>
      <c r="B746" s="887">
        <v>269.2</v>
      </c>
      <c r="C746" s="887">
        <v>7.2</v>
      </c>
      <c r="D746" s="915" t="s">
        <v>11</v>
      </c>
    </row>
    <row r="747" spans="1:4" s="913" customFormat="1" ht="11.25" customHeight="1" x14ac:dyDescent="0.2">
      <c r="A747" s="1476" t="s">
        <v>902</v>
      </c>
      <c r="B747" s="888">
        <v>43.86</v>
      </c>
      <c r="C747" s="888">
        <v>25.65</v>
      </c>
      <c r="D747" s="912" t="s">
        <v>2733</v>
      </c>
    </row>
    <row r="748" spans="1:4" s="913" customFormat="1" ht="11.25" customHeight="1" x14ac:dyDescent="0.2">
      <c r="A748" s="1475"/>
      <c r="B748" s="885">
        <v>2.4</v>
      </c>
      <c r="C748" s="885">
        <v>2.4</v>
      </c>
      <c r="D748" s="914" t="s">
        <v>751</v>
      </c>
    </row>
    <row r="749" spans="1:4" s="913" customFormat="1" ht="11.25" customHeight="1" x14ac:dyDescent="0.2">
      <c r="A749" s="1477"/>
      <c r="B749" s="887">
        <v>46.26</v>
      </c>
      <c r="C749" s="887">
        <v>28.049999999999997</v>
      </c>
      <c r="D749" s="915" t="s">
        <v>11</v>
      </c>
    </row>
    <row r="750" spans="1:4" s="913" customFormat="1" ht="11.25" customHeight="1" x14ac:dyDescent="0.2">
      <c r="A750" s="1476" t="s">
        <v>2801</v>
      </c>
      <c r="B750" s="888">
        <v>63.89</v>
      </c>
      <c r="C750" s="888">
        <v>63.880600000000001</v>
      </c>
      <c r="D750" s="912" t="s">
        <v>2608</v>
      </c>
    </row>
    <row r="751" spans="1:4" s="913" customFormat="1" ht="11.25" customHeight="1" x14ac:dyDescent="0.2">
      <c r="A751" s="1477"/>
      <c r="B751" s="887">
        <v>63.89</v>
      </c>
      <c r="C751" s="887">
        <v>63.880600000000001</v>
      </c>
      <c r="D751" s="915" t="s">
        <v>11</v>
      </c>
    </row>
    <row r="752" spans="1:4" s="913" customFormat="1" ht="11.25" customHeight="1" x14ac:dyDescent="0.2">
      <c r="A752" s="1475" t="s">
        <v>962</v>
      </c>
      <c r="B752" s="885">
        <v>56</v>
      </c>
      <c r="C752" s="885">
        <v>56</v>
      </c>
      <c r="D752" s="914" t="s">
        <v>951</v>
      </c>
    </row>
    <row r="753" spans="1:4" s="913" customFormat="1" ht="11.25" customHeight="1" x14ac:dyDescent="0.2">
      <c r="A753" s="1475"/>
      <c r="B753" s="885">
        <v>56</v>
      </c>
      <c r="C753" s="885">
        <v>56</v>
      </c>
      <c r="D753" s="914" t="s">
        <v>11</v>
      </c>
    </row>
    <row r="754" spans="1:4" s="913" customFormat="1" ht="11.25" customHeight="1" x14ac:dyDescent="0.2">
      <c r="A754" s="1476" t="s">
        <v>903</v>
      </c>
      <c r="B754" s="888">
        <v>4007.7</v>
      </c>
      <c r="C754" s="888">
        <v>2931.9560000000001</v>
      </c>
      <c r="D754" s="912" t="s">
        <v>2757</v>
      </c>
    </row>
    <row r="755" spans="1:4" s="913" customFormat="1" ht="11.25" customHeight="1" x14ac:dyDescent="0.2">
      <c r="A755" s="1475"/>
      <c r="B755" s="885">
        <v>500</v>
      </c>
      <c r="C755" s="885">
        <v>0</v>
      </c>
      <c r="D755" s="914" t="s">
        <v>2736</v>
      </c>
    </row>
    <row r="756" spans="1:4" s="913" customFormat="1" ht="11.25" customHeight="1" x14ac:dyDescent="0.2">
      <c r="A756" s="1475"/>
      <c r="B756" s="885">
        <v>669.35</v>
      </c>
      <c r="C756" s="885">
        <v>669.34799999999996</v>
      </c>
      <c r="D756" s="914" t="s">
        <v>1211</v>
      </c>
    </row>
    <row r="757" spans="1:4" s="913" customFormat="1" ht="11.25" customHeight="1" x14ac:dyDescent="0.2">
      <c r="A757" s="1475"/>
      <c r="B757" s="885">
        <v>5.5</v>
      </c>
      <c r="C757" s="885">
        <v>5.5</v>
      </c>
      <c r="D757" s="914" t="s">
        <v>751</v>
      </c>
    </row>
    <row r="758" spans="1:4" s="913" customFormat="1" ht="11.25" customHeight="1" x14ac:dyDescent="0.2">
      <c r="A758" s="1477"/>
      <c r="B758" s="887">
        <v>5182.55</v>
      </c>
      <c r="C758" s="887">
        <v>3606.8040000000001</v>
      </c>
      <c r="D758" s="915" t="s">
        <v>11</v>
      </c>
    </row>
    <row r="759" spans="1:4" s="913" customFormat="1" ht="11.25" customHeight="1" x14ac:dyDescent="0.2">
      <c r="A759" s="1475" t="s">
        <v>904</v>
      </c>
      <c r="B759" s="885">
        <v>250</v>
      </c>
      <c r="C759" s="885">
        <v>125</v>
      </c>
      <c r="D759" s="914" t="s">
        <v>2752</v>
      </c>
    </row>
    <row r="760" spans="1:4" s="913" customFormat="1" ht="11.25" customHeight="1" x14ac:dyDescent="0.2">
      <c r="A760" s="1475"/>
      <c r="B760" s="885">
        <v>1.6</v>
      </c>
      <c r="C760" s="885">
        <v>1.6</v>
      </c>
      <c r="D760" s="914" t="s">
        <v>751</v>
      </c>
    </row>
    <row r="761" spans="1:4" s="913" customFormat="1" ht="11.25" customHeight="1" x14ac:dyDescent="0.2">
      <c r="A761" s="1475"/>
      <c r="B761" s="885">
        <v>251.6</v>
      </c>
      <c r="C761" s="885">
        <v>126.6</v>
      </c>
      <c r="D761" s="914" t="s">
        <v>11</v>
      </c>
    </row>
    <row r="762" spans="1:4" s="913" customFormat="1" ht="11.25" customHeight="1" x14ac:dyDescent="0.2">
      <c r="A762" s="1476" t="s">
        <v>905</v>
      </c>
      <c r="B762" s="888">
        <v>89.82</v>
      </c>
      <c r="C762" s="888">
        <v>69.25</v>
      </c>
      <c r="D762" s="912" t="s">
        <v>2733</v>
      </c>
    </row>
    <row r="763" spans="1:4" s="913" customFormat="1" ht="11.25" customHeight="1" x14ac:dyDescent="0.2">
      <c r="A763" s="1475"/>
      <c r="B763" s="885">
        <v>164</v>
      </c>
      <c r="C763" s="885">
        <v>164</v>
      </c>
      <c r="D763" s="914" t="s">
        <v>2752</v>
      </c>
    </row>
    <row r="764" spans="1:4" s="913" customFormat="1" ht="11.25" customHeight="1" x14ac:dyDescent="0.2">
      <c r="A764" s="1475"/>
      <c r="B764" s="885">
        <v>281</v>
      </c>
      <c r="C764" s="885">
        <v>0</v>
      </c>
      <c r="D764" s="914" t="s">
        <v>2736</v>
      </c>
    </row>
    <row r="765" spans="1:4" s="913" customFormat="1" ht="11.25" customHeight="1" x14ac:dyDescent="0.2">
      <c r="A765" s="1475"/>
      <c r="B765" s="885">
        <v>2.8</v>
      </c>
      <c r="C765" s="885">
        <v>2.8</v>
      </c>
      <c r="D765" s="914" t="s">
        <v>751</v>
      </c>
    </row>
    <row r="766" spans="1:4" s="913" customFormat="1" ht="11.25" customHeight="1" x14ac:dyDescent="0.2">
      <c r="A766" s="1477"/>
      <c r="B766" s="887">
        <v>537.61999999999989</v>
      </c>
      <c r="C766" s="887">
        <v>236.05</v>
      </c>
      <c r="D766" s="915" t="s">
        <v>11</v>
      </c>
    </row>
    <row r="767" spans="1:4" s="913" customFormat="1" ht="11.25" customHeight="1" x14ac:dyDescent="0.2">
      <c r="A767" s="1475" t="s">
        <v>906</v>
      </c>
      <c r="B767" s="885">
        <v>10.9</v>
      </c>
      <c r="C767" s="885">
        <v>10.9</v>
      </c>
      <c r="D767" s="914" t="s">
        <v>751</v>
      </c>
    </row>
    <row r="768" spans="1:4" s="913" customFormat="1" ht="11.25" customHeight="1" x14ac:dyDescent="0.2">
      <c r="A768" s="1475"/>
      <c r="B768" s="885">
        <v>10.9</v>
      </c>
      <c r="C768" s="885">
        <v>10.9</v>
      </c>
      <c r="D768" s="914" t="s">
        <v>11</v>
      </c>
    </row>
    <row r="769" spans="1:4" s="913" customFormat="1" ht="11.25" customHeight="1" x14ac:dyDescent="0.2">
      <c r="A769" s="1476" t="s">
        <v>907</v>
      </c>
      <c r="B769" s="888">
        <v>6</v>
      </c>
      <c r="C769" s="888">
        <v>6</v>
      </c>
      <c r="D769" s="912" t="s">
        <v>751</v>
      </c>
    </row>
    <row r="770" spans="1:4" s="913" customFormat="1" ht="11.25" customHeight="1" x14ac:dyDescent="0.2">
      <c r="A770" s="1477"/>
      <c r="B770" s="887">
        <v>6</v>
      </c>
      <c r="C770" s="887">
        <v>6</v>
      </c>
      <c r="D770" s="915" t="s">
        <v>11</v>
      </c>
    </row>
    <row r="771" spans="1:4" s="913" customFormat="1" ht="11.25" customHeight="1" x14ac:dyDescent="0.2">
      <c r="A771" s="1475" t="s">
        <v>908</v>
      </c>
      <c r="B771" s="885">
        <v>2</v>
      </c>
      <c r="C771" s="885">
        <v>2</v>
      </c>
      <c r="D771" s="914" t="s">
        <v>751</v>
      </c>
    </row>
    <row r="772" spans="1:4" s="913" customFormat="1" ht="11.25" customHeight="1" x14ac:dyDescent="0.2">
      <c r="A772" s="1475"/>
      <c r="B772" s="885">
        <v>2</v>
      </c>
      <c r="C772" s="885">
        <v>2</v>
      </c>
      <c r="D772" s="914" t="s">
        <v>11</v>
      </c>
    </row>
    <row r="773" spans="1:4" s="913" customFormat="1" ht="11.25" customHeight="1" x14ac:dyDescent="0.2">
      <c r="A773" s="1476" t="s">
        <v>2802</v>
      </c>
      <c r="B773" s="888">
        <v>486</v>
      </c>
      <c r="C773" s="888">
        <v>0</v>
      </c>
      <c r="D773" s="912" t="s">
        <v>2736</v>
      </c>
    </row>
    <row r="774" spans="1:4" s="913" customFormat="1" ht="11.25" customHeight="1" x14ac:dyDescent="0.2">
      <c r="A774" s="1477"/>
      <c r="B774" s="887">
        <v>486</v>
      </c>
      <c r="C774" s="887">
        <v>0</v>
      </c>
      <c r="D774" s="915" t="s">
        <v>11</v>
      </c>
    </row>
    <row r="775" spans="1:4" s="913" customFormat="1" ht="11.25" customHeight="1" x14ac:dyDescent="0.2">
      <c r="A775" s="1475" t="s">
        <v>2803</v>
      </c>
      <c r="B775" s="885">
        <v>325</v>
      </c>
      <c r="C775" s="885">
        <v>285.80115999999998</v>
      </c>
      <c r="D775" s="914" t="s">
        <v>2752</v>
      </c>
    </row>
    <row r="776" spans="1:4" s="913" customFormat="1" ht="11.25" customHeight="1" x14ac:dyDescent="0.2">
      <c r="A776" s="1475"/>
      <c r="B776" s="885">
        <v>325</v>
      </c>
      <c r="C776" s="885">
        <v>285.80115999999998</v>
      </c>
      <c r="D776" s="914" t="s">
        <v>11</v>
      </c>
    </row>
    <row r="777" spans="1:4" s="913" customFormat="1" ht="11.25" customHeight="1" x14ac:dyDescent="0.2">
      <c r="A777" s="1476" t="s">
        <v>909</v>
      </c>
      <c r="B777" s="888">
        <v>219.53</v>
      </c>
      <c r="C777" s="888">
        <v>219.51670000000001</v>
      </c>
      <c r="D777" s="912" t="s">
        <v>2608</v>
      </c>
    </row>
    <row r="778" spans="1:4" s="913" customFormat="1" ht="11.25" customHeight="1" x14ac:dyDescent="0.2">
      <c r="A778" s="1475"/>
      <c r="B778" s="885">
        <v>3.2</v>
      </c>
      <c r="C778" s="885">
        <v>3.2</v>
      </c>
      <c r="D778" s="914" t="s">
        <v>751</v>
      </c>
    </row>
    <row r="779" spans="1:4" s="913" customFormat="1" ht="11.25" customHeight="1" x14ac:dyDescent="0.2">
      <c r="A779" s="1477"/>
      <c r="B779" s="887">
        <v>222.73</v>
      </c>
      <c r="C779" s="887">
        <v>222.7167</v>
      </c>
      <c r="D779" s="915" t="s">
        <v>11</v>
      </c>
    </row>
    <row r="780" spans="1:4" s="913" customFormat="1" ht="11.25" customHeight="1" x14ac:dyDescent="0.2">
      <c r="A780" s="1475" t="s">
        <v>943</v>
      </c>
      <c r="B780" s="885">
        <v>64.3</v>
      </c>
      <c r="C780" s="885">
        <v>62.948</v>
      </c>
      <c r="D780" s="914" t="s">
        <v>2752</v>
      </c>
    </row>
    <row r="781" spans="1:4" s="913" customFormat="1" ht="11.25" customHeight="1" x14ac:dyDescent="0.2">
      <c r="A781" s="1475"/>
      <c r="B781" s="885">
        <v>29.759999999999998</v>
      </c>
      <c r="C781" s="885">
        <v>29.762999999999998</v>
      </c>
      <c r="D781" s="914" t="s">
        <v>2770</v>
      </c>
    </row>
    <row r="782" spans="1:4" s="913" customFormat="1" ht="11.25" customHeight="1" x14ac:dyDescent="0.2">
      <c r="A782" s="1475"/>
      <c r="B782" s="885">
        <v>40</v>
      </c>
      <c r="C782" s="885">
        <v>40</v>
      </c>
      <c r="D782" s="914" t="s">
        <v>934</v>
      </c>
    </row>
    <row r="783" spans="1:4" s="913" customFormat="1" ht="11.25" customHeight="1" x14ac:dyDescent="0.2">
      <c r="A783" s="1475"/>
      <c r="B783" s="885">
        <v>134.06</v>
      </c>
      <c r="C783" s="885">
        <v>132.71100000000001</v>
      </c>
      <c r="D783" s="914" t="s">
        <v>11</v>
      </c>
    </row>
    <row r="784" spans="1:4" s="913" customFormat="1" ht="11.25" customHeight="1" x14ac:dyDescent="0.2">
      <c r="A784" s="1476" t="s">
        <v>910</v>
      </c>
      <c r="B784" s="888">
        <v>1.2</v>
      </c>
      <c r="C784" s="888">
        <v>1.1419999999999999</v>
      </c>
      <c r="D784" s="912" t="s">
        <v>751</v>
      </c>
    </row>
    <row r="785" spans="1:4" s="913" customFormat="1" ht="11.25" customHeight="1" x14ac:dyDescent="0.2">
      <c r="A785" s="1477"/>
      <c r="B785" s="887">
        <v>1.2</v>
      </c>
      <c r="C785" s="887">
        <v>1.1419999999999999</v>
      </c>
      <c r="D785" s="915" t="s">
        <v>11</v>
      </c>
    </row>
    <row r="786" spans="1:4" s="913" customFormat="1" ht="11.25" customHeight="1" x14ac:dyDescent="0.2">
      <c r="A786" s="1475" t="s">
        <v>911</v>
      </c>
      <c r="B786" s="885">
        <v>285</v>
      </c>
      <c r="C786" s="885">
        <v>0</v>
      </c>
      <c r="D786" s="914" t="s">
        <v>2736</v>
      </c>
    </row>
    <row r="787" spans="1:4" s="913" customFormat="1" ht="11.25" customHeight="1" x14ac:dyDescent="0.2">
      <c r="A787" s="1475"/>
      <c r="B787" s="885">
        <v>7.2</v>
      </c>
      <c r="C787" s="885">
        <v>7.2</v>
      </c>
      <c r="D787" s="914" t="s">
        <v>751</v>
      </c>
    </row>
    <row r="788" spans="1:4" s="913" customFormat="1" ht="11.25" customHeight="1" x14ac:dyDescent="0.2">
      <c r="A788" s="1475"/>
      <c r="B788" s="885">
        <v>292.2</v>
      </c>
      <c r="C788" s="885">
        <v>7.2</v>
      </c>
      <c r="D788" s="914" t="s">
        <v>11</v>
      </c>
    </row>
    <row r="789" spans="1:4" s="913" customFormat="1" ht="11.25" customHeight="1" x14ac:dyDescent="0.2">
      <c r="A789" s="1476" t="s">
        <v>726</v>
      </c>
      <c r="B789" s="888">
        <v>35.76</v>
      </c>
      <c r="C789" s="888">
        <v>35.76</v>
      </c>
      <c r="D789" s="912" t="s">
        <v>2733</v>
      </c>
    </row>
    <row r="790" spans="1:4" s="913" customFormat="1" ht="11.25" customHeight="1" x14ac:dyDescent="0.2">
      <c r="A790" s="1475"/>
      <c r="B790" s="885">
        <v>12000</v>
      </c>
      <c r="C790" s="885">
        <v>11990.860060000001</v>
      </c>
      <c r="D790" s="914" t="s">
        <v>722</v>
      </c>
    </row>
    <row r="791" spans="1:4" s="913" customFormat="1" ht="11.25" customHeight="1" x14ac:dyDescent="0.2">
      <c r="A791" s="1475"/>
      <c r="B791" s="885">
        <v>4</v>
      </c>
      <c r="C791" s="885">
        <v>4</v>
      </c>
      <c r="D791" s="914" t="s">
        <v>751</v>
      </c>
    </row>
    <row r="792" spans="1:4" s="913" customFormat="1" ht="11.25" customHeight="1" x14ac:dyDescent="0.2">
      <c r="A792" s="1477"/>
      <c r="B792" s="887">
        <v>12039.76</v>
      </c>
      <c r="C792" s="887">
        <v>12030.620060000001</v>
      </c>
      <c r="D792" s="915" t="s">
        <v>11</v>
      </c>
    </row>
    <row r="793" spans="1:4" s="913" customFormat="1" ht="11.25" customHeight="1" x14ac:dyDescent="0.2">
      <c r="A793" s="1475" t="s">
        <v>912</v>
      </c>
      <c r="B793" s="885">
        <v>375</v>
      </c>
      <c r="C793" s="885">
        <v>0</v>
      </c>
      <c r="D793" s="914" t="s">
        <v>2736</v>
      </c>
    </row>
    <row r="794" spans="1:4" s="913" customFormat="1" ht="11.25" customHeight="1" x14ac:dyDescent="0.2">
      <c r="A794" s="1475"/>
      <c r="B794" s="885">
        <v>1</v>
      </c>
      <c r="C794" s="885">
        <v>0</v>
      </c>
      <c r="D794" s="914" t="s">
        <v>751</v>
      </c>
    </row>
    <row r="795" spans="1:4" s="913" customFormat="1" ht="11.25" customHeight="1" x14ac:dyDescent="0.2">
      <c r="A795" s="1475"/>
      <c r="B795" s="885">
        <v>376</v>
      </c>
      <c r="C795" s="885">
        <v>0</v>
      </c>
      <c r="D795" s="914" t="s">
        <v>11</v>
      </c>
    </row>
    <row r="796" spans="1:4" s="913" customFormat="1" ht="11.25" customHeight="1" x14ac:dyDescent="0.2">
      <c r="A796" s="1476" t="s">
        <v>2804</v>
      </c>
      <c r="B796" s="888">
        <v>8.44</v>
      </c>
      <c r="C796" s="888">
        <v>0</v>
      </c>
      <c r="D796" s="912" t="s">
        <v>2733</v>
      </c>
    </row>
    <row r="797" spans="1:4" s="913" customFormat="1" ht="11.25" customHeight="1" x14ac:dyDescent="0.2">
      <c r="A797" s="1477"/>
      <c r="B797" s="887">
        <v>8.44</v>
      </c>
      <c r="C797" s="887">
        <v>0</v>
      </c>
      <c r="D797" s="915" t="s">
        <v>11</v>
      </c>
    </row>
    <row r="798" spans="1:4" s="913" customFormat="1" ht="11.25" customHeight="1" x14ac:dyDescent="0.2">
      <c r="A798" s="1475" t="s">
        <v>913</v>
      </c>
      <c r="B798" s="885">
        <v>160.82</v>
      </c>
      <c r="C798" s="885">
        <v>80.933999999999997</v>
      </c>
      <c r="D798" s="914" t="s">
        <v>2733</v>
      </c>
    </row>
    <row r="799" spans="1:4" s="913" customFormat="1" ht="11.25" customHeight="1" x14ac:dyDescent="0.2">
      <c r="A799" s="1475"/>
      <c r="B799" s="885">
        <v>1.2</v>
      </c>
      <c r="C799" s="885">
        <v>1.2</v>
      </c>
      <c r="D799" s="914" t="s">
        <v>751</v>
      </c>
    </row>
    <row r="800" spans="1:4" s="913" customFormat="1" ht="11.25" customHeight="1" x14ac:dyDescent="0.2">
      <c r="A800" s="1475"/>
      <c r="B800" s="885">
        <v>162.01999999999998</v>
      </c>
      <c r="C800" s="885">
        <v>82.134</v>
      </c>
      <c r="D800" s="914" t="s">
        <v>11</v>
      </c>
    </row>
    <row r="801" spans="1:4" s="913" customFormat="1" ht="11.25" customHeight="1" x14ac:dyDescent="0.2">
      <c r="A801" s="1476" t="s">
        <v>914</v>
      </c>
      <c r="B801" s="888">
        <v>500</v>
      </c>
      <c r="C801" s="888">
        <v>0</v>
      </c>
      <c r="D801" s="912" t="s">
        <v>2736</v>
      </c>
    </row>
    <row r="802" spans="1:4" s="913" customFormat="1" ht="11.25" customHeight="1" x14ac:dyDescent="0.2">
      <c r="A802" s="1475"/>
      <c r="B802" s="885">
        <v>7.6</v>
      </c>
      <c r="C802" s="885">
        <v>7.6</v>
      </c>
      <c r="D802" s="914" t="s">
        <v>751</v>
      </c>
    </row>
    <row r="803" spans="1:4" s="913" customFormat="1" ht="11.25" customHeight="1" x14ac:dyDescent="0.2">
      <c r="A803" s="1477"/>
      <c r="B803" s="887">
        <v>507.6</v>
      </c>
      <c r="C803" s="887">
        <v>7.6</v>
      </c>
      <c r="D803" s="915" t="s">
        <v>11</v>
      </c>
    </row>
    <row r="804" spans="1:4" s="913" customFormat="1" ht="11.25" customHeight="1" x14ac:dyDescent="0.2">
      <c r="A804" s="1475" t="s">
        <v>915</v>
      </c>
      <c r="B804" s="885">
        <v>500</v>
      </c>
      <c r="C804" s="885">
        <v>0</v>
      </c>
      <c r="D804" s="914" t="s">
        <v>2736</v>
      </c>
    </row>
    <row r="805" spans="1:4" s="913" customFormat="1" ht="11.25" customHeight="1" x14ac:dyDescent="0.2">
      <c r="A805" s="1475"/>
      <c r="B805" s="885">
        <v>6.1</v>
      </c>
      <c r="C805" s="885">
        <v>6.1</v>
      </c>
      <c r="D805" s="914" t="s">
        <v>751</v>
      </c>
    </row>
    <row r="806" spans="1:4" s="913" customFormat="1" ht="11.25" customHeight="1" x14ac:dyDescent="0.2">
      <c r="A806" s="1475"/>
      <c r="B806" s="885">
        <v>506.1</v>
      </c>
      <c r="C806" s="885">
        <v>6.1</v>
      </c>
      <c r="D806" s="914" t="s">
        <v>11</v>
      </c>
    </row>
    <row r="807" spans="1:4" s="913" customFormat="1" ht="11.25" customHeight="1" x14ac:dyDescent="0.2">
      <c r="A807" s="1476" t="s">
        <v>916</v>
      </c>
      <c r="B807" s="888">
        <v>1.2</v>
      </c>
      <c r="C807" s="888">
        <v>1.2</v>
      </c>
      <c r="D807" s="912" t="s">
        <v>751</v>
      </c>
    </row>
    <row r="808" spans="1:4" s="913" customFormat="1" ht="11.25" customHeight="1" x14ac:dyDescent="0.2">
      <c r="A808" s="1477"/>
      <c r="B808" s="887">
        <v>1.2</v>
      </c>
      <c r="C808" s="887">
        <v>1.2</v>
      </c>
      <c r="D808" s="915" t="s">
        <v>11</v>
      </c>
    </row>
    <row r="809" spans="1:4" s="913" customFormat="1" ht="11.25" customHeight="1" x14ac:dyDescent="0.2">
      <c r="A809" s="1475" t="s">
        <v>2805</v>
      </c>
      <c r="B809" s="885">
        <v>24.95</v>
      </c>
      <c r="C809" s="885">
        <v>0</v>
      </c>
      <c r="D809" s="914" t="s">
        <v>2747</v>
      </c>
    </row>
    <row r="810" spans="1:4" s="913" customFormat="1" ht="11.25" customHeight="1" x14ac:dyDescent="0.2">
      <c r="A810" s="1475"/>
      <c r="B810" s="885">
        <v>24.95</v>
      </c>
      <c r="C810" s="885">
        <v>0</v>
      </c>
      <c r="D810" s="914" t="s">
        <v>11</v>
      </c>
    </row>
    <row r="811" spans="1:4" s="913" customFormat="1" ht="11.25" customHeight="1" x14ac:dyDescent="0.2">
      <c r="A811" s="1476" t="s">
        <v>917</v>
      </c>
      <c r="B811" s="888">
        <v>412</v>
      </c>
      <c r="C811" s="888">
        <v>0</v>
      </c>
      <c r="D811" s="912" t="s">
        <v>2736</v>
      </c>
    </row>
    <row r="812" spans="1:4" s="913" customFormat="1" ht="11.25" customHeight="1" x14ac:dyDescent="0.2">
      <c r="A812" s="1475"/>
      <c r="B812" s="885">
        <v>1</v>
      </c>
      <c r="C812" s="885">
        <v>1</v>
      </c>
      <c r="D812" s="914" t="s">
        <v>751</v>
      </c>
    </row>
    <row r="813" spans="1:4" s="913" customFormat="1" ht="11.25" customHeight="1" x14ac:dyDescent="0.2">
      <c r="A813" s="1477"/>
      <c r="B813" s="887">
        <v>413</v>
      </c>
      <c r="C813" s="887">
        <v>1</v>
      </c>
      <c r="D813" s="915" t="s">
        <v>11</v>
      </c>
    </row>
    <row r="814" spans="1:4" s="913" customFormat="1" ht="11.25" customHeight="1" x14ac:dyDescent="0.2">
      <c r="A814" s="1475" t="s">
        <v>918</v>
      </c>
      <c r="B814" s="885">
        <v>244.54</v>
      </c>
      <c r="C814" s="885">
        <v>204.04</v>
      </c>
      <c r="D814" s="914" t="s">
        <v>2733</v>
      </c>
    </row>
    <row r="815" spans="1:4" s="913" customFormat="1" ht="11.25" customHeight="1" x14ac:dyDescent="0.2">
      <c r="A815" s="1475"/>
      <c r="B815" s="885">
        <v>250</v>
      </c>
      <c r="C815" s="885">
        <v>250</v>
      </c>
      <c r="D815" s="914" t="s">
        <v>2752</v>
      </c>
    </row>
    <row r="816" spans="1:4" s="913" customFormat="1" ht="11.25" customHeight="1" x14ac:dyDescent="0.2">
      <c r="A816" s="1475"/>
      <c r="B816" s="885">
        <v>4</v>
      </c>
      <c r="C816" s="885">
        <v>4</v>
      </c>
      <c r="D816" s="914" t="s">
        <v>751</v>
      </c>
    </row>
    <row r="817" spans="1:4" s="913" customFormat="1" ht="11.25" customHeight="1" x14ac:dyDescent="0.2">
      <c r="A817" s="1475"/>
      <c r="B817" s="885">
        <v>498.53999999999996</v>
      </c>
      <c r="C817" s="885">
        <v>458.03999999999996</v>
      </c>
      <c r="D817" s="914" t="s">
        <v>11</v>
      </c>
    </row>
    <row r="818" spans="1:4" s="913" customFormat="1" ht="11.25" customHeight="1" x14ac:dyDescent="0.2">
      <c r="A818" s="1476" t="s">
        <v>919</v>
      </c>
      <c r="B818" s="888">
        <v>1</v>
      </c>
      <c r="C818" s="888">
        <v>1</v>
      </c>
      <c r="D818" s="912" t="s">
        <v>751</v>
      </c>
    </row>
    <row r="819" spans="1:4" s="913" customFormat="1" ht="11.25" customHeight="1" x14ac:dyDescent="0.2">
      <c r="A819" s="1477"/>
      <c r="B819" s="887">
        <v>1</v>
      </c>
      <c r="C819" s="887">
        <v>1</v>
      </c>
      <c r="D819" s="915" t="s">
        <v>11</v>
      </c>
    </row>
    <row r="820" spans="1:4" s="913" customFormat="1" ht="11.25" customHeight="1" x14ac:dyDescent="0.2">
      <c r="A820" s="1475" t="s">
        <v>920</v>
      </c>
      <c r="B820" s="885">
        <v>1.2</v>
      </c>
      <c r="C820" s="885">
        <v>1.2</v>
      </c>
      <c r="D820" s="914" t="s">
        <v>751</v>
      </c>
    </row>
    <row r="821" spans="1:4" s="913" customFormat="1" ht="11.25" customHeight="1" x14ac:dyDescent="0.2">
      <c r="A821" s="1475"/>
      <c r="B821" s="885">
        <v>1.2</v>
      </c>
      <c r="C821" s="885">
        <v>1.2</v>
      </c>
      <c r="D821" s="914" t="s">
        <v>11</v>
      </c>
    </row>
    <row r="822" spans="1:4" s="913" customFormat="1" ht="11.25" customHeight="1" x14ac:dyDescent="0.2">
      <c r="A822" s="1476" t="s">
        <v>921</v>
      </c>
      <c r="B822" s="888">
        <v>250</v>
      </c>
      <c r="C822" s="888">
        <v>242.98434</v>
      </c>
      <c r="D822" s="912" t="s">
        <v>2752</v>
      </c>
    </row>
    <row r="823" spans="1:4" s="913" customFormat="1" ht="11.25" customHeight="1" x14ac:dyDescent="0.2">
      <c r="A823" s="1475"/>
      <c r="B823" s="885">
        <v>1.2</v>
      </c>
      <c r="C823" s="885">
        <v>1.2</v>
      </c>
      <c r="D823" s="914" t="s">
        <v>751</v>
      </c>
    </row>
    <row r="824" spans="1:4" s="913" customFormat="1" ht="11.25" customHeight="1" x14ac:dyDescent="0.2">
      <c r="A824" s="1477"/>
      <c r="B824" s="887">
        <v>251.2</v>
      </c>
      <c r="C824" s="887">
        <v>244.18433999999999</v>
      </c>
      <c r="D824" s="915" t="s">
        <v>11</v>
      </c>
    </row>
    <row r="825" spans="1:4" s="913" customFormat="1" ht="11.25" customHeight="1" x14ac:dyDescent="0.2">
      <c r="A825" s="1475" t="s">
        <v>922</v>
      </c>
      <c r="B825" s="885">
        <v>7.2</v>
      </c>
      <c r="C825" s="885">
        <v>7.2</v>
      </c>
      <c r="D825" s="914" t="s">
        <v>751</v>
      </c>
    </row>
    <row r="826" spans="1:4" s="913" customFormat="1" ht="11.25" customHeight="1" x14ac:dyDescent="0.2">
      <c r="A826" s="1475"/>
      <c r="B826" s="885">
        <v>7.2</v>
      </c>
      <c r="C826" s="885">
        <v>7.2</v>
      </c>
      <c r="D826" s="914" t="s">
        <v>11</v>
      </c>
    </row>
    <row r="827" spans="1:4" s="913" customFormat="1" ht="11.25" customHeight="1" x14ac:dyDescent="0.2">
      <c r="A827" s="1476" t="s">
        <v>923</v>
      </c>
      <c r="B827" s="888">
        <v>54.52</v>
      </c>
      <c r="C827" s="888">
        <v>0</v>
      </c>
      <c r="D827" s="912" t="s">
        <v>2733</v>
      </c>
    </row>
    <row r="828" spans="1:4" s="913" customFormat="1" ht="11.25" customHeight="1" x14ac:dyDescent="0.2">
      <c r="A828" s="1475"/>
      <c r="B828" s="885">
        <v>2</v>
      </c>
      <c r="C828" s="885">
        <v>2</v>
      </c>
      <c r="D828" s="914" t="s">
        <v>751</v>
      </c>
    </row>
    <row r="829" spans="1:4" s="913" customFormat="1" ht="11.25" customHeight="1" x14ac:dyDescent="0.2">
      <c r="A829" s="1477"/>
      <c r="B829" s="887">
        <v>56.52</v>
      </c>
      <c r="C829" s="887">
        <v>2</v>
      </c>
      <c r="D829" s="915" t="s">
        <v>11</v>
      </c>
    </row>
    <row r="830" spans="1:4" s="913" customFormat="1" ht="11.25" customHeight="1" x14ac:dyDescent="0.2">
      <c r="A830" s="1475" t="s">
        <v>2806</v>
      </c>
      <c r="B830" s="885">
        <v>170.29</v>
      </c>
      <c r="C830" s="885">
        <v>170.29300000000001</v>
      </c>
      <c r="D830" s="914" t="s">
        <v>2752</v>
      </c>
    </row>
    <row r="831" spans="1:4" s="913" customFormat="1" ht="11.25" customHeight="1" x14ac:dyDescent="0.2">
      <c r="A831" s="1475"/>
      <c r="B831" s="885">
        <v>170.29</v>
      </c>
      <c r="C831" s="885">
        <v>170.29300000000001</v>
      </c>
      <c r="D831" s="914" t="s">
        <v>11</v>
      </c>
    </row>
    <row r="832" spans="1:4" s="913" customFormat="1" ht="11.25" customHeight="1" x14ac:dyDescent="0.2">
      <c r="A832" s="1476" t="s">
        <v>924</v>
      </c>
      <c r="B832" s="888">
        <v>9</v>
      </c>
      <c r="C832" s="888">
        <v>9</v>
      </c>
      <c r="D832" s="912" t="s">
        <v>751</v>
      </c>
    </row>
    <row r="833" spans="1:4" s="913" customFormat="1" ht="11.25" customHeight="1" x14ac:dyDescent="0.2">
      <c r="A833" s="1477"/>
      <c r="B833" s="887">
        <v>9</v>
      </c>
      <c r="C833" s="887">
        <v>9</v>
      </c>
      <c r="D833" s="915" t="s">
        <v>11</v>
      </c>
    </row>
    <row r="834" spans="1:4" s="913" customFormat="1" ht="11.25" customHeight="1" x14ac:dyDescent="0.2">
      <c r="A834" s="1475" t="s">
        <v>925</v>
      </c>
      <c r="B834" s="885">
        <v>327.13</v>
      </c>
      <c r="C834" s="885">
        <v>63.79</v>
      </c>
      <c r="D834" s="914" t="s">
        <v>2733</v>
      </c>
    </row>
    <row r="835" spans="1:4" s="913" customFormat="1" ht="11.25" customHeight="1" x14ac:dyDescent="0.2">
      <c r="A835" s="1475"/>
      <c r="B835" s="885">
        <v>14.1</v>
      </c>
      <c r="C835" s="885">
        <v>14.1</v>
      </c>
      <c r="D835" s="914" t="s">
        <v>751</v>
      </c>
    </row>
    <row r="836" spans="1:4" s="913" customFormat="1" ht="11.25" customHeight="1" x14ac:dyDescent="0.2">
      <c r="A836" s="1475"/>
      <c r="B836" s="885">
        <v>341.23</v>
      </c>
      <c r="C836" s="885">
        <v>77.89</v>
      </c>
      <c r="D836" s="914" t="s">
        <v>11</v>
      </c>
    </row>
    <row r="837" spans="1:4" s="913" customFormat="1" ht="11.25" customHeight="1" x14ac:dyDescent="0.2">
      <c r="A837" s="1476" t="s">
        <v>926</v>
      </c>
      <c r="B837" s="888">
        <v>5.2</v>
      </c>
      <c r="C837" s="888">
        <v>5.2</v>
      </c>
      <c r="D837" s="912" t="s">
        <v>751</v>
      </c>
    </row>
    <row r="838" spans="1:4" s="913" customFormat="1" ht="11.25" customHeight="1" x14ac:dyDescent="0.2">
      <c r="A838" s="1477"/>
      <c r="B838" s="887">
        <v>5.2</v>
      </c>
      <c r="C838" s="887">
        <v>5.2</v>
      </c>
      <c r="D838" s="915" t="s">
        <v>11</v>
      </c>
    </row>
    <row r="839" spans="1:4" s="913" customFormat="1" ht="11.25" customHeight="1" x14ac:dyDescent="0.2">
      <c r="A839" s="1475" t="s">
        <v>927</v>
      </c>
      <c r="B839" s="885">
        <v>7.5</v>
      </c>
      <c r="C839" s="885">
        <v>7.5</v>
      </c>
      <c r="D839" s="914" t="s">
        <v>751</v>
      </c>
    </row>
    <row r="840" spans="1:4" s="913" customFormat="1" ht="11.25" customHeight="1" x14ac:dyDescent="0.2">
      <c r="A840" s="1475"/>
      <c r="B840" s="885">
        <v>7.5</v>
      </c>
      <c r="C840" s="885">
        <v>7.5</v>
      </c>
      <c r="D840" s="914" t="s">
        <v>11</v>
      </c>
    </row>
    <row r="841" spans="1:4" s="913" customFormat="1" ht="11.25" customHeight="1" x14ac:dyDescent="0.2">
      <c r="A841" s="1476" t="s">
        <v>2807</v>
      </c>
      <c r="B841" s="888">
        <v>30</v>
      </c>
      <c r="C841" s="888">
        <v>30</v>
      </c>
      <c r="D841" s="912" t="s">
        <v>2607</v>
      </c>
    </row>
    <row r="842" spans="1:4" s="913" customFormat="1" ht="11.25" customHeight="1" x14ac:dyDescent="0.2">
      <c r="A842" s="1475"/>
      <c r="B842" s="885">
        <v>250</v>
      </c>
      <c r="C842" s="885">
        <v>125</v>
      </c>
      <c r="D842" s="914" t="s">
        <v>2752</v>
      </c>
    </row>
    <row r="843" spans="1:4" s="913" customFormat="1" ht="11.25" customHeight="1" x14ac:dyDescent="0.2">
      <c r="A843" s="1477"/>
      <c r="B843" s="887">
        <v>280</v>
      </c>
      <c r="C843" s="887">
        <v>155</v>
      </c>
      <c r="D843" s="915" t="s">
        <v>11</v>
      </c>
    </row>
    <row r="844" spans="1:4" s="913" customFormat="1" ht="11.25" customHeight="1" x14ac:dyDescent="0.2">
      <c r="A844" s="1476" t="s">
        <v>2808</v>
      </c>
      <c r="B844" s="888">
        <v>155</v>
      </c>
      <c r="C844" s="888">
        <v>0</v>
      </c>
      <c r="D844" s="912" t="s">
        <v>2734</v>
      </c>
    </row>
    <row r="845" spans="1:4" s="913" customFormat="1" ht="11.25" customHeight="1" x14ac:dyDescent="0.2">
      <c r="A845" s="1477"/>
      <c r="B845" s="887">
        <v>155</v>
      </c>
      <c r="C845" s="887">
        <v>0</v>
      </c>
      <c r="D845" s="915" t="s">
        <v>11</v>
      </c>
    </row>
    <row r="846" spans="1:4" s="913" customFormat="1" ht="11.25" customHeight="1" x14ac:dyDescent="0.2">
      <c r="A846" s="1476" t="s">
        <v>928</v>
      </c>
      <c r="B846" s="888">
        <v>69.569999999999993</v>
      </c>
      <c r="C846" s="888">
        <v>69.569999999999993</v>
      </c>
      <c r="D846" s="912" t="s">
        <v>2733</v>
      </c>
    </row>
    <row r="847" spans="1:4" s="913" customFormat="1" ht="11.25" customHeight="1" x14ac:dyDescent="0.2">
      <c r="A847" s="1475"/>
      <c r="B847" s="885">
        <v>189.4</v>
      </c>
      <c r="C847" s="885">
        <v>189.4</v>
      </c>
      <c r="D847" s="914" t="s">
        <v>2752</v>
      </c>
    </row>
    <row r="848" spans="1:4" s="913" customFormat="1" ht="11.25" customHeight="1" x14ac:dyDescent="0.2">
      <c r="A848" s="1475"/>
      <c r="B848" s="885">
        <v>1.2</v>
      </c>
      <c r="C848" s="885">
        <v>1.2</v>
      </c>
      <c r="D848" s="914" t="s">
        <v>751</v>
      </c>
    </row>
    <row r="849" spans="1:4" s="913" customFormat="1" ht="11.25" customHeight="1" x14ac:dyDescent="0.2">
      <c r="A849" s="1477"/>
      <c r="B849" s="887">
        <v>260.17</v>
      </c>
      <c r="C849" s="887">
        <v>260.17</v>
      </c>
      <c r="D849" s="915" t="s">
        <v>11</v>
      </c>
    </row>
    <row r="850" spans="1:4" s="913" customFormat="1" ht="11.25" customHeight="1" x14ac:dyDescent="0.2">
      <c r="A850" s="1475" t="s">
        <v>2809</v>
      </c>
      <c r="B850" s="885">
        <v>61.83</v>
      </c>
      <c r="C850" s="885">
        <v>61.83</v>
      </c>
      <c r="D850" s="914" t="s">
        <v>2733</v>
      </c>
    </row>
    <row r="851" spans="1:4" s="913" customFormat="1" ht="11.25" customHeight="1" x14ac:dyDescent="0.2">
      <c r="A851" s="1475"/>
      <c r="B851" s="885">
        <v>61.83</v>
      </c>
      <c r="C851" s="885">
        <v>61.83</v>
      </c>
      <c r="D851" s="914" t="s">
        <v>11</v>
      </c>
    </row>
    <row r="852" spans="1:4" s="913" customFormat="1" ht="21" x14ac:dyDescent="0.2">
      <c r="A852" s="1476" t="s">
        <v>2810</v>
      </c>
      <c r="B852" s="888">
        <v>56</v>
      </c>
      <c r="C852" s="888">
        <v>46.094999999999999</v>
      </c>
      <c r="D852" s="912" t="s">
        <v>2737</v>
      </c>
    </row>
    <row r="853" spans="1:4" s="913" customFormat="1" ht="11.25" customHeight="1" x14ac:dyDescent="0.2">
      <c r="A853" s="1475"/>
      <c r="B853" s="885">
        <v>45.22</v>
      </c>
      <c r="C853" s="885">
        <v>45.201190000000004</v>
      </c>
      <c r="D853" s="914" t="s">
        <v>2608</v>
      </c>
    </row>
    <row r="854" spans="1:4" s="913" customFormat="1" ht="11.25" customHeight="1" x14ac:dyDescent="0.2">
      <c r="A854" s="1477"/>
      <c r="B854" s="887">
        <v>101.22</v>
      </c>
      <c r="C854" s="887">
        <v>91.296189999999996</v>
      </c>
      <c r="D854" s="915" t="s">
        <v>11</v>
      </c>
    </row>
    <row r="855" spans="1:4" s="913" customFormat="1" ht="11.25" customHeight="1" x14ac:dyDescent="0.2">
      <c r="A855" s="1475" t="s">
        <v>2811</v>
      </c>
      <c r="B855" s="885">
        <v>390.6</v>
      </c>
      <c r="C855" s="885">
        <v>390.6</v>
      </c>
      <c r="D855" s="914" t="s">
        <v>2748</v>
      </c>
    </row>
    <row r="856" spans="1:4" s="913" customFormat="1" ht="11.25" customHeight="1" x14ac:dyDescent="0.2">
      <c r="A856" s="1475"/>
      <c r="B856" s="885">
        <v>390.6</v>
      </c>
      <c r="C856" s="885">
        <v>390.6</v>
      </c>
      <c r="D856" s="914" t="s">
        <v>11</v>
      </c>
    </row>
    <row r="857" spans="1:4" s="913" customFormat="1" ht="11.25" customHeight="1" x14ac:dyDescent="0.2">
      <c r="A857" s="1476" t="s">
        <v>2812</v>
      </c>
      <c r="B857" s="888">
        <v>150</v>
      </c>
      <c r="C857" s="888">
        <v>150</v>
      </c>
      <c r="D857" s="912" t="s">
        <v>2738</v>
      </c>
    </row>
    <row r="858" spans="1:4" s="913" customFormat="1" ht="11.25" customHeight="1" x14ac:dyDescent="0.2">
      <c r="A858" s="1477"/>
      <c r="B858" s="887">
        <v>150</v>
      </c>
      <c r="C858" s="887">
        <v>150</v>
      </c>
      <c r="D858" s="915" t="s">
        <v>11</v>
      </c>
    </row>
    <row r="859" spans="1:4" s="913" customFormat="1" ht="11.25" customHeight="1" x14ac:dyDescent="0.2">
      <c r="A859" s="1475" t="s">
        <v>2813</v>
      </c>
      <c r="B859" s="885">
        <v>69.5</v>
      </c>
      <c r="C859" s="885">
        <v>69.5</v>
      </c>
      <c r="D859" s="914" t="s">
        <v>2607</v>
      </c>
    </row>
    <row r="860" spans="1:4" s="913" customFormat="1" ht="11.25" customHeight="1" x14ac:dyDescent="0.2">
      <c r="A860" s="1475"/>
      <c r="B860" s="885">
        <v>374.5</v>
      </c>
      <c r="C860" s="885">
        <v>374.5</v>
      </c>
      <c r="D860" s="914" t="s">
        <v>2748</v>
      </c>
    </row>
    <row r="861" spans="1:4" s="913" customFormat="1" ht="11.25" customHeight="1" x14ac:dyDescent="0.2">
      <c r="A861" s="1475"/>
      <c r="B861" s="885">
        <v>368</v>
      </c>
      <c r="C861" s="885">
        <v>351.79899999999998</v>
      </c>
      <c r="D861" s="914" t="s">
        <v>2814</v>
      </c>
    </row>
    <row r="862" spans="1:4" s="913" customFormat="1" ht="11.25" customHeight="1" x14ac:dyDescent="0.2">
      <c r="A862" s="1475"/>
      <c r="B862" s="885">
        <v>812</v>
      </c>
      <c r="C862" s="885">
        <v>795.79899999999998</v>
      </c>
      <c r="D862" s="914" t="s">
        <v>11</v>
      </c>
    </row>
    <row r="863" spans="1:4" s="913" customFormat="1" ht="21" x14ac:dyDescent="0.2">
      <c r="A863" s="1476" t="s">
        <v>2815</v>
      </c>
      <c r="B863" s="888">
        <v>90</v>
      </c>
      <c r="C863" s="888">
        <v>90</v>
      </c>
      <c r="D863" s="912" t="s">
        <v>2737</v>
      </c>
    </row>
    <row r="864" spans="1:4" s="913" customFormat="1" ht="11.25" customHeight="1" x14ac:dyDescent="0.2">
      <c r="A864" s="1475"/>
      <c r="B864" s="885">
        <v>60</v>
      </c>
      <c r="C864" s="885">
        <v>60</v>
      </c>
      <c r="D864" s="914" t="s">
        <v>2607</v>
      </c>
    </row>
    <row r="865" spans="1:4" s="913" customFormat="1" ht="11.25" customHeight="1" x14ac:dyDescent="0.2">
      <c r="A865" s="1475"/>
      <c r="B865" s="885">
        <v>4712</v>
      </c>
      <c r="C865" s="885">
        <v>4712</v>
      </c>
      <c r="D865" s="914" t="s">
        <v>2735</v>
      </c>
    </row>
    <row r="866" spans="1:4" s="913" customFormat="1" ht="11.25" customHeight="1" x14ac:dyDescent="0.2">
      <c r="A866" s="1475"/>
      <c r="B866" s="885">
        <v>115.97999999999999</v>
      </c>
      <c r="C866" s="885">
        <v>115.97144999999999</v>
      </c>
      <c r="D866" s="914" t="s">
        <v>2608</v>
      </c>
    </row>
    <row r="867" spans="1:4" s="913" customFormat="1" ht="11.25" customHeight="1" x14ac:dyDescent="0.2">
      <c r="A867" s="1477"/>
      <c r="B867" s="887">
        <v>4977.9799999999996</v>
      </c>
      <c r="C867" s="887">
        <v>4977.97145</v>
      </c>
      <c r="D867" s="915" t="s">
        <v>11</v>
      </c>
    </row>
    <row r="868" spans="1:4" s="913" customFormat="1" ht="11.25" customHeight="1" x14ac:dyDescent="0.2">
      <c r="A868" s="1475" t="s">
        <v>2816</v>
      </c>
      <c r="B868" s="885">
        <v>171.5</v>
      </c>
      <c r="C868" s="885">
        <v>171.5</v>
      </c>
      <c r="D868" s="914" t="s">
        <v>2748</v>
      </c>
    </row>
    <row r="869" spans="1:4" s="913" customFormat="1" ht="11.25" customHeight="1" x14ac:dyDescent="0.2">
      <c r="A869" s="1475"/>
      <c r="B869" s="885">
        <v>171.5</v>
      </c>
      <c r="C869" s="885">
        <v>171.5</v>
      </c>
      <c r="D869" s="914" t="s">
        <v>11</v>
      </c>
    </row>
    <row r="870" spans="1:4" s="913" customFormat="1" ht="11.25" customHeight="1" x14ac:dyDescent="0.2">
      <c r="A870" s="1476" t="s">
        <v>727</v>
      </c>
      <c r="B870" s="888">
        <v>1000</v>
      </c>
      <c r="C870" s="888">
        <v>938.59881999999993</v>
      </c>
      <c r="D870" s="912" t="s">
        <v>722</v>
      </c>
    </row>
    <row r="871" spans="1:4" s="913" customFormat="1" ht="11.25" customHeight="1" x14ac:dyDescent="0.2">
      <c r="A871" s="1477"/>
      <c r="B871" s="887">
        <v>1000</v>
      </c>
      <c r="C871" s="887">
        <v>938.59881999999993</v>
      </c>
      <c r="D871" s="915" t="s">
        <v>11</v>
      </c>
    </row>
    <row r="872" spans="1:4" s="913" customFormat="1" ht="11.25" customHeight="1" x14ac:dyDescent="0.2">
      <c r="A872" s="1475" t="s">
        <v>929</v>
      </c>
      <c r="B872" s="885">
        <v>118.8</v>
      </c>
      <c r="C872" s="885">
        <v>113.4</v>
      </c>
      <c r="D872" s="914" t="s">
        <v>2744</v>
      </c>
    </row>
    <row r="873" spans="1:4" s="913" customFormat="1" ht="11.25" customHeight="1" x14ac:dyDescent="0.2">
      <c r="A873" s="1475"/>
      <c r="B873" s="885">
        <v>529.86</v>
      </c>
      <c r="C873" s="885">
        <v>330.36500000000001</v>
      </c>
      <c r="D873" s="914" t="s">
        <v>2733</v>
      </c>
    </row>
    <row r="874" spans="1:4" s="913" customFormat="1" ht="11.25" customHeight="1" x14ac:dyDescent="0.2">
      <c r="A874" s="1475"/>
      <c r="B874" s="885">
        <v>48.3</v>
      </c>
      <c r="C874" s="885">
        <v>47.042999999999999</v>
      </c>
      <c r="D874" s="914" t="s">
        <v>2734</v>
      </c>
    </row>
    <row r="875" spans="1:4" s="913" customFormat="1" ht="11.25" customHeight="1" x14ac:dyDescent="0.2">
      <c r="A875" s="1475"/>
      <c r="B875" s="885">
        <v>19806</v>
      </c>
      <c r="C875" s="885">
        <v>19806</v>
      </c>
      <c r="D875" s="914" t="s">
        <v>2735</v>
      </c>
    </row>
    <row r="876" spans="1:4" s="913" customFormat="1" ht="11.25" customHeight="1" x14ac:dyDescent="0.2">
      <c r="A876" s="1475"/>
      <c r="B876" s="885">
        <v>283.10000000000002</v>
      </c>
      <c r="C876" s="885">
        <v>195.79310999999998</v>
      </c>
      <c r="D876" s="914" t="s">
        <v>2608</v>
      </c>
    </row>
    <row r="877" spans="1:4" s="913" customFormat="1" ht="11.25" customHeight="1" x14ac:dyDescent="0.2">
      <c r="A877" s="1475"/>
      <c r="B877" s="885">
        <v>195.12</v>
      </c>
      <c r="C877" s="885">
        <v>195.1189</v>
      </c>
      <c r="D877" s="914" t="s">
        <v>1198</v>
      </c>
    </row>
    <row r="878" spans="1:4" s="913" customFormat="1" ht="11.25" customHeight="1" x14ac:dyDescent="0.2">
      <c r="A878" s="1475"/>
      <c r="B878" s="885">
        <v>71</v>
      </c>
      <c r="C878" s="885">
        <v>71</v>
      </c>
      <c r="D878" s="914" t="s">
        <v>1109</v>
      </c>
    </row>
    <row r="879" spans="1:4" s="913" customFormat="1" ht="11.25" customHeight="1" x14ac:dyDescent="0.2">
      <c r="A879" s="1475"/>
      <c r="B879" s="885">
        <v>80</v>
      </c>
      <c r="C879" s="885">
        <v>80</v>
      </c>
      <c r="D879" s="914" t="s">
        <v>1056</v>
      </c>
    </row>
    <row r="880" spans="1:4" s="913" customFormat="1" ht="11.25" customHeight="1" x14ac:dyDescent="0.2">
      <c r="A880" s="1475"/>
      <c r="B880" s="885">
        <v>193.8</v>
      </c>
      <c r="C880" s="885">
        <v>193.8</v>
      </c>
      <c r="D880" s="914" t="s">
        <v>751</v>
      </c>
    </row>
    <row r="881" spans="1:4" s="913" customFormat="1" ht="11.25" customHeight="1" x14ac:dyDescent="0.2">
      <c r="A881" s="1475"/>
      <c r="B881" s="885">
        <v>1000</v>
      </c>
      <c r="C881" s="885">
        <v>1000</v>
      </c>
      <c r="D881" s="914" t="s">
        <v>2742</v>
      </c>
    </row>
    <row r="882" spans="1:4" s="913" customFormat="1" ht="11.25" customHeight="1" x14ac:dyDescent="0.2">
      <c r="A882" s="1475"/>
      <c r="B882" s="885">
        <v>22325.979999999996</v>
      </c>
      <c r="C882" s="885">
        <v>22024.686010000001</v>
      </c>
      <c r="D882" s="914" t="s">
        <v>11</v>
      </c>
    </row>
    <row r="883" spans="1:4" s="913" customFormat="1" ht="11.25" customHeight="1" x14ac:dyDescent="0.2">
      <c r="A883" s="1476" t="s">
        <v>930</v>
      </c>
      <c r="B883" s="888">
        <v>28976</v>
      </c>
      <c r="C883" s="888">
        <v>28976</v>
      </c>
      <c r="D883" s="912" t="s">
        <v>2735</v>
      </c>
    </row>
    <row r="884" spans="1:4" s="913" customFormat="1" ht="11.25" customHeight="1" x14ac:dyDescent="0.2">
      <c r="A884" s="1475"/>
      <c r="B884" s="885">
        <v>300</v>
      </c>
      <c r="C884" s="885">
        <v>300</v>
      </c>
      <c r="D884" s="914" t="s">
        <v>2738</v>
      </c>
    </row>
    <row r="885" spans="1:4" s="913" customFormat="1" ht="11.25" customHeight="1" x14ac:dyDescent="0.2">
      <c r="A885" s="1475"/>
      <c r="B885" s="885">
        <v>350</v>
      </c>
      <c r="C885" s="885">
        <v>350</v>
      </c>
      <c r="D885" s="914" t="s">
        <v>2817</v>
      </c>
    </row>
    <row r="886" spans="1:4" s="913" customFormat="1" ht="11.25" customHeight="1" x14ac:dyDescent="0.2">
      <c r="A886" s="1475"/>
      <c r="B886" s="885">
        <v>224.69</v>
      </c>
      <c r="C886" s="885">
        <v>224.68199999999999</v>
      </c>
      <c r="D886" s="914" t="s">
        <v>2748</v>
      </c>
    </row>
    <row r="887" spans="1:4" s="913" customFormat="1" ht="11.25" customHeight="1" x14ac:dyDescent="0.2">
      <c r="A887" s="1475"/>
      <c r="B887" s="885">
        <v>150</v>
      </c>
      <c r="C887" s="885">
        <v>150</v>
      </c>
      <c r="D887" s="914" t="s">
        <v>951</v>
      </c>
    </row>
    <row r="888" spans="1:4" s="913" customFormat="1" ht="11.25" customHeight="1" x14ac:dyDescent="0.2">
      <c r="A888" s="1475"/>
      <c r="B888" s="885">
        <v>11.2</v>
      </c>
      <c r="C888" s="885">
        <v>11.2</v>
      </c>
      <c r="D888" s="914" t="s">
        <v>751</v>
      </c>
    </row>
    <row r="889" spans="1:4" s="913" customFormat="1" ht="11.25" customHeight="1" x14ac:dyDescent="0.2">
      <c r="A889" s="1475"/>
      <c r="B889" s="885">
        <v>889</v>
      </c>
      <c r="C889" s="885">
        <v>889</v>
      </c>
      <c r="D889" s="914" t="s">
        <v>2742</v>
      </c>
    </row>
    <row r="890" spans="1:4" s="913" customFormat="1" ht="11.25" customHeight="1" x14ac:dyDescent="0.2">
      <c r="A890" s="1475"/>
      <c r="B890" s="885">
        <v>55</v>
      </c>
      <c r="C890" s="885">
        <v>55</v>
      </c>
      <c r="D890" s="914" t="s">
        <v>978</v>
      </c>
    </row>
    <row r="891" spans="1:4" s="913" customFormat="1" ht="11.25" customHeight="1" x14ac:dyDescent="0.2">
      <c r="A891" s="1477"/>
      <c r="B891" s="887">
        <v>30955.89</v>
      </c>
      <c r="C891" s="887">
        <v>30955.882000000001</v>
      </c>
      <c r="D891" s="915" t="s">
        <v>11</v>
      </c>
    </row>
    <row r="892" spans="1:4" s="913" customFormat="1" ht="11.25" customHeight="1" x14ac:dyDescent="0.2">
      <c r="A892" s="1475" t="s">
        <v>931</v>
      </c>
      <c r="B892" s="885">
        <v>4863</v>
      </c>
      <c r="C892" s="885">
        <v>4863</v>
      </c>
      <c r="D892" s="914" t="s">
        <v>2735</v>
      </c>
    </row>
    <row r="893" spans="1:4" s="913" customFormat="1" ht="11.25" customHeight="1" x14ac:dyDescent="0.2">
      <c r="A893" s="1475"/>
      <c r="B893" s="885">
        <v>70</v>
      </c>
      <c r="C893" s="885">
        <v>70</v>
      </c>
      <c r="D893" s="914" t="s">
        <v>2741</v>
      </c>
    </row>
    <row r="894" spans="1:4" s="913" customFormat="1" ht="11.25" customHeight="1" x14ac:dyDescent="0.2">
      <c r="A894" s="1475"/>
      <c r="B894" s="885">
        <v>2974.25</v>
      </c>
      <c r="C894" s="885">
        <v>2974.25</v>
      </c>
      <c r="D894" s="914" t="s">
        <v>2739</v>
      </c>
    </row>
    <row r="895" spans="1:4" s="913" customFormat="1" ht="11.25" customHeight="1" x14ac:dyDescent="0.2">
      <c r="A895" s="1475"/>
      <c r="B895" s="885">
        <v>194.52</v>
      </c>
      <c r="C895" s="885">
        <v>0</v>
      </c>
      <c r="D895" s="914" t="s">
        <v>2602</v>
      </c>
    </row>
    <row r="896" spans="1:4" s="913" customFormat="1" ht="11.25" customHeight="1" x14ac:dyDescent="0.2">
      <c r="A896" s="1475"/>
      <c r="B896" s="885">
        <v>3109.1000000000004</v>
      </c>
      <c r="C896" s="885">
        <v>3109.07231</v>
      </c>
      <c r="D896" s="914" t="s">
        <v>2608</v>
      </c>
    </row>
    <row r="897" spans="1:4" s="913" customFormat="1" ht="11.25" customHeight="1" x14ac:dyDescent="0.2">
      <c r="A897" s="1475"/>
      <c r="B897" s="885">
        <v>4.4000000000000004</v>
      </c>
      <c r="C897" s="885">
        <v>4.4000000000000004</v>
      </c>
      <c r="D897" s="914" t="s">
        <v>751</v>
      </c>
    </row>
    <row r="898" spans="1:4" s="913" customFormat="1" ht="11.25" customHeight="1" x14ac:dyDescent="0.2">
      <c r="A898" s="1475"/>
      <c r="B898" s="885">
        <v>1254</v>
      </c>
      <c r="C898" s="885">
        <v>1254</v>
      </c>
      <c r="D898" s="914" t="s">
        <v>2742</v>
      </c>
    </row>
    <row r="899" spans="1:4" s="913" customFormat="1" ht="11.25" customHeight="1" x14ac:dyDescent="0.2">
      <c r="A899" s="1475"/>
      <c r="B899" s="885">
        <v>90</v>
      </c>
      <c r="C899" s="885">
        <v>90</v>
      </c>
      <c r="D899" s="914" t="s">
        <v>978</v>
      </c>
    </row>
    <row r="900" spans="1:4" s="913" customFormat="1" ht="11.25" customHeight="1" x14ac:dyDescent="0.2">
      <c r="A900" s="1475"/>
      <c r="B900" s="885">
        <v>12559.27</v>
      </c>
      <c r="C900" s="885">
        <v>12364.722309999999</v>
      </c>
      <c r="D900" s="914" t="s">
        <v>11</v>
      </c>
    </row>
    <row r="901" spans="1:4" s="913" customFormat="1" ht="11.25" customHeight="1" x14ac:dyDescent="0.2">
      <c r="A901" s="1476" t="s">
        <v>932</v>
      </c>
      <c r="B901" s="888">
        <v>73.2</v>
      </c>
      <c r="C901" s="888">
        <v>73.2</v>
      </c>
      <c r="D901" s="912" t="s">
        <v>2607</v>
      </c>
    </row>
    <row r="902" spans="1:4" s="913" customFormat="1" ht="11.25" customHeight="1" x14ac:dyDescent="0.2">
      <c r="A902" s="1475"/>
      <c r="B902" s="885">
        <v>207.84</v>
      </c>
      <c r="C902" s="885">
        <v>207.84</v>
      </c>
      <c r="D902" s="914" t="s">
        <v>2733</v>
      </c>
    </row>
    <row r="903" spans="1:4" s="913" customFormat="1" ht="11.25" customHeight="1" x14ac:dyDescent="0.2">
      <c r="A903" s="1475"/>
      <c r="B903" s="885">
        <v>1030</v>
      </c>
      <c r="C903" s="885">
        <v>415</v>
      </c>
      <c r="D903" s="914" t="s">
        <v>2818</v>
      </c>
    </row>
    <row r="904" spans="1:4" s="913" customFormat="1" ht="11.25" customHeight="1" x14ac:dyDescent="0.2">
      <c r="A904" s="1475"/>
      <c r="B904" s="885">
        <v>60.07</v>
      </c>
      <c r="C904" s="885">
        <v>23.949000000000005</v>
      </c>
      <c r="D904" s="914" t="s">
        <v>2734</v>
      </c>
    </row>
    <row r="905" spans="1:4" s="913" customFormat="1" ht="11.25" customHeight="1" x14ac:dyDescent="0.2">
      <c r="A905" s="1475"/>
      <c r="B905" s="885">
        <v>292</v>
      </c>
      <c r="C905" s="885">
        <v>292</v>
      </c>
      <c r="D905" s="914" t="s">
        <v>2735</v>
      </c>
    </row>
    <row r="906" spans="1:4" s="913" customFormat="1" ht="11.25" customHeight="1" x14ac:dyDescent="0.2">
      <c r="A906" s="1475"/>
      <c r="B906" s="885">
        <v>150</v>
      </c>
      <c r="C906" s="885">
        <v>150</v>
      </c>
      <c r="D906" s="914" t="s">
        <v>2738</v>
      </c>
    </row>
    <row r="907" spans="1:4" s="913" customFormat="1" ht="11.25" customHeight="1" x14ac:dyDescent="0.2">
      <c r="A907" s="1475"/>
      <c r="B907" s="885">
        <v>350</v>
      </c>
      <c r="C907" s="885">
        <v>350</v>
      </c>
      <c r="D907" s="914" t="s">
        <v>951</v>
      </c>
    </row>
    <row r="908" spans="1:4" s="913" customFormat="1" ht="11.25" customHeight="1" x14ac:dyDescent="0.2">
      <c r="A908" s="1475"/>
      <c r="B908" s="885">
        <v>181.32</v>
      </c>
      <c r="C908" s="885">
        <v>181.3185</v>
      </c>
      <c r="D908" s="914" t="s">
        <v>1198</v>
      </c>
    </row>
    <row r="909" spans="1:4" s="913" customFormat="1" ht="11.25" customHeight="1" x14ac:dyDescent="0.2">
      <c r="A909" s="1475"/>
      <c r="B909" s="885">
        <v>838</v>
      </c>
      <c r="C909" s="885">
        <v>838</v>
      </c>
      <c r="D909" s="914" t="s">
        <v>976</v>
      </c>
    </row>
    <row r="910" spans="1:4" s="913" customFormat="1" ht="11.25" customHeight="1" x14ac:dyDescent="0.2">
      <c r="A910" s="1475"/>
      <c r="B910" s="885">
        <v>81</v>
      </c>
      <c r="C910" s="885">
        <v>81</v>
      </c>
      <c r="D910" s="914" t="s">
        <v>1109</v>
      </c>
    </row>
    <row r="911" spans="1:4" s="913" customFormat="1" ht="11.25" customHeight="1" x14ac:dyDescent="0.2">
      <c r="A911" s="1475"/>
      <c r="B911" s="885">
        <v>20</v>
      </c>
      <c r="C911" s="885">
        <v>20</v>
      </c>
      <c r="D911" s="914" t="s">
        <v>1214</v>
      </c>
    </row>
    <row r="912" spans="1:4" s="913" customFormat="1" ht="11.25" customHeight="1" x14ac:dyDescent="0.2">
      <c r="A912" s="1475"/>
      <c r="B912" s="885">
        <v>203.4</v>
      </c>
      <c r="C912" s="885">
        <v>203.4</v>
      </c>
      <c r="D912" s="914" t="s">
        <v>751</v>
      </c>
    </row>
    <row r="913" spans="1:4" s="913" customFormat="1" ht="11.25" customHeight="1" x14ac:dyDescent="0.2">
      <c r="A913" s="1475"/>
      <c r="B913" s="885">
        <v>1795</v>
      </c>
      <c r="C913" s="885">
        <v>1795</v>
      </c>
      <c r="D913" s="914" t="s">
        <v>2742</v>
      </c>
    </row>
    <row r="914" spans="1:4" s="913" customFormat="1" ht="11.25" customHeight="1" x14ac:dyDescent="0.2">
      <c r="A914" s="1477"/>
      <c r="B914" s="887">
        <v>5281.83</v>
      </c>
      <c r="C914" s="887">
        <v>4630.7074999999995</v>
      </c>
      <c r="D914" s="915" t="s">
        <v>11</v>
      </c>
    </row>
    <row r="915" spans="1:4" s="913" customFormat="1" ht="21" x14ac:dyDescent="0.2">
      <c r="A915" s="1475" t="s">
        <v>933</v>
      </c>
      <c r="B915" s="885">
        <v>183</v>
      </c>
      <c r="C915" s="885">
        <v>183</v>
      </c>
      <c r="D915" s="914" t="s">
        <v>2737</v>
      </c>
    </row>
    <row r="916" spans="1:4" s="913" customFormat="1" ht="11.25" customHeight="1" x14ac:dyDescent="0.2">
      <c r="A916" s="1475"/>
      <c r="B916" s="885">
        <v>148.9</v>
      </c>
      <c r="C916" s="885">
        <v>148.9</v>
      </c>
      <c r="D916" s="914" t="s">
        <v>2744</v>
      </c>
    </row>
    <row r="917" spans="1:4" s="913" customFormat="1" ht="11.25" customHeight="1" x14ac:dyDescent="0.2">
      <c r="A917" s="1475"/>
      <c r="B917" s="885">
        <v>400</v>
      </c>
      <c r="C917" s="885">
        <v>100</v>
      </c>
      <c r="D917" s="914" t="s">
        <v>2818</v>
      </c>
    </row>
    <row r="918" spans="1:4" s="913" customFormat="1" ht="11.25" customHeight="1" x14ac:dyDescent="0.2">
      <c r="A918" s="1475"/>
      <c r="B918" s="885">
        <v>95666</v>
      </c>
      <c r="C918" s="885">
        <v>95666</v>
      </c>
      <c r="D918" s="914" t="s">
        <v>2735</v>
      </c>
    </row>
    <row r="919" spans="1:4" s="913" customFormat="1" ht="11.25" customHeight="1" x14ac:dyDescent="0.2">
      <c r="A919" s="1475"/>
      <c r="B919" s="885">
        <v>448</v>
      </c>
      <c r="C919" s="885">
        <v>448</v>
      </c>
      <c r="D919" s="914" t="s">
        <v>2738</v>
      </c>
    </row>
    <row r="920" spans="1:4" s="913" customFormat="1" ht="11.25" customHeight="1" x14ac:dyDescent="0.2">
      <c r="A920" s="1475"/>
      <c r="B920" s="885">
        <v>2169.85</v>
      </c>
      <c r="C920" s="885">
        <v>1972.75</v>
      </c>
      <c r="D920" s="914" t="s">
        <v>2739</v>
      </c>
    </row>
    <row r="921" spans="1:4" s="913" customFormat="1" ht="11.25" customHeight="1" x14ac:dyDescent="0.2">
      <c r="A921" s="1475"/>
      <c r="B921" s="885">
        <v>82.5</v>
      </c>
      <c r="C921" s="885">
        <v>78.963549999999984</v>
      </c>
      <c r="D921" s="914" t="s">
        <v>2619</v>
      </c>
    </row>
    <row r="922" spans="1:4" s="913" customFormat="1" ht="11.25" customHeight="1" x14ac:dyDescent="0.2">
      <c r="A922" s="1475"/>
      <c r="B922" s="885">
        <v>1055.6099999999999</v>
      </c>
      <c r="C922" s="885">
        <v>1055.58735</v>
      </c>
      <c r="D922" s="914" t="s">
        <v>2602</v>
      </c>
    </row>
    <row r="923" spans="1:4" s="913" customFormat="1" ht="11.25" customHeight="1" x14ac:dyDescent="0.2">
      <c r="A923" s="1475"/>
      <c r="B923" s="885">
        <v>3445</v>
      </c>
      <c r="C923" s="885">
        <v>3445</v>
      </c>
      <c r="D923" s="914" t="s">
        <v>976</v>
      </c>
    </row>
    <row r="924" spans="1:4" s="913" customFormat="1" ht="11.25" customHeight="1" x14ac:dyDescent="0.2">
      <c r="A924" s="1475"/>
      <c r="B924" s="885">
        <v>183</v>
      </c>
      <c r="C924" s="885">
        <v>183</v>
      </c>
      <c r="D924" s="914" t="s">
        <v>1109</v>
      </c>
    </row>
    <row r="925" spans="1:4" s="913" customFormat="1" ht="11.25" customHeight="1" x14ac:dyDescent="0.2">
      <c r="A925" s="1475"/>
      <c r="B925" s="885">
        <v>20</v>
      </c>
      <c r="C925" s="885">
        <v>20</v>
      </c>
      <c r="D925" s="914" t="s">
        <v>1161</v>
      </c>
    </row>
    <row r="926" spans="1:4" s="913" customFormat="1" ht="11.25" customHeight="1" x14ac:dyDescent="0.2">
      <c r="A926" s="1475"/>
      <c r="B926" s="885">
        <v>300</v>
      </c>
      <c r="C926" s="885">
        <v>300</v>
      </c>
      <c r="D926" s="914" t="s">
        <v>1217</v>
      </c>
    </row>
    <row r="927" spans="1:4" s="913" customFormat="1" ht="11.25" customHeight="1" x14ac:dyDescent="0.2">
      <c r="A927" s="1475"/>
      <c r="B927" s="885">
        <v>3680</v>
      </c>
      <c r="C927" s="885">
        <v>3680</v>
      </c>
      <c r="D927" s="914" t="s">
        <v>1184</v>
      </c>
    </row>
    <row r="928" spans="1:4" s="913" customFormat="1" ht="11.25" customHeight="1" x14ac:dyDescent="0.2">
      <c r="A928" s="1475"/>
      <c r="B928" s="885">
        <v>593.4</v>
      </c>
      <c r="C928" s="885">
        <v>593.4</v>
      </c>
      <c r="D928" s="914" t="s">
        <v>751</v>
      </c>
    </row>
    <row r="929" spans="1:4" s="913" customFormat="1" ht="11.25" customHeight="1" x14ac:dyDescent="0.2">
      <c r="A929" s="1475"/>
      <c r="B929" s="885">
        <v>788</v>
      </c>
      <c r="C929" s="885">
        <v>788</v>
      </c>
      <c r="D929" s="914" t="s">
        <v>2742</v>
      </c>
    </row>
    <row r="930" spans="1:4" s="913" customFormat="1" ht="11.25" customHeight="1" x14ac:dyDescent="0.2">
      <c r="A930" s="1475"/>
      <c r="B930" s="885">
        <v>170</v>
      </c>
      <c r="C930" s="885">
        <v>170</v>
      </c>
      <c r="D930" s="914" t="s">
        <v>978</v>
      </c>
    </row>
    <row r="931" spans="1:4" s="913" customFormat="1" ht="11.25" customHeight="1" x14ac:dyDescent="0.2">
      <c r="A931" s="1475"/>
      <c r="B931" s="885">
        <v>2573</v>
      </c>
      <c r="C931" s="885">
        <v>2573</v>
      </c>
      <c r="D931" s="914" t="s">
        <v>2819</v>
      </c>
    </row>
    <row r="932" spans="1:4" s="913" customFormat="1" ht="11.25" customHeight="1" x14ac:dyDescent="0.2">
      <c r="A932" s="1475"/>
      <c r="B932" s="885">
        <v>4270</v>
      </c>
      <c r="C932" s="885">
        <v>3781</v>
      </c>
      <c r="D932" s="914" t="s">
        <v>2582</v>
      </c>
    </row>
    <row r="933" spans="1:4" s="913" customFormat="1" ht="11.25" customHeight="1" x14ac:dyDescent="0.2">
      <c r="A933" s="1475"/>
      <c r="B933" s="885">
        <v>2591</v>
      </c>
      <c r="C933" s="885">
        <v>2586.5</v>
      </c>
      <c r="D933" s="914" t="s">
        <v>1185</v>
      </c>
    </row>
    <row r="934" spans="1:4" s="913" customFormat="1" ht="11.25" customHeight="1" x14ac:dyDescent="0.2">
      <c r="A934" s="1475"/>
      <c r="B934" s="885">
        <v>118767.26</v>
      </c>
      <c r="C934" s="885">
        <v>117773.10089999999</v>
      </c>
      <c r="D934" s="914" t="s">
        <v>11</v>
      </c>
    </row>
    <row r="935" spans="1:4" s="913" customFormat="1" x14ac:dyDescent="0.2">
      <c r="A935" s="916" t="s">
        <v>2820</v>
      </c>
      <c r="B935" s="878">
        <v>466935.63000000041</v>
      </c>
      <c r="C935" s="878">
        <f>405430.503590001+7.834</f>
        <v>405438.337590001</v>
      </c>
      <c r="D935" s="917"/>
    </row>
    <row r="936" spans="1:4" s="904" customFormat="1" ht="24.75" customHeight="1" x14ac:dyDescent="0.2">
      <c r="A936" s="918" t="s">
        <v>2821</v>
      </c>
      <c r="B936" s="919"/>
      <c r="C936" s="919"/>
      <c r="D936" s="920"/>
    </row>
    <row r="937" spans="1:4" s="913" customFormat="1" ht="11.25" customHeight="1" x14ac:dyDescent="0.2">
      <c r="A937" s="1476" t="s">
        <v>2822</v>
      </c>
      <c r="B937" s="888">
        <v>150</v>
      </c>
      <c r="C937" s="888">
        <v>150</v>
      </c>
      <c r="D937" s="912" t="s">
        <v>2752</v>
      </c>
    </row>
    <row r="938" spans="1:4" s="913" customFormat="1" ht="11.25" customHeight="1" x14ac:dyDescent="0.2">
      <c r="A938" s="1477"/>
      <c r="B938" s="887">
        <v>150</v>
      </c>
      <c r="C938" s="887">
        <v>150</v>
      </c>
      <c r="D938" s="915" t="s">
        <v>11</v>
      </c>
    </row>
    <row r="939" spans="1:4" s="913" customFormat="1" ht="11.25" customHeight="1" x14ac:dyDescent="0.2">
      <c r="A939" s="1476" t="s">
        <v>2823</v>
      </c>
      <c r="B939" s="888">
        <v>215.21999999999997</v>
      </c>
      <c r="C939" s="888">
        <v>142.36599999999999</v>
      </c>
      <c r="D939" s="912" t="s">
        <v>2752</v>
      </c>
    </row>
    <row r="940" spans="1:4" s="913" customFormat="1" ht="11.25" customHeight="1" x14ac:dyDescent="0.2">
      <c r="A940" s="1477"/>
      <c r="B940" s="887">
        <v>215.21999999999997</v>
      </c>
      <c r="C940" s="887">
        <v>142.36599999999999</v>
      </c>
      <c r="D940" s="915" t="s">
        <v>11</v>
      </c>
    </row>
    <row r="941" spans="1:4" s="913" customFormat="1" ht="11.25" customHeight="1" x14ac:dyDescent="0.2">
      <c r="A941" s="1479" t="s">
        <v>1088</v>
      </c>
      <c r="B941" s="921">
        <v>175.43</v>
      </c>
      <c r="C941" s="921">
        <v>112.176</v>
      </c>
      <c r="D941" s="914" t="s">
        <v>2752</v>
      </c>
    </row>
    <row r="942" spans="1:4" s="913" customFormat="1" ht="21" x14ac:dyDescent="0.2">
      <c r="A942" s="1479"/>
      <c r="B942" s="921">
        <v>200</v>
      </c>
      <c r="C942" s="921">
        <v>200</v>
      </c>
      <c r="D942" s="914" t="s">
        <v>2824</v>
      </c>
    </row>
    <row r="943" spans="1:4" s="913" customFormat="1" ht="11.25" customHeight="1" x14ac:dyDescent="0.2">
      <c r="A943" s="1479"/>
      <c r="B943" s="921">
        <v>375.43</v>
      </c>
      <c r="C943" s="921">
        <v>312.17599999999999</v>
      </c>
      <c r="D943" s="914" t="s">
        <v>11</v>
      </c>
    </row>
    <row r="944" spans="1:4" s="913" customFormat="1" ht="11.25" customHeight="1" x14ac:dyDescent="0.2">
      <c r="A944" s="1476" t="s">
        <v>2825</v>
      </c>
      <c r="B944" s="888">
        <v>150.5</v>
      </c>
      <c r="C944" s="888">
        <v>79.5</v>
      </c>
      <c r="D944" s="912" t="s">
        <v>2752</v>
      </c>
    </row>
    <row r="945" spans="1:4" s="913" customFormat="1" ht="11.25" customHeight="1" x14ac:dyDescent="0.2">
      <c r="A945" s="1477"/>
      <c r="B945" s="887">
        <v>150.5</v>
      </c>
      <c r="C945" s="887">
        <v>79.5</v>
      </c>
      <c r="D945" s="915" t="s">
        <v>11</v>
      </c>
    </row>
    <row r="946" spans="1:4" s="913" customFormat="1" ht="11.25" customHeight="1" x14ac:dyDescent="0.2">
      <c r="A946" s="1475" t="s">
        <v>2826</v>
      </c>
      <c r="B946" s="885">
        <v>147.22999999999999</v>
      </c>
      <c r="C946" s="885">
        <v>75.233999999999995</v>
      </c>
      <c r="D946" s="914" t="s">
        <v>2752</v>
      </c>
    </row>
    <row r="947" spans="1:4" s="913" customFormat="1" ht="11.25" customHeight="1" x14ac:dyDescent="0.2">
      <c r="A947" s="1475"/>
      <c r="B947" s="885">
        <v>147.22999999999999</v>
      </c>
      <c r="C947" s="885">
        <v>75.233999999999995</v>
      </c>
      <c r="D947" s="914" t="s">
        <v>11</v>
      </c>
    </row>
    <row r="948" spans="1:4" s="913" customFormat="1" ht="11.25" customHeight="1" x14ac:dyDescent="0.2">
      <c r="A948" s="1476" t="s">
        <v>2827</v>
      </c>
      <c r="B948" s="888">
        <v>176.2</v>
      </c>
      <c r="C948" s="888">
        <v>114.5</v>
      </c>
      <c r="D948" s="912" t="s">
        <v>2752</v>
      </c>
    </row>
    <row r="949" spans="1:4" s="913" customFormat="1" ht="11.25" customHeight="1" x14ac:dyDescent="0.2">
      <c r="A949" s="1475"/>
      <c r="B949" s="885">
        <v>500</v>
      </c>
      <c r="C949" s="885">
        <v>0</v>
      </c>
      <c r="D949" s="914" t="s">
        <v>2736</v>
      </c>
    </row>
    <row r="950" spans="1:4" s="913" customFormat="1" ht="11.25" customHeight="1" x14ac:dyDescent="0.2">
      <c r="A950" s="1477"/>
      <c r="B950" s="887">
        <v>676.2</v>
      </c>
      <c r="C950" s="887">
        <v>114.5</v>
      </c>
      <c r="D950" s="915" t="s">
        <v>11</v>
      </c>
    </row>
    <row r="951" spans="1:4" s="913" customFormat="1" ht="11.25" customHeight="1" x14ac:dyDescent="0.2">
      <c r="A951" s="1475" t="s">
        <v>1066</v>
      </c>
      <c r="B951" s="885">
        <v>57.92</v>
      </c>
      <c r="C951" s="885">
        <v>32.914000000000001</v>
      </c>
      <c r="D951" s="914" t="s">
        <v>2752</v>
      </c>
    </row>
    <row r="952" spans="1:4" s="913" customFormat="1" ht="11.25" customHeight="1" x14ac:dyDescent="0.2">
      <c r="A952" s="1475"/>
      <c r="B952" s="885">
        <v>56.8</v>
      </c>
      <c r="C952" s="885">
        <v>6.8</v>
      </c>
      <c r="D952" s="914" t="s">
        <v>2734</v>
      </c>
    </row>
    <row r="953" spans="1:4" s="913" customFormat="1" ht="11.25" customHeight="1" x14ac:dyDescent="0.2">
      <c r="A953" s="1475"/>
      <c r="B953" s="885">
        <v>200</v>
      </c>
      <c r="C953" s="885">
        <v>200</v>
      </c>
      <c r="D953" s="914" t="s">
        <v>1056</v>
      </c>
    </row>
    <row r="954" spans="1:4" s="913" customFormat="1" ht="11.25" customHeight="1" x14ac:dyDescent="0.2">
      <c r="A954" s="1475"/>
      <c r="B954" s="885">
        <v>314.72000000000003</v>
      </c>
      <c r="C954" s="885">
        <v>239.714</v>
      </c>
      <c r="D954" s="914" t="s">
        <v>11</v>
      </c>
    </row>
    <row r="955" spans="1:4" s="913" customFormat="1" ht="11.25" customHeight="1" x14ac:dyDescent="0.2">
      <c r="A955" s="1476" t="s">
        <v>2828</v>
      </c>
      <c r="B955" s="888">
        <v>94.91</v>
      </c>
      <c r="C955" s="888">
        <v>58.914000000000001</v>
      </c>
      <c r="D955" s="912" t="s">
        <v>2752</v>
      </c>
    </row>
    <row r="956" spans="1:4" s="913" customFormat="1" ht="11.25" customHeight="1" x14ac:dyDescent="0.2">
      <c r="A956" s="1477"/>
      <c r="B956" s="887">
        <v>94.91</v>
      </c>
      <c r="C956" s="887">
        <v>58.914000000000001</v>
      </c>
      <c r="D956" s="915" t="s">
        <v>11</v>
      </c>
    </row>
    <row r="957" spans="1:4" s="913" customFormat="1" ht="11.25" customHeight="1" x14ac:dyDescent="0.2">
      <c r="A957" s="1475" t="s">
        <v>2829</v>
      </c>
      <c r="B957" s="885">
        <v>223.9</v>
      </c>
      <c r="C957" s="885">
        <v>149.202</v>
      </c>
      <c r="D957" s="914" t="s">
        <v>2752</v>
      </c>
    </row>
    <row r="958" spans="1:4" s="913" customFormat="1" ht="11.25" customHeight="1" x14ac:dyDescent="0.2">
      <c r="A958" s="1475"/>
      <c r="B958" s="885">
        <v>223.9</v>
      </c>
      <c r="C958" s="885">
        <v>149.202</v>
      </c>
      <c r="D958" s="914" t="s">
        <v>11</v>
      </c>
    </row>
    <row r="959" spans="1:4" s="913" customFormat="1" ht="11.25" customHeight="1" x14ac:dyDescent="0.2">
      <c r="A959" s="1476" t="s">
        <v>2830</v>
      </c>
      <c r="B959" s="888">
        <v>150</v>
      </c>
      <c r="C959" s="888">
        <v>75</v>
      </c>
      <c r="D959" s="912" t="s">
        <v>2752</v>
      </c>
    </row>
    <row r="960" spans="1:4" s="913" customFormat="1" ht="11.25" customHeight="1" x14ac:dyDescent="0.2">
      <c r="A960" s="1477"/>
      <c r="B960" s="887">
        <v>150</v>
      </c>
      <c r="C960" s="887">
        <v>75</v>
      </c>
      <c r="D960" s="915" t="s">
        <v>11</v>
      </c>
    </row>
    <row r="961" spans="1:4" s="913" customFormat="1" ht="11.25" customHeight="1" x14ac:dyDescent="0.2">
      <c r="A961" s="1475" t="s">
        <v>2831</v>
      </c>
      <c r="B961" s="885">
        <v>150</v>
      </c>
      <c r="C961" s="885">
        <v>140.56066000000001</v>
      </c>
      <c r="D961" s="914" t="s">
        <v>2744</v>
      </c>
    </row>
    <row r="962" spans="1:4" s="913" customFormat="1" ht="11.25" customHeight="1" x14ac:dyDescent="0.2">
      <c r="A962" s="1475"/>
      <c r="B962" s="885">
        <v>225</v>
      </c>
      <c r="C962" s="885">
        <v>150</v>
      </c>
      <c r="D962" s="914" t="s">
        <v>2752</v>
      </c>
    </row>
    <row r="963" spans="1:4" s="913" customFormat="1" ht="11.25" customHeight="1" x14ac:dyDescent="0.2">
      <c r="A963" s="1475"/>
      <c r="B963" s="885">
        <v>90.7</v>
      </c>
      <c r="C963" s="885">
        <v>73.611000000000004</v>
      </c>
      <c r="D963" s="914" t="s">
        <v>2738</v>
      </c>
    </row>
    <row r="964" spans="1:4" s="913" customFormat="1" ht="11.25" customHeight="1" x14ac:dyDescent="0.2">
      <c r="A964" s="1475"/>
      <c r="B964" s="885">
        <v>465.7</v>
      </c>
      <c r="C964" s="885">
        <v>364.17165999999997</v>
      </c>
      <c r="D964" s="914" t="s">
        <v>11</v>
      </c>
    </row>
    <row r="965" spans="1:4" s="913" customFormat="1" ht="11.25" customHeight="1" x14ac:dyDescent="0.2">
      <c r="A965" s="1476" t="s">
        <v>1042</v>
      </c>
      <c r="B965" s="888">
        <v>70.2</v>
      </c>
      <c r="C965" s="888">
        <v>70.2</v>
      </c>
      <c r="D965" s="912" t="s">
        <v>2752</v>
      </c>
    </row>
    <row r="966" spans="1:4" s="913" customFormat="1" ht="11.25" customHeight="1" x14ac:dyDescent="0.2">
      <c r="A966" s="1475"/>
      <c r="B966" s="885">
        <v>30</v>
      </c>
      <c r="C966" s="885">
        <v>30</v>
      </c>
      <c r="D966" s="914" t="s">
        <v>1030</v>
      </c>
    </row>
    <row r="967" spans="1:4" s="913" customFormat="1" ht="11.25" customHeight="1" x14ac:dyDescent="0.2">
      <c r="A967" s="1477"/>
      <c r="B967" s="887">
        <v>100.2</v>
      </c>
      <c r="C967" s="887">
        <v>100.2</v>
      </c>
      <c r="D967" s="915" t="s">
        <v>11</v>
      </c>
    </row>
    <row r="968" spans="1:4" s="913" customFormat="1" ht="11.25" customHeight="1" x14ac:dyDescent="0.2">
      <c r="A968" s="1475" t="s">
        <v>2832</v>
      </c>
      <c r="B968" s="885">
        <v>225</v>
      </c>
      <c r="C968" s="885">
        <v>150</v>
      </c>
      <c r="D968" s="914" t="s">
        <v>2752</v>
      </c>
    </row>
    <row r="969" spans="1:4" s="913" customFormat="1" ht="11.25" customHeight="1" x14ac:dyDescent="0.2">
      <c r="A969" s="1475"/>
      <c r="B969" s="885">
        <v>225</v>
      </c>
      <c r="C969" s="885">
        <v>150</v>
      </c>
      <c r="D969" s="914" t="s">
        <v>11</v>
      </c>
    </row>
    <row r="970" spans="1:4" s="913" customFormat="1" ht="11.25" customHeight="1" x14ac:dyDescent="0.2">
      <c r="A970" s="1476" t="s">
        <v>2833</v>
      </c>
      <c r="B970" s="888">
        <v>106.48</v>
      </c>
      <c r="C970" s="888">
        <v>67.28</v>
      </c>
      <c r="D970" s="912" t="s">
        <v>2752</v>
      </c>
    </row>
    <row r="971" spans="1:4" s="913" customFormat="1" ht="11.25" customHeight="1" x14ac:dyDescent="0.2">
      <c r="A971" s="1477"/>
      <c r="B971" s="887">
        <v>106.48</v>
      </c>
      <c r="C971" s="887">
        <v>67.28</v>
      </c>
      <c r="D971" s="915" t="s">
        <v>11</v>
      </c>
    </row>
    <row r="972" spans="1:4" s="913" customFormat="1" ht="11.25" customHeight="1" x14ac:dyDescent="0.2">
      <c r="A972" s="1475" t="s">
        <v>2834</v>
      </c>
      <c r="B972" s="885">
        <v>219.89</v>
      </c>
      <c r="C972" s="885">
        <v>145.89150000000001</v>
      </c>
      <c r="D972" s="914" t="s">
        <v>2752</v>
      </c>
    </row>
    <row r="973" spans="1:4" s="913" customFormat="1" ht="11.25" customHeight="1" x14ac:dyDescent="0.2">
      <c r="A973" s="1475"/>
      <c r="B973" s="885">
        <v>219.89</v>
      </c>
      <c r="C973" s="885">
        <v>145.89150000000001</v>
      </c>
      <c r="D973" s="914" t="s">
        <v>11</v>
      </c>
    </row>
    <row r="974" spans="1:4" s="913" customFormat="1" x14ac:dyDescent="0.2">
      <c r="A974" s="922" t="s">
        <v>2835</v>
      </c>
      <c r="B974" s="878">
        <v>3615.3799999999997</v>
      </c>
      <c r="C974" s="878">
        <v>2224.1491600000004</v>
      </c>
      <c r="D974" s="917"/>
    </row>
    <row r="975" spans="1:4" s="913" customFormat="1" ht="24.75" customHeight="1" x14ac:dyDescent="0.15">
      <c r="A975" s="918" t="s">
        <v>2836</v>
      </c>
      <c r="B975" s="923"/>
      <c r="C975" s="923"/>
      <c r="D975" s="924"/>
    </row>
    <row r="976" spans="1:4" s="913" customFormat="1" ht="11.25" customHeight="1" x14ac:dyDescent="0.2">
      <c r="A976" s="1476" t="s">
        <v>2837</v>
      </c>
      <c r="B976" s="888">
        <v>964</v>
      </c>
      <c r="C976" s="888">
        <v>964</v>
      </c>
      <c r="D976" s="912" t="s">
        <v>2735</v>
      </c>
    </row>
    <row r="977" spans="1:4" s="913" customFormat="1" ht="11.25" customHeight="1" x14ac:dyDescent="0.2">
      <c r="A977" s="1475"/>
      <c r="B977" s="885">
        <v>964</v>
      </c>
      <c r="C977" s="885">
        <v>964</v>
      </c>
      <c r="D977" s="914" t="s">
        <v>11</v>
      </c>
    </row>
    <row r="978" spans="1:4" s="913" customFormat="1" ht="21" x14ac:dyDescent="0.2">
      <c r="A978" s="925" t="s">
        <v>2838</v>
      </c>
      <c r="B978" s="878">
        <v>964</v>
      </c>
      <c r="C978" s="878">
        <v>964</v>
      </c>
      <c r="D978" s="917"/>
    </row>
    <row r="979" spans="1:4" s="904" customFormat="1" ht="24.75" customHeight="1" x14ac:dyDescent="0.2">
      <c r="A979" s="918" t="s">
        <v>2839</v>
      </c>
      <c r="B979" s="926"/>
      <c r="C979" s="926"/>
      <c r="D979" s="873"/>
    </row>
    <row r="980" spans="1:4" s="913" customFormat="1" ht="11.25" customHeight="1" x14ac:dyDescent="0.2">
      <c r="A980" s="1476" t="s">
        <v>1078</v>
      </c>
      <c r="B980" s="888">
        <v>250</v>
      </c>
      <c r="C980" s="888">
        <v>0</v>
      </c>
      <c r="D980" s="912" t="s">
        <v>1077</v>
      </c>
    </row>
    <row r="981" spans="1:4" s="913" customFormat="1" ht="11.25" customHeight="1" x14ac:dyDescent="0.2">
      <c r="A981" s="1475"/>
      <c r="B981" s="885">
        <v>250</v>
      </c>
      <c r="C981" s="885">
        <v>0</v>
      </c>
      <c r="D981" s="914" t="s">
        <v>11</v>
      </c>
    </row>
    <row r="982" spans="1:4" s="913" customFormat="1" x14ac:dyDescent="0.2">
      <c r="A982" s="927" t="s">
        <v>2840</v>
      </c>
      <c r="B982" s="878">
        <v>250</v>
      </c>
      <c r="C982" s="878">
        <v>0</v>
      </c>
      <c r="D982" s="917"/>
    </row>
    <row r="983" spans="1:4" s="904" customFormat="1" ht="24.75" customHeight="1" x14ac:dyDescent="0.2">
      <c r="A983" s="918" t="s">
        <v>2841</v>
      </c>
      <c r="B983" s="926"/>
      <c r="C983" s="926"/>
      <c r="D983" s="873"/>
    </row>
    <row r="984" spans="1:4" s="913" customFormat="1" ht="11.25" customHeight="1" x14ac:dyDescent="0.2">
      <c r="A984" s="1476" t="s">
        <v>718</v>
      </c>
      <c r="B984" s="888">
        <v>1000</v>
      </c>
      <c r="C984" s="888">
        <v>1000</v>
      </c>
      <c r="D984" s="912" t="s">
        <v>461</v>
      </c>
    </row>
    <row r="985" spans="1:4" s="913" customFormat="1" ht="11.25" customHeight="1" x14ac:dyDescent="0.2">
      <c r="A985" s="1477"/>
      <c r="B985" s="887">
        <v>1000</v>
      </c>
      <c r="C985" s="887">
        <v>1000</v>
      </c>
      <c r="D985" s="915" t="s">
        <v>11</v>
      </c>
    </row>
    <row r="986" spans="1:4" s="913" customFormat="1" ht="11.25" customHeight="1" x14ac:dyDescent="0.2">
      <c r="A986" s="1480" t="s">
        <v>1192</v>
      </c>
      <c r="B986" s="928">
        <v>1000</v>
      </c>
      <c r="C986" s="928">
        <v>1000</v>
      </c>
      <c r="D986" s="912" t="s">
        <v>1191</v>
      </c>
    </row>
    <row r="987" spans="1:4" s="913" customFormat="1" ht="11.25" customHeight="1" x14ac:dyDescent="0.2">
      <c r="A987" s="1481"/>
      <c r="B987" s="929">
        <v>1000</v>
      </c>
      <c r="C987" s="929">
        <v>1000</v>
      </c>
      <c r="D987" s="915" t="s">
        <v>11</v>
      </c>
    </row>
    <row r="988" spans="1:4" s="913" customFormat="1" ht="11.25" customHeight="1" x14ac:dyDescent="0.2">
      <c r="A988" s="1479" t="s">
        <v>945</v>
      </c>
      <c r="B988" s="921">
        <v>1431.3</v>
      </c>
      <c r="C988" s="921">
        <v>275</v>
      </c>
      <c r="D988" s="914" t="s">
        <v>2842</v>
      </c>
    </row>
    <row r="989" spans="1:4" s="913" customFormat="1" ht="11.25" customHeight="1" x14ac:dyDescent="0.2">
      <c r="A989" s="1479"/>
      <c r="B989" s="921">
        <v>952</v>
      </c>
      <c r="C989" s="921">
        <v>952</v>
      </c>
      <c r="D989" s="914" t="s">
        <v>2735</v>
      </c>
    </row>
    <row r="990" spans="1:4" s="913" customFormat="1" ht="11.25" customHeight="1" x14ac:dyDescent="0.2">
      <c r="A990" s="1479"/>
      <c r="B990" s="921">
        <v>10</v>
      </c>
      <c r="C990" s="921">
        <v>10</v>
      </c>
      <c r="D990" s="914" t="s">
        <v>2843</v>
      </c>
    </row>
    <row r="991" spans="1:4" s="913" customFormat="1" ht="11.25" customHeight="1" x14ac:dyDescent="0.2">
      <c r="A991" s="1479"/>
      <c r="B991" s="921">
        <v>2393.3000000000002</v>
      </c>
      <c r="C991" s="921">
        <v>1237</v>
      </c>
      <c r="D991" s="914" t="s">
        <v>11</v>
      </c>
    </row>
    <row r="992" spans="1:4" s="913" customFormat="1" ht="11.25" customHeight="1" x14ac:dyDescent="0.2">
      <c r="A992" s="1476" t="s">
        <v>750</v>
      </c>
      <c r="B992" s="888">
        <v>97.9</v>
      </c>
      <c r="C992" s="888">
        <v>97.9</v>
      </c>
      <c r="D992" s="912" t="s">
        <v>2749</v>
      </c>
    </row>
    <row r="993" spans="1:4" s="913" customFormat="1" ht="11.25" customHeight="1" x14ac:dyDescent="0.2">
      <c r="A993" s="1475"/>
      <c r="B993" s="885">
        <v>15994</v>
      </c>
      <c r="C993" s="885">
        <v>606.56409999999994</v>
      </c>
      <c r="D993" s="914" t="s">
        <v>749</v>
      </c>
    </row>
    <row r="994" spans="1:4" s="913" customFormat="1" ht="11.25" customHeight="1" x14ac:dyDescent="0.2">
      <c r="A994" s="1475"/>
      <c r="B994" s="885">
        <v>19080</v>
      </c>
      <c r="C994" s="885">
        <v>3584.4049300000001</v>
      </c>
      <c r="D994" s="914" t="s">
        <v>2844</v>
      </c>
    </row>
    <row r="995" spans="1:4" s="913" customFormat="1" ht="11.25" customHeight="1" x14ac:dyDescent="0.2">
      <c r="A995" s="1477"/>
      <c r="B995" s="887">
        <v>35171.9</v>
      </c>
      <c r="C995" s="887">
        <v>4288.8690299999998</v>
      </c>
      <c r="D995" s="915" t="s">
        <v>11</v>
      </c>
    </row>
    <row r="996" spans="1:4" s="913" customFormat="1" ht="11.25" customHeight="1" x14ac:dyDescent="0.2">
      <c r="A996" s="1475" t="s">
        <v>734</v>
      </c>
      <c r="B996" s="885">
        <v>1350</v>
      </c>
      <c r="C996" s="885">
        <v>1316.3593500000002</v>
      </c>
      <c r="D996" s="914" t="s">
        <v>733</v>
      </c>
    </row>
    <row r="997" spans="1:4" s="913" customFormat="1" ht="11.25" customHeight="1" x14ac:dyDescent="0.2">
      <c r="A997" s="1475"/>
      <c r="B997" s="885">
        <v>1350</v>
      </c>
      <c r="C997" s="885">
        <v>1316.3593500000002</v>
      </c>
      <c r="D997" s="914" t="s">
        <v>11</v>
      </c>
    </row>
    <row r="998" spans="1:4" s="913" customFormat="1" ht="11.25" customHeight="1" x14ac:dyDescent="0.2">
      <c r="A998" s="1476" t="s">
        <v>991</v>
      </c>
      <c r="B998" s="888">
        <v>304.8</v>
      </c>
      <c r="C998" s="888">
        <v>293.09800000000001</v>
      </c>
      <c r="D998" s="912" t="s">
        <v>2749</v>
      </c>
    </row>
    <row r="999" spans="1:4" s="913" customFormat="1" ht="11.25" customHeight="1" x14ac:dyDescent="0.2">
      <c r="A999" s="1475"/>
      <c r="B999" s="885">
        <v>50</v>
      </c>
      <c r="C999" s="885">
        <v>50</v>
      </c>
      <c r="D999" s="914" t="s">
        <v>978</v>
      </c>
    </row>
    <row r="1000" spans="1:4" s="913" customFormat="1" ht="11.25" customHeight="1" x14ac:dyDescent="0.2">
      <c r="A1000" s="1477"/>
      <c r="B1000" s="887">
        <v>354.8</v>
      </c>
      <c r="C1000" s="887">
        <v>343.09800000000001</v>
      </c>
      <c r="D1000" s="915" t="s">
        <v>11</v>
      </c>
    </row>
    <row r="1001" spans="1:4" s="913" customFormat="1" ht="21" x14ac:dyDescent="0.2">
      <c r="A1001" s="1475" t="s">
        <v>1234</v>
      </c>
      <c r="B1001" s="885">
        <v>4500</v>
      </c>
      <c r="C1001" s="885">
        <v>4500</v>
      </c>
      <c r="D1001" s="914" t="s">
        <v>1233</v>
      </c>
    </row>
    <row r="1002" spans="1:4" s="913" customFormat="1" ht="11.25" customHeight="1" x14ac:dyDescent="0.2">
      <c r="A1002" s="1475"/>
      <c r="B1002" s="885">
        <v>4500</v>
      </c>
      <c r="C1002" s="885">
        <v>4500</v>
      </c>
      <c r="D1002" s="914" t="s">
        <v>11</v>
      </c>
    </row>
    <row r="1003" spans="1:4" s="913" customFormat="1" ht="11.25" customHeight="1" x14ac:dyDescent="0.2">
      <c r="A1003" s="1476" t="s">
        <v>2845</v>
      </c>
      <c r="B1003" s="888">
        <v>452.44</v>
      </c>
      <c r="C1003" s="888">
        <v>338.05007999999998</v>
      </c>
      <c r="D1003" s="912" t="s">
        <v>2602</v>
      </c>
    </row>
    <row r="1004" spans="1:4" s="913" customFormat="1" ht="11.25" customHeight="1" x14ac:dyDescent="0.2">
      <c r="A1004" s="1477"/>
      <c r="B1004" s="887">
        <v>452.44</v>
      </c>
      <c r="C1004" s="887">
        <v>338.05007999999998</v>
      </c>
      <c r="D1004" s="915" t="s">
        <v>11</v>
      </c>
    </row>
    <row r="1005" spans="1:4" s="913" customFormat="1" ht="11.25" customHeight="1" x14ac:dyDescent="0.2">
      <c r="A1005" s="1475" t="s">
        <v>1193</v>
      </c>
      <c r="B1005" s="885">
        <v>900</v>
      </c>
      <c r="C1005" s="885">
        <v>900</v>
      </c>
      <c r="D1005" s="914" t="s">
        <v>1191</v>
      </c>
    </row>
    <row r="1006" spans="1:4" s="913" customFormat="1" ht="11.25" customHeight="1" x14ac:dyDescent="0.2">
      <c r="A1006" s="1475"/>
      <c r="B1006" s="885">
        <v>900</v>
      </c>
      <c r="C1006" s="885">
        <v>900</v>
      </c>
      <c r="D1006" s="914" t="s">
        <v>11</v>
      </c>
    </row>
    <row r="1007" spans="1:4" s="913" customFormat="1" x14ac:dyDescent="0.2">
      <c r="A1007" s="930" t="s">
        <v>2846</v>
      </c>
      <c r="B1007" s="878">
        <v>47122.44</v>
      </c>
      <c r="C1007" s="878">
        <v>14923.376459999999</v>
      </c>
      <c r="D1007" s="917"/>
    </row>
    <row r="1008" spans="1:4" s="904" customFormat="1" ht="24.75" customHeight="1" x14ac:dyDescent="0.2">
      <c r="A1008" s="918" t="s">
        <v>2847</v>
      </c>
      <c r="B1008" s="919"/>
      <c r="C1008" s="919"/>
      <c r="D1008" s="931"/>
    </row>
    <row r="1009" spans="1:4" s="913" customFormat="1" ht="17.25" customHeight="1" x14ac:dyDescent="0.2">
      <c r="A1009" s="1476" t="s">
        <v>2848</v>
      </c>
      <c r="B1009" s="888">
        <v>268.05</v>
      </c>
      <c r="C1009" s="888">
        <v>256.85160999999999</v>
      </c>
      <c r="D1009" s="912" t="s">
        <v>1278</v>
      </c>
    </row>
    <row r="1010" spans="1:4" s="913" customFormat="1" ht="17.25" customHeight="1" x14ac:dyDescent="0.2">
      <c r="A1010" s="1477"/>
      <c r="B1010" s="887">
        <v>268.05</v>
      </c>
      <c r="C1010" s="887">
        <v>256.85160999999999</v>
      </c>
      <c r="D1010" s="915" t="s">
        <v>11</v>
      </c>
    </row>
    <row r="1011" spans="1:4" s="913" customFormat="1" ht="11.25" customHeight="1" x14ac:dyDescent="0.2">
      <c r="A1011" s="1476" t="s">
        <v>2849</v>
      </c>
      <c r="B1011" s="888">
        <v>882.55</v>
      </c>
      <c r="C1011" s="888">
        <v>881.74731999999995</v>
      </c>
      <c r="D1011" s="912" t="s">
        <v>1278</v>
      </c>
    </row>
    <row r="1012" spans="1:4" s="913" customFormat="1" ht="11.25" customHeight="1" x14ac:dyDescent="0.2">
      <c r="A1012" s="1477"/>
      <c r="B1012" s="887">
        <v>882.55</v>
      </c>
      <c r="C1012" s="887">
        <v>881.74731999999995</v>
      </c>
      <c r="D1012" s="915" t="s">
        <v>11</v>
      </c>
    </row>
    <row r="1013" spans="1:4" s="913" customFormat="1" ht="11.25" customHeight="1" x14ac:dyDescent="0.2">
      <c r="A1013" s="1475" t="s">
        <v>2850</v>
      </c>
      <c r="B1013" s="885">
        <v>171.03</v>
      </c>
      <c r="C1013" s="885">
        <v>171.02776</v>
      </c>
      <c r="D1013" s="914" t="s">
        <v>1404</v>
      </c>
    </row>
    <row r="1014" spans="1:4" s="913" customFormat="1" ht="11.25" customHeight="1" x14ac:dyDescent="0.2">
      <c r="A1014" s="1475"/>
      <c r="B1014" s="885">
        <v>171.03</v>
      </c>
      <c r="C1014" s="885">
        <v>171.02776</v>
      </c>
      <c r="D1014" s="914" t="s">
        <v>11</v>
      </c>
    </row>
    <row r="1015" spans="1:4" s="913" customFormat="1" ht="12.75" customHeight="1" x14ac:dyDescent="0.2">
      <c r="A1015" s="930" t="s">
        <v>2851</v>
      </c>
      <c r="B1015" s="878">
        <v>1321.6299999999999</v>
      </c>
      <c r="C1015" s="878">
        <v>1309.6266899999998</v>
      </c>
      <c r="D1015" s="917"/>
    </row>
    <row r="1016" spans="1:4" s="904" customFormat="1" ht="12.75" x14ac:dyDescent="0.2">
      <c r="A1016" s="932"/>
      <c r="B1016" s="919"/>
      <c r="C1016" s="919"/>
      <c r="D1016" s="931"/>
    </row>
    <row r="1017" spans="1:4" s="904" customFormat="1" ht="21" customHeight="1" x14ac:dyDescent="0.2">
      <c r="A1017" s="933" t="s">
        <v>477</v>
      </c>
      <c r="B1017" s="934">
        <f>B935+B974+B978+B982+B1007+B1015</f>
        <v>520209.08000000042</v>
      </c>
      <c r="C1017" s="934">
        <f>C935+C974+C978+C982+C1007+C1015</f>
        <v>424859.48990000098</v>
      </c>
      <c r="D1017" s="935"/>
    </row>
    <row r="1018" spans="1:4" s="904" customFormat="1" ht="12.75" x14ac:dyDescent="0.2">
      <c r="B1018" s="936"/>
      <c r="C1018" s="936"/>
      <c r="D1018" s="937"/>
    </row>
    <row r="1019" spans="1:4" s="904" customFormat="1" ht="12.75" x14ac:dyDescent="0.2">
      <c r="B1019" s="936"/>
      <c r="C1019" s="936"/>
      <c r="D1019" s="937"/>
    </row>
    <row r="1020" spans="1:4" s="904" customFormat="1" ht="12.75" x14ac:dyDescent="0.2">
      <c r="A1020" s="938" t="s">
        <v>2522</v>
      </c>
      <c r="B1020" s="936"/>
      <c r="C1020" s="936"/>
      <c r="D1020" s="937"/>
    </row>
    <row r="1021" spans="1:4" s="904" customFormat="1" ht="12.75" x14ac:dyDescent="0.2">
      <c r="A1021" s="939" t="s">
        <v>2852</v>
      </c>
      <c r="B1021" s="936"/>
      <c r="C1021" s="936"/>
      <c r="D1021" s="937"/>
    </row>
  </sheetData>
  <mergeCells count="297">
    <mergeCell ref="A1009:A1010"/>
    <mergeCell ref="A1011:A1012"/>
    <mergeCell ref="A1013:A1014"/>
    <mergeCell ref="A992:A995"/>
    <mergeCell ref="A996:A997"/>
    <mergeCell ref="A998:A1000"/>
    <mergeCell ref="A1001:A1002"/>
    <mergeCell ref="A1003:A1004"/>
    <mergeCell ref="A1005:A1006"/>
    <mergeCell ref="A972:A973"/>
    <mergeCell ref="A976:A977"/>
    <mergeCell ref="A980:A981"/>
    <mergeCell ref="A984:A985"/>
    <mergeCell ref="A986:A987"/>
    <mergeCell ref="A988:A991"/>
    <mergeCell ref="A957:A958"/>
    <mergeCell ref="A959:A960"/>
    <mergeCell ref="A961:A964"/>
    <mergeCell ref="A965:A967"/>
    <mergeCell ref="A968:A969"/>
    <mergeCell ref="A970:A971"/>
    <mergeCell ref="A941:A943"/>
    <mergeCell ref="A944:A945"/>
    <mergeCell ref="A946:A947"/>
    <mergeCell ref="A948:A950"/>
    <mergeCell ref="A951:A954"/>
    <mergeCell ref="A955:A956"/>
    <mergeCell ref="A883:A891"/>
    <mergeCell ref="A892:A900"/>
    <mergeCell ref="A901:A914"/>
    <mergeCell ref="A915:A934"/>
    <mergeCell ref="A937:A938"/>
    <mergeCell ref="A939:A940"/>
    <mergeCell ref="A857:A858"/>
    <mergeCell ref="A859:A862"/>
    <mergeCell ref="A863:A867"/>
    <mergeCell ref="A868:A869"/>
    <mergeCell ref="A870:A871"/>
    <mergeCell ref="A872:A882"/>
    <mergeCell ref="A841:A843"/>
    <mergeCell ref="A844:A845"/>
    <mergeCell ref="A846:A849"/>
    <mergeCell ref="A850:A851"/>
    <mergeCell ref="A852:A854"/>
    <mergeCell ref="A855:A856"/>
    <mergeCell ref="A827:A829"/>
    <mergeCell ref="A830:A831"/>
    <mergeCell ref="A832:A833"/>
    <mergeCell ref="A834:A836"/>
    <mergeCell ref="A837:A838"/>
    <mergeCell ref="A839:A840"/>
    <mergeCell ref="A811:A813"/>
    <mergeCell ref="A814:A817"/>
    <mergeCell ref="A818:A819"/>
    <mergeCell ref="A820:A821"/>
    <mergeCell ref="A822:A824"/>
    <mergeCell ref="A825:A826"/>
    <mergeCell ref="A796:A797"/>
    <mergeCell ref="A798:A800"/>
    <mergeCell ref="A801:A803"/>
    <mergeCell ref="A804:A806"/>
    <mergeCell ref="A807:A808"/>
    <mergeCell ref="A809:A810"/>
    <mergeCell ref="A777:A779"/>
    <mergeCell ref="A780:A783"/>
    <mergeCell ref="A784:A785"/>
    <mergeCell ref="A786:A788"/>
    <mergeCell ref="A789:A792"/>
    <mergeCell ref="A793:A795"/>
    <mergeCell ref="A762:A766"/>
    <mergeCell ref="A767:A768"/>
    <mergeCell ref="A769:A770"/>
    <mergeCell ref="A771:A772"/>
    <mergeCell ref="A773:A774"/>
    <mergeCell ref="A775:A776"/>
    <mergeCell ref="A744:A746"/>
    <mergeCell ref="A747:A749"/>
    <mergeCell ref="A750:A751"/>
    <mergeCell ref="A752:A753"/>
    <mergeCell ref="A754:A758"/>
    <mergeCell ref="A759:A761"/>
    <mergeCell ref="A730:A731"/>
    <mergeCell ref="A732:A733"/>
    <mergeCell ref="A734:A735"/>
    <mergeCell ref="A736:A738"/>
    <mergeCell ref="A739:A741"/>
    <mergeCell ref="A742:A743"/>
    <mergeCell ref="A715:A716"/>
    <mergeCell ref="A717:A719"/>
    <mergeCell ref="A720:A721"/>
    <mergeCell ref="A722:A723"/>
    <mergeCell ref="A724:A727"/>
    <mergeCell ref="A728:A729"/>
    <mergeCell ref="A700:A701"/>
    <mergeCell ref="A702:A703"/>
    <mergeCell ref="A704:A706"/>
    <mergeCell ref="A707:A709"/>
    <mergeCell ref="A710:A712"/>
    <mergeCell ref="A713:A714"/>
    <mergeCell ref="A683:A684"/>
    <mergeCell ref="A685:A687"/>
    <mergeCell ref="A688:A691"/>
    <mergeCell ref="A692:A694"/>
    <mergeCell ref="A695:A697"/>
    <mergeCell ref="A698:A699"/>
    <mergeCell ref="A664:A667"/>
    <mergeCell ref="A668:A669"/>
    <mergeCell ref="A670:A674"/>
    <mergeCell ref="A675:A677"/>
    <mergeCell ref="A678:A679"/>
    <mergeCell ref="A680:A682"/>
    <mergeCell ref="A648:A649"/>
    <mergeCell ref="A650:A651"/>
    <mergeCell ref="A652:A654"/>
    <mergeCell ref="A655:A658"/>
    <mergeCell ref="A659:A661"/>
    <mergeCell ref="A662:A663"/>
    <mergeCell ref="A631:A633"/>
    <mergeCell ref="A634:A635"/>
    <mergeCell ref="A636:A637"/>
    <mergeCell ref="A638:A639"/>
    <mergeCell ref="A640:A644"/>
    <mergeCell ref="A645:A647"/>
    <mergeCell ref="A612:A614"/>
    <mergeCell ref="A615:A616"/>
    <mergeCell ref="A617:A619"/>
    <mergeCell ref="A620:A622"/>
    <mergeCell ref="A623:A626"/>
    <mergeCell ref="A627:A630"/>
    <mergeCell ref="A593:A595"/>
    <mergeCell ref="A596:A598"/>
    <mergeCell ref="A599:A603"/>
    <mergeCell ref="A604:A605"/>
    <mergeCell ref="A606:A607"/>
    <mergeCell ref="A608:A611"/>
    <mergeCell ref="A577:A580"/>
    <mergeCell ref="A581:A582"/>
    <mergeCell ref="A583:A584"/>
    <mergeCell ref="A585:A587"/>
    <mergeCell ref="A588:A589"/>
    <mergeCell ref="A590:A592"/>
    <mergeCell ref="A554:A558"/>
    <mergeCell ref="A559:A561"/>
    <mergeCell ref="A562:A564"/>
    <mergeCell ref="A565:A571"/>
    <mergeCell ref="A572:A574"/>
    <mergeCell ref="A575:A576"/>
    <mergeCell ref="A533:A537"/>
    <mergeCell ref="A538:A539"/>
    <mergeCell ref="A540:A543"/>
    <mergeCell ref="A544:A546"/>
    <mergeCell ref="A547:A550"/>
    <mergeCell ref="A551:A553"/>
    <mergeCell ref="A518:A520"/>
    <mergeCell ref="A521:A522"/>
    <mergeCell ref="A523:A525"/>
    <mergeCell ref="A526:A527"/>
    <mergeCell ref="A528:A529"/>
    <mergeCell ref="A530:A532"/>
    <mergeCell ref="A496:A497"/>
    <mergeCell ref="A498:A501"/>
    <mergeCell ref="A502:A506"/>
    <mergeCell ref="A507:A508"/>
    <mergeCell ref="A509:A513"/>
    <mergeCell ref="A514:A517"/>
    <mergeCell ref="A478:A479"/>
    <mergeCell ref="A480:A481"/>
    <mergeCell ref="A482:A484"/>
    <mergeCell ref="A485:A490"/>
    <mergeCell ref="A491:A493"/>
    <mergeCell ref="A494:A495"/>
    <mergeCell ref="A460:A463"/>
    <mergeCell ref="A464:A466"/>
    <mergeCell ref="A467:A468"/>
    <mergeCell ref="A469:A472"/>
    <mergeCell ref="A473:A475"/>
    <mergeCell ref="A476:A477"/>
    <mergeCell ref="A443:A446"/>
    <mergeCell ref="A447:A448"/>
    <mergeCell ref="A449:A451"/>
    <mergeCell ref="A452:A453"/>
    <mergeCell ref="A454:A457"/>
    <mergeCell ref="A458:A459"/>
    <mergeCell ref="A422:A424"/>
    <mergeCell ref="A425:A429"/>
    <mergeCell ref="A430:A432"/>
    <mergeCell ref="A433:A436"/>
    <mergeCell ref="A437:A438"/>
    <mergeCell ref="A439:A442"/>
    <mergeCell ref="A404:A405"/>
    <mergeCell ref="A406:A409"/>
    <mergeCell ref="A410:A412"/>
    <mergeCell ref="A413:A415"/>
    <mergeCell ref="A416:A418"/>
    <mergeCell ref="A419:A421"/>
    <mergeCell ref="A385:A386"/>
    <mergeCell ref="A387:A388"/>
    <mergeCell ref="A389:A390"/>
    <mergeCell ref="A391:A393"/>
    <mergeCell ref="A394:A398"/>
    <mergeCell ref="A399:A403"/>
    <mergeCell ref="A368:A369"/>
    <mergeCell ref="A370:A373"/>
    <mergeCell ref="A374:A375"/>
    <mergeCell ref="A376:A377"/>
    <mergeCell ref="A378:A380"/>
    <mergeCell ref="A381:A384"/>
    <mergeCell ref="A351:A353"/>
    <mergeCell ref="A354:A356"/>
    <mergeCell ref="A357:A358"/>
    <mergeCell ref="A359:A361"/>
    <mergeCell ref="A362:A364"/>
    <mergeCell ref="A365:A367"/>
    <mergeCell ref="A331:A334"/>
    <mergeCell ref="A335:A338"/>
    <mergeCell ref="A339:A340"/>
    <mergeCell ref="A341:A342"/>
    <mergeCell ref="A343:A346"/>
    <mergeCell ref="A347:A350"/>
    <mergeCell ref="A317:A319"/>
    <mergeCell ref="A320:A322"/>
    <mergeCell ref="A323:A324"/>
    <mergeCell ref="A325:A326"/>
    <mergeCell ref="A327:A328"/>
    <mergeCell ref="A329:A330"/>
    <mergeCell ref="A298:A300"/>
    <mergeCell ref="A301:A303"/>
    <mergeCell ref="A304:A308"/>
    <mergeCell ref="A309:A312"/>
    <mergeCell ref="A313:A314"/>
    <mergeCell ref="A315:A316"/>
    <mergeCell ref="A280:A281"/>
    <mergeCell ref="A282:A284"/>
    <mergeCell ref="A285:A286"/>
    <mergeCell ref="A287:A289"/>
    <mergeCell ref="A290:A293"/>
    <mergeCell ref="A294:A297"/>
    <mergeCell ref="A259:A261"/>
    <mergeCell ref="A262:A265"/>
    <mergeCell ref="A266:A267"/>
    <mergeCell ref="A268:A272"/>
    <mergeCell ref="A273:A274"/>
    <mergeCell ref="A275:A279"/>
    <mergeCell ref="A245:A247"/>
    <mergeCell ref="A248:A250"/>
    <mergeCell ref="A251:A252"/>
    <mergeCell ref="A253:A254"/>
    <mergeCell ref="A255:A256"/>
    <mergeCell ref="A257:A258"/>
    <mergeCell ref="A229:A230"/>
    <mergeCell ref="A231:A233"/>
    <mergeCell ref="A234:A236"/>
    <mergeCell ref="A237:A239"/>
    <mergeCell ref="A240:A241"/>
    <mergeCell ref="A242:A244"/>
    <mergeCell ref="A203:A207"/>
    <mergeCell ref="A208:A214"/>
    <mergeCell ref="A215:A218"/>
    <mergeCell ref="A219:A220"/>
    <mergeCell ref="A221:A226"/>
    <mergeCell ref="A227:A228"/>
    <mergeCell ref="A171:A174"/>
    <mergeCell ref="A175:A178"/>
    <mergeCell ref="A179:A181"/>
    <mergeCell ref="A182:A184"/>
    <mergeCell ref="A185:A194"/>
    <mergeCell ref="A195:A202"/>
    <mergeCell ref="A145:A150"/>
    <mergeCell ref="A151:A155"/>
    <mergeCell ref="A156:A158"/>
    <mergeCell ref="A159:A161"/>
    <mergeCell ref="A162:A166"/>
    <mergeCell ref="A167:A170"/>
    <mergeCell ref="A103:A109"/>
    <mergeCell ref="A110:A118"/>
    <mergeCell ref="A119:A121"/>
    <mergeCell ref="A122:A130"/>
    <mergeCell ref="A131:A133"/>
    <mergeCell ref="A134:A144"/>
    <mergeCell ref="A72:A76"/>
    <mergeCell ref="A77:A83"/>
    <mergeCell ref="A84:A85"/>
    <mergeCell ref="A86:A90"/>
    <mergeCell ref="A91:A98"/>
    <mergeCell ref="A99:A102"/>
    <mergeCell ref="A41:A43"/>
    <mergeCell ref="A44:A46"/>
    <mergeCell ref="A47:A55"/>
    <mergeCell ref="A56:A59"/>
    <mergeCell ref="A60:A65"/>
    <mergeCell ref="A66:A71"/>
    <mergeCell ref="A1:D1"/>
    <mergeCell ref="A5:A7"/>
    <mergeCell ref="A8:A14"/>
    <mergeCell ref="A15:A25"/>
    <mergeCell ref="A26:A35"/>
    <mergeCell ref="A36:A40"/>
  </mergeCells>
  <printOptions horizontalCentered="1"/>
  <pageMargins left="0.39370078740157483" right="0.39370078740157483" top="0.59055118110236227" bottom="0.39370078740157483" header="0.31496062992125984" footer="0.11811023622047245"/>
  <pageSetup paperSize="9" scale="95" firstPageNumber="370" fitToHeight="0" orientation="landscape" useFirstPageNumber="1" r:id="rId1"/>
  <headerFooter>
    <oddHeader>&amp;L&amp;"Tahoma,Kurzíva"&amp;9Závěrečný účet za rok 2015&amp;R&amp;"Tahoma,Kurzíva"&amp;9Tabulka č. 27</oddHeader>
    <oddFooter>&amp;C&amp;"Tahoma,Obyčejné"&amp;P</oddFooter>
  </headerFooter>
  <rowBreaks count="14" manualBreakCount="14">
    <brk id="46" max="3" man="1"/>
    <brk id="187" max="16383" man="1"/>
    <brk id="233" max="16383" man="1"/>
    <brk id="328" max="16383" man="1"/>
    <brk id="375" max="16383" man="1"/>
    <brk id="421" max="16383" man="1"/>
    <brk id="468" max="16383" man="1"/>
    <brk id="513" max="16383" man="1"/>
    <brk id="607" max="16383" man="1"/>
    <brk id="654" max="16383" man="1"/>
    <brk id="701" max="16383" man="1"/>
    <brk id="935" max="16383" man="1"/>
    <brk id="974" max="16383" man="1"/>
    <brk id="1010"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25"/>
  <sheetViews>
    <sheetView zoomScaleNormal="100" zoomScaleSheetLayoutView="100" workbookViewId="0">
      <selection activeCell="E23" sqref="E23"/>
    </sheetView>
  </sheetViews>
  <sheetFormatPr defaultRowHeight="15" x14ac:dyDescent="0.25"/>
  <cols>
    <col min="1" max="1" width="38.5703125" style="896" customWidth="1"/>
    <col min="2" max="3" width="11.140625" style="896" customWidth="1"/>
    <col min="4" max="4" width="87.28515625" style="958" customWidth="1"/>
    <col min="5" max="16384" width="9.140625" style="896"/>
  </cols>
  <sheetData>
    <row r="1" spans="1:4" s="942" customFormat="1" ht="21" customHeight="1" x14ac:dyDescent="0.2">
      <c r="A1" s="1482" t="s">
        <v>2853</v>
      </c>
      <c r="B1" s="1482"/>
      <c r="C1" s="1482"/>
      <c r="D1" s="1482"/>
    </row>
    <row r="2" spans="1:4" s="944" customFormat="1" ht="12.75" customHeight="1" x14ac:dyDescent="0.2">
      <c r="A2" s="943"/>
      <c r="D2" s="945" t="s">
        <v>2</v>
      </c>
    </row>
    <row r="3" spans="1:4" s="944" customFormat="1" ht="12.75" customHeight="1" x14ac:dyDescent="0.2">
      <c r="A3" s="946" t="s">
        <v>717</v>
      </c>
      <c r="B3" s="946" t="s">
        <v>2729</v>
      </c>
      <c r="C3" s="946" t="s">
        <v>2728</v>
      </c>
      <c r="D3" s="946" t="s">
        <v>2727</v>
      </c>
    </row>
    <row r="4" spans="1:4" s="948" customFormat="1" ht="11.25" customHeight="1" x14ac:dyDescent="0.2">
      <c r="A4" s="1471" t="s">
        <v>1112</v>
      </c>
      <c r="B4" s="947">
        <v>50</v>
      </c>
      <c r="C4" s="947">
        <v>50</v>
      </c>
      <c r="D4" s="880" t="s">
        <v>1111</v>
      </c>
    </row>
    <row r="5" spans="1:4" s="948" customFormat="1" ht="11.25" customHeight="1" x14ac:dyDescent="0.2">
      <c r="A5" s="1471"/>
      <c r="B5" s="947">
        <v>50</v>
      </c>
      <c r="C5" s="947">
        <v>50</v>
      </c>
      <c r="D5" s="880" t="s">
        <v>11</v>
      </c>
    </row>
    <row r="6" spans="1:4" s="948" customFormat="1" ht="11.25" customHeight="1" x14ac:dyDescent="0.2">
      <c r="A6" s="1472" t="s">
        <v>2854</v>
      </c>
      <c r="B6" s="949">
        <v>117</v>
      </c>
      <c r="C6" s="949">
        <v>117</v>
      </c>
      <c r="D6" s="882" t="s">
        <v>2745</v>
      </c>
    </row>
    <row r="7" spans="1:4" s="948" customFormat="1" ht="11.25" customHeight="1" x14ac:dyDescent="0.2">
      <c r="A7" s="1473"/>
      <c r="B7" s="950">
        <v>117</v>
      </c>
      <c r="C7" s="950">
        <v>117</v>
      </c>
      <c r="D7" s="886" t="s">
        <v>11</v>
      </c>
    </row>
    <row r="8" spans="1:4" s="948" customFormat="1" ht="11.25" customHeight="1" x14ac:dyDescent="0.2">
      <c r="A8" s="1471" t="s">
        <v>2855</v>
      </c>
      <c r="B8" s="947">
        <v>53.5</v>
      </c>
      <c r="C8" s="947">
        <v>53.424999999999997</v>
      </c>
      <c r="D8" s="880" t="s">
        <v>2745</v>
      </c>
    </row>
    <row r="9" spans="1:4" s="948" customFormat="1" ht="11.25" customHeight="1" x14ac:dyDescent="0.2">
      <c r="A9" s="1471"/>
      <c r="B9" s="947">
        <v>53.5</v>
      </c>
      <c r="C9" s="947">
        <v>53.424999999999997</v>
      </c>
      <c r="D9" s="880" t="s">
        <v>11</v>
      </c>
    </row>
    <row r="10" spans="1:4" s="948" customFormat="1" ht="11.25" customHeight="1" x14ac:dyDescent="0.2">
      <c r="A10" s="1472" t="s">
        <v>2856</v>
      </c>
      <c r="B10" s="949">
        <v>203.32</v>
      </c>
      <c r="C10" s="949">
        <v>203.31399999999999</v>
      </c>
      <c r="D10" s="882" t="s">
        <v>2618</v>
      </c>
    </row>
    <row r="11" spans="1:4" s="948" customFormat="1" ht="11.25" customHeight="1" x14ac:dyDescent="0.2">
      <c r="A11" s="1473"/>
      <c r="B11" s="950">
        <v>203.32</v>
      </c>
      <c r="C11" s="950">
        <v>203.31399999999999</v>
      </c>
      <c r="D11" s="886" t="s">
        <v>11</v>
      </c>
    </row>
    <row r="12" spans="1:4" s="948" customFormat="1" ht="11.25" customHeight="1" x14ac:dyDescent="0.2">
      <c r="A12" s="1471" t="s">
        <v>2857</v>
      </c>
      <c r="B12" s="947">
        <v>6353.82</v>
      </c>
      <c r="C12" s="947">
        <v>6352.7019999999993</v>
      </c>
      <c r="D12" s="880" t="s">
        <v>1458</v>
      </c>
    </row>
    <row r="13" spans="1:4" s="948" customFormat="1" ht="11.25" customHeight="1" x14ac:dyDescent="0.2">
      <c r="A13" s="1471"/>
      <c r="B13" s="947">
        <v>92.43</v>
      </c>
      <c r="C13" s="947">
        <v>92.427000000000007</v>
      </c>
      <c r="D13" s="880" t="s">
        <v>1454</v>
      </c>
    </row>
    <row r="14" spans="1:4" s="948" customFormat="1" ht="11.25" customHeight="1" x14ac:dyDescent="0.2">
      <c r="A14" s="1471"/>
      <c r="B14" s="947">
        <v>6446.25</v>
      </c>
      <c r="C14" s="947">
        <v>6445.128999999999</v>
      </c>
      <c r="D14" s="880" t="s">
        <v>11</v>
      </c>
    </row>
    <row r="15" spans="1:4" s="948" customFormat="1" ht="11.25" customHeight="1" x14ac:dyDescent="0.2">
      <c r="A15" s="1472" t="s">
        <v>2858</v>
      </c>
      <c r="B15" s="949">
        <v>160</v>
      </c>
      <c r="C15" s="949">
        <v>160</v>
      </c>
      <c r="D15" s="882" t="s">
        <v>2745</v>
      </c>
    </row>
    <row r="16" spans="1:4" s="948" customFormat="1" ht="11.25" customHeight="1" x14ac:dyDescent="0.2">
      <c r="A16" s="1473"/>
      <c r="B16" s="950">
        <v>160</v>
      </c>
      <c r="C16" s="950">
        <v>160</v>
      </c>
      <c r="D16" s="886" t="s">
        <v>11</v>
      </c>
    </row>
    <row r="17" spans="1:4" s="948" customFormat="1" ht="11.25" customHeight="1" x14ac:dyDescent="0.2">
      <c r="A17" s="1471" t="s">
        <v>2859</v>
      </c>
      <c r="B17" s="947">
        <v>155.19999999999999</v>
      </c>
      <c r="C17" s="947">
        <v>155.19999999999999</v>
      </c>
      <c r="D17" s="880" t="s">
        <v>2745</v>
      </c>
    </row>
    <row r="18" spans="1:4" s="948" customFormat="1" ht="11.25" customHeight="1" x14ac:dyDescent="0.2">
      <c r="A18" s="1471"/>
      <c r="B18" s="947">
        <v>155.19999999999999</v>
      </c>
      <c r="C18" s="947">
        <v>155.19999999999999</v>
      </c>
      <c r="D18" s="880" t="s">
        <v>11</v>
      </c>
    </row>
    <row r="19" spans="1:4" s="948" customFormat="1" ht="11.25" customHeight="1" x14ac:dyDescent="0.2">
      <c r="A19" s="1472" t="s">
        <v>2860</v>
      </c>
      <c r="B19" s="949">
        <v>889.98</v>
      </c>
      <c r="C19" s="949">
        <v>889.95276000000001</v>
      </c>
      <c r="D19" s="882" t="s">
        <v>2618</v>
      </c>
    </row>
    <row r="20" spans="1:4" s="948" customFormat="1" ht="11.25" customHeight="1" x14ac:dyDescent="0.2">
      <c r="A20" s="1473"/>
      <c r="B20" s="950">
        <v>889.98</v>
      </c>
      <c r="C20" s="950">
        <v>889.95276000000001</v>
      </c>
      <c r="D20" s="886" t="s">
        <v>11</v>
      </c>
    </row>
    <row r="21" spans="1:4" s="948" customFormat="1" ht="11.25" customHeight="1" x14ac:dyDescent="0.2">
      <c r="A21" s="1471" t="s">
        <v>2861</v>
      </c>
      <c r="B21" s="947">
        <v>300</v>
      </c>
      <c r="C21" s="947">
        <v>150</v>
      </c>
      <c r="D21" s="880" t="s">
        <v>2862</v>
      </c>
    </row>
    <row r="22" spans="1:4" s="948" customFormat="1" ht="11.25" customHeight="1" x14ac:dyDescent="0.2">
      <c r="A22" s="1471"/>
      <c r="B22" s="947">
        <v>300</v>
      </c>
      <c r="C22" s="947">
        <v>150</v>
      </c>
      <c r="D22" s="880" t="s">
        <v>11</v>
      </c>
    </row>
    <row r="23" spans="1:4" s="948" customFormat="1" ht="11.25" customHeight="1" x14ac:dyDescent="0.2">
      <c r="A23" s="1472" t="s">
        <v>2863</v>
      </c>
      <c r="B23" s="949">
        <v>300</v>
      </c>
      <c r="C23" s="949">
        <v>150</v>
      </c>
      <c r="D23" s="882" t="s">
        <v>2862</v>
      </c>
    </row>
    <row r="24" spans="1:4" s="948" customFormat="1" ht="11.25" customHeight="1" x14ac:dyDescent="0.2">
      <c r="A24" s="1473"/>
      <c r="B24" s="950">
        <v>300</v>
      </c>
      <c r="C24" s="950">
        <v>150</v>
      </c>
      <c r="D24" s="886" t="s">
        <v>11</v>
      </c>
    </row>
    <row r="25" spans="1:4" s="948" customFormat="1" ht="11.25" customHeight="1" x14ac:dyDescent="0.2">
      <c r="A25" s="1471" t="s">
        <v>1162</v>
      </c>
      <c r="B25" s="947">
        <v>50</v>
      </c>
      <c r="C25" s="947">
        <v>50</v>
      </c>
      <c r="D25" s="880" t="s">
        <v>1161</v>
      </c>
    </row>
    <row r="26" spans="1:4" s="948" customFormat="1" ht="11.25" customHeight="1" x14ac:dyDescent="0.2">
      <c r="A26" s="1471"/>
      <c r="B26" s="947">
        <v>50</v>
      </c>
      <c r="C26" s="947">
        <v>50</v>
      </c>
      <c r="D26" s="880" t="s">
        <v>11</v>
      </c>
    </row>
    <row r="27" spans="1:4" s="948" customFormat="1" ht="11.25" customHeight="1" x14ac:dyDescent="0.2">
      <c r="A27" s="1472" t="s">
        <v>2864</v>
      </c>
      <c r="B27" s="949">
        <v>150</v>
      </c>
      <c r="C27" s="949">
        <v>150</v>
      </c>
      <c r="D27" s="882" t="s">
        <v>2862</v>
      </c>
    </row>
    <row r="28" spans="1:4" s="948" customFormat="1" ht="11.25" customHeight="1" x14ac:dyDescent="0.2">
      <c r="A28" s="1473"/>
      <c r="B28" s="950">
        <v>150</v>
      </c>
      <c r="C28" s="950">
        <v>150</v>
      </c>
      <c r="D28" s="886" t="s">
        <v>11</v>
      </c>
    </row>
    <row r="29" spans="1:4" s="948" customFormat="1" ht="11.25" customHeight="1" x14ac:dyDescent="0.2">
      <c r="A29" s="1471" t="s">
        <v>2865</v>
      </c>
      <c r="B29" s="947">
        <v>247.5</v>
      </c>
      <c r="C29" s="947">
        <v>247.48</v>
      </c>
      <c r="D29" s="880" t="s">
        <v>2842</v>
      </c>
    </row>
    <row r="30" spans="1:4" s="948" customFormat="1" ht="11.25" customHeight="1" x14ac:dyDescent="0.2">
      <c r="A30" s="1471"/>
      <c r="B30" s="947">
        <v>426.99</v>
      </c>
      <c r="C30" s="947">
        <v>426.98525000000001</v>
      </c>
      <c r="D30" s="880" t="s">
        <v>2618</v>
      </c>
    </row>
    <row r="31" spans="1:4" s="948" customFormat="1" ht="11.25" customHeight="1" x14ac:dyDescent="0.2">
      <c r="A31" s="1471"/>
      <c r="B31" s="947">
        <v>674.49</v>
      </c>
      <c r="C31" s="947">
        <v>674.46524999999997</v>
      </c>
      <c r="D31" s="880" t="s">
        <v>11</v>
      </c>
    </row>
    <row r="32" spans="1:4" s="948" customFormat="1" ht="21" x14ac:dyDescent="0.2">
      <c r="A32" s="1472" t="s">
        <v>2866</v>
      </c>
      <c r="B32" s="949">
        <v>57</v>
      </c>
      <c r="C32" s="949">
        <v>57</v>
      </c>
      <c r="D32" s="882" t="s">
        <v>2867</v>
      </c>
    </row>
    <row r="33" spans="1:4" s="948" customFormat="1" ht="11.25" customHeight="1" x14ac:dyDescent="0.2">
      <c r="A33" s="1473"/>
      <c r="B33" s="950">
        <v>57</v>
      </c>
      <c r="C33" s="950">
        <v>57</v>
      </c>
      <c r="D33" s="886" t="s">
        <v>11</v>
      </c>
    </row>
    <row r="34" spans="1:4" s="948" customFormat="1" ht="21" x14ac:dyDescent="0.2">
      <c r="A34" s="1471" t="s">
        <v>2868</v>
      </c>
      <c r="B34" s="947">
        <v>159.5</v>
      </c>
      <c r="C34" s="947">
        <v>159.5</v>
      </c>
      <c r="D34" s="880" t="s">
        <v>2750</v>
      </c>
    </row>
    <row r="35" spans="1:4" s="948" customFormat="1" ht="11.25" customHeight="1" x14ac:dyDescent="0.2">
      <c r="A35" s="1471"/>
      <c r="B35" s="947">
        <v>159.5</v>
      </c>
      <c r="C35" s="947">
        <v>159.5</v>
      </c>
      <c r="D35" s="880" t="s">
        <v>11</v>
      </c>
    </row>
    <row r="36" spans="1:4" s="948" customFormat="1" ht="11.25" customHeight="1" x14ac:dyDescent="0.2">
      <c r="A36" s="1472" t="s">
        <v>2869</v>
      </c>
      <c r="B36" s="949">
        <v>38.950000000000003</v>
      </c>
      <c r="C36" s="949">
        <v>31.93056</v>
      </c>
      <c r="D36" s="882" t="s">
        <v>2870</v>
      </c>
    </row>
    <row r="37" spans="1:4" s="948" customFormat="1" ht="11.25" customHeight="1" x14ac:dyDescent="0.2">
      <c r="A37" s="1473"/>
      <c r="B37" s="950">
        <v>38.950000000000003</v>
      </c>
      <c r="C37" s="950">
        <v>31.93056</v>
      </c>
      <c r="D37" s="886" t="s">
        <v>11</v>
      </c>
    </row>
    <row r="38" spans="1:4" s="948" customFormat="1" ht="11.25" customHeight="1" x14ac:dyDescent="0.2">
      <c r="A38" s="1471" t="s">
        <v>2871</v>
      </c>
      <c r="B38" s="947">
        <v>203.59</v>
      </c>
      <c r="C38" s="947">
        <v>197.99</v>
      </c>
      <c r="D38" s="880" t="s">
        <v>2745</v>
      </c>
    </row>
    <row r="39" spans="1:4" s="948" customFormat="1" ht="11.25" customHeight="1" x14ac:dyDescent="0.2">
      <c r="A39" s="1471"/>
      <c r="B39" s="947">
        <v>20.65</v>
      </c>
      <c r="C39" s="947">
        <v>0</v>
      </c>
      <c r="D39" s="880" t="s">
        <v>2747</v>
      </c>
    </row>
    <row r="40" spans="1:4" s="948" customFormat="1" ht="11.25" customHeight="1" x14ac:dyDescent="0.2">
      <c r="A40" s="1471"/>
      <c r="B40" s="947">
        <v>224.24</v>
      </c>
      <c r="C40" s="947">
        <v>197.99</v>
      </c>
      <c r="D40" s="880" t="s">
        <v>11</v>
      </c>
    </row>
    <row r="41" spans="1:4" s="948" customFormat="1" ht="11.25" customHeight="1" x14ac:dyDescent="0.2">
      <c r="A41" s="1472" t="s">
        <v>2872</v>
      </c>
      <c r="B41" s="949">
        <v>97.7</v>
      </c>
      <c r="C41" s="949">
        <v>97.7</v>
      </c>
      <c r="D41" s="882" t="s">
        <v>2870</v>
      </c>
    </row>
    <row r="42" spans="1:4" s="948" customFormat="1" ht="11.25" customHeight="1" x14ac:dyDescent="0.2">
      <c r="A42" s="1473"/>
      <c r="B42" s="950">
        <v>97.7</v>
      </c>
      <c r="C42" s="950">
        <v>97.7</v>
      </c>
      <c r="D42" s="886" t="s">
        <v>11</v>
      </c>
    </row>
    <row r="43" spans="1:4" s="948" customFormat="1" ht="11.25" customHeight="1" x14ac:dyDescent="0.2">
      <c r="A43" s="1472" t="s">
        <v>2873</v>
      </c>
      <c r="B43" s="949">
        <v>1199.94</v>
      </c>
      <c r="C43" s="949">
        <v>1199.91149</v>
      </c>
      <c r="D43" s="882" t="s">
        <v>2618</v>
      </c>
    </row>
    <row r="44" spans="1:4" s="948" customFormat="1" ht="11.25" customHeight="1" x14ac:dyDescent="0.2">
      <c r="A44" s="1473"/>
      <c r="B44" s="950">
        <v>1199.94</v>
      </c>
      <c r="C44" s="950">
        <v>1199.91149</v>
      </c>
      <c r="D44" s="886" t="s">
        <v>11</v>
      </c>
    </row>
    <row r="45" spans="1:4" s="948" customFormat="1" ht="11.25" customHeight="1" x14ac:dyDescent="0.2">
      <c r="A45" s="1472" t="s">
        <v>2874</v>
      </c>
      <c r="B45" s="949">
        <v>7576.6</v>
      </c>
      <c r="C45" s="949">
        <v>6993.3567999999996</v>
      </c>
      <c r="D45" s="882" t="s">
        <v>2875</v>
      </c>
    </row>
    <row r="46" spans="1:4" s="948" customFormat="1" ht="11.25" customHeight="1" x14ac:dyDescent="0.2">
      <c r="A46" s="1471"/>
      <c r="B46" s="947">
        <v>758.66000000000008</v>
      </c>
      <c r="C46" s="947">
        <v>758.62432000000013</v>
      </c>
      <c r="D46" s="880" t="s">
        <v>2618</v>
      </c>
    </row>
    <row r="47" spans="1:4" s="948" customFormat="1" ht="11.25" customHeight="1" x14ac:dyDescent="0.2">
      <c r="A47" s="1471"/>
      <c r="B47" s="947">
        <v>63.42</v>
      </c>
      <c r="C47" s="947">
        <v>63.403140000000008</v>
      </c>
      <c r="D47" s="880" t="s">
        <v>2608</v>
      </c>
    </row>
    <row r="48" spans="1:4" s="948" customFormat="1" ht="11.25" customHeight="1" x14ac:dyDescent="0.2">
      <c r="A48" s="1471"/>
      <c r="B48" s="947">
        <v>800</v>
      </c>
      <c r="C48" s="947">
        <v>796.49431000000004</v>
      </c>
      <c r="D48" s="880" t="s">
        <v>2740</v>
      </c>
    </row>
    <row r="49" spans="1:4" s="948" customFormat="1" ht="11.25" customHeight="1" x14ac:dyDescent="0.2">
      <c r="A49" s="1473"/>
      <c r="B49" s="950">
        <v>9198.68</v>
      </c>
      <c r="C49" s="950">
        <v>8611.8785699999989</v>
      </c>
      <c r="D49" s="886" t="s">
        <v>11</v>
      </c>
    </row>
    <row r="50" spans="1:4" s="948" customFormat="1" ht="11.25" customHeight="1" x14ac:dyDescent="0.2">
      <c r="A50" s="1471" t="s">
        <v>2876</v>
      </c>
      <c r="B50" s="947">
        <v>5349</v>
      </c>
      <c r="C50" s="947">
        <v>5349</v>
      </c>
      <c r="D50" s="880" t="s">
        <v>2735</v>
      </c>
    </row>
    <row r="51" spans="1:4" s="948" customFormat="1" ht="11.25" customHeight="1" x14ac:dyDescent="0.2">
      <c r="A51" s="1471"/>
      <c r="B51" s="947">
        <v>5349</v>
      </c>
      <c r="C51" s="947">
        <v>5349</v>
      </c>
      <c r="D51" s="880" t="s">
        <v>11</v>
      </c>
    </row>
    <row r="52" spans="1:4" s="948" customFormat="1" ht="11.25" customHeight="1" x14ac:dyDescent="0.2">
      <c r="A52" s="1472" t="s">
        <v>2877</v>
      </c>
      <c r="B52" s="949">
        <v>150</v>
      </c>
      <c r="C52" s="949">
        <v>150</v>
      </c>
      <c r="D52" s="882" t="s">
        <v>2862</v>
      </c>
    </row>
    <row r="53" spans="1:4" s="948" customFormat="1" ht="11.25" customHeight="1" x14ac:dyDescent="0.2">
      <c r="A53" s="1473"/>
      <c r="B53" s="950">
        <v>150</v>
      </c>
      <c r="C53" s="950">
        <v>150</v>
      </c>
      <c r="D53" s="886" t="s">
        <v>11</v>
      </c>
    </row>
    <row r="54" spans="1:4" s="948" customFormat="1" ht="11.25" customHeight="1" x14ac:dyDescent="0.2">
      <c r="A54" s="1471" t="s">
        <v>2878</v>
      </c>
      <c r="B54" s="947">
        <v>9353.380000000001</v>
      </c>
      <c r="C54" s="947">
        <v>9353.3780000000006</v>
      </c>
      <c r="D54" s="880" t="s">
        <v>1458</v>
      </c>
    </row>
    <row r="55" spans="1:4" s="948" customFormat="1" ht="11.25" customHeight="1" x14ac:dyDescent="0.2">
      <c r="A55" s="1471"/>
      <c r="B55" s="947">
        <v>80</v>
      </c>
      <c r="C55" s="947">
        <v>80</v>
      </c>
      <c r="D55" s="880" t="s">
        <v>1461</v>
      </c>
    </row>
    <row r="56" spans="1:4" s="948" customFormat="1" ht="11.25" customHeight="1" x14ac:dyDescent="0.2">
      <c r="A56" s="1471"/>
      <c r="B56" s="947">
        <v>73.3</v>
      </c>
      <c r="C56" s="947">
        <v>73.296000000000006</v>
      </c>
      <c r="D56" s="880" t="s">
        <v>1454</v>
      </c>
    </row>
    <row r="57" spans="1:4" s="948" customFormat="1" ht="11.25" customHeight="1" x14ac:dyDescent="0.2">
      <c r="A57" s="1471"/>
      <c r="B57" s="947">
        <v>9506.68</v>
      </c>
      <c r="C57" s="947">
        <v>9506.6740000000009</v>
      </c>
      <c r="D57" s="880" t="s">
        <v>11</v>
      </c>
    </row>
    <row r="58" spans="1:4" s="948" customFormat="1" ht="11.25" customHeight="1" x14ac:dyDescent="0.2">
      <c r="A58" s="1472" t="s">
        <v>2879</v>
      </c>
      <c r="B58" s="949">
        <v>19050.190000000002</v>
      </c>
      <c r="C58" s="949">
        <v>19018.811000000002</v>
      </c>
      <c r="D58" s="882" t="s">
        <v>1458</v>
      </c>
    </row>
    <row r="59" spans="1:4" s="948" customFormat="1" ht="11.25" customHeight="1" x14ac:dyDescent="0.2">
      <c r="A59" s="1471"/>
      <c r="B59" s="947">
        <v>141.53</v>
      </c>
      <c r="C59" s="947">
        <v>141.52046999999999</v>
      </c>
      <c r="D59" s="880" t="s">
        <v>2618</v>
      </c>
    </row>
    <row r="60" spans="1:4" s="948" customFormat="1" ht="11.25" customHeight="1" x14ac:dyDescent="0.2">
      <c r="A60" s="1471"/>
      <c r="B60" s="947">
        <v>125.71</v>
      </c>
      <c r="C60" s="947">
        <v>125.714</v>
      </c>
      <c r="D60" s="880" t="s">
        <v>1454</v>
      </c>
    </row>
    <row r="61" spans="1:4" s="948" customFormat="1" ht="11.25" customHeight="1" x14ac:dyDescent="0.2">
      <c r="A61" s="1473"/>
      <c r="B61" s="950">
        <v>19317.43</v>
      </c>
      <c r="C61" s="950">
        <v>19286.045470000001</v>
      </c>
      <c r="D61" s="886" t="s">
        <v>11</v>
      </c>
    </row>
    <row r="62" spans="1:4" s="948" customFormat="1" ht="11.25" customHeight="1" x14ac:dyDescent="0.2">
      <c r="A62" s="1471" t="s">
        <v>2880</v>
      </c>
      <c r="B62" s="947">
        <v>8175.89</v>
      </c>
      <c r="C62" s="947">
        <v>8175.8850000000002</v>
      </c>
      <c r="D62" s="880" t="s">
        <v>1458</v>
      </c>
    </row>
    <row r="63" spans="1:4" s="948" customFormat="1" ht="11.25" customHeight="1" x14ac:dyDescent="0.2">
      <c r="A63" s="1471"/>
      <c r="B63" s="947">
        <v>46.76</v>
      </c>
      <c r="C63" s="947">
        <v>46.759</v>
      </c>
      <c r="D63" s="880" t="s">
        <v>1454</v>
      </c>
    </row>
    <row r="64" spans="1:4" s="948" customFormat="1" ht="11.25" customHeight="1" x14ac:dyDescent="0.2">
      <c r="A64" s="1471"/>
      <c r="B64" s="947">
        <v>8222.65</v>
      </c>
      <c r="C64" s="947">
        <v>8222.6440000000002</v>
      </c>
      <c r="D64" s="880" t="s">
        <v>11</v>
      </c>
    </row>
    <row r="65" spans="1:4" s="948" customFormat="1" ht="11.25" customHeight="1" x14ac:dyDescent="0.2">
      <c r="A65" s="1472" t="s">
        <v>2881</v>
      </c>
      <c r="B65" s="949">
        <v>281.85000000000002</v>
      </c>
      <c r="C65" s="949">
        <v>281.83668999999998</v>
      </c>
      <c r="D65" s="882" t="s">
        <v>2618</v>
      </c>
    </row>
    <row r="66" spans="1:4" s="948" customFormat="1" ht="11.25" customHeight="1" x14ac:dyDescent="0.2">
      <c r="A66" s="1473"/>
      <c r="B66" s="950">
        <v>281.85000000000002</v>
      </c>
      <c r="C66" s="950">
        <v>281.83668999999998</v>
      </c>
      <c r="D66" s="886" t="s">
        <v>11</v>
      </c>
    </row>
    <row r="67" spans="1:4" s="948" customFormat="1" ht="11.25" customHeight="1" x14ac:dyDescent="0.2">
      <c r="A67" s="1471" t="s">
        <v>2882</v>
      </c>
      <c r="B67" s="947">
        <v>88.1</v>
      </c>
      <c r="C67" s="947">
        <v>88.1</v>
      </c>
      <c r="D67" s="880" t="s">
        <v>2770</v>
      </c>
    </row>
    <row r="68" spans="1:4" s="948" customFormat="1" ht="11.25" customHeight="1" x14ac:dyDescent="0.2">
      <c r="A68" s="1473"/>
      <c r="B68" s="950">
        <v>88.1</v>
      </c>
      <c r="C68" s="950">
        <v>88.1</v>
      </c>
      <c r="D68" s="886" t="s">
        <v>11</v>
      </c>
    </row>
    <row r="69" spans="1:4" s="948" customFormat="1" ht="11.25" customHeight="1" x14ac:dyDescent="0.2">
      <c r="A69" s="1471" t="s">
        <v>2883</v>
      </c>
      <c r="B69" s="947">
        <v>523</v>
      </c>
      <c r="C69" s="947">
        <v>523</v>
      </c>
      <c r="D69" s="880" t="s">
        <v>2735</v>
      </c>
    </row>
    <row r="70" spans="1:4" s="948" customFormat="1" ht="11.25" customHeight="1" x14ac:dyDescent="0.2">
      <c r="A70" s="1471"/>
      <c r="B70" s="947">
        <v>1109.3</v>
      </c>
      <c r="C70" s="947">
        <v>969.221</v>
      </c>
      <c r="D70" s="880" t="s">
        <v>2739</v>
      </c>
    </row>
    <row r="71" spans="1:4" s="948" customFormat="1" ht="11.25" customHeight="1" x14ac:dyDescent="0.2">
      <c r="A71" s="1471"/>
      <c r="B71" s="947">
        <v>1632.3</v>
      </c>
      <c r="C71" s="947">
        <v>1492.221</v>
      </c>
      <c r="D71" s="880" t="s">
        <v>11</v>
      </c>
    </row>
    <row r="72" spans="1:4" s="948" customFormat="1" ht="11.25" customHeight="1" x14ac:dyDescent="0.2">
      <c r="A72" s="1472" t="s">
        <v>2884</v>
      </c>
      <c r="B72" s="949">
        <v>210</v>
      </c>
      <c r="C72" s="949">
        <v>210</v>
      </c>
      <c r="D72" s="882" t="s">
        <v>2745</v>
      </c>
    </row>
    <row r="73" spans="1:4" s="948" customFormat="1" ht="11.25" customHeight="1" x14ac:dyDescent="0.2">
      <c r="A73" s="1473"/>
      <c r="B73" s="950">
        <v>210</v>
      </c>
      <c r="C73" s="950">
        <v>210</v>
      </c>
      <c r="D73" s="886" t="s">
        <v>11</v>
      </c>
    </row>
    <row r="74" spans="1:4" s="948" customFormat="1" ht="11.25" customHeight="1" x14ac:dyDescent="0.2">
      <c r="A74" s="1471" t="s">
        <v>2885</v>
      </c>
      <c r="B74" s="947">
        <v>275</v>
      </c>
      <c r="C74" s="947">
        <v>275</v>
      </c>
      <c r="D74" s="880" t="s">
        <v>2735</v>
      </c>
    </row>
    <row r="75" spans="1:4" s="948" customFormat="1" ht="11.25" customHeight="1" x14ac:dyDescent="0.2">
      <c r="A75" s="1471"/>
      <c r="B75" s="947">
        <v>34.299999999999997</v>
      </c>
      <c r="C75" s="947">
        <v>34.299999999999997</v>
      </c>
      <c r="D75" s="880" t="s">
        <v>2886</v>
      </c>
    </row>
    <row r="76" spans="1:4" s="948" customFormat="1" ht="21" x14ac:dyDescent="0.2">
      <c r="A76" s="1471"/>
      <c r="B76" s="947">
        <v>60</v>
      </c>
      <c r="C76" s="947">
        <v>47.698</v>
      </c>
      <c r="D76" s="880" t="s">
        <v>2867</v>
      </c>
    </row>
    <row r="77" spans="1:4" s="948" customFormat="1" ht="11.25" customHeight="1" x14ac:dyDescent="0.2">
      <c r="A77" s="1471"/>
      <c r="B77" s="947">
        <v>369.3</v>
      </c>
      <c r="C77" s="947">
        <v>356.99799999999999</v>
      </c>
      <c r="D77" s="880" t="s">
        <v>11</v>
      </c>
    </row>
    <row r="78" spans="1:4" s="948" customFormat="1" ht="11.25" customHeight="1" x14ac:dyDescent="0.2">
      <c r="A78" s="1472" t="s">
        <v>2887</v>
      </c>
      <c r="B78" s="949">
        <v>102.5</v>
      </c>
      <c r="C78" s="949">
        <v>68.995580000000004</v>
      </c>
      <c r="D78" s="882" t="s">
        <v>2870</v>
      </c>
    </row>
    <row r="79" spans="1:4" s="948" customFormat="1" ht="11.25" customHeight="1" x14ac:dyDescent="0.2">
      <c r="A79" s="1473"/>
      <c r="B79" s="950">
        <v>102.5</v>
      </c>
      <c r="C79" s="950">
        <v>68.995580000000004</v>
      </c>
      <c r="D79" s="886" t="s">
        <v>11</v>
      </c>
    </row>
    <row r="80" spans="1:4" s="948" customFormat="1" ht="11.25" customHeight="1" x14ac:dyDescent="0.2">
      <c r="A80" s="1471" t="s">
        <v>979</v>
      </c>
      <c r="B80" s="947">
        <v>120</v>
      </c>
      <c r="C80" s="947">
        <v>120</v>
      </c>
      <c r="D80" s="880" t="s">
        <v>978</v>
      </c>
    </row>
    <row r="81" spans="1:4" s="948" customFormat="1" ht="11.25" customHeight="1" x14ac:dyDescent="0.2">
      <c r="A81" s="1471"/>
      <c r="B81" s="947">
        <v>120</v>
      </c>
      <c r="C81" s="947">
        <v>120</v>
      </c>
      <c r="D81" s="880" t="s">
        <v>11</v>
      </c>
    </row>
    <row r="82" spans="1:4" s="948" customFormat="1" ht="11.25" customHeight="1" x14ac:dyDescent="0.2">
      <c r="A82" s="1472" t="s">
        <v>2888</v>
      </c>
      <c r="B82" s="949">
        <v>1020</v>
      </c>
      <c r="C82" s="949">
        <v>1020</v>
      </c>
      <c r="D82" s="882" t="s">
        <v>2735</v>
      </c>
    </row>
    <row r="83" spans="1:4" s="948" customFormat="1" ht="11.25" customHeight="1" x14ac:dyDescent="0.2">
      <c r="A83" s="1471"/>
      <c r="B83" s="947">
        <v>84</v>
      </c>
      <c r="C83" s="947">
        <v>84</v>
      </c>
      <c r="D83" s="880" t="s">
        <v>2886</v>
      </c>
    </row>
    <row r="84" spans="1:4" s="948" customFormat="1" ht="11.25" customHeight="1" x14ac:dyDescent="0.2">
      <c r="A84" s="1473"/>
      <c r="B84" s="950">
        <v>1104</v>
      </c>
      <c r="C84" s="950">
        <v>1104</v>
      </c>
      <c r="D84" s="886" t="s">
        <v>11</v>
      </c>
    </row>
    <row r="85" spans="1:4" s="948" customFormat="1" ht="11.25" customHeight="1" x14ac:dyDescent="0.2">
      <c r="A85" s="1471" t="s">
        <v>1113</v>
      </c>
      <c r="B85" s="947">
        <v>10</v>
      </c>
      <c r="C85" s="947">
        <v>10</v>
      </c>
      <c r="D85" s="880" t="s">
        <v>1111</v>
      </c>
    </row>
    <row r="86" spans="1:4" s="948" customFormat="1" ht="11.25" customHeight="1" x14ac:dyDescent="0.2">
      <c r="A86" s="1471"/>
      <c r="B86" s="947">
        <v>10</v>
      </c>
      <c r="C86" s="947">
        <v>10</v>
      </c>
      <c r="D86" s="880" t="s">
        <v>11</v>
      </c>
    </row>
    <row r="87" spans="1:4" s="948" customFormat="1" ht="11.25" customHeight="1" x14ac:dyDescent="0.2">
      <c r="A87" s="1472" t="s">
        <v>1187</v>
      </c>
      <c r="B87" s="949">
        <v>50</v>
      </c>
      <c r="C87" s="949">
        <v>50</v>
      </c>
      <c r="D87" s="882" t="s">
        <v>2889</v>
      </c>
    </row>
    <row r="88" spans="1:4" s="948" customFormat="1" ht="11.25" customHeight="1" x14ac:dyDescent="0.2">
      <c r="A88" s="1473"/>
      <c r="B88" s="950">
        <v>50</v>
      </c>
      <c r="C88" s="950">
        <v>50</v>
      </c>
      <c r="D88" s="886" t="s">
        <v>11</v>
      </c>
    </row>
    <row r="89" spans="1:4" s="948" customFormat="1" ht="11.25" customHeight="1" x14ac:dyDescent="0.2">
      <c r="A89" s="1472" t="s">
        <v>980</v>
      </c>
      <c r="B89" s="949">
        <v>150</v>
      </c>
      <c r="C89" s="949">
        <v>150</v>
      </c>
      <c r="D89" s="882" t="s">
        <v>978</v>
      </c>
    </row>
    <row r="90" spans="1:4" s="948" customFormat="1" ht="11.25" customHeight="1" x14ac:dyDescent="0.2">
      <c r="A90" s="1473"/>
      <c r="B90" s="950">
        <v>150</v>
      </c>
      <c r="C90" s="950">
        <v>150</v>
      </c>
      <c r="D90" s="886" t="s">
        <v>11</v>
      </c>
    </row>
    <row r="91" spans="1:4" s="948" customFormat="1" ht="11.25" customHeight="1" x14ac:dyDescent="0.2">
      <c r="A91" s="1472" t="s">
        <v>2890</v>
      </c>
      <c r="B91" s="949">
        <v>66.2</v>
      </c>
      <c r="C91" s="949">
        <v>66.2</v>
      </c>
      <c r="D91" s="882" t="s">
        <v>2870</v>
      </c>
    </row>
    <row r="92" spans="1:4" s="948" customFormat="1" ht="11.25" customHeight="1" x14ac:dyDescent="0.2">
      <c r="A92" s="1473"/>
      <c r="B92" s="950">
        <v>66.2</v>
      </c>
      <c r="C92" s="950">
        <v>66.2</v>
      </c>
      <c r="D92" s="886" t="s">
        <v>11</v>
      </c>
    </row>
    <row r="93" spans="1:4" s="948" customFormat="1" ht="11.25" customHeight="1" x14ac:dyDescent="0.2">
      <c r="A93" s="1471" t="s">
        <v>2891</v>
      </c>
      <c r="B93" s="947">
        <v>1892</v>
      </c>
      <c r="C93" s="947">
        <v>1713.52</v>
      </c>
      <c r="D93" s="880" t="s">
        <v>2735</v>
      </c>
    </row>
    <row r="94" spans="1:4" s="948" customFormat="1" ht="21" x14ac:dyDescent="0.2">
      <c r="A94" s="1471"/>
      <c r="B94" s="947">
        <v>55</v>
      </c>
      <c r="C94" s="947">
        <v>55</v>
      </c>
      <c r="D94" s="880" t="s">
        <v>2867</v>
      </c>
    </row>
    <row r="95" spans="1:4" s="948" customFormat="1" ht="11.25" customHeight="1" x14ac:dyDescent="0.2">
      <c r="A95" s="1471"/>
      <c r="B95" s="947">
        <v>274.57</v>
      </c>
      <c r="C95" s="947">
        <v>274.56799999999998</v>
      </c>
      <c r="D95" s="880" t="s">
        <v>2739</v>
      </c>
    </row>
    <row r="96" spans="1:4" s="948" customFormat="1" ht="11.25" customHeight="1" x14ac:dyDescent="0.2">
      <c r="A96" s="1471"/>
      <c r="B96" s="947">
        <v>2221.5700000000002</v>
      </c>
      <c r="C96" s="947">
        <v>2043.0880000000002</v>
      </c>
      <c r="D96" s="880" t="s">
        <v>11</v>
      </c>
    </row>
    <row r="97" spans="1:4" s="948" customFormat="1" ht="11.25" customHeight="1" x14ac:dyDescent="0.2">
      <c r="A97" s="1472" t="s">
        <v>1057</v>
      </c>
      <c r="B97" s="949">
        <v>400</v>
      </c>
      <c r="C97" s="949">
        <v>199.47499999999999</v>
      </c>
      <c r="D97" s="882" t="s">
        <v>1056</v>
      </c>
    </row>
    <row r="98" spans="1:4" s="948" customFormat="1" ht="11.25" customHeight="1" x14ac:dyDescent="0.2">
      <c r="A98" s="1473"/>
      <c r="B98" s="950">
        <v>400</v>
      </c>
      <c r="C98" s="950">
        <v>199.47499999999999</v>
      </c>
      <c r="D98" s="886" t="s">
        <v>11</v>
      </c>
    </row>
    <row r="99" spans="1:4" s="948" customFormat="1" ht="11.25" customHeight="1" x14ac:dyDescent="0.2">
      <c r="A99" s="1471" t="s">
        <v>2892</v>
      </c>
      <c r="B99" s="947">
        <v>53</v>
      </c>
      <c r="C99" s="947">
        <v>53</v>
      </c>
      <c r="D99" s="880" t="s">
        <v>2893</v>
      </c>
    </row>
    <row r="100" spans="1:4" s="948" customFormat="1" ht="11.25" customHeight="1" x14ac:dyDescent="0.2">
      <c r="A100" s="1471"/>
      <c r="B100" s="947">
        <v>53</v>
      </c>
      <c r="C100" s="947">
        <v>53</v>
      </c>
      <c r="D100" s="880" t="s">
        <v>11</v>
      </c>
    </row>
    <row r="101" spans="1:4" s="948" customFormat="1" ht="11.25" customHeight="1" x14ac:dyDescent="0.2">
      <c r="A101" s="1472" t="s">
        <v>2894</v>
      </c>
      <c r="B101" s="949">
        <v>539.86</v>
      </c>
      <c r="C101" s="949">
        <v>391.11099999999999</v>
      </c>
      <c r="D101" s="882" t="s">
        <v>2747</v>
      </c>
    </row>
    <row r="102" spans="1:4" s="948" customFormat="1" ht="11.25" customHeight="1" x14ac:dyDescent="0.2">
      <c r="A102" s="1473"/>
      <c r="B102" s="950">
        <v>539.86</v>
      </c>
      <c r="C102" s="950">
        <v>391.11099999999999</v>
      </c>
      <c r="D102" s="886" t="s">
        <v>11</v>
      </c>
    </row>
    <row r="103" spans="1:4" s="948" customFormat="1" ht="11.25" customHeight="1" x14ac:dyDescent="0.2">
      <c r="A103" s="1471" t="s">
        <v>2895</v>
      </c>
      <c r="B103" s="947">
        <v>196.9</v>
      </c>
      <c r="C103" s="947">
        <v>196.75981999999999</v>
      </c>
      <c r="D103" s="880" t="s">
        <v>2619</v>
      </c>
    </row>
    <row r="104" spans="1:4" s="948" customFormat="1" ht="11.25" customHeight="1" x14ac:dyDescent="0.2">
      <c r="A104" s="1471"/>
      <c r="B104" s="947">
        <v>196.9</v>
      </c>
      <c r="C104" s="947">
        <v>196.75981999999999</v>
      </c>
      <c r="D104" s="880" t="s">
        <v>11</v>
      </c>
    </row>
    <row r="105" spans="1:4" s="948" customFormat="1" ht="11.25" customHeight="1" x14ac:dyDescent="0.2">
      <c r="A105" s="1472" t="s">
        <v>2896</v>
      </c>
      <c r="B105" s="949">
        <v>206.1</v>
      </c>
      <c r="C105" s="949">
        <v>0</v>
      </c>
      <c r="D105" s="882" t="s">
        <v>2862</v>
      </c>
    </row>
    <row r="106" spans="1:4" s="948" customFormat="1" ht="11.25" customHeight="1" x14ac:dyDescent="0.2">
      <c r="A106" s="1473"/>
      <c r="B106" s="950">
        <v>206.1</v>
      </c>
      <c r="C106" s="950">
        <v>0</v>
      </c>
      <c r="D106" s="886" t="s">
        <v>11</v>
      </c>
    </row>
    <row r="107" spans="1:4" s="948" customFormat="1" ht="11.25" customHeight="1" x14ac:dyDescent="0.2">
      <c r="A107" s="1471" t="s">
        <v>2897</v>
      </c>
      <c r="B107" s="947">
        <v>105.4</v>
      </c>
      <c r="C107" s="947">
        <v>101.78400000000001</v>
      </c>
      <c r="D107" s="880" t="s">
        <v>2870</v>
      </c>
    </row>
    <row r="108" spans="1:4" s="948" customFormat="1" ht="11.25" customHeight="1" x14ac:dyDescent="0.2">
      <c r="A108" s="1471"/>
      <c r="B108" s="947">
        <v>105.4</v>
      </c>
      <c r="C108" s="947">
        <v>101.78400000000001</v>
      </c>
      <c r="D108" s="880" t="s">
        <v>11</v>
      </c>
    </row>
    <row r="109" spans="1:4" s="948" customFormat="1" ht="11.25" customHeight="1" x14ac:dyDescent="0.2">
      <c r="A109" s="1472" t="s">
        <v>2898</v>
      </c>
      <c r="B109" s="949">
        <v>524</v>
      </c>
      <c r="C109" s="949">
        <v>524</v>
      </c>
      <c r="D109" s="882" t="s">
        <v>2735</v>
      </c>
    </row>
    <row r="110" spans="1:4" s="948" customFormat="1" ht="11.25" customHeight="1" x14ac:dyDescent="0.2">
      <c r="A110" s="1473"/>
      <c r="B110" s="950">
        <v>524</v>
      </c>
      <c r="C110" s="950">
        <v>524</v>
      </c>
      <c r="D110" s="886" t="s">
        <v>11</v>
      </c>
    </row>
    <row r="111" spans="1:4" s="948" customFormat="1" ht="11.25" customHeight="1" x14ac:dyDescent="0.2">
      <c r="A111" s="1471" t="s">
        <v>1094</v>
      </c>
      <c r="B111" s="947">
        <v>487</v>
      </c>
      <c r="C111" s="947">
        <v>487</v>
      </c>
      <c r="D111" s="880" t="s">
        <v>2899</v>
      </c>
    </row>
    <row r="112" spans="1:4" s="948" customFormat="1" ht="11.25" customHeight="1" x14ac:dyDescent="0.2">
      <c r="A112" s="1471"/>
      <c r="B112" s="947">
        <v>43940</v>
      </c>
      <c r="C112" s="947">
        <v>43940</v>
      </c>
      <c r="D112" s="880" t="s">
        <v>2735</v>
      </c>
    </row>
    <row r="113" spans="1:4" s="948" customFormat="1" ht="11.25" customHeight="1" x14ac:dyDescent="0.2">
      <c r="A113" s="1471"/>
      <c r="B113" s="947">
        <v>49.7</v>
      </c>
      <c r="C113" s="947">
        <v>49.7</v>
      </c>
      <c r="D113" s="880" t="s">
        <v>2886</v>
      </c>
    </row>
    <row r="114" spans="1:4" s="948" customFormat="1" ht="11.25" customHeight="1" x14ac:dyDescent="0.2">
      <c r="A114" s="1471"/>
      <c r="B114" s="947">
        <v>12847.4</v>
      </c>
      <c r="C114" s="947">
        <v>12835.598</v>
      </c>
      <c r="D114" s="880" t="s">
        <v>2739</v>
      </c>
    </row>
    <row r="115" spans="1:4" s="948" customFormat="1" ht="11.25" customHeight="1" x14ac:dyDescent="0.2">
      <c r="A115" s="1471"/>
      <c r="B115" s="947">
        <v>20</v>
      </c>
      <c r="C115" s="947">
        <v>20</v>
      </c>
      <c r="D115" s="880" t="s">
        <v>1093</v>
      </c>
    </row>
    <row r="116" spans="1:4" s="948" customFormat="1" ht="11.25" customHeight="1" x14ac:dyDescent="0.2">
      <c r="A116" s="1471"/>
      <c r="B116" s="947">
        <v>10</v>
      </c>
      <c r="C116" s="947">
        <v>0</v>
      </c>
      <c r="D116" s="880" t="s">
        <v>1173</v>
      </c>
    </row>
    <row r="117" spans="1:4" s="948" customFormat="1" ht="11.25" customHeight="1" x14ac:dyDescent="0.2">
      <c r="A117" s="1471"/>
      <c r="B117" s="947">
        <v>57354.1</v>
      </c>
      <c r="C117" s="947">
        <v>57332.297999999995</v>
      </c>
      <c r="D117" s="880" t="s">
        <v>11</v>
      </c>
    </row>
    <row r="118" spans="1:4" s="948" customFormat="1" ht="11.25" customHeight="1" x14ac:dyDescent="0.2">
      <c r="A118" s="1472" t="s">
        <v>2900</v>
      </c>
      <c r="B118" s="949">
        <v>308650.28999999998</v>
      </c>
      <c r="C118" s="949">
        <v>307638.087</v>
      </c>
      <c r="D118" s="882" t="s">
        <v>2901</v>
      </c>
    </row>
    <row r="119" spans="1:4" s="948" customFormat="1" ht="11.25" customHeight="1" x14ac:dyDescent="0.2">
      <c r="A119" s="1473"/>
      <c r="B119" s="950">
        <v>308650.28999999998</v>
      </c>
      <c r="C119" s="950">
        <v>307638.087</v>
      </c>
      <c r="D119" s="886" t="s">
        <v>11</v>
      </c>
    </row>
    <row r="120" spans="1:4" s="948" customFormat="1" ht="11.25" customHeight="1" x14ac:dyDescent="0.2">
      <c r="A120" s="1471" t="s">
        <v>2902</v>
      </c>
      <c r="B120" s="947">
        <v>127.84</v>
      </c>
      <c r="C120" s="947">
        <v>127.82611</v>
      </c>
      <c r="D120" s="880" t="s">
        <v>2618</v>
      </c>
    </row>
    <row r="121" spans="1:4" s="948" customFormat="1" ht="11.25" customHeight="1" x14ac:dyDescent="0.2">
      <c r="A121" s="1471"/>
      <c r="B121" s="947">
        <v>127.84</v>
      </c>
      <c r="C121" s="947">
        <v>127.82611</v>
      </c>
      <c r="D121" s="880" t="s">
        <v>11</v>
      </c>
    </row>
    <row r="122" spans="1:4" s="948" customFormat="1" ht="11.25" customHeight="1" x14ac:dyDescent="0.2">
      <c r="A122" s="1472" t="s">
        <v>2903</v>
      </c>
      <c r="B122" s="949">
        <v>98.9</v>
      </c>
      <c r="C122" s="949">
        <v>98.9</v>
      </c>
      <c r="D122" s="882" t="s">
        <v>2870</v>
      </c>
    </row>
    <row r="123" spans="1:4" s="948" customFormat="1" ht="11.25" customHeight="1" x14ac:dyDescent="0.2">
      <c r="A123" s="1473"/>
      <c r="B123" s="950">
        <v>98.9</v>
      </c>
      <c r="C123" s="950">
        <v>98.9</v>
      </c>
      <c r="D123" s="886" t="s">
        <v>11</v>
      </c>
    </row>
    <row r="124" spans="1:4" s="948" customFormat="1" ht="11.25" customHeight="1" x14ac:dyDescent="0.2">
      <c r="A124" s="1471" t="s">
        <v>1196</v>
      </c>
      <c r="B124" s="947">
        <v>100</v>
      </c>
      <c r="C124" s="947">
        <v>100</v>
      </c>
      <c r="D124" s="880" t="s">
        <v>1195</v>
      </c>
    </row>
    <row r="125" spans="1:4" s="948" customFormat="1" ht="11.25" customHeight="1" x14ac:dyDescent="0.2">
      <c r="A125" s="1471"/>
      <c r="B125" s="947">
        <v>100</v>
      </c>
      <c r="C125" s="947">
        <v>100</v>
      </c>
      <c r="D125" s="880" t="s">
        <v>11</v>
      </c>
    </row>
    <row r="126" spans="1:4" s="948" customFormat="1" ht="21" x14ac:dyDescent="0.2">
      <c r="A126" s="1472" t="s">
        <v>2904</v>
      </c>
      <c r="B126" s="949">
        <v>90</v>
      </c>
      <c r="C126" s="949">
        <v>90</v>
      </c>
      <c r="D126" s="882" t="s">
        <v>2737</v>
      </c>
    </row>
    <row r="127" spans="1:4" s="948" customFormat="1" ht="11.25" customHeight="1" x14ac:dyDescent="0.2">
      <c r="A127" s="1473"/>
      <c r="B127" s="950">
        <v>90</v>
      </c>
      <c r="C127" s="950">
        <v>90</v>
      </c>
      <c r="D127" s="886" t="s">
        <v>11</v>
      </c>
    </row>
    <row r="128" spans="1:4" s="948" customFormat="1" ht="11.25" customHeight="1" x14ac:dyDescent="0.2">
      <c r="A128" s="1472" t="s">
        <v>2905</v>
      </c>
      <c r="B128" s="949">
        <v>799</v>
      </c>
      <c r="C128" s="949">
        <v>799</v>
      </c>
      <c r="D128" s="882" t="s">
        <v>2735</v>
      </c>
    </row>
    <row r="129" spans="1:4" s="948" customFormat="1" ht="11.25" customHeight="1" x14ac:dyDescent="0.2">
      <c r="A129" s="1473"/>
      <c r="B129" s="950">
        <v>799</v>
      </c>
      <c r="C129" s="950">
        <v>799</v>
      </c>
      <c r="D129" s="886" t="s">
        <v>11</v>
      </c>
    </row>
    <row r="130" spans="1:4" s="948" customFormat="1" ht="11.25" customHeight="1" x14ac:dyDescent="0.2">
      <c r="A130" s="1471" t="s">
        <v>2906</v>
      </c>
      <c r="B130" s="947">
        <v>2301</v>
      </c>
      <c r="C130" s="947">
        <v>2301</v>
      </c>
      <c r="D130" s="880" t="s">
        <v>2735</v>
      </c>
    </row>
    <row r="131" spans="1:4" s="948" customFormat="1" ht="11.25" customHeight="1" x14ac:dyDescent="0.2">
      <c r="A131" s="1471"/>
      <c r="B131" s="947">
        <v>419.85</v>
      </c>
      <c r="C131" s="947">
        <v>10.35</v>
      </c>
      <c r="D131" s="880" t="s">
        <v>2739</v>
      </c>
    </row>
    <row r="132" spans="1:4" s="948" customFormat="1" ht="11.25" customHeight="1" x14ac:dyDescent="0.2">
      <c r="A132" s="1471"/>
      <c r="B132" s="947">
        <v>2720.85</v>
      </c>
      <c r="C132" s="947">
        <v>2311.35</v>
      </c>
      <c r="D132" s="880" t="s">
        <v>11</v>
      </c>
    </row>
    <row r="133" spans="1:4" s="948" customFormat="1" ht="11.25" customHeight="1" x14ac:dyDescent="0.2">
      <c r="A133" s="1472" t="s">
        <v>2907</v>
      </c>
      <c r="B133" s="949">
        <v>1080</v>
      </c>
      <c r="C133" s="949">
        <v>1080</v>
      </c>
      <c r="D133" s="882" t="s">
        <v>2735</v>
      </c>
    </row>
    <row r="134" spans="1:4" s="948" customFormat="1" ht="11.25" customHeight="1" x14ac:dyDescent="0.2">
      <c r="A134" s="1473"/>
      <c r="B134" s="950">
        <v>1080</v>
      </c>
      <c r="C134" s="950">
        <v>1080</v>
      </c>
      <c r="D134" s="886" t="s">
        <v>11</v>
      </c>
    </row>
    <row r="135" spans="1:4" s="948" customFormat="1" ht="11.25" customHeight="1" x14ac:dyDescent="0.2">
      <c r="A135" s="1472" t="s">
        <v>1101</v>
      </c>
      <c r="B135" s="949">
        <v>50</v>
      </c>
      <c r="C135" s="949">
        <v>32.186</v>
      </c>
      <c r="D135" s="882" t="s">
        <v>2908</v>
      </c>
    </row>
    <row r="136" spans="1:4" s="948" customFormat="1" ht="11.25" customHeight="1" x14ac:dyDescent="0.2">
      <c r="A136" s="1473"/>
      <c r="B136" s="950">
        <v>50</v>
      </c>
      <c r="C136" s="950">
        <v>32.186</v>
      </c>
      <c r="D136" s="886" t="s">
        <v>11</v>
      </c>
    </row>
    <row r="137" spans="1:4" s="948" customFormat="1" ht="11.25" customHeight="1" x14ac:dyDescent="0.2">
      <c r="A137" s="1472" t="s">
        <v>981</v>
      </c>
      <c r="B137" s="949">
        <v>200</v>
      </c>
      <c r="C137" s="949">
        <v>0</v>
      </c>
      <c r="D137" s="882" t="s">
        <v>978</v>
      </c>
    </row>
    <row r="138" spans="1:4" s="948" customFormat="1" ht="11.25" customHeight="1" x14ac:dyDescent="0.2">
      <c r="A138" s="1473"/>
      <c r="B138" s="950">
        <v>200</v>
      </c>
      <c r="C138" s="950">
        <v>0</v>
      </c>
      <c r="D138" s="886" t="s">
        <v>11</v>
      </c>
    </row>
    <row r="139" spans="1:4" s="948" customFormat="1" ht="11.25" customHeight="1" x14ac:dyDescent="0.2">
      <c r="A139" s="1471" t="s">
        <v>1174</v>
      </c>
      <c r="B139" s="947">
        <v>30</v>
      </c>
      <c r="C139" s="947">
        <v>30</v>
      </c>
      <c r="D139" s="880" t="s">
        <v>1173</v>
      </c>
    </row>
    <row r="140" spans="1:4" s="948" customFormat="1" ht="11.25" customHeight="1" x14ac:dyDescent="0.2">
      <c r="A140" s="1471"/>
      <c r="B140" s="947">
        <v>30</v>
      </c>
      <c r="C140" s="947">
        <v>30</v>
      </c>
      <c r="D140" s="880" t="s">
        <v>11</v>
      </c>
    </row>
    <row r="141" spans="1:4" s="948" customFormat="1" ht="11.25" customHeight="1" x14ac:dyDescent="0.2">
      <c r="A141" s="1472" t="s">
        <v>1110</v>
      </c>
      <c r="B141" s="949">
        <v>250</v>
      </c>
      <c r="C141" s="949">
        <v>250</v>
      </c>
      <c r="D141" s="882" t="s">
        <v>1109</v>
      </c>
    </row>
    <row r="142" spans="1:4" s="948" customFormat="1" ht="11.25" customHeight="1" x14ac:dyDescent="0.2">
      <c r="A142" s="1473"/>
      <c r="B142" s="950">
        <v>250</v>
      </c>
      <c r="C142" s="950">
        <v>250</v>
      </c>
      <c r="D142" s="886" t="s">
        <v>11</v>
      </c>
    </row>
    <row r="143" spans="1:4" s="948" customFormat="1" ht="17.25" customHeight="1" x14ac:dyDescent="0.2">
      <c r="A143" s="1471" t="s">
        <v>2909</v>
      </c>
      <c r="B143" s="947">
        <v>41.6</v>
      </c>
      <c r="C143" s="947">
        <v>41.6</v>
      </c>
      <c r="D143" s="880" t="s">
        <v>2745</v>
      </c>
    </row>
    <row r="144" spans="1:4" s="948" customFormat="1" ht="17.25" customHeight="1" x14ac:dyDescent="0.2">
      <c r="A144" s="1471"/>
      <c r="B144" s="947">
        <v>41.6</v>
      </c>
      <c r="C144" s="947">
        <v>41.6</v>
      </c>
      <c r="D144" s="880" t="s">
        <v>11</v>
      </c>
    </row>
    <row r="145" spans="1:4" s="948" customFormat="1" ht="21" x14ac:dyDescent="0.2">
      <c r="A145" s="1472" t="s">
        <v>2910</v>
      </c>
      <c r="B145" s="949">
        <v>96.5</v>
      </c>
      <c r="C145" s="949">
        <v>96.5</v>
      </c>
      <c r="D145" s="882" t="s">
        <v>2737</v>
      </c>
    </row>
    <row r="146" spans="1:4" s="948" customFormat="1" ht="11.25" customHeight="1" x14ac:dyDescent="0.2">
      <c r="A146" s="1473"/>
      <c r="B146" s="950">
        <v>96.5</v>
      </c>
      <c r="C146" s="950">
        <v>96.5</v>
      </c>
      <c r="D146" s="886" t="s">
        <v>11</v>
      </c>
    </row>
    <row r="147" spans="1:4" s="948" customFormat="1" ht="11.25" customHeight="1" x14ac:dyDescent="0.2">
      <c r="A147" s="1471" t="s">
        <v>2911</v>
      </c>
      <c r="B147" s="947">
        <v>861</v>
      </c>
      <c r="C147" s="947">
        <v>861</v>
      </c>
      <c r="D147" s="880" t="s">
        <v>2735</v>
      </c>
    </row>
    <row r="148" spans="1:4" s="948" customFormat="1" ht="21" x14ac:dyDescent="0.2">
      <c r="A148" s="1471"/>
      <c r="B148" s="947">
        <v>136.5</v>
      </c>
      <c r="C148" s="947">
        <v>136.5</v>
      </c>
      <c r="D148" s="880" t="s">
        <v>2867</v>
      </c>
    </row>
    <row r="149" spans="1:4" s="948" customFormat="1" ht="11.25" customHeight="1" x14ac:dyDescent="0.2">
      <c r="A149" s="1471"/>
      <c r="B149" s="947">
        <v>997.5</v>
      </c>
      <c r="C149" s="947">
        <v>997.5</v>
      </c>
      <c r="D149" s="880" t="s">
        <v>11</v>
      </c>
    </row>
    <row r="150" spans="1:4" s="948" customFormat="1" ht="11.25" customHeight="1" x14ac:dyDescent="0.2">
      <c r="A150" s="1472" t="s">
        <v>2912</v>
      </c>
      <c r="B150" s="949">
        <v>1466</v>
      </c>
      <c r="C150" s="949">
        <v>1466</v>
      </c>
      <c r="D150" s="882" t="s">
        <v>2735</v>
      </c>
    </row>
    <row r="151" spans="1:4" s="948" customFormat="1" ht="11.25" customHeight="1" x14ac:dyDescent="0.2">
      <c r="A151" s="1473"/>
      <c r="B151" s="950">
        <v>1466</v>
      </c>
      <c r="C151" s="950">
        <v>1466</v>
      </c>
      <c r="D151" s="886" t="s">
        <v>11</v>
      </c>
    </row>
    <row r="152" spans="1:4" s="948" customFormat="1" ht="11.25" customHeight="1" x14ac:dyDescent="0.2">
      <c r="A152" s="1471" t="s">
        <v>2913</v>
      </c>
      <c r="B152" s="947">
        <v>299</v>
      </c>
      <c r="C152" s="947">
        <v>149.5</v>
      </c>
      <c r="D152" s="880" t="s">
        <v>2862</v>
      </c>
    </row>
    <row r="153" spans="1:4" s="948" customFormat="1" ht="11.25" customHeight="1" x14ac:dyDescent="0.2">
      <c r="A153" s="1471"/>
      <c r="B153" s="947">
        <v>47.65</v>
      </c>
      <c r="C153" s="947">
        <v>47.65</v>
      </c>
      <c r="D153" s="880" t="s">
        <v>2870</v>
      </c>
    </row>
    <row r="154" spans="1:4" s="948" customFormat="1" ht="11.25" customHeight="1" x14ac:dyDescent="0.2">
      <c r="A154" s="1471"/>
      <c r="B154" s="947">
        <v>346.65</v>
      </c>
      <c r="C154" s="947">
        <v>197.15</v>
      </c>
      <c r="D154" s="880" t="s">
        <v>11</v>
      </c>
    </row>
    <row r="155" spans="1:4" s="948" customFormat="1" ht="11.25" customHeight="1" x14ac:dyDescent="0.2">
      <c r="A155" s="1472" t="s">
        <v>2914</v>
      </c>
      <c r="B155" s="949">
        <v>297</v>
      </c>
      <c r="C155" s="949">
        <v>148.5</v>
      </c>
      <c r="D155" s="882" t="s">
        <v>2862</v>
      </c>
    </row>
    <row r="156" spans="1:4" s="948" customFormat="1" ht="11.25" customHeight="1" x14ac:dyDescent="0.2">
      <c r="A156" s="1473"/>
      <c r="B156" s="950">
        <v>297</v>
      </c>
      <c r="C156" s="950">
        <v>148.5</v>
      </c>
      <c r="D156" s="886" t="s">
        <v>11</v>
      </c>
    </row>
    <row r="157" spans="1:4" s="948" customFormat="1" ht="11.25" customHeight="1" x14ac:dyDescent="0.2">
      <c r="A157" s="1471" t="s">
        <v>2915</v>
      </c>
      <c r="B157" s="947">
        <v>202.3</v>
      </c>
      <c r="C157" s="947">
        <v>101.15</v>
      </c>
      <c r="D157" s="880" t="s">
        <v>2862</v>
      </c>
    </row>
    <row r="158" spans="1:4" s="948" customFormat="1" ht="11.25" customHeight="1" x14ac:dyDescent="0.2">
      <c r="A158" s="1471"/>
      <c r="B158" s="947">
        <v>248.53</v>
      </c>
      <c r="C158" s="947">
        <v>248.52902</v>
      </c>
      <c r="D158" s="880" t="s">
        <v>2618</v>
      </c>
    </row>
    <row r="159" spans="1:4" s="948" customFormat="1" ht="11.25" customHeight="1" x14ac:dyDescent="0.2">
      <c r="A159" s="1471"/>
      <c r="B159" s="947">
        <v>450.83000000000004</v>
      </c>
      <c r="C159" s="947">
        <v>349.67902000000004</v>
      </c>
      <c r="D159" s="880" t="s">
        <v>11</v>
      </c>
    </row>
    <row r="160" spans="1:4" s="948" customFormat="1" ht="11.25" customHeight="1" x14ac:dyDescent="0.2">
      <c r="A160" s="1472" t="s">
        <v>2916</v>
      </c>
      <c r="B160" s="949">
        <v>690.8</v>
      </c>
      <c r="C160" s="949">
        <v>418.20774999999998</v>
      </c>
      <c r="D160" s="882" t="s">
        <v>2862</v>
      </c>
    </row>
    <row r="161" spans="1:4" s="948" customFormat="1" ht="11.25" customHeight="1" x14ac:dyDescent="0.2">
      <c r="A161" s="1471"/>
      <c r="B161" s="947">
        <v>158.19999999999999</v>
      </c>
      <c r="C161" s="947">
        <v>158.19999999999999</v>
      </c>
      <c r="D161" s="880" t="s">
        <v>2870</v>
      </c>
    </row>
    <row r="162" spans="1:4" s="948" customFormat="1" ht="11.25" customHeight="1" x14ac:dyDescent="0.2">
      <c r="A162" s="1473"/>
      <c r="B162" s="950">
        <v>849</v>
      </c>
      <c r="C162" s="950">
        <v>576.40774999999996</v>
      </c>
      <c r="D162" s="886" t="s">
        <v>11</v>
      </c>
    </row>
    <row r="163" spans="1:4" s="948" customFormat="1" ht="11.25" customHeight="1" x14ac:dyDescent="0.2">
      <c r="A163" s="1472" t="s">
        <v>2917</v>
      </c>
      <c r="B163" s="949">
        <v>50</v>
      </c>
      <c r="C163" s="949">
        <v>50</v>
      </c>
      <c r="D163" s="882" t="s">
        <v>2745</v>
      </c>
    </row>
    <row r="164" spans="1:4" s="948" customFormat="1" ht="11.25" customHeight="1" x14ac:dyDescent="0.2">
      <c r="A164" s="1473"/>
      <c r="B164" s="950">
        <v>50</v>
      </c>
      <c r="C164" s="950">
        <v>50</v>
      </c>
      <c r="D164" s="886" t="s">
        <v>11</v>
      </c>
    </row>
    <row r="165" spans="1:4" s="948" customFormat="1" ht="11.25" customHeight="1" x14ac:dyDescent="0.2">
      <c r="A165" s="1471" t="s">
        <v>2918</v>
      </c>
      <c r="B165" s="947">
        <v>160</v>
      </c>
      <c r="C165" s="947">
        <v>160</v>
      </c>
      <c r="D165" s="880" t="s">
        <v>2745</v>
      </c>
    </row>
    <row r="166" spans="1:4" s="948" customFormat="1" ht="11.25" customHeight="1" x14ac:dyDescent="0.2">
      <c r="A166" s="1471"/>
      <c r="B166" s="947">
        <v>160</v>
      </c>
      <c r="C166" s="947">
        <v>160</v>
      </c>
      <c r="D166" s="880" t="s">
        <v>11</v>
      </c>
    </row>
    <row r="167" spans="1:4" s="948" customFormat="1" ht="11.25" customHeight="1" x14ac:dyDescent="0.2">
      <c r="A167" s="1472" t="s">
        <v>2919</v>
      </c>
      <c r="B167" s="949">
        <v>8880.68</v>
      </c>
      <c r="C167" s="949">
        <v>8849.1950000000015</v>
      </c>
      <c r="D167" s="882" t="s">
        <v>1458</v>
      </c>
    </row>
    <row r="168" spans="1:4" s="948" customFormat="1" ht="11.25" customHeight="1" x14ac:dyDescent="0.2">
      <c r="A168" s="1471"/>
      <c r="B168" s="947">
        <v>10.199999999999999</v>
      </c>
      <c r="C168" s="947">
        <v>10.197369999999999</v>
      </c>
      <c r="D168" s="880" t="s">
        <v>2608</v>
      </c>
    </row>
    <row r="169" spans="1:4" s="948" customFormat="1" ht="11.25" customHeight="1" x14ac:dyDescent="0.2">
      <c r="A169" s="1471"/>
      <c r="B169" s="947">
        <v>53.76</v>
      </c>
      <c r="C169" s="947">
        <v>53.76</v>
      </c>
      <c r="D169" s="880" t="s">
        <v>1454</v>
      </c>
    </row>
    <row r="170" spans="1:4" s="948" customFormat="1" ht="11.25" customHeight="1" x14ac:dyDescent="0.2">
      <c r="A170" s="1473"/>
      <c r="B170" s="950">
        <v>8944.6400000000012</v>
      </c>
      <c r="C170" s="950">
        <v>8913.1523700000016</v>
      </c>
      <c r="D170" s="886" t="s">
        <v>11</v>
      </c>
    </row>
    <row r="171" spans="1:4" s="948" customFormat="1" ht="11.25" customHeight="1" x14ac:dyDescent="0.2">
      <c r="A171" s="1471" t="s">
        <v>2920</v>
      </c>
      <c r="B171" s="947">
        <v>99.9</v>
      </c>
      <c r="C171" s="947">
        <v>89.751999999999995</v>
      </c>
      <c r="D171" s="880" t="s">
        <v>2870</v>
      </c>
    </row>
    <row r="172" spans="1:4" s="948" customFormat="1" ht="11.25" customHeight="1" x14ac:dyDescent="0.2">
      <c r="A172" s="1471"/>
      <c r="B172" s="947">
        <v>99.9</v>
      </c>
      <c r="C172" s="947">
        <v>89.751999999999995</v>
      </c>
      <c r="D172" s="880" t="s">
        <v>11</v>
      </c>
    </row>
    <row r="173" spans="1:4" s="948" customFormat="1" ht="11.25" customHeight="1" x14ac:dyDescent="0.2">
      <c r="A173" s="1472" t="s">
        <v>2921</v>
      </c>
      <c r="B173" s="949">
        <v>300</v>
      </c>
      <c r="C173" s="949">
        <v>150</v>
      </c>
      <c r="D173" s="882" t="s">
        <v>2862</v>
      </c>
    </row>
    <row r="174" spans="1:4" s="948" customFormat="1" ht="11.25" customHeight="1" x14ac:dyDescent="0.2">
      <c r="A174" s="1473"/>
      <c r="B174" s="950">
        <v>300</v>
      </c>
      <c r="C174" s="950">
        <v>150</v>
      </c>
      <c r="D174" s="886" t="s">
        <v>11</v>
      </c>
    </row>
    <row r="175" spans="1:4" s="948" customFormat="1" ht="11.25" customHeight="1" x14ac:dyDescent="0.2">
      <c r="A175" s="1471" t="s">
        <v>1058</v>
      </c>
      <c r="B175" s="947">
        <v>200</v>
      </c>
      <c r="C175" s="947">
        <v>200</v>
      </c>
      <c r="D175" s="880" t="s">
        <v>1056</v>
      </c>
    </row>
    <row r="176" spans="1:4" s="948" customFormat="1" ht="11.25" customHeight="1" x14ac:dyDescent="0.2">
      <c r="A176" s="1471"/>
      <c r="B176" s="947">
        <v>200</v>
      </c>
      <c r="C176" s="947">
        <v>200</v>
      </c>
      <c r="D176" s="880" t="s">
        <v>11</v>
      </c>
    </row>
    <row r="177" spans="1:4" s="948" customFormat="1" ht="11.25" customHeight="1" x14ac:dyDescent="0.2">
      <c r="A177" s="1472" t="s">
        <v>2922</v>
      </c>
      <c r="B177" s="949">
        <v>745.3900000000001</v>
      </c>
      <c r="C177" s="949">
        <v>745.37711000000002</v>
      </c>
      <c r="D177" s="882" t="s">
        <v>2618</v>
      </c>
    </row>
    <row r="178" spans="1:4" s="948" customFormat="1" ht="11.25" customHeight="1" x14ac:dyDescent="0.2">
      <c r="A178" s="1473"/>
      <c r="B178" s="950">
        <v>745.3900000000001</v>
      </c>
      <c r="C178" s="950">
        <v>745.37711000000002</v>
      </c>
      <c r="D178" s="886" t="s">
        <v>11</v>
      </c>
    </row>
    <row r="179" spans="1:4" s="948" customFormat="1" ht="11.25" customHeight="1" x14ac:dyDescent="0.2">
      <c r="A179" s="1472" t="s">
        <v>4799</v>
      </c>
      <c r="B179" s="949">
        <v>9</v>
      </c>
      <c r="C179" s="949">
        <v>8.9380000000000006</v>
      </c>
      <c r="D179" s="882" t="s">
        <v>1337</v>
      </c>
    </row>
    <row r="180" spans="1:4" s="948" customFormat="1" ht="11.25" customHeight="1" x14ac:dyDescent="0.2">
      <c r="A180" s="1473"/>
      <c r="B180" s="950">
        <v>9</v>
      </c>
      <c r="C180" s="950">
        <v>8.9380000000000006</v>
      </c>
      <c r="D180" s="886" t="s">
        <v>11</v>
      </c>
    </row>
    <row r="181" spans="1:4" s="948" customFormat="1" ht="11.25" customHeight="1" x14ac:dyDescent="0.2">
      <c r="A181" s="1472" t="s">
        <v>2923</v>
      </c>
      <c r="B181" s="949">
        <v>159.5</v>
      </c>
      <c r="C181" s="949">
        <v>159.5</v>
      </c>
      <c r="D181" s="882" t="s">
        <v>2745</v>
      </c>
    </row>
    <row r="182" spans="1:4" s="948" customFormat="1" ht="11.25" customHeight="1" x14ac:dyDescent="0.2">
      <c r="A182" s="1473"/>
      <c r="B182" s="950">
        <v>159.5</v>
      </c>
      <c r="C182" s="950">
        <v>159.5</v>
      </c>
      <c r="D182" s="886" t="s">
        <v>11</v>
      </c>
    </row>
    <row r="183" spans="1:4" s="948" customFormat="1" ht="11.25" customHeight="1" x14ac:dyDescent="0.2">
      <c r="A183" s="1471" t="s">
        <v>2924</v>
      </c>
      <c r="B183" s="947">
        <v>209.1</v>
      </c>
      <c r="C183" s="947">
        <v>209.1</v>
      </c>
      <c r="D183" s="880" t="s">
        <v>2745</v>
      </c>
    </row>
    <row r="184" spans="1:4" s="948" customFormat="1" ht="11.25" customHeight="1" x14ac:dyDescent="0.2">
      <c r="A184" s="1471"/>
      <c r="B184" s="947">
        <v>209.1</v>
      </c>
      <c r="C184" s="947">
        <v>209.1</v>
      </c>
      <c r="D184" s="880" t="s">
        <v>11</v>
      </c>
    </row>
    <row r="185" spans="1:4" s="948" customFormat="1" ht="11.25" customHeight="1" x14ac:dyDescent="0.2">
      <c r="A185" s="1472" t="s">
        <v>2925</v>
      </c>
      <c r="B185" s="949">
        <v>921.44</v>
      </c>
      <c r="C185" s="949">
        <v>921.43499999999995</v>
      </c>
      <c r="D185" s="882" t="s">
        <v>1458</v>
      </c>
    </row>
    <row r="186" spans="1:4" s="948" customFormat="1" ht="11.25" customHeight="1" x14ac:dyDescent="0.2">
      <c r="A186" s="1473"/>
      <c r="B186" s="950">
        <v>921.44</v>
      </c>
      <c r="C186" s="950">
        <v>921.43499999999995</v>
      </c>
      <c r="D186" s="886" t="s">
        <v>11</v>
      </c>
    </row>
    <row r="187" spans="1:4" s="948" customFormat="1" ht="11.25" customHeight="1" x14ac:dyDescent="0.2">
      <c r="A187" s="1471" t="s">
        <v>2926</v>
      </c>
      <c r="B187" s="947">
        <v>27</v>
      </c>
      <c r="C187" s="947">
        <v>27</v>
      </c>
      <c r="D187" s="880" t="s">
        <v>2870</v>
      </c>
    </row>
    <row r="188" spans="1:4" s="948" customFormat="1" ht="11.25" customHeight="1" x14ac:dyDescent="0.2">
      <c r="A188" s="1471"/>
      <c r="B188" s="947">
        <v>27</v>
      </c>
      <c r="C188" s="947">
        <v>27</v>
      </c>
      <c r="D188" s="880" t="s">
        <v>11</v>
      </c>
    </row>
    <row r="189" spans="1:4" s="948" customFormat="1" ht="11.25" customHeight="1" x14ac:dyDescent="0.2">
      <c r="A189" s="1472" t="s">
        <v>2927</v>
      </c>
      <c r="B189" s="949">
        <v>130</v>
      </c>
      <c r="C189" s="949">
        <v>130</v>
      </c>
      <c r="D189" s="882" t="s">
        <v>2862</v>
      </c>
    </row>
    <row r="190" spans="1:4" s="948" customFormat="1" ht="11.25" customHeight="1" x14ac:dyDescent="0.2">
      <c r="A190" s="1473"/>
      <c r="B190" s="950">
        <v>130</v>
      </c>
      <c r="C190" s="950">
        <v>130</v>
      </c>
      <c r="D190" s="886" t="s">
        <v>11</v>
      </c>
    </row>
    <row r="191" spans="1:4" s="948" customFormat="1" ht="21" x14ac:dyDescent="0.2">
      <c r="A191" s="1471" t="s">
        <v>1014</v>
      </c>
      <c r="B191" s="947">
        <v>200</v>
      </c>
      <c r="C191" s="947">
        <v>200</v>
      </c>
      <c r="D191" s="880" t="s">
        <v>2928</v>
      </c>
    </row>
    <row r="192" spans="1:4" s="948" customFormat="1" ht="11.25" customHeight="1" x14ac:dyDescent="0.2">
      <c r="A192" s="1471"/>
      <c r="B192" s="947">
        <v>200</v>
      </c>
      <c r="C192" s="947">
        <v>200</v>
      </c>
      <c r="D192" s="880" t="s">
        <v>11</v>
      </c>
    </row>
    <row r="193" spans="1:4" s="948" customFormat="1" ht="11.25" customHeight="1" x14ac:dyDescent="0.2">
      <c r="A193" s="1472" t="s">
        <v>2929</v>
      </c>
      <c r="B193" s="949">
        <v>3480</v>
      </c>
      <c r="C193" s="949">
        <v>3480</v>
      </c>
      <c r="D193" s="882" t="s">
        <v>2735</v>
      </c>
    </row>
    <row r="194" spans="1:4" s="948" customFormat="1" ht="11.25" customHeight="1" x14ac:dyDescent="0.2">
      <c r="A194" s="1473"/>
      <c r="B194" s="950">
        <v>3480</v>
      </c>
      <c r="C194" s="950">
        <v>3480</v>
      </c>
      <c r="D194" s="886" t="s">
        <v>11</v>
      </c>
    </row>
    <row r="195" spans="1:4" s="948" customFormat="1" ht="11.25" customHeight="1" x14ac:dyDescent="0.2">
      <c r="A195" s="1471" t="s">
        <v>1114</v>
      </c>
      <c r="B195" s="947">
        <v>252.6</v>
      </c>
      <c r="C195" s="947">
        <v>252.6</v>
      </c>
      <c r="D195" s="880" t="s">
        <v>2745</v>
      </c>
    </row>
    <row r="196" spans="1:4" s="948" customFormat="1" ht="11.25" customHeight="1" x14ac:dyDescent="0.2">
      <c r="A196" s="1471"/>
      <c r="B196" s="947">
        <v>40</v>
      </c>
      <c r="C196" s="947">
        <v>40</v>
      </c>
      <c r="D196" s="880" t="s">
        <v>1111</v>
      </c>
    </row>
    <row r="197" spans="1:4" s="948" customFormat="1" ht="11.25" customHeight="1" x14ac:dyDescent="0.2">
      <c r="A197" s="1471"/>
      <c r="B197" s="947">
        <v>292.60000000000002</v>
      </c>
      <c r="C197" s="947">
        <v>292.60000000000002</v>
      </c>
      <c r="D197" s="880" t="s">
        <v>11</v>
      </c>
    </row>
    <row r="198" spans="1:4" s="948" customFormat="1" ht="11.25" customHeight="1" x14ac:dyDescent="0.2">
      <c r="A198" s="1472" t="s">
        <v>2930</v>
      </c>
      <c r="B198" s="949">
        <v>240.2</v>
      </c>
      <c r="C198" s="949">
        <v>234.095</v>
      </c>
      <c r="D198" s="882" t="s">
        <v>2745</v>
      </c>
    </row>
    <row r="199" spans="1:4" s="948" customFormat="1" ht="11.25" customHeight="1" x14ac:dyDescent="0.2">
      <c r="A199" s="1473"/>
      <c r="B199" s="950">
        <v>240.2</v>
      </c>
      <c r="C199" s="950">
        <v>234.095</v>
      </c>
      <c r="D199" s="886" t="s">
        <v>11</v>
      </c>
    </row>
    <row r="200" spans="1:4" s="948" customFormat="1" ht="11.25" customHeight="1" x14ac:dyDescent="0.2">
      <c r="A200" s="1471" t="s">
        <v>2931</v>
      </c>
      <c r="B200" s="947">
        <v>9.41</v>
      </c>
      <c r="C200" s="947">
        <v>9.4099900000000005</v>
      </c>
      <c r="D200" s="880" t="s">
        <v>2870</v>
      </c>
    </row>
    <row r="201" spans="1:4" s="948" customFormat="1" ht="11.25" customHeight="1" x14ac:dyDescent="0.2">
      <c r="A201" s="1471"/>
      <c r="B201" s="947">
        <v>9.41</v>
      </c>
      <c r="C201" s="947">
        <v>9.4099900000000005</v>
      </c>
      <c r="D201" s="880" t="s">
        <v>11</v>
      </c>
    </row>
    <row r="202" spans="1:4" s="948" customFormat="1" ht="11.25" customHeight="1" x14ac:dyDescent="0.2">
      <c r="A202" s="1472" t="s">
        <v>2932</v>
      </c>
      <c r="B202" s="949">
        <v>7603.3499999999995</v>
      </c>
      <c r="C202" s="949">
        <v>7582.9240000000009</v>
      </c>
      <c r="D202" s="882" t="s">
        <v>1458</v>
      </c>
    </row>
    <row r="203" spans="1:4" s="948" customFormat="1" ht="11.25" customHeight="1" x14ac:dyDescent="0.2">
      <c r="A203" s="1471"/>
      <c r="B203" s="947">
        <v>162.84</v>
      </c>
      <c r="C203" s="947">
        <v>162.83409</v>
      </c>
      <c r="D203" s="880" t="s">
        <v>2608</v>
      </c>
    </row>
    <row r="204" spans="1:4" s="948" customFormat="1" ht="11.25" customHeight="1" x14ac:dyDescent="0.2">
      <c r="A204" s="1471"/>
      <c r="B204" s="947">
        <v>80.92</v>
      </c>
      <c r="C204" s="947">
        <v>80.92</v>
      </c>
      <c r="D204" s="880" t="s">
        <v>1454</v>
      </c>
    </row>
    <row r="205" spans="1:4" s="948" customFormat="1" ht="11.25" customHeight="1" x14ac:dyDescent="0.2">
      <c r="A205" s="1473"/>
      <c r="B205" s="950">
        <v>7847.11</v>
      </c>
      <c r="C205" s="950">
        <v>7826.6780900000012</v>
      </c>
      <c r="D205" s="886" t="s">
        <v>11</v>
      </c>
    </row>
    <row r="206" spans="1:4" s="948" customFormat="1" ht="11.25" customHeight="1" x14ac:dyDescent="0.2">
      <c r="A206" s="1471" t="s">
        <v>2933</v>
      </c>
      <c r="B206" s="947">
        <v>450</v>
      </c>
      <c r="C206" s="947">
        <v>75</v>
      </c>
      <c r="D206" s="880" t="s">
        <v>2736</v>
      </c>
    </row>
    <row r="207" spans="1:4" s="948" customFormat="1" ht="11.25" customHeight="1" x14ac:dyDescent="0.2">
      <c r="A207" s="1471"/>
      <c r="B207" s="947">
        <v>450</v>
      </c>
      <c r="C207" s="947">
        <v>75</v>
      </c>
      <c r="D207" s="880" t="s">
        <v>11</v>
      </c>
    </row>
    <row r="208" spans="1:4" s="948" customFormat="1" ht="11.25" customHeight="1" x14ac:dyDescent="0.2">
      <c r="A208" s="1472" t="s">
        <v>1115</v>
      </c>
      <c r="B208" s="949">
        <v>100</v>
      </c>
      <c r="C208" s="949">
        <v>100</v>
      </c>
      <c r="D208" s="882" t="s">
        <v>1111</v>
      </c>
    </row>
    <row r="209" spans="1:4" s="948" customFormat="1" ht="11.25" customHeight="1" x14ac:dyDescent="0.2">
      <c r="A209" s="1473"/>
      <c r="B209" s="950">
        <v>100</v>
      </c>
      <c r="C209" s="950">
        <v>100</v>
      </c>
      <c r="D209" s="886" t="s">
        <v>11</v>
      </c>
    </row>
    <row r="210" spans="1:4" s="948" customFormat="1" ht="17.25" customHeight="1" x14ac:dyDescent="0.2">
      <c r="A210" s="1471" t="s">
        <v>2934</v>
      </c>
      <c r="B210" s="947">
        <v>150</v>
      </c>
      <c r="C210" s="947">
        <v>150</v>
      </c>
      <c r="D210" s="880" t="s">
        <v>2738</v>
      </c>
    </row>
    <row r="211" spans="1:4" s="948" customFormat="1" ht="17.25" customHeight="1" x14ac:dyDescent="0.2">
      <c r="A211" s="1471"/>
      <c r="B211" s="947">
        <v>150</v>
      </c>
      <c r="C211" s="947">
        <v>150</v>
      </c>
      <c r="D211" s="880" t="s">
        <v>11</v>
      </c>
    </row>
    <row r="212" spans="1:4" s="948" customFormat="1" ht="11.25" customHeight="1" x14ac:dyDescent="0.2">
      <c r="A212" s="1472" t="s">
        <v>2935</v>
      </c>
      <c r="B212" s="949">
        <v>20</v>
      </c>
      <c r="C212" s="949">
        <v>20</v>
      </c>
      <c r="D212" s="882" t="s">
        <v>1179</v>
      </c>
    </row>
    <row r="213" spans="1:4" s="948" customFormat="1" ht="11.25" customHeight="1" x14ac:dyDescent="0.2">
      <c r="A213" s="1473"/>
      <c r="B213" s="950">
        <v>20</v>
      </c>
      <c r="C213" s="950">
        <v>20</v>
      </c>
      <c r="D213" s="886" t="s">
        <v>11</v>
      </c>
    </row>
    <row r="214" spans="1:4" s="948" customFormat="1" ht="11.25" customHeight="1" x14ac:dyDescent="0.2">
      <c r="A214" s="1471" t="s">
        <v>2936</v>
      </c>
      <c r="B214" s="947">
        <v>1057</v>
      </c>
      <c r="C214" s="947">
        <v>1057</v>
      </c>
      <c r="D214" s="880" t="s">
        <v>2735</v>
      </c>
    </row>
    <row r="215" spans="1:4" s="948" customFormat="1" ht="11.25" customHeight="1" x14ac:dyDescent="0.2">
      <c r="A215" s="1471"/>
      <c r="B215" s="947">
        <v>1057</v>
      </c>
      <c r="C215" s="947">
        <v>1057</v>
      </c>
      <c r="D215" s="880" t="s">
        <v>11</v>
      </c>
    </row>
    <row r="216" spans="1:4" s="948" customFormat="1" ht="11.25" customHeight="1" x14ac:dyDescent="0.2">
      <c r="A216" s="1472" t="s">
        <v>2937</v>
      </c>
      <c r="B216" s="949">
        <v>1374</v>
      </c>
      <c r="C216" s="949">
        <v>1374</v>
      </c>
      <c r="D216" s="882" t="s">
        <v>2735</v>
      </c>
    </row>
    <row r="217" spans="1:4" s="948" customFormat="1" ht="11.25" customHeight="1" x14ac:dyDescent="0.2">
      <c r="A217" s="1471"/>
      <c r="B217" s="947">
        <v>448.2</v>
      </c>
      <c r="C217" s="947">
        <v>448.2</v>
      </c>
      <c r="D217" s="880" t="s">
        <v>2739</v>
      </c>
    </row>
    <row r="218" spans="1:4" s="948" customFormat="1" ht="11.25" customHeight="1" x14ac:dyDescent="0.2">
      <c r="A218" s="1473"/>
      <c r="B218" s="950">
        <v>1822.2</v>
      </c>
      <c r="C218" s="950">
        <v>1822.2</v>
      </c>
      <c r="D218" s="886" t="s">
        <v>11</v>
      </c>
    </row>
    <row r="219" spans="1:4" s="948" customFormat="1" ht="11.25" customHeight="1" x14ac:dyDescent="0.2">
      <c r="A219" s="1471" t="s">
        <v>2938</v>
      </c>
      <c r="B219" s="947">
        <v>200</v>
      </c>
      <c r="C219" s="947">
        <v>0</v>
      </c>
      <c r="D219" s="880" t="s">
        <v>2862</v>
      </c>
    </row>
    <row r="220" spans="1:4" s="948" customFormat="1" ht="11.25" customHeight="1" x14ac:dyDescent="0.2">
      <c r="A220" s="1471"/>
      <c r="B220" s="947">
        <v>200</v>
      </c>
      <c r="C220" s="947">
        <v>0</v>
      </c>
      <c r="D220" s="880" t="s">
        <v>11</v>
      </c>
    </row>
    <row r="221" spans="1:4" s="948" customFormat="1" ht="11.25" customHeight="1" x14ac:dyDescent="0.2">
      <c r="A221" s="1472" t="s">
        <v>2939</v>
      </c>
      <c r="B221" s="949">
        <v>150</v>
      </c>
      <c r="C221" s="949">
        <v>150</v>
      </c>
      <c r="D221" s="882" t="s">
        <v>2738</v>
      </c>
    </row>
    <row r="222" spans="1:4" s="948" customFormat="1" ht="11.25" customHeight="1" x14ac:dyDescent="0.2">
      <c r="A222" s="1473"/>
      <c r="B222" s="950">
        <v>150</v>
      </c>
      <c r="C222" s="950">
        <v>150</v>
      </c>
      <c r="D222" s="886" t="s">
        <v>11</v>
      </c>
    </row>
    <row r="223" spans="1:4" s="948" customFormat="1" ht="11.25" customHeight="1" x14ac:dyDescent="0.2">
      <c r="A223" s="1471" t="s">
        <v>2940</v>
      </c>
      <c r="B223" s="947">
        <v>195</v>
      </c>
      <c r="C223" s="947">
        <v>0</v>
      </c>
      <c r="D223" s="880" t="s">
        <v>2862</v>
      </c>
    </row>
    <row r="224" spans="1:4" s="948" customFormat="1" ht="11.25" customHeight="1" x14ac:dyDescent="0.2">
      <c r="A224" s="1471"/>
      <c r="B224" s="947">
        <v>195</v>
      </c>
      <c r="C224" s="947">
        <v>0</v>
      </c>
      <c r="D224" s="880" t="s">
        <v>11</v>
      </c>
    </row>
    <row r="225" spans="1:4" s="948" customFormat="1" ht="11.25" customHeight="1" x14ac:dyDescent="0.2">
      <c r="A225" s="1472" t="s">
        <v>2941</v>
      </c>
      <c r="B225" s="949">
        <v>1121</v>
      </c>
      <c r="C225" s="949">
        <v>1121</v>
      </c>
      <c r="D225" s="882" t="s">
        <v>2735</v>
      </c>
    </row>
    <row r="226" spans="1:4" s="948" customFormat="1" ht="11.25" customHeight="1" x14ac:dyDescent="0.2">
      <c r="A226" s="1473"/>
      <c r="B226" s="950">
        <v>1121</v>
      </c>
      <c r="C226" s="950">
        <v>1121</v>
      </c>
      <c r="D226" s="886" t="s">
        <v>11</v>
      </c>
    </row>
    <row r="227" spans="1:4" s="948" customFormat="1" ht="11.25" customHeight="1" x14ac:dyDescent="0.2">
      <c r="A227" s="1471" t="s">
        <v>2942</v>
      </c>
      <c r="B227" s="947">
        <v>273</v>
      </c>
      <c r="C227" s="947">
        <v>136.5</v>
      </c>
      <c r="D227" s="880" t="s">
        <v>2862</v>
      </c>
    </row>
    <row r="228" spans="1:4" s="948" customFormat="1" ht="11.25" customHeight="1" x14ac:dyDescent="0.2">
      <c r="A228" s="1471"/>
      <c r="B228" s="947">
        <v>273</v>
      </c>
      <c r="C228" s="947">
        <v>136.5</v>
      </c>
      <c r="D228" s="880" t="s">
        <v>11</v>
      </c>
    </row>
    <row r="229" spans="1:4" s="948" customFormat="1" ht="11.25" customHeight="1" x14ac:dyDescent="0.2">
      <c r="A229" s="1472" t="s">
        <v>2943</v>
      </c>
      <c r="B229" s="949">
        <v>107.3</v>
      </c>
      <c r="C229" s="949">
        <v>83.722499999999997</v>
      </c>
      <c r="D229" s="882" t="s">
        <v>2870</v>
      </c>
    </row>
    <row r="230" spans="1:4" s="948" customFormat="1" ht="11.25" customHeight="1" x14ac:dyDescent="0.2">
      <c r="A230" s="1473"/>
      <c r="B230" s="950">
        <v>107.3</v>
      </c>
      <c r="C230" s="950">
        <v>83.722499999999997</v>
      </c>
      <c r="D230" s="886" t="s">
        <v>11</v>
      </c>
    </row>
    <row r="231" spans="1:4" s="948" customFormat="1" ht="11.25" customHeight="1" x14ac:dyDescent="0.2">
      <c r="A231" s="1471" t="s">
        <v>1031</v>
      </c>
      <c r="B231" s="947">
        <v>50</v>
      </c>
      <c r="C231" s="947">
        <v>50</v>
      </c>
      <c r="D231" s="880" t="s">
        <v>1030</v>
      </c>
    </row>
    <row r="232" spans="1:4" s="948" customFormat="1" ht="11.25" customHeight="1" x14ac:dyDescent="0.2">
      <c r="A232" s="1471"/>
      <c r="B232" s="947">
        <v>50</v>
      </c>
      <c r="C232" s="947">
        <v>50</v>
      </c>
      <c r="D232" s="880" t="s">
        <v>11</v>
      </c>
    </row>
    <row r="233" spans="1:4" s="948" customFormat="1" ht="11.25" customHeight="1" x14ac:dyDescent="0.2">
      <c r="A233" s="1472" t="s">
        <v>2944</v>
      </c>
      <c r="B233" s="949">
        <v>1126</v>
      </c>
      <c r="C233" s="949">
        <v>1126</v>
      </c>
      <c r="D233" s="882" t="s">
        <v>2735</v>
      </c>
    </row>
    <row r="234" spans="1:4" s="948" customFormat="1" ht="11.25" customHeight="1" x14ac:dyDescent="0.2">
      <c r="A234" s="1473"/>
      <c r="B234" s="950">
        <v>1126</v>
      </c>
      <c r="C234" s="950">
        <v>1126</v>
      </c>
      <c r="D234" s="886" t="s">
        <v>11</v>
      </c>
    </row>
    <row r="235" spans="1:4" s="948" customFormat="1" ht="11.25" customHeight="1" x14ac:dyDescent="0.2">
      <c r="A235" s="1471" t="s">
        <v>2945</v>
      </c>
      <c r="B235" s="947">
        <v>2255</v>
      </c>
      <c r="C235" s="947">
        <v>2255</v>
      </c>
      <c r="D235" s="880" t="s">
        <v>2735</v>
      </c>
    </row>
    <row r="236" spans="1:4" s="948" customFormat="1" ht="21" x14ac:dyDescent="0.2">
      <c r="A236" s="1471"/>
      <c r="B236" s="947">
        <v>58</v>
      </c>
      <c r="C236" s="947">
        <v>52.423000000000002</v>
      </c>
      <c r="D236" s="880" t="s">
        <v>2750</v>
      </c>
    </row>
    <row r="237" spans="1:4" s="948" customFormat="1" ht="11.25" customHeight="1" x14ac:dyDescent="0.2">
      <c r="A237" s="1471"/>
      <c r="B237" s="947">
        <v>1157.4000000000001</v>
      </c>
      <c r="C237" s="947">
        <v>1157.4000000000001</v>
      </c>
      <c r="D237" s="880" t="s">
        <v>2739</v>
      </c>
    </row>
    <row r="238" spans="1:4" s="948" customFormat="1" ht="11.25" customHeight="1" x14ac:dyDescent="0.2">
      <c r="A238" s="1471"/>
      <c r="B238" s="947">
        <v>3470.4</v>
      </c>
      <c r="C238" s="947">
        <v>3464.8229999999999</v>
      </c>
      <c r="D238" s="880" t="s">
        <v>11</v>
      </c>
    </row>
    <row r="239" spans="1:4" s="948" customFormat="1" ht="11.25" customHeight="1" x14ac:dyDescent="0.2">
      <c r="A239" s="1472" t="s">
        <v>1218</v>
      </c>
      <c r="B239" s="949">
        <v>150</v>
      </c>
      <c r="C239" s="949">
        <v>150</v>
      </c>
      <c r="D239" s="882" t="s">
        <v>1217</v>
      </c>
    </row>
    <row r="240" spans="1:4" s="948" customFormat="1" ht="11.25" customHeight="1" x14ac:dyDescent="0.2">
      <c r="A240" s="1473"/>
      <c r="B240" s="950">
        <v>150</v>
      </c>
      <c r="C240" s="950">
        <v>150</v>
      </c>
      <c r="D240" s="886" t="s">
        <v>11</v>
      </c>
    </row>
    <row r="241" spans="1:4" s="948" customFormat="1" ht="11.25" customHeight="1" x14ac:dyDescent="0.2">
      <c r="A241" s="1471" t="s">
        <v>2946</v>
      </c>
      <c r="B241" s="947">
        <v>150</v>
      </c>
      <c r="C241" s="947">
        <v>150</v>
      </c>
      <c r="D241" s="880" t="s">
        <v>2862</v>
      </c>
    </row>
    <row r="242" spans="1:4" s="948" customFormat="1" ht="11.25" customHeight="1" x14ac:dyDescent="0.2">
      <c r="A242" s="1471"/>
      <c r="B242" s="947">
        <v>150</v>
      </c>
      <c r="C242" s="947">
        <v>150</v>
      </c>
      <c r="D242" s="880" t="s">
        <v>11</v>
      </c>
    </row>
    <row r="243" spans="1:4" s="948" customFormat="1" ht="11.25" customHeight="1" x14ac:dyDescent="0.2">
      <c r="A243" s="1472" t="s">
        <v>2947</v>
      </c>
      <c r="B243" s="949">
        <v>297.39999999999998</v>
      </c>
      <c r="C243" s="949">
        <v>148.69999999999999</v>
      </c>
      <c r="D243" s="882" t="s">
        <v>2862</v>
      </c>
    </row>
    <row r="244" spans="1:4" s="948" customFormat="1" ht="11.25" customHeight="1" x14ac:dyDescent="0.2">
      <c r="A244" s="1473"/>
      <c r="B244" s="950">
        <v>297.39999999999998</v>
      </c>
      <c r="C244" s="950">
        <v>148.69999999999999</v>
      </c>
      <c r="D244" s="886" t="s">
        <v>11</v>
      </c>
    </row>
    <row r="245" spans="1:4" s="948" customFormat="1" ht="11.25" customHeight="1" x14ac:dyDescent="0.2">
      <c r="A245" s="1471" t="s">
        <v>2948</v>
      </c>
      <c r="B245" s="947">
        <v>450.88</v>
      </c>
      <c r="C245" s="947">
        <v>450.85145</v>
      </c>
      <c r="D245" s="880" t="s">
        <v>2618</v>
      </c>
    </row>
    <row r="246" spans="1:4" s="948" customFormat="1" ht="11.25" customHeight="1" x14ac:dyDescent="0.2">
      <c r="A246" s="1471"/>
      <c r="B246" s="947">
        <v>450.88</v>
      </c>
      <c r="C246" s="947">
        <v>450.85145</v>
      </c>
      <c r="D246" s="880" t="s">
        <v>11</v>
      </c>
    </row>
    <row r="247" spans="1:4" s="948" customFormat="1" ht="11.25" customHeight="1" x14ac:dyDescent="0.2">
      <c r="A247" s="1472" t="s">
        <v>1059</v>
      </c>
      <c r="B247" s="949">
        <v>300</v>
      </c>
      <c r="C247" s="949">
        <v>300</v>
      </c>
      <c r="D247" s="882" t="s">
        <v>1056</v>
      </c>
    </row>
    <row r="248" spans="1:4" s="948" customFormat="1" ht="11.25" customHeight="1" x14ac:dyDescent="0.2">
      <c r="A248" s="1473"/>
      <c r="B248" s="950">
        <v>300</v>
      </c>
      <c r="C248" s="950">
        <v>300</v>
      </c>
      <c r="D248" s="886" t="s">
        <v>11</v>
      </c>
    </row>
    <row r="249" spans="1:4" s="948" customFormat="1" ht="11.25" customHeight="1" x14ac:dyDescent="0.2">
      <c r="A249" s="1471" t="s">
        <v>2949</v>
      </c>
      <c r="B249" s="947">
        <v>170</v>
      </c>
      <c r="C249" s="947">
        <v>170</v>
      </c>
      <c r="D249" s="880" t="s">
        <v>2899</v>
      </c>
    </row>
    <row r="250" spans="1:4" s="948" customFormat="1" ht="11.25" customHeight="1" x14ac:dyDescent="0.2">
      <c r="A250" s="1471"/>
      <c r="B250" s="947">
        <v>2794</v>
      </c>
      <c r="C250" s="947">
        <v>2794</v>
      </c>
      <c r="D250" s="880" t="s">
        <v>2735</v>
      </c>
    </row>
    <row r="251" spans="1:4" s="948" customFormat="1" ht="11.25" customHeight="1" x14ac:dyDescent="0.2">
      <c r="A251" s="1471"/>
      <c r="B251" s="947">
        <v>2964</v>
      </c>
      <c r="C251" s="947">
        <v>2964</v>
      </c>
      <c r="D251" s="880" t="s">
        <v>11</v>
      </c>
    </row>
    <row r="252" spans="1:4" s="948" customFormat="1" ht="11.25" customHeight="1" x14ac:dyDescent="0.2">
      <c r="A252" s="1472" t="s">
        <v>1116</v>
      </c>
      <c r="B252" s="949">
        <v>2500</v>
      </c>
      <c r="C252" s="949">
        <v>2500</v>
      </c>
      <c r="D252" s="882" t="s">
        <v>1111</v>
      </c>
    </row>
    <row r="253" spans="1:4" s="948" customFormat="1" ht="11.25" customHeight="1" x14ac:dyDescent="0.2">
      <c r="A253" s="1473"/>
      <c r="B253" s="950">
        <v>2500</v>
      </c>
      <c r="C253" s="950">
        <v>2500</v>
      </c>
      <c r="D253" s="886" t="s">
        <v>11</v>
      </c>
    </row>
    <row r="254" spans="1:4" s="948" customFormat="1" ht="21" x14ac:dyDescent="0.2">
      <c r="A254" s="1471" t="s">
        <v>2950</v>
      </c>
      <c r="B254" s="947">
        <v>80</v>
      </c>
      <c r="C254" s="947">
        <v>80</v>
      </c>
      <c r="D254" s="880" t="s">
        <v>2750</v>
      </c>
    </row>
    <row r="255" spans="1:4" s="948" customFormat="1" ht="11.25" customHeight="1" x14ac:dyDescent="0.2">
      <c r="A255" s="1471"/>
      <c r="B255" s="947">
        <v>80</v>
      </c>
      <c r="C255" s="947">
        <v>80</v>
      </c>
      <c r="D255" s="880" t="s">
        <v>11</v>
      </c>
    </row>
    <row r="256" spans="1:4" s="948" customFormat="1" ht="11.25" customHeight="1" x14ac:dyDescent="0.2">
      <c r="A256" s="1472" t="s">
        <v>2951</v>
      </c>
      <c r="B256" s="949">
        <v>553</v>
      </c>
      <c r="C256" s="949">
        <v>553</v>
      </c>
      <c r="D256" s="882" t="s">
        <v>2735</v>
      </c>
    </row>
    <row r="257" spans="1:4" s="948" customFormat="1" ht="11.25" customHeight="1" x14ac:dyDescent="0.2">
      <c r="A257" s="1471"/>
      <c r="B257" s="947">
        <v>412.22</v>
      </c>
      <c r="C257" s="947">
        <v>301.24923000000001</v>
      </c>
      <c r="D257" s="880" t="s">
        <v>1329</v>
      </c>
    </row>
    <row r="258" spans="1:4" s="948" customFormat="1" ht="11.25" customHeight="1" x14ac:dyDescent="0.2">
      <c r="A258" s="1473"/>
      <c r="B258" s="950">
        <v>965.22</v>
      </c>
      <c r="C258" s="950">
        <v>854.24923000000001</v>
      </c>
      <c r="D258" s="886" t="s">
        <v>11</v>
      </c>
    </row>
    <row r="259" spans="1:4" s="948" customFormat="1" ht="11.25" customHeight="1" x14ac:dyDescent="0.2">
      <c r="A259" s="1471" t="s">
        <v>2952</v>
      </c>
      <c r="B259" s="947">
        <v>1419</v>
      </c>
      <c r="C259" s="947">
        <v>1419</v>
      </c>
      <c r="D259" s="880" t="s">
        <v>2735</v>
      </c>
    </row>
    <row r="260" spans="1:4" s="948" customFormat="1" ht="11.25" customHeight="1" x14ac:dyDescent="0.2">
      <c r="A260" s="1471"/>
      <c r="B260" s="947">
        <v>369</v>
      </c>
      <c r="C260" s="947">
        <v>350</v>
      </c>
      <c r="D260" s="880" t="s">
        <v>2886</v>
      </c>
    </row>
    <row r="261" spans="1:4" s="948" customFormat="1" ht="11.25" customHeight="1" x14ac:dyDescent="0.2">
      <c r="A261" s="1471"/>
      <c r="B261" s="947">
        <v>1788</v>
      </c>
      <c r="C261" s="947">
        <v>1769</v>
      </c>
      <c r="D261" s="880" t="s">
        <v>11</v>
      </c>
    </row>
    <row r="262" spans="1:4" s="948" customFormat="1" ht="11.25" customHeight="1" x14ac:dyDescent="0.2">
      <c r="A262" s="1472" t="s">
        <v>2953</v>
      </c>
      <c r="B262" s="949">
        <v>4514</v>
      </c>
      <c r="C262" s="949">
        <v>4514</v>
      </c>
      <c r="D262" s="882" t="s">
        <v>2735</v>
      </c>
    </row>
    <row r="263" spans="1:4" s="948" customFormat="1" ht="11.25" customHeight="1" x14ac:dyDescent="0.2">
      <c r="A263" s="1471"/>
      <c r="B263" s="947">
        <v>53.4</v>
      </c>
      <c r="C263" s="947">
        <v>53.4</v>
      </c>
      <c r="D263" s="880" t="s">
        <v>2886</v>
      </c>
    </row>
    <row r="264" spans="1:4" s="948" customFormat="1" ht="21" x14ac:dyDescent="0.2">
      <c r="A264" s="1471"/>
      <c r="B264" s="947">
        <v>460</v>
      </c>
      <c r="C264" s="947">
        <v>460</v>
      </c>
      <c r="D264" s="880" t="s">
        <v>2750</v>
      </c>
    </row>
    <row r="265" spans="1:4" s="948" customFormat="1" ht="11.25" customHeight="1" x14ac:dyDescent="0.2">
      <c r="A265" s="1473"/>
      <c r="B265" s="950">
        <v>5027.3999999999996</v>
      </c>
      <c r="C265" s="950">
        <v>5027.3999999999996</v>
      </c>
      <c r="D265" s="886" t="s">
        <v>11</v>
      </c>
    </row>
    <row r="266" spans="1:4" s="948" customFormat="1" ht="11.25" customHeight="1" x14ac:dyDescent="0.2">
      <c r="A266" s="1472" t="s">
        <v>2954</v>
      </c>
      <c r="B266" s="949">
        <v>678</v>
      </c>
      <c r="C266" s="949">
        <v>678</v>
      </c>
      <c r="D266" s="882" t="s">
        <v>2735</v>
      </c>
    </row>
    <row r="267" spans="1:4" s="948" customFormat="1" ht="11.25" customHeight="1" x14ac:dyDescent="0.2">
      <c r="A267" s="1473"/>
      <c r="B267" s="950">
        <v>678</v>
      </c>
      <c r="C267" s="950">
        <v>678</v>
      </c>
      <c r="D267" s="886" t="s">
        <v>11</v>
      </c>
    </row>
    <row r="268" spans="1:4" s="948" customFormat="1" ht="11.25" customHeight="1" x14ac:dyDescent="0.2">
      <c r="A268" s="1472" t="s">
        <v>2955</v>
      </c>
      <c r="B268" s="949">
        <v>30</v>
      </c>
      <c r="C268" s="949">
        <v>30</v>
      </c>
      <c r="D268" s="882" t="s">
        <v>2956</v>
      </c>
    </row>
    <row r="269" spans="1:4" s="948" customFormat="1" ht="11.25" customHeight="1" x14ac:dyDescent="0.2">
      <c r="A269" s="1471"/>
      <c r="B269" s="947">
        <v>5561</v>
      </c>
      <c r="C269" s="947">
        <v>5561</v>
      </c>
      <c r="D269" s="880" t="s">
        <v>2735</v>
      </c>
    </row>
    <row r="270" spans="1:4" s="948" customFormat="1" ht="21" x14ac:dyDescent="0.2">
      <c r="A270" s="1471"/>
      <c r="B270" s="947">
        <v>183</v>
      </c>
      <c r="C270" s="947">
        <v>183</v>
      </c>
      <c r="D270" s="880" t="s">
        <v>2750</v>
      </c>
    </row>
    <row r="271" spans="1:4" s="948" customFormat="1" ht="11.25" customHeight="1" x14ac:dyDescent="0.2">
      <c r="A271" s="1473"/>
      <c r="B271" s="950">
        <v>5774</v>
      </c>
      <c r="C271" s="950">
        <v>5774</v>
      </c>
      <c r="D271" s="886" t="s">
        <v>11</v>
      </c>
    </row>
    <row r="272" spans="1:4" s="948" customFormat="1" ht="11.25" customHeight="1" x14ac:dyDescent="0.2">
      <c r="A272" s="1471" t="s">
        <v>2957</v>
      </c>
      <c r="B272" s="947">
        <v>300</v>
      </c>
      <c r="C272" s="947">
        <v>300</v>
      </c>
      <c r="D272" s="880" t="s">
        <v>2899</v>
      </c>
    </row>
    <row r="273" spans="1:4" s="948" customFormat="1" ht="11.25" customHeight="1" x14ac:dyDescent="0.2">
      <c r="A273" s="1471"/>
      <c r="B273" s="947">
        <v>754</v>
      </c>
      <c r="C273" s="947">
        <v>754</v>
      </c>
      <c r="D273" s="880" t="s">
        <v>2735</v>
      </c>
    </row>
    <row r="274" spans="1:4" s="948" customFormat="1" ht="11.25" customHeight="1" x14ac:dyDescent="0.2">
      <c r="A274" s="1471"/>
      <c r="B274" s="947">
        <v>1054</v>
      </c>
      <c r="C274" s="947">
        <v>1054</v>
      </c>
      <c r="D274" s="880" t="s">
        <v>11</v>
      </c>
    </row>
    <row r="275" spans="1:4" s="948" customFormat="1" ht="11.25" customHeight="1" x14ac:dyDescent="0.2">
      <c r="A275" s="1472" t="s">
        <v>2958</v>
      </c>
      <c r="B275" s="949">
        <v>116</v>
      </c>
      <c r="C275" s="949">
        <v>116</v>
      </c>
      <c r="D275" s="882" t="s">
        <v>2899</v>
      </c>
    </row>
    <row r="276" spans="1:4" s="948" customFormat="1" ht="11.25" customHeight="1" x14ac:dyDescent="0.2">
      <c r="A276" s="1471"/>
      <c r="B276" s="947">
        <v>6439</v>
      </c>
      <c r="C276" s="947">
        <v>6439</v>
      </c>
      <c r="D276" s="880" t="s">
        <v>2735</v>
      </c>
    </row>
    <row r="277" spans="1:4" s="948" customFormat="1" ht="21" x14ac:dyDescent="0.2">
      <c r="A277" s="1471"/>
      <c r="B277" s="947">
        <v>58.5</v>
      </c>
      <c r="C277" s="947">
        <v>58.481999999999999</v>
      </c>
      <c r="D277" s="880" t="s">
        <v>2750</v>
      </c>
    </row>
    <row r="278" spans="1:4" s="948" customFormat="1" ht="11.25" customHeight="1" x14ac:dyDescent="0.2">
      <c r="A278" s="1471"/>
      <c r="B278" s="947">
        <v>1731</v>
      </c>
      <c r="C278" s="947">
        <v>1731</v>
      </c>
      <c r="D278" s="880" t="s">
        <v>2739</v>
      </c>
    </row>
    <row r="279" spans="1:4" s="948" customFormat="1" ht="11.25" customHeight="1" x14ac:dyDescent="0.2">
      <c r="A279" s="1473"/>
      <c r="B279" s="950">
        <v>8344.5</v>
      </c>
      <c r="C279" s="950">
        <v>8344.482</v>
      </c>
      <c r="D279" s="886" t="s">
        <v>11</v>
      </c>
    </row>
    <row r="280" spans="1:4" s="948" customFormat="1" ht="11.25" customHeight="1" x14ac:dyDescent="0.2">
      <c r="A280" s="1471" t="s">
        <v>2959</v>
      </c>
      <c r="B280" s="947">
        <v>500</v>
      </c>
      <c r="C280" s="947">
        <v>475.67499999999995</v>
      </c>
      <c r="D280" s="880" t="s">
        <v>2747</v>
      </c>
    </row>
    <row r="281" spans="1:4" s="948" customFormat="1" ht="11.25" customHeight="1" x14ac:dyDescent="0.2">
      <c r="A281" s="1471"/>
      <c r="B281" s="947">
        <v>500</v>
      </c>
      <c r="C281" s="947">
        <v>475.67499999999995</v>
      </c>
      <c r="D281" s="880" t="s">
        <v>11</v>
      </c>
    </row>
    <row r="282" spans="1:4" s="948" customFormat="1" ht="11.25" customHeight="1" x14ac:dyDescent="0.2">
      <c r="A282" s="1472" t="s">
        <v>2960</v>
      </c>
      <c r="B282" s="949">
        <v>259.89999999999998</v>
      </c>
      <c r="C282" s="949">
        <v>259.71611000000001</v>
      </c>
      <c r="D282" s="882" t="s">
        <v>2619</v>
      </c>
    </row>
    <row r="283" spans="1:4" s="948" customFormat="1" ht="11.25" customHeight="1" x14ac:dyDescent="0.2">
      <c r="A283" s="1473"/>
      <c r="B283" s="950">
        <v>259.89999999999998</v>
      </c>
      <c r="C283" s="950">
        <v>259.71611000000001</v>
      </c>
      <c r="D283" s="886" t="s">
        <v>11</v>
      </c>
    </row>
    <row r="284" spans="1:4" s="948" customFormat="1" ht="11.25" customHeight="1" x14ac:dyDescent="0.2">
      <c r="A284" s="1471" t="s">
        <v>2961</v>
      </c>
      <c r="B284" s="947">
        <v>559.1</v>
      </c>
      <c r="C284" s="947">
        <v>559.05993999999998</v>
      </c>
      <c r="D284" s="880" t="s">
        <v>2608</v>
      </c>
    </row>
    <row r="285" spans="1:4" s="948" customFormat="1" ht="11.25" customHeight="1" x14ac:dyDescent="0.2">
      <c r="A285" s="1471"/>
      <c r="B285" s="947">
        <v>559.1</v>
      </c>
      <c r="C285" s="947">
        <v>559.05993999999998</v>
      </c>
      <c r="D285" s="880" t="s">
        <v>11</v>
      </c>
    </row>
    <row r="286" spans="1:4" s="948" customFormat="1" ht="11.25" customHeight="1" x14ac:dyDescent="0.2">
      <c r="A286" s="1472" t="s">
        <v>2962</v>
      </c>
      <c r="B286" s="949">
        <v>149.94999999999999</v>
      </c>
      <c r="C286" s="949">
        <v>149.94999999999999</v>
      </c>
      <c r="D286" s="882" t="s">
        <v>2862</v>
      </c>
    </row>
    <row r="287" spans="1:4" s="948" customFormat="1" ht="11.25" customHeight="1" x14ac:dyDescent="0.2">
      <c r="A287" s="1473"/>
      <c r="B287" s="950">
        <v>149.94999999999999</v>
      </c>
      <c r="C287" s="950">
        <v>149.94999999999999</v>
      </c>
      <c r="D287" s="886" t="s">
        <v>11</v>
      </c>
    </row>
    <row r="288" spans="1:4" s="948" customFormat="1" ht="11.25" customHeight="1" x14ac:dyDescent="0.2">
      <c r="A288" s="1471" t="s">
        <v>952</v>
      </c>
      <c r="B288" s="947">
        <v>1000</v>
      </c>
      <c r="C288" s="947">
        <v>1000</v>
      </c>
      <c r="D288" s="880" t="s">
        <v>951</v>
      </c>
    </row>
    <row r="289" spans="1:4" s="948" customFormat="1" ht="11.25" customHeight="1" x14ac:dyDescent="0.2">
      <c r="A289" s="1471"/>
      <c r="B289" s="947">
        <v>1000</v>
      </c>
      <c r="C289" s="947">
        <v>1000</v>
      </c>
      <c r="D289" s="880" t="s">
        <v>11</v>
      </c>
    </row>
    <row r="290" spans="1:4" s="948" customFormat="1" ht="11.25" customHeight="1" x14ac:dyDescent="0.2">
      <c r="A290" s="1472" t="s">
        <v>2963</v>
      </c>
      <c r="B290" s="949">
        <v>167.39</v>
      </c>
      <c r="C290" s="949">
        <v>167.37755000000001</v>
      </c>
      <c r="D290" s="882" t="s">
        <v>2618</v>
      </c>
    </row>
    <row r="291" spans="1:4" s="948" customFormat="1" ht="11.25" customHeight="1" x14ac:dyDescent="0.2">
      <c r="A291" s="1473"/>
      <c r="B291" s="950">
        <v>167.39</v>
      </c>
      <c r="C291" s="950">
        <v>167.37755000000001</v>
      </c>
      <c r="D291" s="886" t="s">
        <v>11</v>
      </c>
    </row>
    <row r="292" spans="1:4" s="948" customFormat="1" ht="11.25" customHeight="1" x14ac:dyDescent="0.2">
      <c r="A292" s="1471" t="s">
        <v>2964</v>
      </c>
      <c r="B292" s="947">
        <v>201.36</v>
      </c>
      <c r="C292" s="947">
        <v>201.34465</v>
      </c>
      <c r="D292" s="880" t="s">
        <v>2618</v>
      </c>
    </row>
    <row r="293" spans="1:4" s="948" customFormat="1" ht="11.25" customHeight="1" x14ac:dyDescent="0.2">
      <c r="A293" s="1471"/>
      <c r="B293" s="947">
        <v>201.36</v>
      </c>
      <c r="C293" s="947">
        <v>201.34465</v>
      </c>
      <c r="D293" s="880" t="s">
        <v>11</v>
      </c>
    </row>
    <row r="294" spans="1:4" s="948" customFormat="1" ht="11.25" customHeight="1" x14ac:dyDescent="0.2">
      <c r="A294" s="1472" t="s">
        <v>982</v>
      </c>
      <c r="B294" s="949">
        <v>250</v>
      </c>
      <c r="C294" s="949">
        <v>250</v>
      </c>
      <c r="D294" s="882" t="s">
        <v>978</v>
      </c>
    </row>
    <row r="295" spans="1:4" s="948" customFormat="1" ht="11.25" customHeight="1" x14ac:dyDescent="0.2">
      <c r="A295" s="1473"/>
      <c r="B295" s="950">
        <v>250</v>
      </c>
      <c r="C295" s="950">
        <v>250</v>
      </c>
      <c r="D295" s="886" t="s">
        <v>11</v>
      </c>
    </row>
    <row r="296" spans="1:4" s="948" customFormat="1" ht="11.25" customHeight="1" x14ac:dyDescent="0.2">
      <c r="A296" s="1471" t="s">
        <v>2965</v>
      </c>
      <c r="B296" s="947">
        <v>189.6</v>
      </c>
      <c r="C296" s="947">
        <v>189.6</v>
      </c>
      <c r="D296" s="880" t="s">
        <v>2745</v>
      </c>
    </row>
    <row r="297" spans="1:4" s="948" customFormat="1" ht="11.25" customHeight="1" x14ac:dyDescent="0.2">
      <c r="A297" s="1471"/>
      <c r="B297" s="947">
        <v>189.6</v>
      </c>
      <c r="C297" s="947">
        <v>189.6</v>
      </c>
      <c r="D297" s="880" t="s">
        <v>11</v>
      </c>
    </row>
    <row r="298" spans="1:4" s="948" customFormat="1" ht="11.25" customHeight="1" x14ac:dyDescent="0.2">
      <c r="A298" s="1472" t="s">
        <v>4799</v>
      </c>
      <c r="B298" s="949">
        <v>20</v>
      </c>
      <c r="C298" s="949">
        <v>20</v>
      </c>
      <c r="D298" s="882" t="s">
        <v>1337</v>
      </c>
    </row>
    <row r="299" spans="1:4" s="948" customFormat="1" ht="11.25" customHeight="1" x14ac:dyDescent="0.2">
      <c r="A299" s="1473"/>
      <c r="B299" s="950">
        <v>20</v>
      </c>
      <c r="C299" s="950">
        <v>20</v>
      </c>
      <c r="D299" s="886" t="s">
        <v>11</v>
      </c>
    </row>
    <row r="300" spans="1:4" s="948" customFormat="1" ht="11.25" customHeight="1" x14ac:dyDescent="0.2">
      <c r="A300" s="1471" t="s">
        <v>2966</v>
      </c>
      <c r="B300" s="947">
        <v>1136.74</v>
      </c>
      <c r="C300" s="947">
        <v>1136.72732</v>
      </c>
      <c r="D300" s="880" t="s">
        <v>2618</v>
      </c>
    </row>
    <row r="301" spans="1:4" s="948" customFormat="1" ht="11.25" customHeight="1" x14ac:dyDescent="0.2">
      <c r="A301" s="1471"/>
      <c r="B301" s="947">
        <v>1136.74</v>
      </c>
      <c r="C301" s="947">
        <v>1136.72732</v>
      </c>
      <c r="D301" s="880" t="s">
        <v>11</v>
      </c>
    </row>
    <row r="302" spans="1:4" s="948" customFormat="1" ht="11.25" customHeight="1" x14ac:dyDescent="0.2">
      <c r="A302" s="1472" t="s">
        <v>1163</v>
      </c>
      <c r="B302" s="949">
        <v>50</v>
      </c>
      <c r="C302" s="949">
        <v>50</v>
      </c>
      <c r="D302" s="882" t="s">
        <v>1161</v>
      </c>
    </row>
    <row r="303" spans="1:4" s="948" customFormat="1" ht="11.25" customHeight="1" x14ac:dyDescent="0.2">
      <c r="A303" s="1473"/>
      <c r="B303" s="950">
        <v>50</v>
      </c>
      <c r="C303" s="950">
        <v>50</v>
      </c>
      <c r="D303" s="886" t="s">
        <v>11</v>
      </c>
    </row>
    <row r="304" spans="1:4" s="948" customFormat="1" ht="11.25" customHeight="1" x14ac:dyDescent="0.2">
      <c r="A304" s="1471" t="s">
        <v>1117</v>
      </c>
      <c r="B304" s="947">
        <v>500</v>
      </c>
      <c r="C304" s="947">
        <v>0</v>
      </c>
      <c r="D304" s="880" t="s">
        <v>1111</v>
      </c>
    </row>
    <row r="305" spans="1:4" s="948" customFormat="1" ht="11.25" customHeight="1" x14ac:dyDescent="0.2">
      <c r="A305" s="1471"/>
      <c r="B305" s="947">
        <v>500</v>
      </c>
      <c r="C305" s="947">
        <v>0</v>
      </c>
      <c r="D305" s="880" t="s">
        <v>11</v>
      </c>
    </row>
    <row r="306" spans="1:4" s="948" customFormat="1" ht="11.25" customHeight="1" x14ac:dyDescent="0.2">
      <c r="A306" s="1472" t="s">
        <v>2967</v>
      </c>
      <c r="B306" s="949">
        <v>1320</v>
      </c>
      <c r="C306" s="949">
        <v>1320</v>
      </c>
      <c r="D306" s="882" t="s">
        <v>2735</v>
      </c>
    </row>
    <row r="307" spans="1:4" s="948" customFormat="1" ht="11.25" customHeight="1" x14ac:dyDescent="0.2">
      <c r="A307" s="1471"/>
      <c r="B307" s="947">
        <v>300</v>
      </c>
      <c r="C307" s="947">
        <v>300</v>
      </c>
      <c r="D307" s="880" t="s">
        <v>2886</v>
      </c>
    </row>
    <row r="308" spans="1:4" s="948" customFormat="1" ht="11.25" customHeight="1" x14ac:dyDescent="0.2">
      <c r="A308" s="1473"/>
      <c r="B308" s="950">
        <v>1620</v>
      </c>
      <c r="C308" s="950">
        <v>1620</v>
      </c>
      <c r="D308" s="886" t="s">
        <v>11</v>
      </c>
    </row>
    <row r="309" spans="1:4" s="948" customFormat="1" ht="11.25" customHeight="1" x14ac:dyDescent="0.2">
      <c r="A309" s="1471" t="s">
        <v>1164</v>
      </c>
      <c r="B309" s="947">
        <v>40</v>
      </c>
      <c r="C309" s="947">
        <v>40</v>
      </c>
      <c r="D309" s="880" t="s">
        <v>1161</v>
      </c>
    </row>
    <row r="310" spans="1:4" s="948" customFormat="1" ht="11.25" customHeight="1" x14ac:dyDescent="0.2">
      <c r="A310" s="1471"/>
      <c r="B310" s="947">
        <v>40</v>
      </c>
      <c r="C310" s="947">
        <v>40</v>
      </c>
      <c r="D310" s="880" t="s">
        <v>11</v>
      </c>
    </row>
    <row r="311" spans="1:4" s="948" customFormat="1" ht="11.25" customHeight="1" x14ac:dyDescent="0.2">
      <c r="A311" s="1472" t="s">
        <v>2968</v>
      </c>
      <c r="B311" s="949">
        <v>169.1</v>
      </c>
      <c r="C311" s="949">
        <v>168.239</v>
      </c>
      <c r="D311" s="882" t="s">
        <v>2842</v>
      </c>
    </row>
    <row r="312" spans="1:4" s="948" customFormat="1" ht="11.25" customHeight="1" x14ac:dyDescent="0.2">
      <c r="A312" s="1473"/>
      <c r="B312" s="950">
        <v>169.1</v>
      </c>
      <c r="C312" s="950">
        <v>168.239</v>
      </c>
      <c r="D312" s="886" t="s">
        <v>11</v>
      </c>
    </row>
    <row r="313" spans="1:4" s="948" customFormat="1" ht="11.25" customHeight="1" x14ac:dyDescent="0.2">
      <c r="A313" s="1471" t="s">
        <v>1118</v>
      </c>
      <c r="B313" s="947">
        <v>2000</v>
      </c>
      <c r="C313" s="947">
        <v>2000</v>
      </c>
      <c r="D313" s="880" t="s">
        <v>1111</v>
      </c>
    </row>
    <row r="314" spans="1:4" s="948" customFormat="1" ht="11.25" customHeight="1" x14ac:dyDescent="0.2">
      <c r="A314" s="1471"/>
      <c r="B314" s="947">
        <v>2000</v>
      </c>
      <c r="C314" s="947">
        <v>2000</v>
      </c>
      <c r="D314" s="880" t="s">
        <v>11</v>
      </c>
    </row>
    <row r="315" spans="1:4" s="948" customFormat="1" ht="11.25" customHeight="1" x14ac:dyDescent="0.2">
      <c r="A315" s="1472" t="s">
        <v>983</v>
      </c>
      <c r="B315" s="949">
        <v>25</v>
      </c>
      <c r="C315" s="949">
        <v>25</v>
      </c>
      <c r="D315" s="882" t="s">
        <v>978</v>
      </c>
    </row>
    <row r="316" spans="1:4" s="948" customFormat="1" ht="11.25" customHeight="1" x14ac:dyDescent="0.2">
      <c r="A316" s="1473"/>
      <c r="B316" s="950">
        <v>25</v>
      </c>
      <c r="C316" s="950">
        <v>25</v>
      </c>
      <c r="D316" s="886" t="s">
        <v>11</v>
      </c>
    </row>
    <row r="317" spans="1:4" s="948" customFormat="1" ht="11.25" customHeight="1" x14ac:dyDescent="0.2">
      <c r="A317" s="1471" t="s">
        <v>1119</v>
      </c>
      <c r="B317" s="947">
        <v>50</v>
      </c>
      <c r="C317" s="947">
        <v>50</v>
      </c>
      <c r="D317" s="880" t="s">
        <v>1111</v>
      </c>
    </row>
    <row r="318" spans="1:4" s="948" customFormat="1" ht="11.25" customHeight="1" x14ac:dyDescent="0.2">
      <c r="A318" s="1471"/>
      <c r="B318" s="947">
        <v>50</v>
      </c>
      <c r="C318" s="947">
        <v>50</v>
      </c>
      <c r="D318" s="880" t="s">
        <v>11</v>
      </c>
    </row>
    <row r="319" spans="1:4" s="948" customFormat="1" ht="11.25" customHeight="1" x14ac:dyDescent="0.2">
      <c r="A319" s="1472" t="s">
        <v>1219</v>
      </c>
      <c r="B319" s="949">
        <v>50</v>
      </c>
      <c r="C319" s="949">
        <v>50</v>
      </c>
      <c r="D319" s="882" t="s">
        <v>1217</v>
      </c>
    </row>
    <row r="320" spans="1:4" s="948" customFormat="1" ht="11.25" customHeight="1" x14ac:dyDescent="0.2">
      <c r="A320" s="1473"/>
      <c r="B320" s="950">
        <v>50</v>
      </c>
      <c r="C320" s="950">
        <v>50</v>
      </c>
      <c r="D320" s="886" t="s">
        <v>11</v>
      </c>
    </row>
    <row r="321" spans="1:4" s="948" customFormat="1" ht="11.25" customHeight="1" x14ac:dyDescent="0.2">
      <c r="A321" s="1471" t="s">
        <v>2969</v>
      </c>
      <c r="B321" s="947">
        <v>867850.91999999993</v>
      </c>
      <c r="C321" s="947">
        <v>867850.91700000002</v>
      </c>
      <c r="D321" s="880" t="s">
        <v>2970</v>
      </c>
    </row>
    <row r="322" spans="1:4" s="948" customFormat="1" ht="11.25" customHeight="1" x14ac:dyDescent="0.2">
      <c r="A322" s="1471"/>
      <c r="B322" s="947">
        <v>867850.91999999993</v>
      </c>
      <c r="C322" s="947">
        <v>867850.91700000002</v>
      </c>
      <c r="D322" s="880" t="s">
        <v>11</v>
      </c>
    </row>
    <row r="323" spans="1:4" s="948" customFormat="1" ht="11.25" customHeight="1" x14ac:dyDescent="0.2">
      <c r="A323" s="1472" t="s">
        <v>1220</v>
      </c>
      <c r="B323" s="949">
        <v>25</v>
      </c>
      <c r="C323" s="949">
        <v>25</v>
      </c>
      <c r="D323" s="882" t="s">
        <v>1217</v>
      </c>
    </row>
    <row r="324" spans="1:4" s="948" customFormat="1" ht="11.25" customHeight="1" x14ac:dyDescent="0.2">
      <c r="A324" s="1473"/>
      <c r="B324" s="950">
        <v>25</v>
      </c>
      <c r="C324" s="950">
        <v>25</v>
      </c>
      <c r="D324" s="886" t="s">
        <v>11</v>
      </c>
    </row>
    <row r="325" spans="1:4" s="948" customFormat="1" ht="11.25" customHeight="1" x14ac:dyDescent="0.2">
      <c r="A325" s="1471" t="s">
        <v>1221</v>
      </c>
      <c r="B325" s="947">
        <v>25</v>
      </c>
      <c r="C325" s="947">
        <v>25</v>
      </c>
      <c r="D325" s="880" t="s">
        <v>1217</v>
      </c>
    </row>
    <row r="326" spans="1:4" s="948" customFormat="1" ht="11.25" customHeight="1" x14ac:dyDescent="0.2">
      <c r="A326" s="1471"/>
      <c r="B326" s="947">
        <v>25</v>
      </c>
      <c r="C326" s="947">
        <v>25</v>
      </c>
      <c r="D326" s="880" t="s">
        <v>11</v>
      </c>
    </row>
    <row r="327" spans="1:4" s="948" customFormat="1" ht="11.25" customHeight="1" x14ac:dyDescent="0.2">
      <c r="A327" s="1472" t="s">
        <v>1222</v>
      </c>
      <c r="B327" s="949">
        <v>10</v>
      </c>
      <c r="C327" s="949">
        <v>10</v>
      </c>
      <c r="D327" s="882" t="s">
        <v>1217</v>
      </c>
    </row>
    <row r="328" spans="1:4" s="948" customFormat="1" ht="11.25" customHeight="1" x14ac:dyDescent="0.2">
      <c r="A328" s="1473"/>
      <c r="B328" s="950">
        <v>10</v>
      </c>
      <c r="C328" s="950">
        <v>10</v>
      </c>
      <c r="D328" s="886" t="s">
        <v>11</v>
      </c>
    </row>
    <row r="329" spans="1:4" s="948" customFormat="1" ht="11.25" customHeight="1" x14ac:dyDescent="0.2">
      <c r="A329" s="1471" t="s">
        <v>2971</v>
      </c>
      <c r="B329" s="947">
        <v>70</v>
      </c>
      <c r="C329" s="947">
        <v>70</v>
      </c>
      <c r="D329" s="880" t="s">
        <v>2972</v>
      </c>
    </row>
    <row r="330" spans="1:4" s="948" customFormat="1" ht="11.25" customHeight="1" x14ac:dyDescent="0.2">
      <c r="A330" s="1471"/>
      <c r="B330" s="947">
        <v>70</v>
      </c>
      <c r="C330" s="947">
        <v>70</v>
      </c>
      <c r="D330" s="880" t="s">
        <v>11</v>
      </c>
    </row>
    <row r="331" spans="1:4" s="948" customFormat="1" ht="21" x14ac:dyDescent="0.2">
      <c r="A331" s="1472" t="s">
        <v>2973</v>
      </c>
      <c r="B331" s="949">
        <v>35</v>
      </c>
      <c r="C331" s="949">
        <v>35</v>
      </c>
      <c r="D331" s="882" t="s">
        <v>2737</v>
      </c>
    </row>
    <row r="332" spans="1:4" s="948" customFormat="1" ht="11.25" customHeight="1" x14ac:dyDescent="0.2">
      <c r="A332" s="1473"/>
      <c r="B332" s="950">
        <v>35</v>
      </c>
      <c r="C332" s="950">
        <v>35</v>
      </c>
      <c r="D332" s="886" t="s">
        <v>11</v>
      </c>
    </row>
    <row r="333" spans="1:4" s="948" customFormat="1" ht="11.25" customHeight="1" x14ac:dyDescent="0.2">
      <c r="A333" s="1471" t="s">
        <v>1050</v>
      </c>
      <c r="B333" s="947">
        <v>3000</v>
      </c>
      <c r="C333" s="947">
        <v>3000</v>
      </c>
      <c r="D333" s="880" t="s">
        <v>2974</v>
      </c>
    </row>
    <row r="334" spans="1:4" s="948" customFormat="1" ht="11.25" customHeight="1" x14ac:dyDescent="0.2">
      <c r="A334" s="1471"/>
      <c r="B334" s="947">
        <v>3000</v>
      </c>
      <c r="C334" s="947">
        <v>3000</v>
      </c>
      <c r="D334" s="880" t="s">
        <v>11</v>
      </c>
    </row>
    <row r="335" spans="1:4" s="948" customFormat="1" ht="11.25" customHeight="1" x14ac:dyDescent="0.2">
      <c r="A335" s="1472" t="s">
        <v>1165</v>
      </c>
      <c r="B335" s="949">
        <v>50</v>
      </c>
      <c r="C335" s="949">
        <v>50</v>
      </c>
      <c r="D335" s="882" t="s">
        <v>1161</v>
      </c>
    </row>
    <row r="336" spans="1:4" s="948" customFormat="1" ht="11.25" customHeight="1" x14ac:dyDescent="0.2">
      <c r="A336" s="1473"/>
      <c r="B336" s="950">
        <v>50</v>
      </c>
      <c r="C336" s="950">
        <v>50</v>
      </c>
      <c r="D336" s="886" t="s">
        <v>11</v>
      </c>
    </row>
    <row r="337" spans="1:4" s="948" customFormat="1" ht="11.25" customHeight="1" x14ac:dyDescent="0.2">
      <c r="A337" s="1471" t="s">
        <v>2975</v>
      </c>
      <c r="B337" s="947">
        <v>82</v>
      </c>
      <c r="C337" s="947">
        <v>82</v>
      </c>
      <c r="D337" s="880" t="s">
        <v>2745</v>
      </c>
    </row>
    <row r="338" spans="1:4" s="948" customFormat="1" ht="11.25" customHeight="1" x14ac:dyDescent="0.2">
      <c r="A338" s="1471"/>
      <c r="B338" s="947">
        <v>82</v>
      </c>
      <c r="C338" s="947">
        <v>82</v>
      </c>
      <c r="D338" s="880" t="s">
        <v>11</v>
      </c>
    </row>
    <row r="339" spans="1:4" s="948" customFormat="1" ht="11.25" customHeight="1" x14ac:dyDescent="0.2">
      <c r="A339" s="1472" t="s">
        <v>1008</v>
      </c>
      <c r="B339" s="949">
        <v>90</v>
      </c>
      <c r="C339" s="949">
        <v>90</v>
      </c>
      <c r="D339" s="882" t="s">
        <v>1007</v>
      </c>
    </row>
    <row r="340" spans="1:4" s="948" customFormat="1" ht="11.25" customHeight="1" x14ac:dyDescent="0.2">
      <c r="A340" s="1473"/>
      <c r="B340" s="950">
        <v>90</v>
      </c>
      <c r="C340" s="950">
        <v>90</v>
      </c>
      <c r="D340" s="886" t="s">
        <v>11</v>
      </c>
    </row>
    <row r="341" spans="1:4" s="948" customFormat="1" ht="11.25" customHeight="1" x14ac:dyDescent="0.2">
      <c r="A341" s="1471" t="s">
        <v>2976</v>
      </c>
      <c r="B341" s="947">
        <v>108</v>
      </c>
      <c r="C341" s="947">
        <v>108</v>
      </c>
      <c r="D341" s="880" t="s">
        <v>2745</v>
      </c>
    </row>
    <row r="342" spans="1:4" s="948" customFormat="1" ht="11.25" customHeight="1" x14ac:dyDescent="0.2">
      <c r="A342" s="1471"/>
      <c r="B342" s="947">
        <v>108</v>
      </c>
      <c r="C342" s="947">
        <v>108</v>
      </c>
      <c r="D342" s="880" t="s">
        <v>11</v>
      </c>
    </row>
    <row r="343" spans="1:4" s="948" customFormat="1" ht="11.25" customHeight="1" x14ac:dyDescent="0.2">
      <c r="A343" s="1472" t="s">
        <v>1166</v>
      </c>
      <c r="B343" s="949">
        <v>50</v>
      </c>
      <c r="C343" s="949">
        <v>50</v>
      </c>
      <c r="D343" s="882" t="s">
        <v>1161</v>
      </c>
    </row>
    <row r="344" spans="1:4" s="948" customFormat="1" ht="11.25" customHeight="1" x14ac:dyDescent="0.2">
      <c r="A344" s="1473"/>
      <c r="B344" s="950">
        <v>50</v>
      </c>
      <c r="C344" s="950">
        <v>50</v>
      </c>
      <c r="D344" s="886" t="s">
        <v>11</v>
      </c>
    </row>
    <row r="345" spans="1:4" s="948" customFormat="1" ht="11.25" customHeight="1" x14ac:dyDescent="0.2">
      <c r="A345" s="1471" t="s">
        <v>1051</v>
      </c>
      <c r="B345" s="947">
        <v>20</v>
      </c>
      <c r="C345" s="947">
        <v>20</v>
      </c>
      <c r="D345" s="880" t="s">
        <v>2977</v>
      </c>
    </row>
    <row r="346" spans="1:4" s="948" customFormat="1" ht="11.25" customHeight="1" x14ac:dyDescent="0.2">
      <c r="A346" s="1471"/>
      <c r="B346" s="947">
        <v>50</v>
      </c>
      <c r="C346" s="947">
        <v>0</v>
      </c>
      <c r="D346" s="880" t="s">
        <v>2978</v>
      </c>
    </row>
    <row r="347" spans="1:4" s="948" customFormat="1" ht="11.25" customHeight="1" x14ac:dyDescent="0.2">
      <c r="A347" s="1471"/>
      <c r="B347" s="947">
        <v>70</v>
      </c>
      <c r="C347" s="947">
        <v>20</v>
      </c>
      <c r="D347" s="880" t="s">
        <v>11</v>
      </c>
    </row>
    <row r="348" spans="1:4" s="948" customFormat="1" ht="11.25" customHeight="1" x14ac:dyDescent="0.2">
      <c r="A348" s="1472" t="s">
        <v>1205</v>
      </c>
      <c r="B348" s="949">
        <v>180.45</v>
      </c>
      <c r="C348" s="949">
        <v>180.45</v>
      </c>
      <c r="D348" s="882" t="s">
        <v>1204</v>
      </c>
    </row>
    <row r="349" spans="1:4" s="948" customFormat="1" ht="11.25" customHeight="1" x14ac:dyDescent="0.2">
      <c r="A349" s="1473"/>
      <c r="B349" s="950">
        <v>180.45</v>
      </c>
      <c r="C349" s="950">
        <v>180.45</v>
      </c>
      <c r="D349" s="886" t="s">
        <v>11</v>
      </c>
    </row>
    <row r="350" spans="1:4" s="948" customFormat="1" ht="11.25" customHeight="1" x14ac:dyDescent="0.2">
      <c r="A350" s="1471" t="s">
        <v>1206</v>
      </c>
      <c r="B350" s="947">
        <v>22</v>
      </c>
      <c r="C350" s="947">
        <v>22</v>
      </c>
      <c r="D350" s="880" t="s">
        <v>2979</v>
      </c>
    </row>
    <row r="351" spans="1:4" s="948" customFormat="1" ht="11.25" customHeight="1" x14ac:dyDescent="0.2">
      <c r="A351" s="1471"/>
      <c r="B351" s="947">
        <v>388.8</v>
      </c>
      <c r="C351" s="947">
        <v>388.8</v>
      </c>
      <c r="D351" s="880" t="s">
        <v>1204</v>
      </c>
    </row>
    <row r="352" spans="1:4" s="948" customFormat="1" ht="11.25" customHeight="1" x14ac:dyDescent="0.2">
      <c r="A352" s="1471"/>
      <c r="B352" s="947">
        <v>410.8</v>
      </c>
      <c r="C352" s="947">
        <v>410.8</v>
      </c>
      <c r="D352" s="880" t="s">
        <v>11</v>
      </c>
    </row>
    <row r="353" spans="1:4" s="948" customFormat="1" ht="11.25" customHeight="1" x14ac:dyDescent="0.2">
      <c r="A353" s="1472" t="s">
        <v>2980</v>
      </c>
      <c r="B353" s="949">
        <v>170.85</v>
      </c>
      <c r="C353" s="949">
        <v>170.85</v>
      </c>
      <c r="D353" s="882" t="s">
        <v>1204</v>
      </c>
    </row>
    <row r="354" spans="1:4" s="948" customFormat="1" ht="11.25" customHeight="1" x14ac:dyDescent="0.2">
      <c r="A354" s="1471"/>
      <c r="B354" s="947">
        <v>50</v>
      </c>
      <c r="C354" s="947">
        <v>50</v>
      </c>
      <c r="D354" s="880" t="s">
        <v>1217</v>
      </c>
    </row>
    <row r="355" spans="1:4" s="948" customFormat="1" ht="11.25" customHeight="1" x14ac:dyDescent="0.2">
      <c r="A355" s="1473"/>
      <c r="B355" s="950">
        <v>220.85</v>
      </c>
      <c r="C355" s="950">
        <v>220.85</v>
      </c>
      <c r="D355" s="886" t="s">
        <v>11</v>
      </c>
    </row>
    <row r="356" spans="1:4" s="948" customFormat="1" ht="11.25" customHeight="1" x14ac:dyDescent="0.2">
      <c r="A356" s="1471" t="s">
        <v>1208</v>
      </c>
      <c r="B356" s="947">
        <v>331.65</v>
      </c>
      <c r="C356" s="947">
        <v>331.65</v>
      </c>
      <c r="D356" s="880" t="s">
        <v>1204</v>
      </c>
    </row>
    <row r="357" spans="1:4" s="948" customFormat="1" ht="11.25" customHeight="1" x14ac:dyDescent="0.2">
      <c r="A357" s="1471"/>
      <c r="B357" s="947">
        <v>331.65</v>
      </c>
      <c r="C357" s="947">
        <v>331.65</v>
      </c>
      <c r="D357" s="880" t="s">
        <v>11</v>
      </c>
    </row>
    <row r="358" spans="1:4" s="948" customFormat="1" ht="11.25" customHeight="1" x14ac:dyDescent="0.2">
      <c r="A358" s="1472" t="s">
        <v>1209</v>
      </c>
      <c r="B358" s="949">
        <v>352.35</v>
      </c>
      <c r="C358" s="949">
        <v>352.35</v>
      </c>
      <c r="D358" s="882" t="s">
        <v>1204</v>
      </c>
    </row>
    <row r="359" spans="1:4" s="948" customFormat="1" ht="11.25" customHeight="1" x14ac:dyDescent="0.2">
      <c r="A359" s="1473"/>
      <c r="B359" s="950">
        <v>352.35</v>
      </c>
      <c r="C359" s="950">
        <v>352.35</v>
      </c>
      <c r="D359" s="886" t="s">
        <v>11</v>
      </c>
    </row>
    <row r="360" spans="1:4" s="948" customFormat="1" ht="11.25" customHeight="1" x14ac:dyDescent="0.2">
      <c r="A360" s="1471" t="s">
        <v>2981</v>
      </c>
      <c r="B360" s="947">
        <v>149</v>
      </c>
      <c r="C360" s="947">
        <v>149</v>
      </c>
      <c r="D360" s="880" t="s">
        <v>2744</v>
      </c>
    </row>
    <row r="361" spans="1:4" s="948" customFormat="1" ht="11.25" customHeight="1" x14ac:dyDescent="0.2">
      <c r="A361" s="1471"/>
      <c r="B361" s="947">
        <v>149</v>
      </c>
      <c r="C361" s="947">
        <v>149</v>
      </c>
      <c r="D361" s="880" t="s">
        <v>11</v>
      </c>
    </row>
    <row r="362" spans="1:4" s="948" customFormat="1" ht="11.25" customHeight="1" x14ac:dyDescent="0.2">
      <c r="A362" s="1472" t="s">
        <v>1223</v>
      </c>
      <c r="B362" s="949">
        <v>25</v>
      </c>
      <c r="C362" s="949">
        <v>25</v>
      </c>
      <c r="D362" s="882" t="s">
        <v>1217</v>
      </c>
    </row>
    <row r="363" spans="1:4" s="948" customFormat="1" ht="11.25" customHeight="1" x14ac:dyDescent="0.2">
      <c r="A363" s="1473"/>
      <c r="B363" s="950">
        <v>25</v>
      </c>
      <c r="C363" s="950">
        <v>25</v>
      </c>
      <c r="D363" s="886" t="s">
        <v>11</v>
      </c>
    </row>
    <row r="364" spans="1:4" s="948" customFormat="1" ht="11.25" customHeight="1" x14ac:dyDescent="0.2">
      <c r="A364" s="1471" t="s">
        <v>1052</v>
      </c>
      <c r="B364" s="947">
        <v>70</v>
      </c>
      <c r="C364" s="947">
        <v>70</v>
      </c>
      <c r="D364" s="880" t="s">
        <v>2982</v>
      </c>
    </row>
    <row r="365" spans="1:4" s="948" customFormat="1" ht="11.25" customHeight="1" x14ac:dyDescent="0.2">
      <c r="A365" s="1471"/>
      <c r="B365" s="947">
        <v>70</v>
      </c>
      <c r="C365" s="947">
        <v>70</v>
      </c>
      <c r="D365" s="880" t="s">
        <v>11</v>
      </c>
    </row>
    <row r="366" spans="1:4" s="948" customFormat="1" ht="11.25" customHeight="1" x14ac:dyDescent="0.2">
      <c r="A366" s="1472" t="s">
        <v>1120</v>
      </c>
      <c r="B366" s="949">
        <v>250</v>
      </c>
      <c r="C366" s="949">
        <v>250</v>
      </c>
      <c r="D366" s="882" t="s">
        <v>1111</v>
      </c>
    </row>
    <row r="367" spans="1:4" s="948" customFormat="1" ht="11.25" customHeight="1" x14ac:dyDescent="0.2">
      <c r="A367" s="1473"/>
      <c r="B367" s="950">
        <v>250</v>
      </c>
      <c r="C367" s="950">
        <v>250</v>
      </c>
      <c r="D367" s="886" t="s">
        <v>11</v>
      </c>
    </row>
    <row r="368" spans="1:4" s="948" customFormat="1" ht="11.25" customHeight="1" x14ac:dyDescent="0.2">
      <c r="A368" s="1471" t="s">
        <v>1121</v>
      </c>
      <c r="B368" s="947">
        <v>600</v>
      </c>
      <c r="C368" s="947">
        <v>600</v>
      </c>
      <c r="D368" s="880" t="s">
        <v>1111</v>
      </c>
    </row>
    <row r="369" spans="1:4" s="948" customFormat="1" ht="11.25" customHeight="1" x14ac:dyDescent="0.2">
      <c r="A369" s="1471"/>
      <c r="B369" s="947">
        <v>600</v>
      </c>
      <c r="C369" s="947">
        <v>600</v>
      </c>
      <c r="D369" s="880" t="s">
        <v>11</v>
      </c>
    </row>
    <row r="370" spans="1:4" s="948" customFormat="1" ht="11.25" customHeight="1" x14ac:dyDescent="0.2">
      <c r="A370" s="1472" t="s">
        <v>1122</v>
      </c>
      <c r="B370" s="949">
        <v>60</v>
      </c>
      <c r="C370" s="949">
        <v>60</v>
      </c>
      <c r="D370" s="882" t="s">
        <v>2745</v>
      </c>
    </row>
    <row r="371" spans="1:4" s="948" customFormat="1" ht="11.25" customHeight="1" x14ac:dyDescent="0.2">
      <c r="A371" s="1471"/>
      <c r="B371" s="947">
        <v>100</v>
      </c>
      <c r="C371" s="947">
        <v>100</v>
      </c>
      <c r="D371" s="880" t="s">
        <v>1111</v>
      </c>
    </row>
    <row r="372" spans="1:4" s="948" customFormat="1" ht="11.25" customHeight="1" x14ac:dyDescent="0.2">
      <c r="A372" s="1473"/>
      <c r="B372" s="950">
        <v>160</v>
      </c>
      <c r="C372" s="950">
        <v>160</v>
      </c>
      <c r="D372" s="886" t="s">
        <v>11</v>
      </c>
    </row>
    <row r="373" spans="1:4" s="948" customFormat="1" ht="11.25" customHeight="1" x14ac:dyDescent="0.2">
      <c r="A373" s="1471" t="s">
        <v>2983</v>
      </c>
      <c r="B373" s="947">
        <v>63494.5</v>
      </c>
      <c r="C373" s="947">
        <v>63494.5</v>
      </c>
      <c r="D373" s="880" t="s">
        <v>2901</v>
      </c>
    </row>
    <row r="374" spans="1:4" s="948" customFormat="1" ht="11.25" customHeight="1" x14ac:dyDescent="0.2">
      <c r="A374" s="1471"/>
      <c r="B374" s="947">
        <v>63494.5</v>
      </c>
      <c r="C374" s="947">
        <v>63494.5</v>
      </c>
      <c r="D374" s="880" t="s">
        <v>11</v>
      </c>
    </row>
    <row r="375" spans="1:4" s="948" customFormat="1" ht="11.25" customHeight="1" x14ac:dyDescent="0.2">
      <c r="A375" s="1472" t="s">
        <v>2984</v>
      </c>
      <c r="B375" s="949">
        <v>33111.93</v>
      </c>
      <c r="C375" s="949">
        <v>33111.927000000003</v>
      </c>
      <c r="D375" s="882" t="s">
        <v>2901</v>
      </c>
    </row>
    <row r="376" spans="1:4" s="948" customFormat="1" ht="11.25" customHeight="1" x14ac:dyDescent="0.2">
      <c r="A376" s="1473"/>
      <c r="B376" s="950">
        <v>33111.93</v>
      </c>
      <c r="C376" s="950">
        <v>33111.927000000003</v>
      </c>
      <c r="D376" s="886" t="s">
        <v>11</v>
      </c>
    </row>
    <row r="377" spans="1:4" s="948" customFormat="1" ht="11.25" customHeight="1" x14ac:dyDescent="0.2">
      <c r="A377" s="1471" t="s">
        <v>2985</v>
      </c>
      <c r="B377" s="947">
        <v>58203.06</v>
      </c>
      <c r="C377" s="947">
        <v>58203.06</v>
      </c>
      <c r="D377" s="880" t="s">
        <v>2901</v>
      </c>
    </row>
    <row r="378" spans="1:4" s="948" customFormat="1" ht="11.25" customHeight="1" x14ac:dyDescent="0.2">
      <c r="A378" s="1471"/>
      <c r="B378" s="947">
        <v>58203.06</v>
      </c>
      <c r="C378" s="947">
        <v>58203.06</v>
      </c>
      <c r="D378" s="880" t="s">
        <v>11</v>
      </c>
    </row>
    <row r="379" spans="1:4" s="948" customFormat="1" ht="11.25" customHeight="1" x14ac:dyDescent="0.2">
      <c r="A379" s="1472" t="s">
        <v>2986</v>
      </c>
      <c r="B379" s="949">
        <v>3948.46</v>
      </c>
      <c r="C379" s="949">
        <v>3948.4630000000002</v>
      </c>
      <c r="D379" s="882" t="s">
        <v>2901</v>
      </c>
    </row>
    <row r="380" spans="1:4" s="948" customFormat="1" ht="11.25" customHeight="1" x14ac:dyDescent="0.2">
      <c r="A380" s="1473"/>
      <c r="B380" s="950">
        <v>3948.46</v>
      </c>
      <c r="C380" s="950">
        <v>3948.4630000000002</v>
      </c>
      <c r="D380" s="886" t="s">
        <v>11</v>
      </c>
    </row>
    <row r="381" spans="1:4" s="948" customFormat="1" ht="11.25" customHeight="1" x14ac:dyDescent="0.2">
      <c r="A381" s="1471" t="s">
        <v>2987</v>
      </c>
      <c r="B381" s="947">
        <v>3769.58</v>
      </c>
      <c r="C381" s="947">
        <v>3769.5830000000001</v>
      </c>
      <c r="D381" s="880" t="s">
        <v>1458</v>
      </c>
    </row>
    <row r="382" spans="1:4" s="948" customFormat="1" ht="11.25" customHeight="1" x14ac:dyDescent="0.2">
      <c r="A382" s="1471"/>
      <c r="B382" s="947">
        <v>42.11</v>
      </c>
      <c r="C382" s="947">
        <v>42.113</v>
      </c>
      <c r="D382" s="880" t="s">
        <v>1454</v>
      </c>
    </row>
    <row r="383" spans="1:4" s="948" customFormat="1" ht="11.25" customHeight="1" x14ac:dyDescent="0.2">
      <c r="A383" s="1471"/>
      <c r="B383" s="947">
        <v>3811.7</v>
      </c>
      <c r="C383" s="947">
        <v>3811.6959999999999</v>
      </c>
      <c r="D383" s="880" t="s">
        <v>11</v>
      </c>
    </row>
    <row r="384" spans="1:4" s="948" customFormat="1" ht="11.25" customHeight="1" x14ac:dyDescent="0.2">
      <c r="A384" s="1472" t="s">
        <v>2988</v>
      </c>
      <c r="B384" s="949">
        <v>300</v>
      </c>
      <c r="C384" s="949">
        <v>150</v>
      </c>
      <c r="D384" s="882" t="s">
        <v>2862</v>
      </c>
    </row>
    <row r="385" spans="1:4" s="948" customFormat="1" ht="11.25" customHeight="1" x14ac:dyDescent="0.2">
      <c r="A385" s="1473"/>
      <c r="B385" s="950">
        <v>300</v>
      </c>
      <c r="C385" s="950">
        <v>150</v>
      </c>
      <c r="D385" s="886" t="s">
        <v>11</v>
      </c>
    </row>
    <row r="386" spans="1:4" s="948" customFormat="1" ht="11.25" customHeight="1" x14ac:dyDescent="0.2">
      <c r="A386" s="1471" t="s">
        <v>2989</v>
      </c>
      <c r="B386" s="947">
        <v>299</v>
      </c>
      <c r="C386" s="947">
        <v>149.5</v>
      </c>
      <c r="D386" s="880" t="s">
        <v>2862</v>
      </c>
    </row>
    <row r="387" spans="1:4" s="948" customFormat="1" ht="11.25" customHeight="1" x14ac:dyDescent="0.2">
      <c r="A387" s="1471"/>
      <c r="B387" s="947">
        <v>299</v>
      </c>
      <c r="C387" s="947">
        <v>149.5</v>
      </c>
      <c r="D387" s="880" t="s">
        <v>11</v>
      </c>
    </row>
    <row r="388" spans="1:4" s="948" customFormat="1" ht="11.25" customHeight="1" x14ac:dyDescent="0.2">
      <c r="A388" s="1472" t="s">
        <v>2990</v>
      </c>
      <c r="B388" s="949">
        <v>175</v>
      </c>
      <c r="C388" s="949">
        <v>0</v>
      </c>
      <c r="D388" s="882" t="s">
        <v>2747</v>
      </c>
    </row>
    <row r="389" spans="1:4" s="948" customFormat="1" ht="11.25" customHeight="1" x14ac:dyDescent="0.2">
      <c r="A389" s="1473"/>
      <c r="B389" s="950">
        <v>175</v>
      </c>
      <c r="C389" s="950">
        <v>0</v>
      </c>
      <c r="D389" s="886" t="s">
        <v>11</v>
      </c>
    </row>
    <row r="390" spans="1:4" s="948" customFormat="1" ht="11.25" customHeight="1" x14ac:dyDescent="0.2">
      <c r="A390" s="1472" t="s">
        <v>4799</v>
      </c>
      <c r="B390" s="947">
        <v>31</v>
      </c>
      <c r="C390" s="947">
        <v>31</v>
      </c>
      <c r="D390" s="880" t="s">
        <v>1337</v>
      </c>
    </row>
    <row r="391" spans="1:4" s="948" customFormat="1" ht="11.25" customHeight="1" x14ac:dyDescent="0.2">
      <c r="A391" s="1473"/>
      <c r="B391" s="947">
        <v>31</v>
      </c>
      <c r="C391" s="947">
        <v>31</v>
      </c>
      <c r="D391" s="880" t="s">
        <v>11</v>
      </c>
    </row>
    <row r="392" spans="1:4" s="948" customFormat="1" ht="11.25" customHeight="1" x14ac:dyDescent="0.2">
      <c r="A392" s="1472" t="s">
        <v>2991</v>
      </c>
      <c r="B392" s="949">
        <v>600.9</v>
      </c>
      <c r="C392" s="949">
        <v>600.86916999999994</v>
      </c>
      <c r="D392" s="882" t="s">
        <v>2618</v>
      </c>
    </row>
    <row r="393" spans="1:4" s="948" customFormat="1" ht="11.25" customHeight="1" x14ac:dyDescent="0.2">
      <c r="A393" s="1473"/>
      <c r="B393" s="950">
        <v>600.9</v>
      </c>
      <c r="C393" s="950">
        <v>600.86916999999994</v>
      </c>
      <c r="D393" s="886" t="s">
        <v>11</v>
      </c>
    </row>
    <row r="394" spans="1:4" s="948" customFormat="1" ht="11.25" customHeight="1" x14ac:dyDescent="0.2">
      <c r="A394" s="1471" t="s">
        <v>2992</v>
      </c>
      <c r="B394" s="947">
        <v>24.85</v>
      </c>
      <c r="C394" s="947">
        <v>24.85</v>
      </c>
      <c r="D394" s="880" t="s">
        <v>2870</v>
      </c>
    </row>
    <row r="395" spans="1:4" s="948" customFormat="1" ht="11.25" customHeight="1" x14ac:dyDescent="0.2">
      <c r="A395" s="1471"/>
      <c r="B395" s="947">
        <v>24.85</v>
      </c>
      <c r="C395" s="947">
        <v>24.85</v>
      </c>
      <c r="D395" s="880" t="s">
        <v>11</v>
      </c>
    </row>
    <row r="396" spans="1:4" s="948" customFormat="1" ht="11.25" customHeight="1" x14ac:dyDescent="0.2">
      <c r="A396" s="1472" t="s">
        <v>1180</v>
      </c>
      <c r="B396" s="949">
        <v>30</v>
      </c>
      <c r="C396" s="949">
        <v>30</v>
      </c>
      <c r="D396" s="882" t="s">
        <v>1179</v>
      </c>
    </row>
    <row r="397" spans="1:4" s="948" customFormat="1" ht="11.25" customHeight="1" x14ac:dyDescent="0.2">
      <c r="A397" s="1473"/>
      <c r="B397" s="950">
        <v>30</v>
      </c>
      <c r="C397" s="950">
        <v>30</v>
      </c>
      <c r="D397" s="886" t="s">
        <v>11</v>
      </c>
    </row>
    <row r="398" spans="1:4" s="948" customFormat="1" ht="11.25" customHeight="1" x14ac:dyDescent="0.2">
      <c r="A398" s="1471" t="s">
        <v>1123</v>
      </c>
      <c r="B398" s="947">
        <v>100</v>
      </c>
      <c r="C398" s="947">
        <v>100</v>
      </c>
      <c r="D398" s="880" t="s">
        <v>1111</v>
      </c>
    </row>
    <row r="399" spans="1:4" s="948" customFormat="1" ht="11.25" customHeight="1" x14ac:dyDescent="0.2">
      <c r="A399" s="1471"/>
      <c r="B399" s="947">
        <v>100</v>
      </c>
      <c r="C399" s="947">
        <v>100</v>
      </c>
      <c r="D399" s="880" t="s">
        <v>11</v>
      </c>
    </row>
    <row r="400" spans="1:4" s="948" customFormat="1" ht="11.25" customHeight="1" x14ac:dyDescent="0.2">
      <c r="A400" s="1472" t="s">
        <v>2993</v>
      </c>
      <c r="B400" s="949">
        <v>413.75</v>
      </c>
      <c r="C400" s="949">
        <v>413.73886000000005</v>
      </c>
      <c r="D400" s="882" t="s">
        <v>2618</v>
      </c>
    </row>
    <row r="401" spans="1:4" s="948" customFormat="1" ht="11.25" customHeight="1" x14ac:dyDescent="0.2">
      <c r="A401" s="1473"/>
      <c r="B401" s="950">
        <v>413.75</v>
      </c>
      <c r="C401" s="950">
        <v>413.73886000000005</v>
      </c>
      <c r="D401" s="886" t="s">
        <v>11</v>
      </c>
    </row>
    <row r="402" spans="1:4" s="948" customFormat="1" ht="11.25" customHeight="1" x14ac:dyDescent="0.2">
      <c r="A402" s="1471" t="s">
        <v>2994</v>
      </c>
      <c r="B402" s="947">
        <v>210</v>
      </c>
      <c r="C402" s="947">
        <v>210</v>
      </c>
      <c r="D402" s="880" t="s">
        <v>2745</v>
      </c>
    </row>
    <row r="403" spans="1:4" s="948" customFormat="1" ht="11.25" customHeight="1" x14ac:dyDescent="0.2">
      <c r="A403" s="1471"/>
      <c r="B403" s="947">
        <v>210</v>
      </c>
      <c r="C403" s="947">
        <v>210</v>
      </c>
      <c r="D403" s="880" t="s">
        <v>11</v>
      </c>
    </row>
    <row r="404" spans="1:4" s="948" customFormat="1" ht="11.25" customHeight="1" x14ac:dyDescent="0.2">
      <c r="A404" s="1472" t="s">
        <v>2995</v>
      </c>
      <c r="B404" s="949">
        <v>69.3</v>
      </c>
      <c r="C404" s="949">
        <v>69.3</v>
      </c>
      <c r="D404" s="882" t="s">
        <v>2870</v>
      </c>
    </row>
    <row r="405" spans="1:4" s="948" customFormat="1" ht="11.25" customHeight="1" x14ac:dyDescent="0.2">
      <c r="A405" s="1473"/>
      <c r="B405" s="950">
        <v>69.3</v>
      </c>
      <c r="C405" s="950">
        <v>69.3</v>
      </c>
      <c r="D405" s="886" t="s">
        <v>11</v>
      </c>
    </row>
    <row r="406" spans="1:4" s="948" customFormat="1" ht="11.25" customHeight="1" x14ac:dyDescent="0.2">
      <c r="A406" s="1472" t="s">
        <v>2996</v>
      </c>
      <c r="B406" s="949">
        <v>1099.8</v>
      </c>
      <c r="C406" s="949">
        <v>449.9</v>
      </c>
      <c r="D406" s="882" t="s">
        <v>2818</v>
      </c>
    </row>
    <row r="407" spans="1:4" s="948" customFormat="1" ht="11.25" customHeight="1" x14ac:dyDescent="0.2">
      <c r="A407" s="1473"/>
      <c r="B407" s="950">
        <v>1099.8</v>
      </c>
      <c r="C407" s="950">
        <v>449.9</v>
      </c>
      <c r="D407" s="886" t="s">
        <v>11</v>
      </c>
    </row>
    <row r="408" spans="1:4" s="948" customFormat="1" ht="11.25" customHeight="1" x14ac:dyDescent="0.2">
      <c r="A408" s="1472" t="s">
        <v>2997</v>
      </c>
      <c r="B408" s="949">
        <v>1071.8</v>
      </c>
      <c r="C408" s="949">
        <v>435.9</v>
      </c>
      <c r="D408" s="882" t="s">
        <v>2818</v>
      </c>
    </row>
    <row r="409" spans="1:4" s="948" customFormat="1" ht="11.25" customHeight="1" x14ac:dyDescent="0.2">
      <c r="A409" s="1473"/>
      <c r="B409" s="950">
        <v>1071.8</v>
      </c>
      <c r="C409" s="950">
        <v>435.9</v>
      </c>
      <c r="D409" s="886" t="s">
        <v>11</v>
      </c>
    </row>
    <row r="410" spans="1:4" s="948" customFormat="1" ht="21" x14ac:dyDescent="0.2">
      <c r="A410" s="1471" t="s">
        <v>2998</v>
      </c>
      <c r="B410" s="947">
        <v>80</v>
      </c>
      <c r="C410" s="947">
        <v>72.566460000000006</v>
      </c>
      <c r="D410" s="880" t="s">
        <v>2750</v>
      </c>
    </row>
    <row r="411" spans="1:4" s="948" customFormat="1" ht="11.25" customHeight="1" x14ac:dyDescent="0.2">
      <c r="A411" s="1471"/>
      <c r="B411" s="947">
        <v>80</v>
      </c>
      <c r="C411" s="947">
        <v>72.566460000000006</v>
      </c>
      <c r="D411" s="880" t="s">
        <v>11</v>
      </c>
    </row>
    <row r="412" spans="1:4" s="948" customFormat="1" ht="11.25" customHeight="1" x14ac:dyDescent="0.2">
      <c r="A412" s="1472" t="s">
        <v>953</v>
      </c>
      <c r="B412" s="949">
        <v>150</v>
      </c>
      <c r="C412" s="949">
        <v>150</v>
      </c>
      <c r="D412" s="882" t="s">
        <v>951</v>
      </c>
    </row>
    <row r="413" spans="1:4" s="948" customFormat="1" ht="11.25" customHeight="1" x14ac:dyDescent="0.2">
      <c r="A413" s="1473"/>
      <c r="B413" s="950">
        <v>150</v>
      </c>
      <c r="C413" s="950">
        <v>150</v>
      </c>
      <c r="D413" s="886" t="s">
        <v>11</v>
      </c>
    </row>
    <row r="414" spans="1:4" s="948" customFormat="1" ht="11.25" customHeight="1" x14ac:dyDescent="0.2">
      <c r="A414" s="1471" t="s">
        <v>2999</v>
      </c>
      <c r="B414" s="947">
        <v>870.2</v>
      </c>
      <c r="C414" s="947">
        <v>0</v>
      </c>
      <c r="D414" s="880" t="s">
        <v>2842</v>
      </c>
    </row>
    <row r="415" spans="1:4" s="948" customFormat="1" ht="11.25" customHeight="1" x14ac:dyDescent="0.2">
      <c r="A415" s="1471"/>
      <c r="B415" s="947">
        <v>870.2</v>
      </c>
      <c r="C415" s="947">
        <v>0</v>
      </c>
      <c r="D415" s="880" t="s">
        <v>11</v>
      </c>
    </row>
    <row r="416" spans="1:4" s="948" customFormat="1" ht="11.25" customHeight="1" x14ac:dyDescent="0.2">
      <c r="A416" s="1472" t="s">
        <v>3000</v>
      </c>
      <c r="B416" s="949">
        <v>5161</v>
      </c>
      <c r="C416" s="949">
        <v>5161</v>
      </c>
      <c r="D416" s="882" t="s">
        <v>2735</v>
      </c>
    </row>
    <row r="417" spans="1:4" s="948" customFormat="1" ht="11.25" customHeight="1" x14ac:dyDescent="0.2">
      <c r="A417" s="1471"/>
      <c r="B417" s="947">
        <v>2410</v>
      </c>
      <c r="C417" s="947">
        <v>2147.7600000000002</v>
      </c>
      <c r="D417" s="880" t="s">
        <v>2582</v>
      </c>
    </row>
    <row r="418" spans="1:4" s="948" customFormat="1" ht="11.25" customHeight="1" x14ac:dyDescent="0.2">
      <c r="A418" s="1473"/>
      <c r="B418" s="950">
        <v>7571</v>
      </c>
      <c r="C418" s="950">
        <v>7308.76</v>
      </c>
      <c r="D418" s="886" t="s">
        <v>11</v>
      </c>
    </row>
    <row r="419" spans="1:4" s="948" customFormat="1" ht="11.25" customHeight="1" x14ac:dyDescent="0.2">
      <c r="A419" s="1471" t="s">
        <v>3001</v>
      </c>
      <c r="B419" s="947">
        <v>67</v>
      </c>
      <c r="C419" s="947">
        <v>67</v>
      </c>
      <c r="D419" s="880" t="s">
        <v>2899</v>
      </c>
    </row>
    <row r="420" spans="1:4" s="948" customFormat="1" ht="11.25" customHeight="1" x14ac:dyDescent="0.2">
      <c r="A420" s="1471"/>
      <c r="B420" s="947">
        <v>5731</v>
      </c>
      <c r="C420" s="947">
        <v>5731</v>
      </c>
      <c r="D420" s="880" t="s">
        <v>2735</v>
      </c>
    </row>
    <row r="421" spans="1:4" s="948" customFormat="1" ht="11.25" customHeight="1" x14ac:dyDescent="0.2">
      <c r="A421" s="1471"/>
      <c r="B421" s="947">
        <v>199.5</v>
      </c>
      <c r="C421" s="947">
        <v>199.5</v>
      </c>
      <c r="D421" s="880" t="s">
        <v>2886</v>
      </c>
    </row>
    <row r="422" spans="1:4" s="948" customFormat="1" ht="11.25" customHeight="1" x14ac:dyDescent="0.2">
      <c r="A422" s="1471"/>
      <c r="B422" s="947">
        <v>185.3</v>
      </c>
      <c r="C422" s="947">
        <v>185.3</v>
      </c>
      <c r="D422" s="880" t="s">
        <v>2739</v>
      </c>
    </row>
    <row r="423" spans="1:4" s="948" customFormat="1" ht="11.25" customHeight="1" x14ac:dyDescent="0.2">
      <c r="A423" s="1471"/>
      <c r="B423" s="947">
        <v>6182.8</v>
      </c>
      <c r="C423" s="947">
        <v>6182.8</v>
      </c>
      <c r="D423" s="880" t="s">
        <v>11</v>
      </c>
    </row>
    <row r="424" spans="1:4" s="948" customFormat="1" ht="11.25" customHeight="1" x14ac:dyDescent="0.2">
      <c r="A424" s="1472" t="s">
        <v>3002</v>
      </c>
      <c r="B424" s="949">
        <v>50</v>
      </c>
      <c r="C424" s="949">
        <v>50</v>
      </c>
      <c r="D424" s="882" t="s">
        <v>2745</v>
      </c>
    </row>
    <row r="425" spans="1:4" s="948" customFormat="1" ht="11.25" customHeight="1" x14ac:dyDescent="0.2">
      <c r="A425" s="1473"/>
      <c r="B425" s="950">
        <v>50</v>
      </c>
      <c r="C425" s="950">
        <v>50</v>
      </c>
      <c r="D425" s="886" t="s">
        <v>11</v>
      </c>
    </row>
    <row r="426" spans="1:4" s="948" customFormat="1" ht="21" x14ac:dyDescent="0.2">
      <c r="A426" s="1471" t="s">
        <v>984</v>
      </c>
      <c r="B426" s="947">
        <v>80</v>
      </c>
      <c r="C426" s="947">
        <v>80</v>
      </c>
      <c r="D426" s="880" t="s">
        <v>3003</v>
      </c>
    </row>
    <row r="427" spans="1:4" s="948" customFormat="1" ht="11.25" customHeight="1" x14ac:dyDescent="0.2">
      <c r="A427" s="1471"/>
      <c r="B427" s="947">
        <v>50</v>
      </c>
      <c r="C427" s="947">
        <v>50</v>
      </c>
      <c r="D427" s="880" t="s">
        <v>2956</v>
      </c>
    </row>
    <row r="428" spans="1:4" s="948" customFormat="1" ht="11.25" customHeight="1" x14ac:dyDescent="0.2">
      <c r="A428" s="1471"/>
      <c r="B428" s="947">
        <v>6956</v>
      </c>
      <c r="C428" s="947">
        <v>6956</v>
      </c>
      <c r="D428" s="880" t="s">
        <v>2735</v>
      </c>
    </row>
    <row r="429" spans="1:4" s="948" customFormat="1" ht="11.25" customHeight="1" x14ac:dyDescent="0.2">
      <c r="A429" s="1471"/>
      <c r="B429" s="947">
        <v>287.39999999999998</v>
      </c>
      <c r="C429" s="947">
        <v>287.39277999999996</v>
      </c>
      <c r="D429" s="880" t="s">
        <v>2602</v>
      </c>
    </row>
    <row r="430" spans="1:4" s="948" customFormat="1" ht="11.25" customHeight="1" x14ac:dyDescent="0.2">
      <c r="A430" s="1471"/>
      <c r="B430" s="947">
        <v>100</v>
      </c>
      <c r="C430" s="947">
        <v>100</v>
      </c>
      <c r="D430" s="880" t="s">
        <v>978</v>
      </c>
    </row>
    <row r="431" spans="1:4" s="948" customFormat="1" ht="11.25" customHeight="1" x14ac:dyDescent="0.2">
      <c r="A431" s="1471"/>
      <c r="B431" s="947">
        <v>7473.4</v>
      </c>
      <c r="C431" s="947">
        <v>7473.3927800000001</v>
      </c>
      <c r="D431" s="880" t="s">
        <v>11</v>
      </c>
    </row>
    <row r="432" spans="1:4" s="948" customFormat="1" ht="11.25" customHeight="1" x14ac:dyDescent="0.2">
      <c r="A432" s="1472" t="s">
        <v>3004</v>
      </c>
      <c r="B432" s="949">
        <v>717</v>
      </c>
      <c r="C432" s="949">
        <v>717</v>
      </c>
      <c r="D432" s="882" t="s">
        <v>976</v>
      </c>
    </row>
    <row r="433" spans="1:4" s="948" customFormat="1" ht="11.25" customHeight="1" x14ac:dyDescent="0.2">
      <c r="A433" s="1473"/>
      <c r="B433" s="950">
        <v>717</v>
      </c>
      <c r="C433" s="950">
        <v>717</v>
      </c>
      <c r="D433" s="886" t="s">
        <v>11</v>
      </c>
    </row>
    <row r="434" spans="1:4" s="948" customFormat="1" ht="11.25" customHeight="1" x14ac:dyDescent="0.2">
      <c r="A434" s="1471" t="s">
        <v>3005</v>
      </c>
      <c r="B434" s="947">
        <v>517.29999999999995</v>
      </c>
      <c r="C434" s="947">
        <v>0</v>
      </c>
      <c r="D434" s="880" t="s">
        <v>2862</v>
      </c>
    </row>
    <row r="435" spans="1:4" s="948" customFormat="1" ht="11.25" customHeight="1" x14ac:dyDescent="0.2">
      <c r="A435" s="1471"/>
      <c r="B435" s="947">
        <v>517.29999999999995</v>
      </c>
      <c r="C435" s="947">
        <v>0</v>
      </c>
      <c r="D435" s="880" t="s">
        <v>11</v>
      </c>
    </row>
    <row r="436" spans="1:4" s="948" customFormat="1" ht="11.25" customHeight="1" x14ac:dyDescent="0.2">
      <c r="A436" s="1472" t="s">
        <v>1054</v>
      </c>
      <c r="B436" s="949">
        <v>16500</v>
      </c>
      <c r="C436" s="949">
        <v>9920.1127699999997</v>
      </c>
      <c r="D436" s="882" t="s">
        <v>1053</v>
      </c>
    </row>
    <row r="437" spans="1:4" s="948" customFormat="1" ht="11.25" customHeight="1" x14ac:dyDescent="0.2">
      <c r="A437" s="1471"/>
      <c r="B437" s="947">
        <v>228.7</v>
      </c>
      <c r="C437" s="947">
        <v>223.76499999999999</v>
      </c>
      <c r="D437" s="880" t="s">
        <v>2749</v>
      </c>
    </row>
    <row r="438" spans="1:4" s="948" customFormat="1" ht="11.25" customHeight="1" x14ac:dyDescent="0.2">
      <c r="A438" s="1471"/>
      <c r="B438" s="947">
        <v>300</v>
      </c>
      <c r="C438" s="947">
        <v>300</v>
      </c>
      <c r="D438" s="880" t="s">
        <v>1055</v>
      </c>
    </row>
    <row r="439" spans="1:4" s="948" customFormat="1" ht="11.25" customHeight="1" x14ac:dyDescent="0.2">
      <c r="A439" s="1473"/>
      <c r="B439" s="950">
        <v>17028.7</v>
      </c>
      <c r="C439" s="950">
        <v>10443.877769999999</v>
      </c>
      <c r="D439" s="886" t="s">
        <v>11</v>
      </c>
    </row>
    <row r="440" spans="1:4" s="948" customFormat="1" ht="11.25" customHeight="1" x14ac:dyDescent="0.2">
      <c r="A440" s="1471" t="s">
        <v>3006</v>
      </c>
      <c r="B440" s="947">
        <v>352</v>
      </c>
      <c r="C440" s="947">
        <v>352</v>
      </c>
      <c r="D440" s="880" t="s">
        <v>2735</v>
      </c>
    </row>
    <row r="441" spans="1:4" s="948" customFormat="1" ht="11.25" customHeight="1" x14ac:dyDescent="0.2">
      <c r="A441" s="1471"/>
      <c r="B441" s="947">
        <v>352</v>
      </c>
      <c r="C441" s="947">
        <v>352</v>
      </c>
      <c r="D441" s="880" t="s">
        <v>11</v>
      </c>
    </row>
    <row r="442" spans="1:4" s="948" customFormat="1" ht="11.25" customHeight="1" x14ac:dyDescent="0.2">
      <c r="A442" s="1472" t="s">
        <v>3007</v>
      </c>
      <c r="B442" s="949">
        <v>186</v>
      </c>
      <c r="C442" s="949">
        <v>186</v>
      </c>
      <c r="D442" s="882" t="s">
        <v>2735</v>
      </c>
    </row>
    <row r="443" spans="1:4" s="948" customFormat="1" ht="11.25" customHeight="1" x14ac:dyDescent="0.2">
      <c r="A443" s="1473"/>
      <c r="B443" s="950">
        <v>186</v>
      </c>
      <c r="C443" s="950">
        <v>186</v>
      </c>
      <c r="D443" s="886" t="s">
        <v>11</v>
      </c>
    </row>
    <row r="444" spans="1:4" s="948" customFormat="1" ht="11.25" customHeight="1" x14ac:dyDescent="0.2">
      <c r="A444" s="1471" t="s">
        <v>3008</v>
      </c>
      <c r="B444" s="947">
        <v>770</v>
      </c>
      <c r="C444" s="947">
        <v>770</v>
      </c>
      <c r="D444" s="880" t="s">
        <v>2735</v>
      </c>
    </row>
    <row r="445" spans="1:4" s="948" customFormat="1" ht="11.25" customHeight="1" x14ac:dyDescent="0.2">
      <c r="A445" s="1471"/>
      <c r="B445" s="947">
        <v>770</v>
      </c>
      <c r="C445" s="947">
        <v>770</v>
      </c>
      <c r="D445" s="880" t="s">
        <v>11</v>
      </c>
    </row>
    <row r="446" spans="1:4" s="948" customFormat="1" ht="11.25" customHeight="1" x14ac:dyDescent="0.2">
      <c r="A446" s="1472" t="s">
        <v>3009</v>
      </c>
      <c r="B446" s="949">
        <v>3267</v>
      </c>
      <c r="C446" s="949">
        <v>3074.7271099999998</v>
      </c>
      <c r="D446" s="882" t="s">
        <v>2970</v>
      </c>
    </row>
    <row r="447" spans="1:4" s="948" customFormat="1" ht="11.25" customHeight="1" x14ac:dyDescent="0.2">
      <c r="A447" s="1471"/>
      <c r="B447" s="947">
        <v>8856</v>
      </c>
      <c r="C447" s="947">
        <v>6988.72019</v>
      </c>
      <c r="D447" s="880" t="s">
        <v>2901</v>
      </c>
    </row>
    <row r="448" spans="1:4" s="948" customFormat="1" ht="11.25" customHeight="1" x14ac:dyDescent="0.2">
      <c r="A448" s="1473"/>
      <c r="B448" s="950">
        <v>12123</v>
      </c>
      <c r="C448" s="950">
        <v>10063.4473</v>
      </c>
      <c r="D448" s="886" t="s">
        <v>11</v>
      </c>
    </row>
    <row r="449" spans="1:4" s="948" customFormat="1" ht="11.25" customHeight="1" x14ac:dyDescent="0.2">
      <c r="A449" s="1471" t="s">
        <v>3010</v>
      </c>
      <c r="B449" s="947">
        <v>150</v>
      </c>
      <c r="C449" s="947">
        <v>150</v>
      </c>
      <c r="D449" s="880" t="s">
        <v>2738</v>
      </c>
    </row>
    <row r="450" spans="1:4" s="948" customFormat="1" ht="11.25" customHeight="1" x14ac:dyDescent="0.2">
      <c r="A450" s="1471"/>
      <c r="B450" s="947">
        <v>150</v>
      </c>
      <c r="C450" s="947">
        <v>150</v>
      </c>
      <c r="D450" s="880" t="s">
        <v>11</v>
      </c>
    </row>
    <row r="451" spans="1:4" s="948" customFormat="1" ht="11.25" customHeight="1" x14ac:dyDescent="0.2">
      <c r="A451" s="1472" t="s">
        <v>1016</v>
      </c>
      <c r="B451" s="949">
        <v>40</v>
      </c>
      <c r="C451" s="949">
        <v>40</v>
      </c>
      <c r="D451" s="882" t="s">
        <v>3011</v>
      </c>
    </row>
    <row r="452" spans="1:4" s="948" customFormat="1" ht="11.25" customHeight="1" x14ac:dyDescent="0.2">
      <c r="A452" s="1473"/>
      <c r="B452" s="950">
        <v>40</v>
      </c>
      <c r="C452" s="950">
        <v>40</v>
      </c>
      <c r="D452" s="886" t="s">
        <v>11</v>
      </c>
    </row>
    <row r="453" spans="1:4" s="948" customFormat="1" ht="11.25" customHeight="1" x14ac:dyDescent="0.2">
      <c r="A453" s="1471" t="s">
        <v>3012</v>
      </c>
      <c r="B453" s="947">
        <v>447.6</v>
      </c>
      <c r="C453" s="947">
        <v>223.8</v>
      </c>
      <c r="D453" s="880" t="s">
        <v>2747</v>
      </c>
    </row>
    <row r="454" spans="1:4" s="948" customFormat="1" ht="11.25" customHeight="1" x14ac:dyDescent="0.2">
      <c r="A454" s="1471"/>
      <c r="B454" s="947">
        <v>447.6</v>
      </c>
      <c r="C454" s="947">
        <v>223.8</v>
      </c>
      <c r="D454" s="880" t="s">
        <v>11</v>
      </c>
    </row>
    <row r="455" spans="1:4" s="948" customFormat="1" ht="11.25" customHeight="1" x14ac:dyDescent="0.2">
      <c r="A455" s="1472" t="s">
        <v>3013</v>
      </c>
      <c r="B455" s="949">
        <v>1865</v>
      </c>
      <c r="C455" s="949">
        <v>1865</v>
      </c>
      <c r="D455" s="882" t="s">
        <v>2735</v>
      </c>
    </row>
    <row r="456" spans="1:4" s="948" customFormat="1" ht="11.25" customHeight="1" x14ac:dyDescent="0.2">
      <c r="A456" s="1473"/>
      <c r="B456" s="950">
        <v>1865</v>
      </c>
      <c r="C456" s="950">
        <v>1865</v>
      </c>
      <c r="D456" s="886" t="s">
        <v>11</v>
      </c>
    </row>
    <row r="457" spans="1:4" s="948" customFormat="1" ht="21" x14ac:dyDescent="0.2">
      <c r="A457" s="1471" t="s">
        <v>3014</v>
      </c>
      <c r="B457" s="947">
        <v>86</v>
      </c>
      <c r="C457" s="947">
        <v>86</v>
      </c>
      <c r="D457" s="880" t="s">
        <v>3003</v>
      </c>
    </row>
    <row r="458" spans="1:4" s="948" customFormat="1" ht="11.25" customHeight="1" x14ac:dyDescent="0.2">
      <c r="A458" s="1471"/>
      <c r="B458" s="947">
        <v>86</v>
      </c>
      <c r="C458" s="947">
        <v>86</v>
      </c>
      <c r="D458" s="880" t="s">
        <v>11</v>
      </c>
    </row>
    <row r="459" spans="1:4" s="948" customFormat="1" ht="11.25" customHeight="1" x14ac:dyDescent="0.2">
      <c r="A459" s="1472" t="s">
        <v>3015</v>
      </c>
      <c r="B459" s="949">
        <v>609.9</v>
      </c>
      <c r="C459" s="949">
        <v>0</v>
      </c>
      <c r="D459" s="882" t="s">
        <v>2842</v>
      </c>
    </row>
    <row r="460" spans="1:4" s="948" customFormat="1" ht="11.25" customHeight="1" x14ac:dyDescent="0.2">
      <c r="A460" s="1473"/>
      <c r="B460" s="950">
        <v>609.9</v>
      </c>
      <c r="C460" s="950">
        <v>0</v>
      </c>
      <c r="D460" s="886" t="s">
        <v>11</v>
      </c>
    </row>
    <row r="461" spans="1:4" s="948" customFormat="1" ht="11.25" customHeight="1" x14ac:dyDescent="0.2">
      <c r="A461" s="1471" t="s">
        <v>3016</v>
      </c>
      <c r="B461" s="947">
        <v>704.62</v>
      </c>
      <c r="C461" s="947">
        <v>704.60007000000007</v>
      </c>
      <c r="D461" s="880" t="s">
        <v>2618</v>
      </c>
    </row>
    <row r="462" spans="1:4" s="948" customFormat="1" ht="11.25" customHeight="1" x14ac:dyDescent="0.2">
      <c r="A462" s="1471"/>
      <c r="B462" s="947">
        <v>704.62</v>
      </c>
      <c r="C462" s="947">
        <v>704.60007000000007</v>
      </c>
      <c r="D462" s="880" t="s">
        <v>11</v>
      </c>
    </row>
    <row r="463" spans="1:4" s="948" customFormat="1" ht="11.25" customHeight="1" x14ac:dyDescent="0.2">
      <c r="A463" s="1472" t="s">
        <v>3017</v>
      </c>
      <c r="B463" s="949">
        <v>123.46</v>
      </c>
      <c r="C463" s="949">
        <v>123.45878000000002</v>
      </c>
      <c r="D463" s="882" t="s">
        <v>2618</v>
      </c>
    </row>
    <row r="464" spans="1:4" s="948" customFormat="1" ht="11.25" customHeight="1" x14ac:dyDescent="0.2">
      <c r="A464" s="1473"/>
      <c r="B464" s="950">
        <v>123.46</v>
      </c>
      <c r="C464" s="950">
        <v>123.45878000000002</v>
      </c>
      <c r="D464" s="886" t="s">
        <v>11</v>
      </c>
    </row>
    <row r="465" spans="1:4" s="948" customFormat="1" ht="11.25" customHeight="1" x14ac:dyDescent="0.2">
      <c r="A465" s="1471" t="s">
        <v>3018</v>
      </c>
      <c r="B465" s="947">
        <v>9869.66</v>
      </c>
      <c r="C465" s="947">
        <v>9856.8839999999982</v>
      </c>
      <c r="D465" s="880" t="s">
        <v>1458</v>
      </c>
    </row>
    <row r="466" spans="1:4" s="948" customFormat="1" ht="11.25" customHeight="1" x14ac:dyDescent="0.2">
      <c r="A466" s="1471"/>
      <c r="B466" s="947">
        <v>874.4</v>
      </c>
      <c r="C466" s="947">
        <v>874.37035000000003</v>
      </c>
      <c r="D466" s="880" t="s">
        <v>2618</v>
      </c>
    </row>
    <row r="467" spans="1:4" s="948" customFormat="1" ht="11.25" customHeight="1" x14ac:dyDescent="0.2">
      <c r="A467" s="1471"/>
      <c r="B467" s="947">
        <v>104.73</v>
      </c>
      <c r="C467" s="947">
        <v>104.727</v>
      </c>
      <c r="D467" s="880" t="s">
        <v>1454</v>
      </c>
    </row>
    <row r="468" spans="1:4" s="948" customFormat="1" ht="11.25" customHeight="1" x14ac:dyDescent="0.2">
      <c r="A468" s="1471"/>
      <c r="B468" s="947">
        <v>10848.789999999999</v>
      </c>
      <c r="C468" s="947">
        <v>10835.981349999998</v>
      </c>
      <c r="D468" s="880" t="s">
        <v>11</v>
      </c>
    </row>
    <row r="469" spans="1:4" s="948" customFormat="1" ht="11.25" customHeight="1" x14ac:dyDescent="0.2">
      <c r="A469" s="1472" t="s">
        <v>3019</v>
      </c>
      <c r="B469" s="949">
        <v>132.16</v>
      </c>
      <c r="C469" s="949">
        <v>132.15600000000001</v>
      </c>
      <c r="D469" s="882" t="s">
        <v>1463</v>
      </c>
    </row>
    <row r="470" spans="1:4" s="948" customFormat="1" ht="11.25" customHeight="1" x14ac:dyDescent="0.2">
      <c r="A470" s="1471"/>
      <c r="B470" s="947">
        <v>4412.1400000000003</v>
      </c>
      <c r="C470" s="947">
        <v>4412.1360000000004</v>
      </c>
      <c r="D470" s="880" t="s">
        <v>1458</v>
      </c>
    </row>
    <row r="471" spans="1:4" s="948" customFormat="1" ht="11.25" customHeight="1" x14ac:dyDescent="0.2">
      <c r="A471" s="1471"/>
      <c r="B471" s="947">
        <v>46.02</v>
      </c>
      <c r="C471" s="947">
        <v>46.015999999999998</v>
      </c>
      <c r="D471" s="880" t="s">
        <v>1454</v>
      </c>
    </row>
    <row r="472" spans="1:4" s="948" customFormat="1" ht="11.25" customHeight="1" x14ac:dyDescent="0.2">
      <c r="A472" s="1473"/>
      <c r="B472" s="950">
        <v>4590.3200000000006</v>
      </c>
      <c r="C472" s="950">
        <v>4590.308</v>
      </c>
      <c r="D472" s="886" t="s">
        <v>11</v>
      </c>
    </row>
    <row r="473" spans="1:4" s="948" customFormat="1" ht="11.25" customHeight="1" x14ac:dyDescent="0.2">
      <c r="A473" s="1471" t="s">
        <v>3020</v>
      </c>
      <c r="B473" s="947">
        <v>488.23</v>
      </c>
      <c r="C473" s="947">
        <v>488.21665000000002</v>
      </c>
      <c r="D473" s="880" t="s">
        <v>2618</v>
      </c>
    </row>
    <row r="474" spans="1:4" s="948" customFormat="1" ht="11.25" customHeight="1" x14ac:dyDescent="0.2">
      <c r="A474" s="1471"/>
      <c r="B474" s="947">
        <v>488.23</v>
      </c>
      <c r="C474" s="947">
        <v>488.21665000000002</v>
      </c>
      <c r="D474" s="880" t="s">
        <v>11</v>
      </c>
    </row>
    <row r="475" spans="1:4" s="948" customFormat="1" ht="11.25" customHeight="1" x14ac:dyDescent="0.2">
      <c r="A475" s="1472" t="s">
        <v>3021</v>
      </c>
      <c r="B475" s="949">
        <v>500.52</v>
      </c>
      <c r="C475" s="949">
        <v>500.51469999999995</v>
      </c>
      <c r="D475" s="882" t="s">
        <v>2618</v>
      </c>
    </row>
    <row r="476" spans="1:4" s="948" customFormat="1" ht="11.25" customHeight="1" x14ac:dyDescent="0.2">
      <c r="A476" s="1473"/>
      <c r="B476" s="950">
        <v>500.52</v>
      </c>
      <c r="C476" s="950">
        <v>500.51469999999995</v>
      </c>
      <c r="D476" s="886" t="s">
        <v>11</v>
      </c>
    </row>
    <row r="477" spans="1:4" s="948" customFormat="1" ht="11.25" customHeight="1" x14ac:dyDescent="0.2">
      <c r="A477" s="1471" t="s">
        <v>3022</v>
      </c>
      <c r="B477" s="947">
        <v>102.75</v>
      </c>
      <c r="C477" s="947">
        <v>102.58828</v>
      </c>
      <c r="D477" s="880" t="s">
        <v>2619</v>
      </c>
    </row>
    <row r="478" spans="1:4" s="948" customFormat="1" ht="11.25" customHeight="1" x14ac:dyDescent="0.2">
      <c r="A478" s="1471"/>
      <c r="B478" s="947">
        <v>102.75</v>
      </c>
      <c r="C478" s="947">
        <v>102.58828</v>
      </c>
      <c r="D478" s="880" t="s">
        <v>11</v>
      </c>
    </row>
    <row r="479" spans="1:4" s="948" customFormat="1" ht="11.25" customHeight="1" x14ac:dyDescent="0.2">
      <c r="A479" s="1472" t="s">
        <v>3023</v>
      </c>
      <c r="B479" s="949">
        <v>149.5</v>
      </c>
      <c r="C479" s="949">
        <v>0</v>
      </c>
      <c r="D479" s="882" t="s">
        <v>2862</v>
      </c>
    </row>
    <row r="480" spans="1:4" s="948" customFormat="1" ht="11.25" customHeight="1" x14ac:dyDescent="0.2">
      <c r="A480" s="1473"/>
      <c r="B480" s="950">
        <v>149.5</v>
      </c>
      <c r="C480" s="950">
        <v>0</v>
      </c>
      <c r="D480" s="886" t="s">
        <v>11</v>
      </c>
    </row>
    <row r="481" spans="1:4" s="948" customFormat="1" ht="11.25" customHeight="1" x14ac:dyDescent="0.2">
      <c r="A481" s="1471" t="s">
        <v>3024</v>
      </c>
      <c r="B481" s="947">
        <v>210</v>
      </c>
      <c r="C481" s="947">
        <v>0</v>
      </c>
      <c r="D481" s="880" t="s">
        <v>2862</v>
      </c>
    </row>
    <row r="482" spans="1:4" s="948" customFormat="1" ht="11.25" customHeight="1" x14ac:dyDescent="0.2">
      <c r="A482" s="1471"/>
      <c r="B482" s="947">
        <v>210</v>
      </c>
      <c r="C482" s="947">
        <v>0</v>
      </c>
      <c r="D482" s="880" t="s">
        <v>11</v>
      </c>
    </row>
    <row r="483" spans="1:4" s="948" customFormat="1" ht="11.25" customHeight="1" x14ac:dyDescent="0.2">
      <c r="A483" s="1472" t="s">
        <v>3025</v>
      </c>
      <c r="B483" s="949">
        <v>104.25</v>
      </c>
      <c r="C483" s="949">
        <v>104.25</v>
      </c>
      <c r="D483" s="882" t="s">
        <v>2862</v>
      </c>
    </row>
    <row r="484" spans="1:4" s="948" customFormat="1" ht="11.25" customHeight="1" x14ac:dyDescent="0.2">
      <c r="A484" s="1473"/>
      <c r="B484" s="950">
        <v>104.25</v>
      </c>
      <c r="C484" s="950">
        <v>104.25</v>
      </c>
      <c r="D484" s="886" t="s">
        <v>11</v>
      </c>
    </row>
    <row r="485" spans="1:4" s="948" customFormat="1" ht="11.25" customHeight="1" x14ac:dyDescent="0.2">
      <c r="A485" s="1471" t="s">
        <v>3026</v>
      </c>
      <c r="B485" s="947">
        <v>1000</v>
      </c>
      <c r="C485" s="947">
        <v>0</v>
      </c>
      <c r="D485" s="880" t="s">
        <v>2842</v>
      </c>
    </row>
    <row r="486" spans="1:4" s="948" customFormat="1" ht="11.25" customHeight="1" x14ac:dyDescent="0.2">
      <c r="A486" s="1471"/>
      <c r="B486" s="947">
        <v>1000</v>
      </c>
      <c r="C486" s="947">
        <v>0</v>
      </c>
      <c r="D486" s="880" t="s">
        <v>11</v>
      </c>
    </row>
    <row r="487" spans="1:4" s="948" customFormat="1" ht="11.25" customHeight="1" x14ac:dyDescent="0.2">
      <c r="A487" s="1472" t="s">
        <v>3027</v>
      </c>
      <c r="B487" s="949">
        <v>1048</v>
      </c>
      <c r="C487" s="949">
        <v>1048</v>
      </c>
      <c r="D487" s="882" t="s">
        <v>2735</v>
      </c>
    </row>
    <row r="488" spans="1:4" s="948" customFormat="1" ht="11.25" customHeight="1" x14ac:dyDescent="0.2">
      <c r="A488" s="1471"/>
      <c r="B488" s="947">
        <v>423.7</v>
      </c>
      <c r="C488" s="947">
        <v>423.7</v>
      </c>
      <c r="D488" s="880" t="s">
        <v>2739</v>
      </c>
    </row>
    <row r="489" spans="1:4" s="948" customFormat="1" ht="11.25" customHeight="1" x14ac:dyDescent="0.2">
      <c r="A489" s="1473"/>
      <c r="B489" s="950">
        <v>1471.7</v>
      </c>
      <c r="C489" s="950">
        <v>1471.7</v>
      </c>
      <c r="D489" s="886" t="s">
        <v>11</v>
      </c>
    </row>
    <row r="490" spans="1:4" s="948" customFormat="1" ht="11.25" customHeight="1" x14ac:dyDescent="0.2">
      <c r="A490" s="1471" t="s">
        <v>3028</v>
      </c>
      <c r="B490" s="947">
        <v>150</v>
      </c>
      <c r="C490" s="947">
        <v>150</v>
      </c>
      <c r="D490" s="880" t="s">
        <v>2862</v>
      </c>
    </row>
    <row r="491" spans="1:4" s="948" customFormat="1" ht="11.25" customHeight="1" x14ac:dyDescent="0.2">
      <c r="A491" s="1471"/>
      <c r="B491" s="947">
        <v>150</v>
      </c>
      <c r="C491" s="947">
        <v>150</v>
      </c>
      <c r="D491" s="880" t="s">
        <v>11</v>
      </c>
    </row>
    <row r="492" spans="1:4" s="948" customFormat="1" ht="11.25" customHeight="1" x14ac:dyDescent="0.2">
      <c r="A492" s="1472" t="s">
        <v>3029</v>
      </c>
      <c r="B492" s="949">
        <v>124.5</v>
      </c>
      <c r="C492" s="949">
        <v>0</v>
      </c>
      <c r="D492" s="882" t="s">
        <v>2862</v>
      </c>
    </row>
    <row r="493" spans="1:4" s="948" customFormat="1" ht="11.25" customHeight="1" x14ac:dyDescent="0.2">
      <c r="A493" s="1473"/>
      <c r="B493" s="950">
        <v>124.5</v>
      </c>
      <c r="C493" s="950">
        <v>0</v>
      </c>
      <c r="D493" s="886" t="s">
        <v>11</v>
      </c>
    </row>
    <row r="494" spans="1:4" s="948" customFormat="1" ht="11.25" customHeight="1" x14ac:dyDescent="0.2">
      <c r="A494" s="1471" t="s">
        <v>1224</v>
      </c>
      <c r="B494" s="947">
        <v>50</v>
      </c>
      <c r="C494" s="947">
        <v>50</v>
      </c>
      <c r="D494" s="880" t="s">
        <v>1217</v>
      </c>
    </row>
    <row r="495" spans="1:4" s="948" customFormat="1" ht="11.25" customHeight="1" x14ac:dyDescent="0.2">
      <c r="A495" s="1471"/>
      <c r="B495" s="947">
        <v>50</v>
      </c>
      <c r="C495" s="947">
        <v>50</v>
      </c>
      <c r="D495" s="880" t="s">
        <v>11</v>
      </c>
    </row>
    <row r="496" spans="1:4" s="948" customFormat="1" ht="11.25" customHeight="1" x14ac:dyDescent="0.2">
      <c r="A496" s="1472" t="s">
        <v>3030</v>
      </c>
      <c r="B496" s="949">
        <v>350</v>
      </c>
      <c r="C496" s="949">
        <v>350</v>
      </c>
      <c r="D496" s="882" t="s">
        <v>2743</v>
      </c>
    </row>
    <row r="497" spans="1:4" s="948" customFormat="1" ht="11.25" customHeight="1" x14ac:dyDescent="0.2">
      <c r="A497" s="1473"/>
      <c r="B497" s="950">
        <v>350</v>
      </c>
      <c r="C497" s="950">
        <v>350</v>
      </c>
      <c r="D497" s="886" t="s">
        <v>11</v>
      </c>
    </row>
    <row r="498" spans="1:4" s="948" customFormat="1" ht="11.25" customHeight="1" x14ac:dyDescent="0.2">
      <c r="A498" s="1472" t="s">
        <v>3031</v>
      </c>
      <c r="B498" s="949">
        <v>245</v>
      </c>
      <c r="C498" s="949">
        <v>245</v>
      </c>
      <c r="D498" s="882" t="s">
        <v>2735</v>
      </c>
    </row>
    <row r="499" spans="1:4" s="948" customFormat="1" ht="11.25" customHeight="1" x14ac:dyDescent="0.2">
      <c r="A499" s="1473"/>
      <c r="B499" s="950">
        <v>245</v>
      </c>
      <c r="C499" s="950">
        <v>245</v>
      </c>
      <c r="D499" s="886" t="s">
        <v>11</v>
      </c>
    </row>
    <row r="500" spans="1:4" s="948" customFormat="1" ht="11.25" customHeight="1" x14ac:dyDescent="0.2">
      <c r="A500" s="1472" t="s">
        <v>3032</v>
      </c>
      <c r="B500" s="949">
        <v>2358.13</v>
      </c>
      <c r="C500" s="949">
        <v>2340.83464</v>
      </c>
      <c r="D500" s="882" t="s">
        <v>2618</v>
      </c>
    </row>
    <row r="501" spans="1:4" s="948" customFormat="1" ht="11.25" customHeight="1" x14ac:dyDescent="0.2">
      <c r="A501" s="1473"/>
      <c r="B501" s="950">
        <v>2358.13</v>
      </c>
      <c r="C501" s="950">
        <v>2340.83464</v>
      </c>
      <c r="D501" s="886" t="s">
        <v>11</v>
      </c>
    </row>
    <row r="502" spans="1:4" s="948" customFormat="1" ht="11.25" customHeight="1" x14ac:dyDescent="0.2">
      <c r="A502" s="1471" t="s">
        <v>3033</v>
      </c>
      <c r="B502" s="947">
        <v>934.59</v>
      </c>
      <c r="C502" s="947">
        <v>934.5634</v>
      </c>
      <c r="D502" s="880" t="s">
        <v>2602</v>
      </c>
    </row>
    <row r="503" spans="1:4" s="948" customFormat="1" ht="11.25" customHeight="1" x14ac:dyDescent="0.2">
      <c r="A503" s="1471"/>
      <c r="B503" s="947">
        <v>934.59</v>
      </c>
      <c r="C503" s="947">
        <v>934.5634</v>
      </c>
      <c r="D503" s="880" t="s">
        <v>11</v>
      </c>
    </row>
    <row r="504" spans="1:4" s="948" customFormat="1" ht="11.25" customHeight="1" x14ac:dyDescent="0.2">
      <c r="A504" s="1472" t="s">
        <v>1032</v>
      </c>
      <c r="B504" s="949">
        <v>1100</v>
      </c>
      <c r="C504" s="949">
        <v>450</v>
      </c>
      <c r="D504" s="882" t="s">
        <v>2818</v>
      </c>
    </row>
    <row r="505" spans="1:4" s="948" customFormat="1" ht="11.25" customHeight="1" x14ac:dyDescent="0.2">
      <c r="A505" s="1471"/>
      <c r="B505" s="947">
        <v>150</v>
      </c>
      <c r="C505" s="947">
        <v>150</v>
      </c>
      <c r="D505" s="880" t="s">
        <v>1030</v>
      </c>
    </row>
    <row r="506" spans="1:4" s="948" customFormat="1" ht="11.25" customHeight="1" x14ac:dyDescent="0.2">
      <c r="A506" s="1473"/>
      <c r="B506" s="950">
        <v>1250</v>
      </c>
      <c r="C506" s="950">
        <v>600</v>
      </c>
      <c r="D506" s="886" t="s">
        <v>11</v>
      </c>
    </row>
    <row r="507" spans="1:4" s="948" customFormat="1" ht="11.25" customHeight="1" x14ac:dyDescent="0.2">
      <c r="A507" s="1471" t="s">
        <v>3034</v>
      </c>
      <c r="B507" s="947">
        <v>60.6</v>
      </c>
      <c r="C507" s="947">
        <v>60.6</v>
      </c>
      <c r="D507" s="880" t="s">
        <v>2956</v>
      </c>
    </row>
    <row r="508" spans="1:4" s="948" customFormat="1" ht="11.25" customHeight="1" x14ac:dyDescent="0.2">
      <c r="A508" s="1471"/>
      <c r="B508" s="947">
        <v>2895</v>
      </c>
      <c r="C508" s="947">
        <v>2895</v>
      </c>
      <c r="D508" s="880" t="s">
        <v>2735</v>
      </c>
    </row>
    <row r="509" spans="1:4" s="948" customFormat="1" ht="11.25" customHeight="1" x14ac:dyDescent="0.2">
      <c r="A509" s="1471"/>
      <c r="B509" s="947">
        <v>63.5</v>
      </c>
      <c r="C509" s="947">
        <v>63.5</v>
      </c>
      <c r="D509" s="880" t="s">
        <v>2741</v>
      </c>
    </row>
    <row r="510" spans="1:4" s="948" customFormat="1" ht="21" x14ac:dyDescent="0.2">
      <c r="A510" s="1471"/>
      <c r="B510" s="947">
        <v>79.2</v>
      </c>
      <c r="C510" s="947">
        <v>79.2</v>
      </c>
      <c r="D510" s="880" t="s">
        <v>2750</v>
      </c>
    </row>
    <row r="511" spans="1:4" s="948" customFormat="1" ht="11.25" customHeight="1" x14ac:dyDescent="0.2">
      <c r="A511" s="1471"/>
      <c r="B511" s="947">
        <v>116.8</v>
      </c>
      <c r="C511" s="947">
        <v>0</v>
      </c>
      <c r="D511" s="880" t="s">
        <v>2739</v>
      </c>
    </row>
    <row r="512" spans="1:4" s="948" customFormat="1" ht="11.25" customHeight="1" x14ac:dyDescent="0.2">
      <c r="A512" s="1471"/>
      <c r="B512" s="947">
        <v>143.6</v>
      </c>
      <c r="C512" s="947">
        <v>143.59922999999998</v>
      </c>
      <c r="D512" s="880" t="s">
        <v>2618</v>
      </c>
    </row>
    <row r="513" spans="1:4" s="948" customFormat="1" ht="11.25" customHeight="1" x14ac:dyDescent="0.2">
      <c r="A513" s="1471"/>
      <c r="B513" s="947">
        <v>3358.7</v>
      </c>
      <c r="C513" s="947">
        <v>3241.8992299999995</v>
      </c>
      <c r="D513" s="880" t="s">
        <v>11</v>
      </c>
    </row>
    <row r="514" spans="1:4" s="948" customFormat="1" ht="11.25" customHeight="1" x14ac:dyDescent="0.2">
      <c r="A514" s="1472" t="s">
        <v>1102</v>
      </c>
      <c r="B514" s="949">
        <v>70</v>
      </c>
      <c r="C514" s="949">
        <v>0</v>
      </c>
      <c r="D514" s="882" t="s">
        <v>3035</v>
      </c>
    </row>
    <row r="515" spans="1:4" s="948" customFormat="1" ht="11.25" customHeight="1" x14ac:dyDescent="0.2">
      <c r="A515" s="1473"/>
      <c r="B515" s="950">
        <v>70</v>
      </c>
      <c r="C515" s="950">
        <v>0</v>
      </c>
      <c r="D515" s="886" t="s">
        <v>11</v>
      </c>
    </row>
    <row r="516" spans="1:4" s="948" customFormat="1" ht="11.25" customHeight="1" x14ac:dyDescent="0.2">
      <c r="A516" s="1471" t="s">
        <v>1175</v>
      </c>
      <c r="B516" s="947">
        <v>30</v>
      </c>
      <c r="C516" s="947">
        <v>0</v>
      </c>
      <c r="D516" s="880" t="s">
        <v>1173</v>
      </c>
    </row>
    <row r="517" spans="1:4" s="948" customFormat="1" ht="11.25" customHeight="1" x14ac:dyDescent="0.2">
      <c r="A517" s="1471"/>
      <c r="B517" s="947">
        <v>30</v>
      </c>
      <c r="C517" s="947">
        <v>0</v>
      </c>
      <c r="D517" s="880" t="s">
        <v>11</v>
      </c>
    </row>
    <row r="518" spans="1:4" s="948" customFormat="1" ht="11.25" customHeight="1" x14ac:dyDescent="0.2">
      <c r="A518" s="1472" t="s">
        <v>3036</v>
      </c>
      <c r="B518" s="949">
        <v>552.22</v>
      </c>
      <c r="C518" s="949">
        <v>546.43299999999999</v>
      </c>
      <c r="D518" s="882" t="s">
        <v>1458</v>
      </c>
    </row>
    <row r="519" spans="1:4" s="948" customFormat="1" ht="11.25" customHeight="1" x14ac:dyDescent="0.2">
      <c r="A519" s="1471"/>
      <c r="B519" s="947">
        <v>0.72</v>
      </c>
      <c r="C519" s="947">
        <v>0.72</v>
      </c>
      <c r="D519" s="880" t="s">
        <v>1454</v>
      </c>
    </row>
    <row r="520" spans="1:4" s="948" customFormat="1" ht="11.25" customHeight="1" x14ac:dyDescent="0.2">
      <c r="A520" s="1473"/>
      <c r="B520" s="950">
        <v>552.94000000000005</v>
      </c>
      <c r="C520" s="950">
        <v>547.15300000000002</v>
      </c>
      <c r="D520" s="886" t="s">
        <v>11</v>
      </c>
    </row>
    <row r="521" spans="1:4" s="948" customFormat="1" ht="11.25" customHeight="1" x14ac:dyDescent="0.2">
      <c r="A521" s="1471" t="s">
        <v>3037</v>
      </c>
      <c r="B521" s="947">
        <v>236</v>
      </c>
      <c r="C521" s="947">
        <v>236</v>
      </c>
      <c r="D521" s="880" t="s">
        <v>2743</v>
      </c>
    </row>
    <row r="522" spans="1:4" s="948" customFormat="1" ht="11.25" customHeight="1" x14ac:dyDescent="0.2">
      <c r="A522" s="1471"/>
      <c r="B522" s="947">
        <v>236</v>
      </c>
      <c r="C522" s="947">
        <v>236</v>
      </c>
      <c r="D522" s="880" t="s">
        <v>11</v>
      </c>
    </row>
    <row r="523" spans="1:4" s="948" customFormat="1" ht="11.25" customHeight="1" x14ac:dyDescent="0.2">
      <c r="A523" s="1472" t="s">
        <v>935</v>
      </c>
      <c r="B523" s="949">
        <v>40</v>
      </c>
      <c r="C523" s="949">
        <v>40</v>
      </c>
      <c r="D523" s="882" t="s">
        <v>934</v>
      </c>
    </row>
    <row r="524" spans="1:4" s="948" customFormat="1" ht="11.25" customHeight="1" x14ac:dyDescent="0.2">
      <c r="A524" s="1473"/>
      <c r="B524" s="950">
        <v>40</v>
      </c>
      <c r="C524" s="950">
        <v>40</v>
      </c>
      <c r="D524" s="886" t="s">
        <v>11</v>
      </c>
    </row>
    <row r="525" spans="1:4" s="948" customFormat="1" ht="11.25" customHeight="1" x14ac:dyDescent="0.2">
      <c r="A525" s="1471" t="s">
        <v>1033</v>
      </c>
      <c r="B525" s="947">
        <v>50</v>
      </c>
      <c r="C525" s="947">
        <v>50</v>
      </c>
      <c r="D525" s="880" t="s">
        <v>1030</v>
      </c>
    </row>
    <row r="526" spans="1:4" s="948" customFormat="1" ht="11.25" customHeight="1" x14ac:dyDescent="0.2">
      <c r="A526" s="1471"/>
      <c r="B526" s="947">
        <v>50</v>
      </c>
      <c r="C526" s="947">
        <v>50</v>
      </c>
      <c r="D526" s="880" t="s">
        <v>11</v>
      </c>
    </row>
    <row r="527" spans="1:4" s="948" customFormat="1" ht="11.25" customHeight="1" x14ac:dyDescent="0.2">
      <c r="A527" s="1472" t="s">
        <v>3038</v>
      </c>
      <c r="B527" s="949">
        <v>132</v>
      </c>
      <c r="C527" s="949">
        <v>132</v>
      </c>
      <c r="D527" s="882" t="s">
        <v>2745</v>
      </c>
    </row>
    <row r="528" spans="1:4" s="948" customFormat="1" ht="11.25" customHeight="1" x14ac:dyDescent="0.2">
      <c r="A528" s="1473"/>
      <c r="B528" s="950">
        <v>132</v>
      </c>
      <c r="C528" s="950">
        <v>132</v>
      </c>
      <c r="D528" s="886" t="s">
        <v>11</v>
      </c>
    </row>
    <row r="529" spans="1:4" s="948" customFormat="1" ht="11.25" customHeight="1" x14ac:dyDescent="0.2">
      <c r="A529" s="1471" t="s">
        <v>3039</v>
      </c>
      <c r="B529" s="947">
        <v>90</v>
      </c>
      <c r="C529" s="947">
        <v>90</v>
      </c>
      <c r="D529" s="880" t="s">
        <v>2745</v>
      </c>
    </row>
    <row r="530" spans="1:4" s="948" customFormat="1" ht="11.25" customHeight="1" x14ac:dyDescent="0.2">
      <c r="A530" s="1471"/>
      <c r="B530" s="947">
        <v>90</v>
      </c>
      <c r="C530" s="947">
        <v>90</v>
      </c>
      <c r="D530" s="880" t="s">
        <v>11</v>
      </c>
    </row>
    <row r="531" spans="1:4" s="948" customFormat="1" ht="11.25" customHeight="1" x14ac:dyDescent="0.2">
      <c r="A531" s="1472" t="s">
        <v>1060</v>
      </c>
      <c r="B531" s="949">
        <v>50</v>
      </c>
      <c r="C531" s="949">
        <v>50</v>
      </c>
      <c r="D531" s="882" t="s">
        <v>1056</v>
      </c>
    </row>
    <row r="532" spans="1:4" s="948" customFormat="1" ht="11.25" customHeight="1" x14ac:dyDescent="0.2">
      <c r="A532" s="1473"/>
      <c r="B532" s="950">
        <v>50</v>
      </c>
      <c r="C532" s="950">
        <v>50</v>
      </c>
      <c r="D532" s="886" t="s">
        <v>11</v>
      </c>
    </row>
    <row r="533" spans="1:4" s="948" customFormat="1" ht="11.25" customHeight="1" x14ac:dyDescent="0.2">
      <c r="A533" s="1471" t="s">
        <v>3040</v>
      </c>
      <c r="B533" s="947">
        <v>38.4</v>
      </c>
      <c r="C533" s="947">
        <v>36.92306</v>
      </c>
      <c r="D533" s="880" t="s">
        <v>2870</v>
      </c>
    </row>
    <row r="534" spans="1:4" s="948" customFormat="1" ht="11.25" customHeight="1" x14ac:dyDescent="0.2">
      <c r="A534" s="1471"/>
      <c r="B534" s="947">
        <v>38.4</v>
      </c>
      <c r="C534" s="947">
        <v>36.92306</v>
      </c>
      <c r="D534" s="880" t="s">
        <v>11</v>
      </c>
    </row>
    <row r="535" spans="1:4" s="948" customFormat="1" ht="11.25" customHeight="1" x14ac:dyDescent="0.2">
      <c r="A535" s="1472" t="s">
        <v>954</v>
      </c>
      <c r="B535" s="949">
        <v>150</v>
      </c>
      <c r="C535" s="949">
        <v>150</v>
      </c>
      <c r="D535" s="882" t="s">
        <v>951</v>
      </c>
    </row>
    <row r="536" spans="1:4" s="948" customFormat="1" ht="11.25" customHeight="1" x14ac:dyDescent="0.2">
      <c r="A536" s="1473"/>
      <c r="B536" s="950">
        <v>150</v>
      </c>
      <c r="C536" s="950">
        <v>150</v>
      </c>
      <c r="D536" s="886" t="s">
        <v>11</v>
      </c>
    </row>
    <row r="537" spans="1:4" s="948" customFormat="1" ht="11.25" customHeight="1" x14ac:dyDescent="0.2">
      <c r="A537" s="1472" t="s">
        <v>3041</v>
      </c>
      <c r="B537" s="949">
        <v>140</v>
      </c>
      <c r="C537" s="949">
        <v>140</v>
      </c>
      <c r="D537" s="882" t="s">
        <v>2745</v>
      </c>
    </row>
    <row r="538" spans="1:4" s="948" customFormat="1" ht="11.25" customHeight="1" x14ac:dyDescent="0.2">
      <c r="A538" s="1473"/>
      <c r="B538" s="950">
        <v>140</v>
      </c>
      <c r="C538" s="950">
        <v>140</v>
      </c>
      <c r="D538" s="886" t="s">
        <v>11</v>
      </c>
    </row>
    <row r="539" spans="1:4" s="948" customFormat="1" ht="11.25" customHeight="1" x14ac:dyDescent="0.2">
      <c r="A539" s="1471" t="s">
        <v>3042</v>
      </c>
      <c r="B539" s="947">
        <v>654</v>
      </c>
      <c r="C539" s="947">
        <v>654</v>
      </c>
      <c r="D539" s="880" t="s">
        <v>2735</v>
      </c>
    </row>
    <row r="540" spans="1:4" s="948" customFormat="1" ht="11.25" customHeight="1" x14ac:dyDescent="0.2">
      <c r="A540" s="1471"/>
      <c r="B540" s="947">
        <v>654</v>
      </c>
      <c r="C540" s="947">
        <v>654</v>
      </c>
      <c r="D540" s="880" t="s">
        <v>11</v>
      </c>
    </row>
    <row r="541" spans="1:4" s="948" customFormat="1" ht="11.25" customHeight="1" x14ac:dyDescent="0.2">
      <c r="A541" s="1472" t="s">
        <v>1095</v>
      </c>
      <c r="B541" s="949">
        <v>200</v>
      </c>
      <c r="C541" s="949">
        <v>200</v>
      </c>
      <c r="D541" s="882" t="s">
        <v>1093</v>
      </c>
    </row>
    <row r="542" spans="1:4" s="948" customFormat="1" ht="11.25" customHeight="1" x14ac:dyDescent="0.2">
      <c r="A542" s="1473"/>
      <c r="B542" s="950">
        <v>200</v>
      </c>
      <c r="C542" s="950">
        <v>200</v>
      </c>
      <c r="D542" s="886" t="s">
        <v>11</v>
      </c>
    </row>
    <row r="543" spans="1:4" s="948" customFormat="1" ht="11.25" customHeight="1" x14ac:dyDescent="0.2">
      <c r="A543" s="1472" t="s">
        <v>3043</v>
      </c>
      <c r="B543" s="949">
        <v>77.760000000000005</v>
      </c>
      <c r="C543" s="949">
        <v>77.746000000000009</v>
      </c>
      <c r="D543" s="882" t="s">
        <v>2618</v>
      </c>
    </row>
    <row r="544" spans="1:4" s="948" customFormat="1" ht="11.25" customHeight="1" x14ac:dyDescent="0.2">
      <c r="A544" s="1473"/>
      <c r="B544" s="950">
        <v>77.760000000000005</v>
      </c>
      <c r="C544" s="950">
        <v>77.746000000000009</v>
      </c>
      <c r="D544" s="886" t="s">
        <v>11</v>
      </c>
    </row>
    <row r="545" spans="1:4" s="948" customFormat="1" ht="21" x14ac:dyDescent="0.2">
      <c r="A545" s="1472" t="s">
        <v>3044</v>
      </c>
      <c r="B545" s="949">
        <v>70</v>
      </c>
      <c r="C545" s="949">
        <v>70</v>
      </c>
      <c r="D545" s="882" t="s">
        <v>2737</v>
      </c>
    </row>
    <row r="546" spans="1:4" s="948" customFormat="1" ht="11.25" customHeight="1" x14ac:dyDescent="0.2">
      <c r="A546" s="1473"/>
      <c r="B546" s="950">
        <v>70</v>
      </c>
      <c r="C546" s="950">
        <v>70</v>
      </c>
      <c r="D546" s="886" t="s">
        <v>11</v>
      </c>
    </row>
    <row r="547" spans="1:4" s="948" customFormat="1" ht="11.25" customHeight="1" x14ac:dyDescent="0.2">
      <c r="A547" s="1471" t="s">
        <v>3045</v>
      </c>
      <c r="B547" s="947">
        <v>200</v>
      </c>
      <c r="C547" s="947">
        <v>130.578</v>
      </c>
      <c r="D547" s="880" t="s">
        <v>2862</v>
      </c>
    </row>
    <row r="548" spans="1:4" s="948" customFormat="1" ht="11.25" customHeight="1" x14ac:dyDescent="0.2">
      <c r="A548" s="1471"/>
      <c r="B548" s="947">
        <v>200</v>
      </c>
      <c r="C548" s="947">
        <v>130.578</v>
      </c>
      <c r="D548" s="880" t="s">
        <v>11</v>
      </c>
    </row>
    <row r="549" spans="1:4" s="948" customFormat="1" ht="11.25" customHeight="1" x14ac:dyDescent="0.2">
      <c r="A549" s="1472" t="s">
        <v>3046</v>
      </c>
      <c r="B549" s="949">
        <v>160</v>
      </c>
      <c r="C549" s="949">
        <v>160</v>
      </c>
      <c r="D549" s="882" t="s">
        <v>2745</v>
      </c>
    </row>
    <row r="550" spans="1:4" s="948" customFormat="1" ht="11.25" customHeight="1" x14ac:dyDescent="0.2">
      <c r="A550" s="1473"/>
      <c r="B550" s="950">
        <v>160</v>
      </c>
      <c r="C550" s="950">
        <v>160</v>
      </c>
      <c r="D550" s="886" t="s">
        <v>11</v>
      </c>
    </row>
    <row r="551" spans="1:4" s="948" customFormat="1" ht="11.25" customHeight="1" x14ac:dyDescent="0.2">
      <c r="A551" s="1471" t="s">
        <v>3047</v>
      </c>
      <c r="B551" s="947">
        <v>265.3</v>
      </c>
      <c r="C551" s="947">
        <v>0</v>
      </c>
      <c r="D551" s="880" t="s">
        <v>2862</v>
      </c>
    </row>
    <row r="552" spans="1:4" s="948" customFormat="1" ht="11.25" customHeight="1" x14ac:dyDescent="0.2">
      <c r="A552" s="1471"/>
      <c r="B552" s="947">
        <v>999.8</v>
      </c>
      <c r="C552" s="947">
        <v>0</v>
      </c>
      <c r="D552" s="880" t="s">
        <v>2842</v>
      </c>
    </row>
    <row r="553" spans="1:4" s="948" customFormat="1" ht="11.25" customHeight="1" x14ac:dyDescent="0.2">
      <c r="A553" s="1471"/>
      <c r="B553" s="947">
        <v>1265.0999999999999</v>
      </c>
      <c r="C553" s="947">
        <v>0</v>
      </c>
      <c r="D553" s="880" t="s">
        <v>11</v>
      </c>
    </row>
    <row r="554" spans="1:4" s="948" customFormat="1" ht="11.25" customHeight="1" x14ac:dyDescent="0.2">
      <c r="A554" s="1472" t="s">
        <v>1096</v>
      </c>
      <c r="B554" s="949">
        <v>200</v>
      </c>
      <c r="C554" s="949">
        <v>200</v>
      </c>
      <c r="D554" s="882" t="s">
        <v>1093</v>
      </c>
    </row>
    <row r="555" spans="1:4" s="948" customFormat="1" ht="11.25" customHeight="1" x14ac:dyDescent="0.2">
      <c r="A555" s="1473"/>
      <c r="B555" s="950">
        <v>200</v>
      </c>
      <c r="C555" s="950">
        <v>200</v>
      </c>
      <c r="D555" s="886" t="s">
        <v>11</v>
      </c>
    </row>
    <row r="556" spans="1:4" s="948" customFormat="1" ht="11.25" customHeight="1" x14ac:dyDescent="0.2">
      <c r="A556" s="1471" t="s">
        <v>3048</v>
      </c>
      <c r="B556" s="947">
        <v>39</v>
      </c>
      <c r="C556" s="947">
        <v>39</v>
      </c>
      <c r="D556" s="880" t="s">
        <v>2899</v>
      </c>
    </row>
    <row r="557" spans="1:4" s="948" customFormat="1" ht="11.25" customHeight="1" x14ac:dyDescent="0.2">
      <c r="A557" s="1471"/>
      <c r="B557" s="947">
        <v>1764</v>
      </c>
      <c r="C557" s="947">
        <v>1764</v>
      </c>
      <c r="D557" s="880" t="s">
        <v>2735</v>
      </c>
    </row>
    <row r="558" spans="1:4" s="948" customFormat="1" ht="21" x14ac:dyDescent="0.2">
      <c r="A558" s="1471"/>
      <c r="B558" s="947">
        <v>246.6</v>
      </c>
      <c r="C558" s="947">
        <v>246.6</v>
      </c>
      <c r="D558" s="880" t="s">
        <v>2867</v>
      </c>
    </row>
    <row r="559" spans="1:4" s="948" customFormat="1" ht="11.25" customHeight="1" x14ac:dyDescent="0.2">
      <c r="A559" s="1471"/>
      <c r="B559" s="947">
        <v>704.94</v>
      </c>
      <c r="C559" s="947">
        <v>704.93600000000004</v>
      </c>
      <c r="D559" s="880" t="s">
        <v>2739</v>
      </c>
    </row>
    <row r="560" spans="1:4" s="948" customFormat="1" ht="11.25" customHeight="1" x14ac:dyDescent="0.2">
      <c r="A560" s="1471"/>
      <c r="B560" s="947">
        <v>2754.54</v>
      </c>
      <c r="C560" s="947">
        <v>2754.5360000000001</v>
      </c>
      <c r="D560" s="880" t="s">
        <v>11</v>
      </c>
    </row>
    <row r="561" spans="1:4" s="948" customFormat="1" ht="11.25" customHeight="1" x14ac:dyDescent="0.2">
      <c r="A561" s="1472" t="s">
        <v>3049</v>
      </c>
      <c r="B561" s="949">
        <v>3953.12</v>
      </c>
      <c r="C561" s="949">
        <v>3953.1239999999998</v>
      </c>
      <c r="D561" s="882" t="s">
        <v>2735</v>
      </c>
    </row>
    <row r="562" spans="1:4" s="948" customFormat="1" ht="11.25" customHeight="1" x14ac:dyDescent="0.2">
      <c r="A562" s="1471"/>
      <c r="B562" s="947">
        <v>162.80000000000001</v>
      </c>
      <c r="C562" s="947">
        <v>48.84</v>
      </c>
      <c r="D562" s="880" t="s">
        <v>2739</v>
      </c>
    </row>
    <row r="563" spans="1:4" s="948" customFormat="1" ht="11.25" customHeight="1" x14ac:dyDescent="0.2">
      <c r="A563" s="1471"/>
      <c r="B563" s="947">
        <v>4430</v>
      </c>
      <c r="C563" s="947">
        <v>4099.4399999999996</v>
      </c>
      <c r="D563" s="880" t="s">
        <v>2582</v>
      </c>
    </row>
    <row r="564" spans="1:4" s="948" customFormat="1" ht="11.25" customHeight="1" x14ac:dyDescent="0.2">
      <c r="A564" s="1473"/>
      <c r="B564" s="950">
        <v>8545.92</v>
      </c>
      <c r="C564" s="950">
        <v>8101.4039999999995</v>
      </c>
      <c r="D564" s="886" t="s">
        <v>11</v>
      </c>
    </row>
    <row r="565" spans="1:4" s="948" customFormat="1" ht="11.25" customHeight="1" x14ac:dyDescent="0.2">
      <c r="A565" s="1471" t="s">
        <v>985</v>
      </c>
      <c r="B565" s="947">
        <v>20</v>
      </c>
      <c r="C565" s="947">
        <v>20</v>
      </c>
      <c r="D565" s="880" t="s">
        <v>3050</v>
      </c>
    </row>
    <row r="566" spans="1:4" s="948" customFormat="1" ht="11.25" customHeight="1" x14ac:dyDescent="0.2">
      <c r="A566" s="1471"/>
      <c r="B566" s="947">
        <v>50</v>
      </c>
      <c r="C566" s="947">
        <v>50</v>
      </c>
      <c r="D566" s="880" t="s">
        <v>978</v>
      </c>
    </row>
    <row r="567" spans="1:4" s="948" customFormat="1" ht="11.25" customHeight="1" x14ac:dyDescent="0.2">
      <c r="A567" s="1471"/>
      <c r="B567" s="947">
        <v>70</v>
      </c>
      <c r="C567" s="947">
        <v>70</v>
      </c>
      <c r="D567" s="880" t="s">
        <v>11</v>
      </c>
    </row>
    <row r="568" spans="1:4" s="948" customFormat="1" ht="11.25" customHeight="1" x14ac:dyDescent="0.2">
      <c r="A568" s="1472" t="s">
        <v>955</v>
      </c>
      <c r="B568" s="949">
        <v>300</v>
      </c>
      <c r="C568" s="949">
        <v>300</v>
      </c>
      <c r="D568" s="882" t="s">
        <v>951</v>
      </c>
    </row>
    <row r="569" spans="1:4" s="948" customFormat="1" ht="11.25" customHeight="1" x14ac:dyDescent="0.2">
      <c r="A569" s="1473"/>
      <c r="B569" s="950">
        <v>300</v>
      </c>
      <c r="C569" s="950">
        <v>300</v>
      </c>
      <c r="D569" s="886" t="s">
        <v>11</v>
      </c>
    </row>
    <row r="570" spans="1:4" s="948" customFormat="1" ht="11.25" customHeight="1" x14ac:dyDescent="0.2">
      <c r="A570" s="1471" t="s">
        <v>3051</v>
      </c>
      <c r="B570" s="947">
        <v>995.4</v>
      </c>
      <c r="C570" s="947">
        <v>0</v>
      </c>
      <c r="D570" s="880" t="s">
        <v>2842</v>
      </c>
    </row>
    <row r="571" spans="1:4" s="948" customFormat="1" ht="11.25" customHeight="1" x14ac:dyDescent="0.2">
      <c r="A571" s="1471"/>
      <c r="B571" s="947">
        <v>995.4</v>
      </c>
      <c r="C571" s="947">
        <v>0</v>
      </c>
      <c r="D571" s="880" t="s">
        <v>11</v>
      </c>
    </row>
    <row r="572" spans="1:4" s="948" customFormat="1" ht="11.25" customHeight="1" x14ac:dyDescent="0.2">
      <c r="A572" s="1472" t="s">
        <v>1124</v>
      </c>
      <c r="B572" s="949">
        <v>1500</v>
      </c>
      <c r="C572" s="949">
        <v>1500</v>
      </c>
      <c r="D572" s="882" t="s">
        <v>1111</v>
      </c>
    </row>
    <row r="573" spans="1:4" s="948" customFormat="1" ht="11.25" customHeight="1" x14ac:dyDescent="0.2">
      <c r="A573" s="1473"/>
      <c r="B573" s="950">
        <v>1500</v>
      </c>
      <c r="C573" s="950">
        <v>1500</v>
      </c>
      <c r="D573" s="886" t="s">
        <v>11</v>
      </c>
    </row>
    <row r="574" spans="1:4" s="948" customFormat="1" ht="11.25" customHeight="1" x14ac:dyDescent="0.2">
      <c r="A574" s="1471" t="s">
        <v>1125</v>
      </c>
      <c r="B574" s="947">
        <v>190</v>
      </c>
      <c r="C574" s="947">
        <v>190</v>
      </c>
      <c r="D574" s="880" t="s">
        <v>1111</v>
      </c>
    </row>
    <row r="575" spans="1:4" s="948" customFormat="1" ht="11.25" customHeight="1" x14ac:dyDescent="0.2">
      <c r="A575" s="1471"/>
      <c r="B575" s="947">
        <v>190</v>
      </c>
      <c r="C575" s="947">
        <v>190</v>
      </c>
      <c r="D575" s="880" t="s">
        <v>11</v>
      </c>
    </row>
    <row r="576" spans="1:4" s="948" customFormat="1" ht="11.25" customHeight="1" x14ac:dyDescent="0.2">
      <c r="A576" s="1472" t="s">
        <v>1017</v>
      </c>
      <c r="B576" s="949">
        <v>50</v>
      </c>
      <c r="C576" s="949">
        <v>50</v>
      </c>
      <c r="D576" s="882" t="s">
        <v>3052</v>
      </c>
    </row>
    <row r="577" spans="1:4" s="948" customFormat="1" ht="11.25" customHeight="1" x14ac:dyDescent="0.2">
      <c r="A577" s="1473"/>
      <c r="B577" s="950">
        <v>50</v>
      </c>
      <c r="C577" s="950">
        <v>50</v>
      </c>
      <c r="D577" s="886" t="s">
        <v>11</v>
      </c>
    </row>
    <row r="578" spans="1:4" s="948" customFormat="1" ht="11.25" customHeight="1" x14ac:dyDescent="0.2">
      <c r="A578" s="1471" t="s">
        <v>3053</v>
      </c>
      <c r="B578" s="947">
        <v>87</v>
      </c>
      <c r="C578" s="947">
        <v>87</v>
      </c>
      <c r="D578" s="880" t="s">
        <v>2899</v>
      </c>
    </row>
    <row r="579" spans="1:4" s="948" customFormat="1" ht="11.25" customHeight="1" x14ac:dyDescent="0.2">
      <c r="A579" s="1471"/>
      <c r="B579" s="947">
        <v>369</v>
      </c>
      <c r="C579" s="947">
        <v>369</v>
      </c>
      <c r="D579" s="880" t="s">
        <v>2735</v>
      </c>
    </row>
    <row r="580" spans="1:4" s="948" customFormat="1" ht="11.25" customHeight="1" x14ac:dyDescent="0.2">
      <c r="A580" s="1471"/>
      <c r="B580" s="947">
        <v>456</v>
      </c>
      <c r="C580" s="947">
        <v>456</v>
      </c>
      <c r="D580" s="880" t="s">
        <v>11</v>
      </c>
    </row>
    <row r="581" spans="1:4" s="948" customFormat="1" ht="11.25" customHeight="1" x14ac:dyDescent="0.2">
      <c r="A581" s="1472" t="s">
        <v>1126</v>
      </c>
      <c r="B581" s="949">
        <v>150</v>
      </c>
      <c r="C581" s="949">
        <v>150</v>
      </c>
      <c r="D581" s="882" t="s">
        <v>1111</v>
      </c>
    </row>
    <row r="582" spans="1:4" s="948" customFormat="1" ht="11.25" customHeight="1" x14ac:dyDescent="0.2">
      <c r="A582" s="1473"/>
      <c r="B582" s="950">
        <v>150</v>
      </c>
      <c r="C582" s="950">
        <v>150</v>
      </c>
      <c r="D582" s="886" t="s">
        <v>11</v>
      </c>
    </row>
    <row r="583" spans="1:4" s="948" customFormat="1" ht="11.25" customHeight="1" x14ac:dyDescent="0.2">
      <c r="A583" s="1471" t="s">
        <v>3054</v>
      </c>
      <c r="B583" s="947">
        <v>2377</v>
      </c>
      <c r="C583" s="947">
        <v>2377</v>
      </c>
      <c r="D583" s="880" t="s">
        <v>2735</v>
      </c>
    </row>
    <row r="584" spans="1:4" s="948" customFormat="1" ht="11.25" customHeight="1" x14ac:dyDescent="0.2">
      <c r="A584" s="1471"/>
      <c r="B584" s="947">
        <v>2377</v>
      </c>
      <c r="C584" s="947">
        <v>2377</v>
      </c>
      <c r="D584" s="880" t="s">
        <v>11</v>
      </c>
    </row>
    <row r="585" spans="1:4" s="948" customFormat="1" ht="11.25" customHeight="1" x14ac:dyDescent="0.2">
      <c r="A585" s="1472" t="s">
        <v>3055</v>
      </c>
      <c r="B585" s="949">
        <v>18.93</v>
      </c>
      <c r="C585" s="949">
        <v>18.934000000000001</v>
      </c>
      <c r="D585" s="882" t="s">
        <v>1463</v>
      </c>
    </row>
    <row r="586" spans="1:4" s="948" customFormat="1" ht="11.25" customHeight="1" x14ac:dyDescent="0.2">
      <c r="A586" s="1471"/>
      <c r="B586" s="947">
        <v>4333.34</v>
      </c>
      <c r="C586" s="947">
        <v>4333.34</v>
      </c>
      <c r="D586" s="880" t="s">
        <v>1458</v>
      </c>
    </row>
    <row r="587" spans="1:4" s="948" customFormat="1" ht="11.25" customHeight="1" x14ac:dyDescent="0.2">
      <c r="A587" s="1471"/>
      <c r="B587" s="947">
        <v>67.180000000000007</v>
      </c>
      <c r="C587" s="947">
        <v>67.177999999999997</v>
      </c>
      <c r="D587" s="880" t="s">
        <v>1454</v>
      </c>
    </row>
    <row r="588" spans="1:4" s="948" customFormat="1" ht="11.25" customHeight="1" x14ac:dyDescent="0.2">
      <c r="A588" s="1473"/>
      <c r="B588" s="950">
        <v>4419.4500000000007</v>
      </c>
      <c r="C588" s="950">
        <v>4419.4520000000002</v>
      </c>
      <c r="D588" s="886" t="s">
        <v>11</v>
      </c>
    </row>
    <row r="589" spans="1:4" s="948" customFormat="1" ht="11.25" customHeight="1" x14ac:dyDescent="0.2">
      <c r="A589" s="1472" t="s">
        <v>1061</v>
      </c>
      <c r="B589" s="949">
        <v>200</v>
      </c>
      <c r="C589" s="949">
        <v>200</v>
      </c>
      <c r="D589" s="882" t="s">
        <v>1056</v>
      </c>
    </row>
    <row r="590" spans="1:4" s="948" customFormat="1" ht="11.25" customHeight="1" x14ac:dyDescent="0.2">
      <c r="A590" s="1473"/>
      <c r="B590" s="950">
        <v>200</v>
      </c>
      <c r="C590" s="950">
        <v>200</v>
      </c>
      <c r="D590" s="886" t="s">
        <v>11</v>
      </c>
    </row>
    <row r="591" spans="1:4" s="948" customFormat="1" ht="11.25" customHeight="1" x14ac:dyDescent="0.2">
      <c r="A591" s="1472" t="s">
        <v>3056</v>
      </c>
      <c r="B591" s="949">
        <v>496.4</v>
      </c>
      <c r="C591" s="949">
        <v>184.7</v>
      </c>
      <c r="D591" s="882" t="s">
        <v>2862</v>
      </c>
    </row>
    <row r="592" spans="1:4" s="948" customFormat="1" ht="11.25" customHeight="1" x14ac:dyDescent="0.2">
      <c r="A592" s="1473"/>
      <c r="B592" s="950">
        <v>496.4</v>
      </c>
      <c r="C592" s="950">
        <v>184.7</v>
      </c>
      <c r="D592" s="886" t="s">
        <v>11</v>
      </c>
    </row>
    <row r="593" spans="1:4" s="948" customFormat="1" ht="11.25" customHeight="1" x14ac:dyDescent="0.2">
      <c r="A593" s="1471" t="s">
        <v>3057</v>
      </c>
      <c r="B593" s="947">
        <v>79.75</v>
      </c>
      <c r="C593" s="947">
        <v>79.748000000000005</v>
      </c>
      <c r="D593" s="880" t="s">
        <v>2770</v>
      </c>
    </row>
    <row r="594" spans="1:4" s="948" customFormat="1" ht="11.25" customHeight="1" x14ac:dyDescent="0.2">
      <c r="A594" s="1471"/>
      <c r="B594" s="947">
        <v>79.75</v>
      </c>
      <c r="C594" s="947">
        <v>79.748000000000005</v>
      </c>
      <c r="D594" s="880" t="s">
        <v>11</v>
      </c>
    </row>
    <row r="595" spans="1:4" s="948" customFormat="1" ht="11.25" customHeight="1" x14ac:dyDescent="0.2">
      <c r="A595" s="1472" t="s">
        <v>986</v>
      </c>
      <c r="B595" s="949">
        <v>50</v>
      </c>
      <c r="C595" s="949">
        <v>50</v>
      </c>
      <c r="D595" s="882" t="s">
        <v>978</v>
      </c>
    </row>
    <row r="596" spans="1:4" s="948" customFormat="1" ht="11.25" customHeight="1" x14ac:dyDescent="0.2">
      <c r="A596" s="1473"/>
      <c r="B596" s="950">
        <v>50</v>
      </c>
      <c r="C596" s="950">
        <v>50</v>
      </c>
      <c r="D596" s="886" t="s">
        <v>11</v>
      </c>
    </row>
    <row r="597" spans="1:4" s="948" customFormat="1" ht="11.25" customHeight="1" x14ac:dyDescent="0.2">
      <c r="A597" s="1471" t="s">
        <v>3058</v>
      </c>
      <c r="B597" s="947">
        <v>100</v>
      </c>
      <c r="C597" s="947">
        <v>100</v>
      </c>
      <c r="D597" s="880" t="s">
        <v>2862</v>
      </c>
    </row>
    <row r="598" spans="1:4" s="948" customFormat="1" ht="11.25" customHeight="1" x14ac:dyDescent="0.2">
      <c r="A598" s="1471"/>
      <c r="B598" s="947">
        <v>100</v>
      </c>
      <c r="C598" s="947">
        <v>100</v>
      </c>
      <c r="D598" s="880" t="s">
        <v>11</v>
      </c>
    </row>
    <row r="599" spans="1:4" s="948" customFormat="1" ht="11.25" customHeight="1" x14ac:dyDescent="0.2">
      <c r="A599" s="1472" t="s">
        <v>3059</v>
      </c>
      <c r="B599" s="949">
        <v>113.6</v>
      </c>
      <c r="C599" s="949">
        <v>97.41167999999999</v>
      </c>
      <c r="D599" s="882" t="s">
        <v>1463</v>
      </c>
    </row>
    <row r="600" spans="1:4" s="948" customFormat="1" ht="11.25" customHeight="1" x14ac:dyDescent="0.2">
      <c r="A600" s="1471"/>
      <c r="B600" s="947">
        <v>5233.24</v>
      </c>
      <c r="C600" s="947">
        <v>5233.2420000000002</v>
      </c>
      <c r="D600" s="880" t="s">
        <v>1458</v>
      </c>
    </row>
    <row r="601" spans="1:4" s="948" customFormat="1" ht="11.25" customHeight="1" x14ac:dyDescent="0.2">
      <c r="A601" s="1471"/>
      <c r="B601" s="947">
        <v>51.58</v>
      </c>
      <c r="C601" s="947">
        <v>51.584000000000003</v>
      </c>
      <c r="D601" s="880" t="s">
        <v>1454</v>
      </c>
    </row>
    <row r="602" spans="1:4" s="948" customFormat="1" ht="11.25" customHeight="1" x14ac:dyDescent="0.2">
      <c r="A602" s="1473"/>
      <c r="B602" s="950">
        <v>5398.42</v>
      </c>
      <c r="C602" s="950">
        <v>5382.2376800000002</v>
      </c>
      <c r="D602" s="886" t="s">
        <v>11</v>
      </c>
    </row>
    <row r="603" spans="1:4" s="948" customFormat="1" ht="11.25" customHeight="1" x14ac:dyDescent="0.2">
      <c r="A603" s="1471" t="s">
        <v>3060</v>
      </c>
      <c r="B603" s="947">
        <v>252.63</v>
      </c>
      <c r="C603" s="947">
        <v>252.61946</v>
      </c>
      <c r="D603" s="880" t="s">
        <v>2618</v>
      </c>
    </row>
    <row r="604" spans="1:4" s="948" customFormat="1" ht="11.25" customHeight="1" x14ac:dyDescent="0.2">
      <c r="A604" s="1471"/>
      <c r="B604" s="947">
        <v>252.63</v>
      </c>
      <c r="C604" s="947">
        <v>252.61946</v>
      </c>
      <c r="D604" s="880" t="s">
        <v>11</v>
      </c>
    </row>
    <row r="605" spans="1:4" s="948" customFormat="1" ht="11.25" customHeight="1" x14ac:dyDescent="0.2">
      <c r="A605" s="1472" t="s">
        <v>3061</v>
      </c>
      <c r="B605" s="949">
        <v>72</v>
      </c>
      <c r="C605" s="949">
        <v>72</v>
      </c>
      <c r="D605" s="882" t="s">
        <v>2870</v>
      </c>
    </row>
    <row r="606" spans="1:4" s="948" customFormat="1" ht="11.25" customHeight="1" x14ac:dyDescent="0.2">
      <c r="A606" s="1473"/>
      <c r="B606" s="950">
        <v>72</v>
      </c>
      <c r="C606" s="950">
        <v>72</v>
      </c>
      <c r="D606" s="886" t="s">
        <v>11</v>
      </c>
    </row>
    <row r="607" spans="1:4" s="948" customFormat="1" ht="11.25" customHeight="1" x14ac:dyDescent="0.2">
      <c r="A607" s="1472" t="s">
        <v>4799</v>
      </c>
      <c r="B607" s="947">
        <v>51.9</v>
      </c>
      <c r="C607" s="947">
        <v>51.9</v>
      </c>
      <c r="D607" s="880" t="s">
        <v>2743</v>
      </c>
    </row>
    <row r="608" spans="1:4" s="948" customFormat="1" ht="11.25" customHeight="1" x14ac:dyDescent="0.2">
      <c r="A608" s="1473"/>
      <c r="B608" s="947">
        <v>51.9</v>
      </c>
      <c r="C608" s="947">
        <v>51.9</v>
      </c>
      <c r="D608" s="880" t="s">
        <v>11</v>
      </c>
    </row>
    <row r="609" spans="1:4" s="948" customFormat="1" ht="11.25" customHeight="1" x14ac:dyDescent="0.2">
      <c r="A609" s="1472" t="s">
        <v>3062</v>
      </c>
      <c r="B609" s="949">
        <v>8749</v>
      </c>
      <c r="C609" s="949">
        <v>8749</v>
      </c>
      <c r="D609" s="882" t="s">
        <v>2970</v>
      </c>
    </row>
    <row r="610" spans="1:4" s="948" customFormat="1" ht="11.25" customHeight="1" x14ac:dyDescent="0.2">
      <c r="A610" s="1473"/>
      <c r="B610" s="950">
        <v>8749</v>
      </c>
      <c r="C610" s="950">
        <v>8749</v>
      </c>
      <c r="D610" s="886" t="s">
        <v>11</v>
      </c>
    </row>
    <row r="611" spans="1:4" s="948" customFormat="1" ht="11.25" customHeight="1" x14ac:dyDescent="0.2">
      <c r="A611" s="1471" t="s">
        <v>3063</v>
      </c>
      <c r="B611" s="947">
        <v>97.5</v>
      </c>
      <c r="C611" s="947">
        <v>63.656999999999996</v>
      </c>
      <c r="D611" s="880" t="s">
        <v>2862</v>
      </c>
    </row>
    <row r="612" spans="1:4" s="948" customFormat="1" ht="11.25" customHeight="1" x14ac:dyDescent="0.2">
      <c r="A612" s="1471"/>
      <c r="B612" s="947">
        <v>97.5</v>
      </c>
      <c r="C612" s="947">
        <v>63.656999999999996</v>
      </c>
      <c r="D612" s="880" t="s">
        <v>11</v>
      </c>
    </row>
    <row r="613" spans="1:4" s="948" customFormat="1" ht="11.25" customHeight="1" x14ac:dyDescent="0.2">
      <c r="A613" s="1472" t="s">
        <v>3064</v>
      </c>
      <c r="B613" s="949">
        <v>5042.09</v>
      </c>
      <c r="C613" s="949">
        <v>5042.0879999999997</v>
      </c>
      <c r="D613" s="882" t="s">
        <v>1458</v>
      </c>
    </row>
    <row r="614" spans="1:4" s="948" customFormat="1" ht="11.25" customHeight="1" x14ac:dyDescent="0.2">
      <c r="A614" s="1471"/>
      <c r="B614" s="947">
        <v>49.22</v>
      </c>
      <c r="C614" s="947">
        <v>49.216000000000001</v>
      </c>
      <c r="D614" s="880" t="s">
        <v>1454</v>
      </c>
    </row>
    <row r="615" spans="1:4" s="948" customFormat="1" ht="11.25" customHeight="1" x14ac:dyDescent="0.2">
      <c r="A615" s="1473"/>
      <c r="B615" s="950">
        <v>5091.3100000000004</v>
      </c>
      <c r="C615" s="950">
        <v>5091.3040000000001</v>
      </c>
      <c r="D615" s="886" t="s">
        <v>11</v>
      </c>
    </row>
    <row r="616" spans="1:4" s="948" customFormat="1" ht="11.25" customHeight="1" x14ac:dyDescent="0.2">
      <c r="A616" s="1471" t="s">
        <v>3065</v>
      </c>
      <c r="B616" s="947">
        <v>3413.91</v>
      </c>
      <c r="C616" s="947">
        <v>3410.413</v>
      </c>
      <c r="D616" s="880" t="s">
        <v>1458</v>
      </c>
    </row>
    <row r="617" spans="1:4" s="948" customFormat="1" ht="11.25" customHeight="1" x14ac:dyDescent="0.2">
      <c r="A617" s="1471"/>
      <c r="B617" s="947">
        <v>34.72</v>
      </c>
      <c r="C617" s="947">
        <v>34.720999999999997</v>
      </c>
      <c r="D617" s="880" t="s">
        <v>1454</v>
      </c>
    </row>
    <row r="618" spans="1:4" s="948" customFormat="1" ht="11.25" customHeight="1" x14ac:dyDescent="0.2">
      <c r="A618" s="1471"/>
      <c r="B618" s="947">
        <v>3448.6299999999997</v>
      </c>
      <c r="C618" s="947">
        <v>3445.134</v>
      </c>
      <c r="D618" s="880" t="s">
        <v>11</v>
      </c>
    </row>
    <row r="619" spans="1:4" s="948" customFormat="1" ht="11.25" customHeight="1" x14ac:dyDescent="0.2">
      <c r="A619" s="1472" t="s">
        <v>3066</v>
      </c>
      <c r="B619" s="949">
        <v>300</v>
      </c>
      <c r="C619" s="949">
        <v>150</v>
      </c>
      <c r="D619" s="882" t="s">
        <v>2862</v>
      </c>
    </row>
    <row r="620" spans="1:4" s="948" customFormat="1" ht="11.25" customHeight="1" x14ac:dyDescent="0.2">
      <c r="A620" s="1473"/>
      <c r="B620" s="950">
        <v>300</v>
      </c>
      <c r="C620" s="950">
        <v>150</v>
      </c>
      <c r="D620" s="886" t="s">
        <v>11</v>
      </c>
    </row>
    <row r="621" spans="1:4" s="948" customFormat="1" ht="11.25" customHeight="1" x14ac:dyDescent="0.2">
      <c r="A621" s="1471" t="s">
        <v>3067</v>
      </c>
      <c r="B621" s="947">
        <v>160</v>
      </c>
      <c r="C621" s="947">
        <v>160</v>
      </c>
      <c r="D621" s="880" t="s">
        <v>2745</v>
      </c>
    </row>
    <row r="622" spans="1:4" s="948" customFormat="1" ht="11.25" customHeight="1" x14ac:dyDescent="0.2">
      <c r="A622" s="1471"/>
      <c r="B622" s="947">
        <v>160</v>
      </c>
      <c r="C622" s="947">
        <v>160</v>
      </c>
      <c r="D622" s="880" t="s">
        <v>11</v>
      </c>
    </row>
    <row r="623" spans="1:4" s="948" customFormat="1" ht="11.25" customHeight="1" x14ac:dyDescent="0.2">
      <c r="A623" s="1472" t="s">
        <v>3068</v>
      </c>
      <c r="B623" s="949">
        <v>1196</v>
      </c>
      <c r="C623" s="949">
        <v>1196</v>
      </c>
      <c r="D623" s="882" t="s">
        <v>2735</v>
      </c>
    </row>
    <row r="624" spans="1:4" s="948" customFormat="1" ht="11.25" customHeight="1" x14ac:dyDescent="0.2">
      <c r="A624" s="1473"/>
      <c r="B624" s="950">
        <v>1196</v>
      </c>
      <c r="C624" s="950">
        <v>1196</v>
      </c>
      <c r="D624" s="886" t="s">
        <v>11</v>
      </c>
    </row>
    <row r="625" spans="1:4" s="948" customFormat="1" ht="11.25" customHeight="1" x14ac:dyDescent="0.2">
      <c r="A625" s="1471" t="s">
        <v>1127</v>
      </c>
      <c r="B625" s="947">
        <v>46.49</v>
      </c>
      <c r="C625" s="947">
        <v>46.485999999999997</v>
      </c>
      <c r="D625" s="880" t="s">
        <v>2745</v>
      </c>
    </row>
    <row r="626" spans="1:4" s="948" customFormat="1" ht="11.25" customHeight="1" x14ac:dyDescent="0.2">
      <c r="A626" s="1471"/>
      <c r="B626" s="947">
        <v>100</v>
      </c>
      <c r="C626" s="947">
        <v>100</v>
      </c>
      <c r="D626" s="880" t="s">
        <v>1111</v>
      </c>
    </row>
    <row r="627" spans="1:4" s="948" customFormat="1" ht="11.25" customHeight="1" x14ac:dyDescent="0.2">
      <c r="A627" s="1471"/>
      <c r="B627" s="947">
        <v>146.49</v>
      </c>
      <c r="C627" s="947">
        <v>146.48599999999999</v>
      </c>
      <c r="D627" s="880" t="s">
        <v>11</v>
      </c>
    </row>
    <row r="628" spans="1:4" s="948" customFormat="1" ht="11.25" customHeight="1" x14ac:dyDescent="0.2">
      <c r="A628" s="1472" t="s">
        <v>3069</v>
      </c>
      <c r="B628" s="949">
        <v>125.5</v>
      </c>
      <c r="C628" s="949">
        <v>125.49109999999999</v>
      </c>
      <c r="D628" s="882" t="s">
        <v>2618</v>
      </c>
    </row>
    <row r="629" spans="1:4" s="948" customFormat="1" ht="11.25" customHeight="1" x14ac:dyDescent="0.2">
      <c r="A629" s="1473"/>
      <c r="B629" s="950">
        <v>125.5</v>
      </c>
      <c r="C629" s="950">
        <v>125.49109999999999</v>
      </c>
      <c r="D629" s="886" t="s">
        <v>11</v>
      </c>
    </row>
    <row r="630" spans="1:4" s="948" customFormat="1" ht="21" x14ac:dyDescent="0.2">
      <c r="A630" s="1471" t="s">
        <v>3070</v>
      </c>
      <c r="B630" s="947">
        <v>100</v>
      </c>
      <c r="C630" s="947">
        <v>100</v>
      </c>
      <c r="D630" s="880" t="s">
        <v>2737</v>
      </c>
    </row>
    <row r="631" spans="1:4" s="948" customFormat="1" ht="11.25" customHeight="1" x14ac:dyDescent="0.2">
      <c r="A631" s="1471"/>
      <c r="B631" s="947">
        <v>100</v>
      </c>
      <c r="C631" s="947">
        <v>100</v>
      </c>
      <c r="D631" s="880" t="s">
        <v>11</v>
      </c>
    </row>
    <row r="632" spans="1:4" s="948" customFormat="1" ht="11.25" customHeight="1" x14ac:dyDescent="0.2">
      <c r="A632" s="1472" t="s">
        <v>1128</v>
      </c>
      <c r="B632" s="949">
        <v>50</v>
      </c>
      <c r="C632" s="949">
        <v>41.423999999999999</v>
      </c>
      <c r="D632" s="882" t="s">
        <v>1111</v>
      </c>
    </row>
    <row r="633" spans="1:4" s="948" customFormat="1" ht="11.25" customHeight="1" x14ac:dyDescent="0.2">
      <c r="A633" s="1473"/>
      <c r="B633" s="950">
        <v>50</v>
      </c>
      <c r="C633" s="950">
        <v>41.423999999999999</v>
      </c>
      <c r="D633" s="886" t="s">
        <v>11</v>
      </c>
    </row>
    <row r="634" spans="1:4" s="948" customFormat="1" ht="11.25" customHeight="1" x14ac:dyDescent="0.2">
      <c r="A634" s="1471" t="s">
        <v>1129</v>
      </c>
      <c r="B634" s="947">
        <v>50</v>
      </c>
      <c r="C634" s="947">
        <v>0</v>
      </c>
      <c r="D634" s="880" t="s">
        <v>1111</v>
      </c>
    </row>
    <row r="635" spans="1:4" s="948" customFormat="1" ht="11.25" customHeight="1" x14ac:dyDescent="0.2">
      <c r="A635" s="1471"/>
      <c r="B635" s="947">
        <v>50</v>
      </c>
      <c r="C635" s="947">
        <v>0</v>
      </c>
      <c r="D635" s="880" t="s">
        <v>11</v>
      </c>
    </row>
    <row r="636" spans="1:4" s="948" customFormat="1" ht="11.25" customHeight="1" x14ac:dyDescent="0.2">
      <c r="A636" s="1472" t="s">
        <v>3071</v>
      </c>
      <c r="B636" s="949">
        <v>480</v>
      </c>
      <c r="C636" s="949">
        <v>480</v>
      </c>
      <c r="D636" s="882" t="s">
        <v>2745</v>
      </c>
    </row>
    <row r="637" spans="1:4" s="948" customFormat="1" ht="11.25" customHeight="1" x14ac:dyDescent="0.2">
      <c r="A637" s="1473"/>
      <c r="B637" s="950">
        <v>480</v>
      </c>
      <c r="C637" s="950">
        <v>480</v>
      </c>
      <c r="D637" s="886" t="s">
        <v>11</v>
      </c>
    </row>
    <row r="638" spans="1:4" s="948" customFormat="1" ht="11.25" customHeight="1" x14ac:dyDescent="0.2">
      <c r="A638" s="1471" t="s">
        <v>1130</v>
      </c>
      <c r="B638" s="947">
        <v>70</v>
      </c>
      <c r="C638" s="947">
        <v>70</v>
      </c>
      <c r="D638" s="880" t="s">
        <v>1111</v>
      </c>
    </row>
    <row r="639" spans="1:4" s="948" customFormat="1" ht="11.25" customHeight="1" x14ac:dyDescent="0.2">
      <c r="A639" s="1471"/>
      <c r="B639" s="947">
        <v>70</v>
      </c>
      <c r="C639" s="947">
        <v>70</v>
      </c>
      <c r="D639" s="880" t="s">
        <v>11</v>
      </c>
    </row>
    <row r="640" spans="1:4" s="948" customFormat="1" ht="11.25" customHeight="1" x14ac:dyDescent="0.2">
      <c r="A640" s="1472" t="s">
        <v>1181</v>
      </c>
      <c r="B640" s="949">
        <v>30</v>
      </c>
      <c r="C640" s="949">
        <v>30</v>
      </c>
      <c r="D640" s="882" t="s">
        <v>1179</v>
      </c>
    </row>
    <row r="641" spans="1:4" s="948" customFormat="1" ht="11.25" customHeight="1" x14ac:dyDescent="0.2">
      <c r="A641" s="1473"/>
      <c r="B641" s="950">
        <v>30</v>
      </c>
      <c r="C641" s="950">
        <v>30</v>
      </c>
      <c r="D641" s="886" t="s">
        <v>11</v>
      </c>
    </row>
    <row r="642" spans="1:4" s="948" customFormat="1" ht="11.25" customHeight="1" x14ac:dyDescent="0.2">
      <c r="A642" s="1471" t="s">
        <v>3072</v>
      </c>
      <c r="B642" s="947">
        <v>463.54999999999995</v>
      </c>
      <c r="C642" s="947">
        <v>463.40580999999997</v>
      </c>
      <c r="D642" s="880" t="s">
        <v>2619</v>
      </c>
    </row>
    <row r="643" spans="1:4" s="948" customFormat="1" ht="11.25" customHeight="1" x14ac:dyDescent="0.2">
      <c r="A643" s="1471"/>
      <c r="B643" s="947">
        <v>290.12</v>
      </c>
      <c r="C643" s="947">
        <v>290.11526000000003</v>
      </c>
      <c r="D643" s="880" t="s">
        <v>2618</v>
      </c>
    </row>
    <row r="644" spans="1:4" s="948" customFormat="1" ht="11.25" customHeight="1" x14ac:dyDescent="0.2">
      <c r="A644" s="1471"/>
      <c r="B644" s="947">
        <v>753.67</v>
      </c>
      <c r="C644" s="947">
        <v>753.52107000000001</v>
      </c>
      <c r="D644" s="880" t="s">
        <v>11</v>
      </c>
    </row>
    <row r="645" spans="1:4" s="948" customFormat="1" ht="11.25" customHeight="1" x14ac:dyDescent="0.2">
      <c r="A645" s="1472" t="s">
        <v>3073</v>
      </c>
      <c r="B645" s="949">
        <v>95</v>
      </c>
      <c r="C645" s="949">
        <v>95</v>
      </c>
      <c r="D645" s="882" t="s">
        <v>2899</v>
      </c>
    </row>
    <row r="646" spans="1:4" s="948" customFormat="1" ht="11.25" customHeight="1" x14ac:dyDescent="0.2">
      <c r="A646" s="1471"/>
      <c r="B646" s="947">
        <v>1845</v>
      </c>
      <c r="C646" s="947">
        <v>1845</v>
      </c>
      <c r="D646" s="880" t="s">
        <v>2735</v>
      </c>
    </row>
    <row r="647" spans="1:4" s="948" customFormat="1" ht="11.25" customHeight="1" x14ac:dyDescent="0.2">
      <c r="A647" s="1473"/>
      <c r="B647" s="950">
        <v>1940</v>
      </c>
      <c r="C647" s="950">
        <v>1940</v>
      </c>
      <c r="D647" s="886" t="s">
        <v>11</v>
      </c>
    </row>
    <row r="648" spans="1:4" s="948" customFormat="1" ht="11.25" customHeight="1" x14ac:dyDescent="0.2">
      <c r="A648" s="1471" t="s">
        <v>3074</v>
      </c>
      <c r="B648" s="947">
        <v>58.7</v>
      </c>
      <c r="C648" s="947">
        <v>58.7</v>
      </c>
      <c r="D648" s="880" t="s">
        <v>2743</v>
      </c>
    </row>
    <row r="649" spans="1:4" s="948" customFormat="1" ht="11.25" customHeight="1" x14ac:dyDescent="0.2">
      <c r="A649" s="1471"/>
      <c r="B649" s="947">
        <v>58.7</v>
      </c>
      <c r="C649" s="947">
        <v>58.7</v>
      </c>
      <c r="D649" s="880" t="s">
        <v>11</v>
      </c>
    </row>
    <row r="650" spans="1:4" s="948" customFormat="1" ht="11.25" customHeight="1" x14ac:dyDescent="0.2">
      <c r="A650" s="1472" t="s">
        <v>1131</v>
      </c>
      <c r="B650" s="949">
        <v>600</v>
      </c>
      <c r="C650" s="949">
        <v>0</v>
      </c>
      <c r="D650" s="882" t="s">
        <v>1111</v>
      </c>
    </row>
    <row r="651" spans="1:4" s="948" customFormat="1" ht="11.25" customHeight="1" x14ac:dyDescent="0.2">
      <c r="A651" s="1473"/>
      <c r="B651" s="950">
        <v>600</v>
      </c>
      <c r="C651" s="950">
        <v>0</v>
      </c>
      <c r="D651" s="886" t="s">
        <v>11</v>
      </c>
    </row>
    <row r="652" spans="1:4" s="948" customFormat="1" ht="11.25" customHeight="1" x14ac:dyDescent="0.2">
      <c r="A652" s="1471" t="s">
        <v>3075</v>
      </c>
      <c r="B652" s="947">
        <v>187.5</v>
      </c>
      <c r="C652" s="947">
        <v>187.494</v>
      </c>
      <c r="D652" s="880" t="s">
        <v>2745</v>
      </c>
    </row>
    <row r="653" spans="1:4" s="948" customFormat="1" ht="11.25" customHeight="1" x14ac:dyDescent="0.2">
      <c r="A653" s="1471"/>
      <c r="B653" s="947">
        <v>187.5</v>
      </c>
      <c r="C653" s="947">
        <v>187.494</v>
      </c>
      <c r="D653" s="880" t="s">
        <v>11</v>
      </c>
    </row>
    <row r="654" spans="1:4" s="948" customFormat="1" ht="11.25" customHeight="1" x14ac:dyDescent="0.2">
      <c r="A654" s="1472" t="s">
        <v>1132</v>
      </c>
      <c r="B654" s="949">
        <v>600</v>
      </c>
      <c r="C654" s="949">
        <v>0</v>
      </c>
      <c r="D654" s="882" t="s">
        <v>1111</v>
      </c>
    </row>
    <row r="655" spans="1:4" s="948" customFormat="1" ht="11.25" customHeight="1" x14ac:dyDescent="0.2">
      <c r="A655" s="1473"/>
      <c r="B655" s="950">
        <v>600</v>
      </c>
      <c r="C655" s="950">
        <v>0</v>
      </c>
      <c r="D655" s="886" t="s">
        <v>11</v>
      </c>
    </row>
    <row r="656" spans="1:4" s="948" customFormat="1" ht="11.25" customHeight="1" x14ac:dyDescent="0.2">
      <c r="A656" s="1471" t="s">
        <v>3076</v>
      </c>
      <c r="B656" s="947">
        <v>160</v>
      </c>
      <c r="C656" s="947">
        <v>160</v>
      </c>
      <c r="D656" s="880" t="s">
        <v>2745</v>
      </c>
    </row>
    <row r="657" spans="1:4" s="948" customFormat="1" ht="11.25" customHeight="1" x14ac:dyDescent="0.2">
      <c r="A657" s="1471"/>
      <c r="B657" s="947">
        <v>160</v>
      </c>
      <c r="C657" s="947">
        <v>160</v>
      </c>
      <c r="D657" s="880" t="s">
        <v>11</v>
      </c>
    </row>
    <row r="658" spans="1:4" s="948" customFormat="1" ht="11.25" customHeight="1" x14ac:dyDescent="0.2">
      <c r="A658" s="1472" t="s">
        <v>3077</v>
      </c>
      <c r="B658" s="949">
        <v>160</v>
      </c>
      <c r="C658" s="949">
        <v>160</v>
      </c>
      <c r="D658" s="882" t="s">
        <v>2745</v>
      </c>
    </row>
    <row r="659" spans="1:4" s="948" customFormat="1" ht="11.25" customHeight="1" x14ac:dyDescent="0.2">
      <c r="A659" s="1473"/>
      <c r="B659" s="950">
        <v>160</v>
      </c>
      <c r="C659" s="950">
        <v>160</v>
      </c>
      <c r="D659" s="886" t="s">
        <v>11</v>
      </c>
    </row>
    <row r="660" spans="1:4" s="948" customFormat="1" ht="11.25" customHeight="1" x14ac:dyDescent="0.2">
      <c r="A660" s="1472" t="s">
        <v>4799</v>
      </c>
      <c r="B660" s="947">
        <v>15</v>
      </c>
      <c r="C660" s="947">
        <v>14.698</v>
      </c>
      <c r="D660" s="880" t="s">
        <v>1337</v>
      </c>
    </row>
    <row r="661" spans="1:4" s="948" customFormat="1" ht="11.25" customHeight="1" x14ac:dyDescent="0.2">
      <c r="A661" s="1473"/>
      <c r="B661" s="947">
        <v>15</v>
      </c>
      <c r="C661" s="947">
        <v>14.698</v>
      </c>
      <c r="D661" s="880" t="s">
        <v>11</v>
      </c>
    </row>
    <row r="662" spans="1:4" s="948" customFormat="1" ht="11.25" customHeight="1" x14ac:dyDescent="0.2">
      <c r="A662" s="1472" t="s">
        <v>736</v>
      </c>
      <c r="B662" s="949">
        <v>300</v>
      </c>
      <c r="C662" s="949">
        <v>211.29808</v>
      </c>
      <c r="D662" s="882" t="s">
        <v>735</v>
      </c>
    </row>
    <row r="663" spans="1:4" s="948" customFormat="1" ht="11.25" customHeight="1" x14ac:dyDescent="0.2">
      <c r="A663" s="1473"/>
      <c r="B663" s="950">
        <v>300</v>
      </c>
      <c r="C663" s="950">
        <v>211.29808</v>
      </c>
      <c r="D663" s="886" t="s">
        <v>11</v>
      </c>
    </row>
    <row r="664" spans="1:4" s="948" customFormat="1" ht="11.25" customHeight="1" x14ac:dyDescent="0.2">
      <c r="A664" s="1471" t="s">
        <v>1084</v>
      </c>
      <c r="B664" s="947">
        <v>96.95</v>
      </c>
      <c r="C664" s="947">
        <v>86.087000000000003</v>
      </c>
      <c r="D664" s="880" t="s">
        <v>2747</v>
      </c>
    </row>
    <row r="665" spans="1:4" s="948" customFormat="1" ht="11.25" customHeight="1" x14ac:dyDescent="0.2">
      <c r="A665" s="1471"/>
      <c r="B665" s="947">
        <v>190</v>
      </c>
      <c r="C665" s="947">
        <v>0</v>
      </c>
      <c r="D665" s="880" t="s">
        <v>3078</v>
      </c>
    </row>
    <row r="666" spans="1:4" s="948" customFormat="1" ht="11.25" customHeight="1" x14ac:dyDescent="0.2">
      <c r="A666" s="1471"/>
      <c r="B666" s="947">
        <v>286.95</v>
      </c>
      <c r="C666" s="947">
        <v>86.087000000000003</v>
      </c>
      <c r="D666" s="880" t="s">
        <v>11</v>
      </c>
    </row>
    <row r="667" spans="1:4" s="948" customFormat="1" ht="11.25" customHeight="1" x14ac:dyDescent="0.2">
      <c r="A667" s="1472" t="s">
        <v>3079</v>
      </c>
      <c r="B667" s="949">
        <v>7508.76</v>
      </c>
      <c r="C667" s="949">
        <v>7508.7579999999998</v>
      </c>
      <c r="D667" s="882" t="s">
        <v>1458</v>
      </c>
    </row>
    <row r="668" spans="1:4" s="948" customFormat="1" ht="11.25" customHeight="1" x14ac:dyDescent="0.2">
      <c r="A668" s="1471"/>
      <c r="B668" s="947">
        <v>82.01</v>
      </c>
      <c r="C668" s="947">
        <v>81.98</v>
      </c>
      <c r="D668" s="880" t="s">
        <v>1454</v>
      </c>
    </row>
    <row r="669" spans="1:4" s="948" customFormat="1" ht="11.25" customHeight="1" x14ac:dyDescent="0.2">
      <c r="A669" s="1473"/>
      <c r="B669" s="950">
        <v>7590.77</v>
      </c>
      <c r="C669" s="950">
        <v>7590.7379999999994</v>
      </c>
      <c r="D669" s="886" t="s">
        <v>11</v>
      </c>
    </row>
    <row r="670" spans="1:4" s="948" customFormat="1" ht="11.25" customHeight="1" x14ac:dyDescent="0.2">
      <c r="A670" s="1471" t="s">
        <v>1133</v>
      </c>
      <c r="B670" s="947">
        <v>50</v>
      </c>
      <c r="C670" s="947">
        <v>50</v>
      </c>
      <c r="D670" s="880" t="s">
        <v>1111</v>
      </c>
    </row>
    <row r="671" spans="1:4" s="948" customFormat="1" ht="11.25" customHeight="1" x14ac:dyDescent="0.2">
      <c r="A671" s="1471"/>
      <c r="B671" s="947">
        <v>50</v>
      </c>
      <c r="C671" s="947">
        <v>50</v>
      </c>
      <c r="D671" s="880" t="s">
        <v>11</v>
      </c>
    </row>
    <row r="672" spans="1:4" s="948" customFormat="1" ht="11.25" customHeight="1" x14ac:dyDescent="0.2">
      <c r="A672" s="1472" t="s">
        <v>4799</v>
      </c>
      <c r="B672" s="949">
        <v>10</v>
      </c>
      <c r="C672" s="949">
        <v>10</v>
      </c>
      <c r="D672" s="882" t="s">
        <v>1337</v>
      </c>
    </row>
    <row r="673" spans="1:4" s="948" customFormat="1" ht="11.25" customHeight="1" x14ac:dyDescent="0.2">
      <c r="A673" s="1473"/>
      <c r="B673" s="950">
        <v>10</v>
      </c>
      <c r="C673" s="950">
        <v>10</v>
      </c>
      <c r="D673" s="886" t="s">
        <v>11</v>
      </c>
    </row>
    <row r="674" spans="1:4" s="948" customFormat="1" ht="11.25" customHeight="1" x14ac:dyDescent="0.2">
      <c r="A674" s="1472" t="s">
        <v>4799</v>
      </c>
      <c r="B674" s="947">
        <v>6.51</v>
      </c>
      <c r="C674" s="947">
        <v>6.5</v>
      </c>
      <c r="D674" s="880" t="s">
        <v>1337</v>
      </c>
    </row>
    <row r="675" spans="1:4" s="948" customFormat="1" ht="11.25" customHeight="1" x14ac:dyDescent="0.2">
      <c r="A675" s="1473"/>
      <c r="B675" s="947">
        <v>6.51</v>
      </c>
      <c r="C675" s="947">
        <v>6.5</v>
      </c>
      <c r="D675" s="880" t="s">
        <v>11</v>
      </c>
    </row>
    <row r="676" spans="1:4" s="948" customFormat="1" ht="11.25" customHeight="1" x14ac:dyDescent="0.2">
      <c r="A676" s="1472" t="s">
        <v>4799</v>
      </c>
      <c r="B676" s="949">
        <v>20</v>
      </c>
      <c r="C676" s="949">
        <v>20</v>
      </c>
      <c r="D676" s="882" t="s">
        <v>1337</v>
      </c>
    </row>
    <row r="677" spans="1:4" s="948" customFormat="1" ht="11.25" customHeight="1" x14ac:dyDescent="0.2">
      <c r="A677" s="1473"/>
      <c r="B677" s="950">
        <v>20</v>
      </c>
      <c r="C677" s="950">
        <v>20</v>
      </c>
      <c r="D677" s="886" t="s">
        <v>11</v>
      </c>
    </row>
    <row r="678" spans="1:4" s="948" customFormat="1" ht="11.25" customHeight="1" x14ac:dyDescent="0.2">
      <c r="A678" s="1471" t="s">
        <v>3080</v>
      </c>
      <c r="B678" s="947">
        <v>300</v>
      </c>
      <c r="C678" s="947">
        <v>150</v>
      </c>
      <c r="D678" s="880" t="s">
        <v>2862</v>
      </c>
    </row>
    <row r="679" spans="1:4" s="948" customFormat="1" ht="11.25" customHeight="1" x14ac:dyDescent="0.2">
      <c r="A679" s="1471"/>
      <c r="B679" s="947">
        <v>300</v>
      </c>
      <c r="C679" s="947">
        <v>150</v>
      </c>
      <c r="D679" s="880" t="s">
        <v>11</v>
      </c>
    </row>
    <row r="680" spans="1:4" s="948" customFormat="1" ht="11.25" customHeight="1" x14ac:dyDescent="0.2">
      <c r="A680" s="1472" t="s">
        <v>3081</v>
      </c>
      <c r="B680" s="949">
        <v>33</v>
      </c>
      <c r="C680" s="949">
        <v>33</v>
      </c>
      <c r="D680" s="882" t="s">
        <v>2899</v>
      </c>
    </row>
    <row r="681" spans="1:4" s="948" customFormat="1" ht="11.25" customHeight="1" x14ac:dyDescent="0.2">
      <c r="A681" s="1471"/>
      <c r="B681" s="947">
        <v>3606</v>
      </c>
      <c r="C681" s="947">
        <v>3606</v>
      </c>
      <c r="D681" s="880" t="s">
        <v>2735</v>
      </c>
    </row>
    <row r="682" spans="1:4" s="948" customFormat="1" ht="11.25" customHeight="1" x14ac:dyDescent="0.2">
      <c r="A682" s="1471"/>
      <c r="B682" s="947">
        <v>362.8</v>
      </c>
      <c r="C682" s="947">
        <v>362.8</v>
      </c>
      <c r="D682" s="880" t="s">
        <v>2739</v>
      </c>
    </row>
    <row r="683" spans="1:4" s="948" customFormat="1" ht="11.25" customHeight="1" x14ac:dyDescent="0.2">
      <c r="A683" s="1473"/>
      <c r="B683" s="950">
        <v>4001.8</v>
      </c>
      <c r="C683" s="950">
        <v>4001.8</v>
      </c>
      <c r="D683" s="886" t="s">
        <v>11</v>
      </c>
    </row>
    <row r="684" spans="1:4" s="948" customFormat="1" ht="11.25" customHeight="1" x14ac:dyDescent="0.2">
      <c r="A684" s="1471" t="s">
        <v>3082</v>
      </c>
      <c r="B684" s="947">
        <v>291</v>
      </c>
      <c r="C684" s="947">
        <v>291</v>
      </c>
      <c r="D684" s="880" t="s">
        <v>2899</v>
      </c>
    </row>
    <row r="685" spans="1:4" s="948" customFormat="1" ht="11.25" customHeight="1" x14ac:dyDescent="0.2">
      <c r="A685" s="1471"/>
      <c r="B685" s="947">
        <v>7126</v>
      </c>
      <c r="C685" s="947">
        <v>7126</v>
      </c>
      <c r="D685" s="880" t="s">
        <v>2735</v>
      </c>
    </row>
    <row r="686" spans="1:4" s="948" customFormat="1" ht="11.25" customHeight="1" x14ac:dyDescent="0.2">
      <c r="A686" s="1471"/>
      <c r="B686" s="947">
        <v>40</v>
      </c>
      <c r="C686" s="947">
        <v>40</v>
      </c>
      <c r="D686" s="880" t="s">
        <v>2893</v>
      </c>
    </row>
    <row r="687" spans="1:4" s="948" customFormat="1" ht="21" x14ac:dyDescent="0.2">
      <c r="A687" s="1471"/>
      <c r="B687" s="947">
        <v>36</v>
      </c>
      <c r="C687" s="947">
        <v>36</v>
      </c>
      <c r="D687" s="880" t="s">
        <v>2750</v>
      </c>
    </row>
    <row r="688" spans="1:4" s="948" customFormat="1" ht="11.25" customHeight="1" x14ac:dyDescent="0.2">
      <c r="A688" s="1471"/>
      <c r="B688" s="947">
        <v>954.5</v>
      </c>
      <c r="C688" s="947">
        <v>762.80199999999991</v>
      </c>
      <c r="D688" s="880" t="s">
        <v>2739</v>
      </c>
    </row>
    <row r="689" spans="1:4" s="948" customFormat="1" ht="11.25" customHeight="1" x14ac:dyDescent="0.2">
      <c r="A689" s="1471"/>
      <c r="B689" s="947">
        <v>8447.5</v>
      </c>
      <c r="C689" s="947">
        <v>8255.8019999999997</v>
      </c>
      <c r="D689" s="880" t="s">
        <v>11</v>
      </c>
    </row>
    <row r="690" spans="1:4" s="948" customFormat="1" ht="11.25" customHeight="1" x14ac:dyDescent="0.2">
      <c r="A690" s="1472" t="s">
        <v>3083</v>
      </c>
      <c r="B690" s="949">
        <v>1230</v>
      </c>
      <c r="C690" s="949">
        <v>1230</v>
      </c>
      <c r="D690" s="882" t="s">
        <v>2735</v>
      </c>
    </row>
    <row r="691" spans="1:4" s="948" customFormat="1" ht="11.25" customHeight="1" x14ac:dyDescent="0.2">
      <c r="A691" s="1471"/>
      <c r="B691" s="947">
        <v>150</v>
      </c>
      <c r="C691" s="947">
        <v>148.19148000000001</v>
      </c>
      <c r="D691" s="880" t="s">
        <v>2886</v>
      </c>
    </row>
    <row r="692" spans="1:4" s="948" customFormat="1" ht="11.25" customHeight="1" x14ac:dyDescent="0.2">
      <c r="A692" s="1473"/>
      <c r="B692" s="950">
        <v>1380</v>
      </c>
      <c r="C692" s="950">
        <v>1378.19148</v>
      </c>
      <c r="D692" s="886" t="s">
        <v>11</v>
      </c>
    </row>
    <row r="693" spans="1:4" s="948" customFormat="1" ht="11.25" customHeight="1" x14ac:dyDescent="0.2">
      <c r="A693" s="1471" t="s">
        <v>3084</v>
      </c>
      <c r="B693" s="947">
        <v>126</v>
      </c>
      <c r="C693" s="947">
        <v>126</v>
      </c>
      <c r="D693" s="880" t="s">
        <v>2899</v>
      </c>
    </row>
    <row r="694" spans="1:4" s="948" customFormat="1" ht="11.25" customHeight="1" x14ac:dyDescent="0.2">
      <c r="A694" s="1471"/>
      <c r="B694" s="947">
        <v>16518</v>
      </c>
      <c r="C694" s="947">
        <v>16518</v>
      </c>
      <c r="D694" s="880" t="s">
        <v>2735</v>
      </c>
    </row>
    <row r="695" spans="1:4" s="948" customFormat="1" ht="11.25" customHeight="1" x14ac:dyDescent="0.2">
      <c r="A695" s="1471"/>
      <c r="B695" s="947">
        <v>16644</v>
      </c>
      <c r="C695" s="947">
        <v>16644</v>
      </c>
      <c r="D695" s="880" t="s">
        <v>11</v>
      </c>
    </row>
    <row r="696" spans="1:4" s="948" customFormat="1" ht="11.25" customHeight="1" x14ac:dyDescent="0.2">
      <c r="A696" s="1472" t="s">
        <v>3085</v>
      </c>
      <c r="B696" s="949">
        <v>4294</v>
      </c>
      <c r="C696" s="949">
        <v>4294</v>
      </c>
      <c r="D696" s="882" t="s">
        <v>2735</v>
      </c>
    </row>
    <row r="697" spans="1:4" s="948" customFormat="1" ht="11.25" customHeight="1" x14ac:dyDescent="0.2">
      <c r="A697" s="1471"/>
      <c r="B697" s="947">
        <v>380</v>
      </c>
      <c r="C697" s="947">
        <v>380</v>
      </c>
      <c r="D697" s="880" t="s">
        <v>2886</v>
      </c>
    </row>
    <row r="698" spans="1:4" s="948" customFormat="1" ht="11.25" customHeight="1" x14ac:dyDescent="0.2">
      <c r="A698" s="1473"/>
      <c r="B698" s="950">
        <v>4674</v>
      </c>
      <c r="C698" s="950">
        <v>4674</v>
      </c>
      <c r="D698" s="886" t="s">
        <v>11</v>
      </c>
    </row>
    <row r="699" spans="1:4" s="948" customFormat="1" ht="11.25" customHeight="1" x14ac:dyDescent="0.2">
      <c r="A699" s="1471" t="s">
        <v>3086</v>
      </c>
      <c r="B699" s="947">
        <v>1040</v>
      </c>
      <c r="C699" s="947">
        <v>1040</v>
      </c>
      <c r="D699" s="880" t="s">
        <v>2735</v>
      </c>
    </row>
    <row r="700" spans="1:4" s="948" customFormat="1" ht="11.25" customHeight="1" x14ac:dyDescent="0.2">
      <c r="A700" s="1471"/>
      <c r="B700" s="947">
        <v>1040</v>
      </c>
      <c r="C700" s="947">
        <v>1040</v>
      </c>
      <c r="D700" s="880" t="s">
        <v>11</v>
      </c>
    </row>
    <row r="701" spans="1:4" s="948" customFormat="1" ht="11.25" customHeight="1" x14ac:dyDescent="0.2">
      <c r="A701" s="1472" t="s">
        <v>3087</v>
      </c>
      <c r="B701" s="949">
        <v>230</v>
      </c>
      <c r="C701" s="949">
        <v>230</v>
      </c>
      <c r="D701" s="882" t="s">
        <v>2735</v>
      </c>
    </row>
    <row r="702" spans="1:4" s="948" customFormat="1" ht="11.25" customHeight="1" x14ac:dyDescent="0.2">
      <c r="A702" s="1473"/>
      <c r="B702" s="950">
        <v>230</v>
      </c>
      <c r="C702" s="950">
        <v>230</v>
      </c>
      <c r="D702" s="886" t="s">
        <v>11</v>
      </c>
    </row>
    <row r="703" spans="1:4" s="948" customFormat="1" ht="11.25" customHeight="1" x14ac:dyDescent="0.2">
      <c r="A703" s="1471" t="s">
        <v>3088</v>
      </c>
      <c r="B703" s="947">
        <v>1740</v>
      </c>
      <c r="C703" s="947">
        <v>1740</v>
      </c>
      <c r="D703" s="880" t="s">
        <v>2735</v>
      </c>
    </row>
    <row r="704" spans="1:4" s="948" customFormat="1" ht="11.25" customHeight="1" x14ac:dyDescent="0.2">
      <c r="A704" s="1471"/>
      <c r="B704" s="947">
        <v>1740</v>
      </c>
      <c r="C704" s="947">
        <v>1740</v>
      </c>
      <c r="D704" s="880" t="s">
        <v>11</v>
      </c>
    </row>
    <row r="705" spans="1:4" s="948" customFormat="1" ht="11.25" customHeight="1" x14ac:dyDescent="0.2">
      <c r="A705" s="1472" t="s">
        <v>3089</v>
      </c>
      <c r="B705" s="949">
        <v>3192</v>
      </c>
      <c r="C705" s="949">
        <v>3192</v>
      </c>
      <c r="D705" s="882" t="s">
        <v>2735</v>
      </c>
    </row>
    <row r="706" spans="1:4" s="948" customFormat="1" ht="11.25" customHeight="1" x14ac:dyDescent="0.2">
      <c r="A706" s="1471"/>
      <c r="B706" s="947">
        <v>3328.1</v>
      </c>
      <c r="C706" s="947">
        <v>2916.8</v>
      </c>
      <c r="D706" s="880" t="s">
        <v>2739</v>
      </c>
    </row>
    <row r="707" spans="1:4" s="948" customFormat="1" ht="11.25" customHeight="1" x14ac:dyDescent="0.2">
      <c r="A707" s="1473"/>
      <c r="B707" s="950">
        <v>6520.1</v>
      </c>
      <c r="C707" s="950">
        <v>6108.8</v>
      </c>
      <c r="D707" s="886" t="s">
        <v>11</v>
      </c>
    </row>
    <row r="708" spans="1:4" s="948" customFormat="1" ht="11.25" customHeight="1" x14ac:dyDescent="0.2">
      <c r="A708" s="1471" t="s">
        <v>3090</v>
      </c>
      <c r="B708" s="947">
        <v>1593</v>
      </c>
      <c r="C708" s="947">
        <v>1593</v>
      </c>
      <c r="D708" s="880" t="s">
        <v>2735</v>
      </c>
    </row>
    <row r="709" spans="1:4" s="948" customFormat="1" ht="11.25" customHeight="1" x14ac:dyDescent="0.2">
      <c r="A709" s="1471"/>
      <c r="B709" s="947">
        <v>77</v>
      </c>
      <c r="C709" s="947">
        <v>77</v>
      </c>
      <c r="D709" s="880" t="s">
        <v>2893</v>
      </c>
    </row>
    <row r="710" spans="1:4" s="948" customFormat="1" ht="11.25" customHeight="1" x14ac:dyDescent="0.2">
      <c r="A710" s="1471"/>
      <c r="B710" s="947">
        <v>1670</v>
      </c>
      <c r="C710" s="947">
        <v>1670</v>
      </c>
      <c r="D710" s="880" t="s">
        <v>11</v>
      </c>
    </row>
    <row r="711" spans="1:4" s="948" customFormat="1" ht="11.25" customHeight="1" x14ac:dyDescent="0.2">
      <c r="A711" s="1472" t="s">
        <v>3091</v>
      </c>
      <c r="B711" s="949">
        <v>13276</v>
      </c>
      <c r="C711" s="949">
        <v>13276</v>
      </c>
      <c r="D711" s="882" t="s">
        <v>2735</v>
      </c>
    </row>
    <row r="712" spans="1:4" s="948" customFormat="1" ht="11.25" customHeight="1" x14ac:dyDescent="0.2">
      <c r="A712" s="1471"/>
      <c r="B712" s="947">
        <v>80</v>
      </c>
      <c r="C712" s="947">
        <v>80</v>
      </c>
      <c r="D712" s="880" t="s">
        <v>2893</v>
      </c>
    </row>
    <row r="713" spans="1:4" s="948" customFormat="1" ht="11.25" customHeight="1" x14ac:dyDescent="0.2">
      <c r="A713" s="1471"/>
      <c r="B713" s="947">
        <v>161</v>
      </c>
      <c r="C713" s="947">
        <v>161</v>
      </c>
      <c r="D713" s="880" t="s">
        <v>2886</v>
      </c>
    </row>
    <row r="714" spans="1:4" s="948" customFormat="1" ht="21" x14ac:dyDescent="0.2">
      <c r="A714" s="1471"/>
      <c r="B714" s="947">
        <v>216</v>
      </c>
      <c r="C714" s="947">
        <v>216</v>
      </c>
      <c r="D714" s="880" t="s">
        <v>2867</v>
      </c>
    </row>
    <row r="715" spans="1:4" s="948" customFormat="1" ht="21" x14ac:dyDescent="0.2">
      <c r="A715" s="1471"/>
      <c r="B715" s="947">
        <v>64</v>
      </c>
      <c r="C715" s="947">
        <v>64</v>
      </c>
      <c r="D715" s="880" t="s">
        <v>2750</v>
      </c>
    </row>
    <row r="716" spans="1:4" s="948" customFormat="1" ht="11.25" customHeight="1" x14ac:dyDescent="0.2">
      <c r="A716" s="1471"/>
      <c r="B716" s="947">
        <v>73.42</v>
      </c>
      <c r="C716" s="947">
        <v>0</v>
      </c>
      <c r="D716" s="880" t="s">
        <v>2739</v>
      </c>
    </row>
    <row r="717" spans="1:4" s="948" customFormat="1" ht="11.25" customHeight="1" x14ac:dyDescent="0.2">
      <c r="A717" s="1473"/>
      <c r="B717" s="950">
        <v>13870.42</v>
      </c>
      <c r="C717" s="950">
        <v>13797</v>
      </c>
      <c r="D717" s="886" t="s">
        <v>11</v>
      </c>
    </row>
    <row r="718" spans="1:4" s="948" customFormat="1" ht="11.25" customHeight="1" x14ac:dyDescent="0.2">
      <c r="A718" s="1471" t="s">
        <v>3092</v>
      </c>
      <c r="B718" s="947">
        <v>45</v>
      </c>
      <c r="C718" s="947">
        <v>45</v>
      </c>
      <c r="D718" s="880" t="s">
        <v>2956</v>
      </c>
    </row>
    <row r="719" spans="1:4" s="948" customFormat="1" ht="11.25" customHeight="1" x14ac:dyDescent="0.2">
      <c r="A719" s="1471"/>
      <c r="B719" s="947">
        <v>25915</v>
      </c>
      <c r="C719" s="947">
        <v>25915</v>
      </c>
      <c r="D719" s="880" t="s">
        <v>2735</v>
      </c>
    </row>
    <row r="720" spans="1:4" s="948" customFormat="1" ht="11.25" customHeight="1" x14ac:dyDescent="0.2">
      <c r="A720" s="1471"/>
      <c r="B720" s="947">
        <v>145</v>
      </c>
      <c r="C720" s="947">
        <v>145</v>
      </c>
      <c r="D720" s="880" t="s">
        <v>2893</v>
      </c>
    </row>
    <row r="721" spans="1:4" s="948" customFormat="1" ht="11.25" customHeight="1" x14ac:dyDescent="0.2">
      <c r="A721" s="1471"/>
      <c r="B721" s="947">
        <v>1683.1</v>
      </c>
      <c r="C721" s="947">
        <v>1683.1</v>
      </c>
      <c r="D721" s="880" t="s">
        <v>2739</v>
      </c>
    </row>
    <row r="722" spans="1:4" s="948" customFormat="1" ht="11.25" customHeight="1" x14ac:dyDescent="0.2">
      <c r="A722" s="1471"/>
      <c r="B722" s="947">
        <v>27788.1</v>
      </c>
      <c r="C722" s="947">
        <v>27788.1</v>
      </c>
      <c r="D722" s="880" t="s">
        <v>11</v>
      </c>
    </row>
    <row r="723" spans="1:4" s="948" customFormat="1" ht="11.25" customHeight="1" x14ac:dyDescent="0.2">
      <c r="A723" s="1472" t="s">
        <v>3093</v>
      </c>
      <c r="B723" s="949">
        <v>120</v>
      </c>
      <c r="C723" s="949">
        <v>120</v>
      </c>
      <c r="D723" s="882" t="s">
        <v>2899</v>
      </c>
    </row>
    <row r="724" spans="1:4" s="948" customFormat="1" ht="11.25" customHeight="1" x14ac:dyDescent="0.2">
      <c r="A724" s="1471"/>
      <c r="B724" s="947">
        <v>2544</v>
      </c>
      <c r="C724" s="947">
        <v>2544</v>
      </c>
      <c r="D724" s="880" t="s">
        <v>2735</v>
      </c>
    </row>
    <row r="725" spans="1:4" s="948" customFormat="1" ht="11.25" customHeight="1" x14ac:dyDescent="0.2">
      <c r="A725" s="1471"/>
      <c r="B725" s="947">
        <v>81.8</v>
      </c>
      <c r="C725" s="947">
        <v>62</v>
      </c>
      <c r="D725" s="880" t="s">
        <v>2739</v>
      </c>
    </row>
    <row r="726" spans="1:4" s="948" customFormat="1" ht="11.25" customHeight="1" x14ac:dyDescent="0.2">
      <c r="A726" s="1473"/>
      <c r="B726" s="950">
        <v>2745.8</v>
      </c>
      <c r="C726" s="950">
        <v>2726</v>
      </c>
      <c r="D726" s="886" t="s">
        <v>11</v>
      </c>
    </row>
    <row r="727" spans="1:4" s="948" customFormat="1" ht="11.25" customHeight="1" x14ac:dyDescent="0.2">
      <c r="A727" s="1472" t="s">
        <v>3094</v>
      </c>
      <c r="B727" s="949">
        <v>2039</v>
      </c>
      <c r="C727" s="949">
        <v>2039</v>
      </c>
      <c r="D727" s="882" t="s">
        <v>2735</v>
      </c>
    </row>
    <row r="728" spans="1:4" s="948" customFormat="1" ht="21" x14ac:dyDescent="0.2">
      <c r="A728" s="1471"/>
      <c r="B728" s="947">
        <v>452.5</v>
      </c>
      <c r="C728" s="947">
        <v>452.5</v>
      </c>
      <c r="D728" s="880" t="s">
        <v>2867</v>
      </c>
    </row>
    <row r="729" spans="1:4" s="948" customFormat="1" ht="11.25" customHeight="1" x14ac:dyDescent="0.2">
      <c r="A729" s="1473"/>
      <c r="B729" s="950">
        <v>2491.5</v>
      </c>
      <c r="C729" s="950">
        <v>2491.5</v>
      </c>
      <c r="D729" s="886" t="s">
        <v>11</v>
      </c>
    </row>
    <row r="730" spans="1:4" s="948" customFormat="1" ht="11.25" customHeight="1" x14ac:dyDescent="0.2">
      <c r="A730" s="1472" t="s">
        <v>3095</v>
      </c>
      <c r="B730" s="949">
        <v>63</v>
      </c>
      <c r="C730" s="949">
        <v>63</v>
      </c>
      <c r="D730" s="882" t="s">
        <v>2899</v>
      </c>
    </row>
    <row r="731" spans="1:4" s="948" customFormat="1" ht="11.25" customHeight="1" x14ac:dyDescent="0.2">
      <c r="A731" s="1471"/>
      <c r="B731" s="947">
        <v>871</v>
      </c>
      <c r="C731" s="947">
        <v>871</v>
      </c>
      <c r="D731" s="880" t="s">
        <v>2735</v>
      </c>
    </row>
    <row r="732" spans="1:4" s="948" customFormat="1" ht="11.25" customHeight="1" x14ac:dyDescent="0.2">
      <c r="A732" s="1473"/>
      <c r="B732" s="950">
        <v>934</v>
      </c>
      <c r="C732" s="950">
        <v>934</v>
      </c>
      <c r="D732" s="886" t="s">
        <v>11</v>
      </c>
    </row>
    <row r="733" spans="1:4" s="948" customFormat="1" ht="11.25" customHeight="1" x14ac:dyDescent="0.2">
      <c r="A733" s="1471" t="s">
        <v>3096</v>
      </c>
      <c r="B733" s="947">
        <v>287.89999999999998</v>
      </c>
      <c r="C733" s="947">
        <v>143.94999999999999</v>
      </c>
      <c r="D733" s="880" t="s">
        <v>2862</v>
      </c>
    </row>
    <row r="734" spans="1:4" s="948" customFormat="1" ht="11.25" customHeight="1" x14ac:dyDescent="0.2">
      <c r="A734" s="1471"/>
      <c r="B734" s="947">
        <v>757.79</v>
      </c>
      <c r="C734" s="947">
        <v>757.74617999999998</v>
      </c>
      <c r="D734" s="880" t="s">
        <v>2618</v>
      </c>
    </row>
    <row r="735" spans="1:4" s="948" customFormat="1" ht="11.25" customHeight="1" x14ac:dyDescent="0.2">
      <c r="A735" s="1471"/>
      <c r="B735" s="947">
        <v>1045.69</v>
      </c>
      <c r="C735" s="947">
        <v>901.69617999999991</v>
      </c>
      <c r="D735" s="880" t="s">
        <v>11</v>
      </c>
    </row>
    <row r="736" spans="1:4" s="948" customFormat="1" ht="11.25" customHeight="1" x14ac:dyDescent="0.2">
      <c r="A736" s="1472" t="s">
        <v>987</v>
      </c>
      <c r="B736" s="949">
        <v>30</v>
      </c>
      <c r="C736" s="949">
        <v>30</v>
      </c>
      <c r="D736" s="882" t="s">
        <v>978</v>
      </c>
    </row>
    <row r="737" spans="1:4" s="948" customFormat="1" ht="11.25" customHeight="1" x14ac:dyDescent="0.2">
      <c r="A737" s="1473"/>
      <c r="B737" s="950">
        <v>30</v>
      </c>
      <c r="C737" s="950">
        <v>30</v>
      </c>
      <c r="D737" s="886" t="s">
        <v>11</v>
      </c>
    </row>
    <row r="738" spans="1:4" s="948" customFormat="1" ht="11.25" customHeight="1" x14ac:dyDescent="0.2">
      <c r="A738" s="1471" t="s">
        <v>3097</v>
      </c>
      <c r="B738" s="947">
        <v>365</v>
      </c>
      <c r="C738" s="947">
        <v>14.829750000000001</v>
      </c>
      <c r="D738" s="880" t="s">
        <v>2862</v>
      </c>
    </row>
    <row r="739" spans="1:4" s="948" customFormat="1" ht="11.25" customHeight="1" x14ac:dyDescent="0.2">
      <c r="A739" s="1471"/>
      <c r="B739" s="947">
        <v>966</v>
      </c>
      <c r="C739" s="947">
        <v>0</v>
      </c>
      <c r="D739" s="880" t="s">
        <v>2842</v>
      </c>
    </row>
    <row r="740" spans="1:4" s="948" customFormat="1" ht="11.25" customHeight="1" x14ac:dyDescent="0.2">
      <c r="A740" s="1471"/>
      <c r="B740" s="947">
        <v>1331</v>
      </c>
      <c r="C740" s="947">
        <v>14.829750000000001</v>
      </c>
      <c r="D740" s="880" t="s">
        <v>11</v>
      </c>
    </row>
    <row r="741" spans="1:4" s="948" customFormat="1" ht="11.25" customHeight="1" x14ac:dyDescent="0.2">
      <c r="A741" s="1472" t="s">
        <v>3098</v>
      </c>
      <c r="B741" s="949">
        <v>49.2</v>
      </c>
      <c r="C741" s="949">
        <v>47.52</v>
      </c>
      <c r="D741" s="882" t="s">
        <v>2956</v>
      </c>
    </row>
    <row r="742" spans="1:4" s="948" customFormat="1" ht="11.25" customHeight="1" x14ac:dyDescent="0.2">
      <c r="A742" s="1473"/>
      <c r="B742" s="950">
        <v>49.2</v>
      </c>
      <c r="C742" s="950">
        <v>47.52</v>
      </c>
      <c r="D742" s="886" t="s">
        <v>11</v>
      </c>
    </row>
    <row r="743" spans="1:4" s="948" customFormat="1" ht="11.25" customHeight="1" x14ac:dyDescent="0.2">
      <c r="A743" s="1471" t="s">
        <v>3099</v>
      </c>
      <c r="B743" s="947">
        <v>300</v>
      </c>
      <c r="C743" s="947">
        <v>0</v>
      </c>
      <c r="D743" s="880" t="s">
        <v>2862</v>
      </c>
    </row>
    <row r="744" spans="1:4" s="948" customFormat="1" ht="11.25" customHeight="1" x14ac:dyDescent="0.2">
      <c r="A744" s="1471"/>
      <c r="B744" s="947">
        <v>989</v>
      </c>
      <c r="C744" s="947">
        <v>0</v>
      </c>
      <c r="D744" s="880" t="s">
        <v>2842</v>
      </c>
    </row>
    <row r="745" spans="1:4" s="948" customFormat="1" ht="11.25" customHeight="1" x14ac:dyDescent="0.2">
      <c r="A745" s="1471"/>
      <c r="B745" s="947">
        <v>1289</v>
      </c>
      <c r="C745" s="947">
        <v>0</v>
      </c>
      <c r="D745" s="880" t="s">
        <v>11</v>
      </c>
    </row>
    <row r="746" spans="1:4" s="948" customFormat="1" ht="11.25" customHeight="1" x14ac:dyDescent="0.2">
      <c r="A746" s="1472" t="s">
        <v>3100</v>
      </c>
      <c r="B746" s="949">
        <v>90.5</v>
      </c>
      <c r="C746" s="949">
        <v>90.322000000000003</v>
      </c>
      <c r="D746" s="882" t="s">
        <v>2747</v>
      </c>
    </row>
    <row r="747" spans="1:4" s="948" customFormat="1" ht="11.25" customHeight="1" x14ac:dyDescent="0.2">
      <c r="A747" s="1473"/>
      <c r="B747" s="950">
        <v>90.5</v>
      </c>
      <c r="C747" s="950">
        <v>90.322000000000003</v>
      </c>
      <c r="D747" s="886" t="s">
        <v>11</v>
      </c>
    </row>
    <row r="748" spans="1:4" s="948" customFormat="1" ht="11.25" customHeight="1" x14ac:dyDescent="0.2">
      <c r="A748" s="1471" t="s">
        <v>3101</v>
      </c>
      <c r="B748" s="947">
        <v>150</v>
      </c>
      <c r="C748" s="947">
        <v>150</v>
      </c>
      <c r="D748" s="880" t="s">
        <v>2738</v>
      </c>
    </row>
    <row r="749" spans="1:4" s="948" customFormat="1" ht="11.25" customHeight="1" x14ac:dyDescent="0.2">
      <c r="A749" s="1471"/>
      <c r="B749" s="947">
        <v>150</v>
      </c>
      <c r="C749" s="947">
        <v>150</v>
      </c>
      <c r="D749" s="880" t="s">
        <v>11</v>
      </c>
    </row>
    <row r="750" spans="1:4" s="948" customFormat="1" ht="11.25" customHeight="1" x14ac:dyDescent="0.2">
      <c r="A750" s="1472" t="s">
        <v>3102</v>
      </c>
      <c r="B750" s="949">
        <v>147.5</v>
      </c>
      <c r="C750" s="949">
        <v>147.5</v>
      </c>
      <c r="D750" s="882" t="s">
        <v>2862</v>
      </c>
    </row>
    <row r="751" spans="1:4" s="948" customFormat="1" ht="11.25" customHeight="1" x14ac:dyDescent="0.2">
      <c r="A751" s="1473"/>
      <c r="B751" s="950">
        <v>147.5</v>
      </c>
      <c r="C751" s="950">
        <v>147.5</v>
      </c>
      <c r="D751" s="886" t="s">
        <v>11</v>
      </c>
    </row>
    <row r="752" spans="1:4" s="948" customFormat="1" ht="11.25" customHeight="1" x14ac:dyDescent="0.2">
      <c r="A752" s="1471" t="s">
        <v>3103</v>
      </c>
      <c r="B752" s="947">
        <v>135</v>
      </c>
      <c r="C752" s="947">
        <v>100</v>
      </c>
      <c r="D752" s="880" t="s">
        <v>2862</v>
      </c>
    </row>
    <row r="753" spans="1:4" s="948" customFormat="1" ht="11.25" customHeight="1" x14ac:dyDescent="0.2">
      <c r="A753" s="1471"/>
      <c r="B753" s="947">
        <v>135</v>
      </c>
      <c r="C753" s="947">
        <v>100</v>
      </c>
      <c r="D753" s="880" t="s">
        <v>11</v>
      </c>
    </row>
    <row r="754" spans="1:4" s="948" customFormat="1" ht="11.25" customHeight="1" x14ac:dyDescent="0.2">
      <c r="A754" s="1472" t="s">
        <v>1034</v>
      </c>
      <c r="B754" s="949">
        <v>200</v>
      </c>
      <c r="C754" s="949">
        <v>200</v>
      </c>
      <c r="D754" s="882" t="s">
        <v>1030</v>
      </c>
    </row>
    <row r="755" spans="1:4" s="948" customFormat="1" ht="11.25" customHeight="1" x14ac:dyDescent="0.2">
      <c r="A755" s="1473"/>
      <c r="B755" s="950">
        <v>200</v>
      </c>
      <c r="C755" s="950">
        <v>200</v>
      </c>
      <c r="D755" s="886" t="s">
        <v>11</v>
      </c>
    </row>
    <row r="756" spans="1:4" s="948" customFormat="1" ht="11.25" customHeight="1" x14ac:dyDescent="0.2">
      <c r="A756" s="1471" t="s">
        <v>3104</v>
      </c>
      <c r="B756" s="947">
        <v>294</v>
      </c>
      <c r="C756" s="947">
        <v>147</v>
      </c>
      <c r="D756" s="880" t="s">
        <v>2862</v>
      </c>
    </row>
    <row r="757" spans="1:4" s="948" customFormat="1" ht="11.25" customHeight="1" x14ac:dyDescent="0.2">
      <c r="A757" s="1471"/>
      <c r="B757" s="947">
        <v>294</v>
      </c>
      <c r="C757" s="947">
        <v>147</v>
      </c>
      <c r="D757" s="880" t="s">
        <v>11</v>
      </c>
    </row>
    <row r="758" spans="1:4" s="948" customFormat="1" ht="11.25" customHeight="1" x14ac:dyDescent="0.2">
      <c r="A758" s="1472" t="s">
        <v>3105</v>
      </c>
      <c r="B758" s="949">
        <v>300</v>
      </c>
      <c r="C758" s="949">
        <v>150</v>
      </c>
      <c r="D758" s="882" t="s">
        <v>2862</v>
      </c>
    </row>
    <row r="759" spans="1:4" s="948" customFormat="1" ht="11.25" customHeight="1" x14ac:dyDescent="0.2">
      <c r="A759" s="1473"/>
      <c r="B759" s="950">
        <v>300</v>
      </c>
      <c r="C759" s="950">
        <v>150</v>
      </c>
      <c r="D759" s="886" t="s">
        <v>11</v>
      </c>
    </row>
    <row r="760" spans="1:4" s="948" customFormat="1" ht="11.25" customHeight="1" x14ac:dyDescent="0.2">
      <c r="A760" s="1471" t="s">
        <v>3106</v>
      </c>
      <c r="B760" s="947">
        <v>160</v>
      </c>
      <c r="C760" s="947">
        <v>160</v>
      </c>
      <c r="D760" s="880" t="s">
        <v>2745</v>
      </c>
    </row>
    <row r="761" spans="1:4" s="948" customFormat="1" ht="11.25" customHeight="1" x14ac:dyDescent="0.2">
      <c r="A761" s="1471"/>
      <c r="B761" s="947">
        <v>160</v>
      </c>
      <c r="C761" s="947">
        <v>160</v>
      </c>
      <c r="D761" s="880" t="s">
        <v>11</v>
      </c>
    </row>
    <row r="762" spans="1:4" s="948" customFormat="1" ht="11.25" customHeight="1" x14ac:dyDescent="0.2">
      <c r="A762" s="1472" t="s">
        <v>3107</v>
      </c>
      <c r="B762" s="949">
        <v>446.9</v>
      </c>
      <c r="C762" s="949">
        <v>298.2</v>
      </c>
      <c r="D762" s="882" t="s">
        <v>2862</v>
      </c>
    </row>
    <row r="763" spans="1:4" s="948" customFormat="1" ht="11.25" customHeight="1" x14ac:dyDescent="0.2">
      <c r="A763" s="1473"/>
      <c r="B763" s="950">
        <v>446.9</v>
      </c>
      <c r="C763" s="950">
        <v>298.2</v>
      </c>
      <c r="D763" s="886" t="s">
        <v>11</v>
      </c>
    </row>
    <row r="764" spans="1:4" s="948" customFormat="1" ht="11.25" customHeight="1" x14ac:dyDescent="0.2">
      <c r="A764" s="1471" t="s">
        <v>3108</v>
      </c>
      <c r="B764" s="947">
        <v>140</v>
      </c>
      <c r="C764" s="947">
        <v>70</v>
      </c>
      <c r="D764" s="880" t="s">
        <v>2862</v>
      </c>
    </row>
    <row r="765" spans="1:4" s="948" customFormat="1" ht="11.25" customHeight="1" x14ac:dyDescent="0.2">
      <c r="A765" s="1471"/>
      <c r="B765" s="947">
        <v>140</v>
      </c>
      <c r="C765" s="947">
        <v>70</v>
      </c>
      <c r="D765" s="880" t="s">
        <v>11</v>
      </c>
    </row>
    <row r="766" spans="1:4" s="948" customFormat="1" ht="11.25" customHeight="1" x14ac:dyDescent="0.2">
      <c r="A766" s="1472" t="s">
        <v>3109</v>
      </c>
      <c r="B766" s="949">
        <v>7762.65</v>
      </c>
      <c r="C766" s="949">
        <v>7762.6479999999992</v>
      </c>
      <c r="D766" s="882" t="s">
        <v>1458</v>
      </c>
    </row>
    <row r="767" spans="1:4" s="948" customFormat="1" ht="11.25" customHeight="1" x14ac:dyDescent="0.2">
      <c r="A767" s="1471"/>
      <c r="B767" s="947">
        <v>130.63999999999999</v>
      </c>
      <c r="C767" s="947">
        <v>130.63999999999999</v>
      </c>
      <c r="D767" s="880" t="s">
        <v>1454</v>
      </c>
    </row>
    <row r="768" spans="1:4" s="948" customFormat="1" ht="11.25" customHeight="1" x14ac:dyDescent="0.2">
      <c r="A768" s="1473"/>
      <c r="B768" s="950">
        <v>7893.29</v>
      </c>
      <c r="C768" s="950">
        <v>7893.2879999999996</v>
      </c>
      <c r="D768" s="886" t="s">
        <v>11</v>
      </c>
    </row>
    <row r="769" spans="1:4" s="948" customFormat="1" ht="11.25" customHeight="1" x14ac:dyDescent="0.2">
      <c r="A769" s="1471" t="s">
        <v>3110</v>
      </c>
      <c r="B769" s="947">
        <v>250</v>
      </c>
      <c r="C769" s="947">
        <v>0</v>
      </c>
      <c r="D769" s="880" t="s">
        <v>2747</v>
      </c>
    </row>
    <row r="770" spans="1:4" s="948" customFormat="1" ht="11.25" customHeight="1" x14ac:dyDescent="0.2">
      <c r="A770" s="1471"/>
      <c r="B770" s="947">
        <v>250</v>
      </c>
      <c r="C770" s="947">
        <v>0</v>
      </c>
      <c r="D770" s="880" t="s">
        <v>11</v>
      </c>
    </row>
    <row r="771" spans="1:4" s="948" customFormat="1" ht="11.25" customHeight="1" x14ac:dyDescent="0.2">
      <c r="A771" s="1472" t="s">
        <v>1009</v>
      </c>
      <c r="B771" s="949">
        <v>1300</v>
      </c>
      <c r="C771" s="949">
        <v>1300</v>
      </c>
      <c r="D771" s="882" t="s">
        <v>1007</v>
      </c>
    </row>
    <row r="772" spans="1:4" s="948" customFormat="1" ht="11.25" customHeight="1" x14ac:dyDescent="0.2">
      <c r="A772" s="1473"/>
      <c r="B772" s="950">
        <v>1300</v>
      </c>
      <c r="C772" s="950">
        <v>1300</v>
      </c>
      <c r="D772" s="886" t="s">
        <v>11</v>
      </c>
    </row>
    <row r="773" spans="1:4" s="948" customFormat="1" ht="11.25" customHeight="1" x14ac:dyDescent="0.2">
      <c r="A773" s="1471" t="s">
        <v>956</v>
      </c>
      <c r="B773" s="947">
        <v>1500</v>
      </c>
      <c r="C773" s="947">
        <v>1500</v>
      </c>
      <c r="D773" s="880" t="s">
        <v>951</v>
      </c>
    </row>
    <row r="774" spans="1:4" s="948" customFormat="1" ht="11.25" customHeight="1" x14ac:dyDescent="0.2">
      <c r="A774" s="1471"/>
      <c r="B774" s="947">
        <v>200</v>
      </c>
      <c r="C774" s="947">
        <v>200</v>
      </c>
      <c r="D774" s="880" t="s">
        <v>978</v>
      </c>
    </row>
    <row r="775" spans="1:4" s="948" customFormat="1" ht="11.25" customHeight="1" x14ac:dyDescent="0.2">
      <c r="A775" s="1471"/>
      <c r="B775" s="947">
        <v>1700</v>
      </c>
      <c r="C775" s="947">
        <v>1700</v>
      </c>
      <c r="D775" s="880" t="s">
        <v>11</v>
      </c>
    </row>
    <row r="776" spans="1:4" s="948" customFormat="1" ht="11.25" customHeight="1" x14ac:dyDescent="0.2">
      <c r="A776" s="1472" t="s">
        <v>1085</v>
      </c>
      <c r="B776" s="949">
        <v>50</v>
      </c>
      <c r="C776" s="949">
        <v>50</v>
      </c>
      <c r="D776" s="882" t="s">
        <v>3111</v>
      </c>
    </row>
    <row r="777" spans="1:4" s="948" customFormat="1" ht="11.25" customHeight="1" x14ac:dyDescent="0.2">
      <c r="A777" s="1473"/>
      <c r="B777" s="950">
        <v>50</v>
      </c>
      <c r="C777" s="950">
        <v>50</v>
      </c>
      <c r="D777" s="886" t="s">
        <v>11</v>
      </c>
    </row>
    <row r="778" spans="1:4" s="948" customFormat="1" ht="11.25" customHeight="1" x14ac:dyDescent="0.2">
      <c r="A778" s="1471" t="s">
        <v>3112</v>
      </c>
      <c r="B778" s="947">
        <v>299.89999999999998</v>
      </c>
      <c r="C778" s="947">
        <v>149.94999999999999</v>
      </c>
      <c r="D778" s="880" t="s">
        <v>2862</v>
      </c>
    </row>
    <row r="779" spans="1:4" s="948" customFormat="1" ht="11.25" customHeight="1" x14ac:dyDescent="0.2">
      <c r="A779" s="1471"/>
      <c r="B779" s="947">
        <v>299.89999999999998</v>
      </c>
      <c r="C779" s="947">
        <v>149.94999999999999</v>
      </c>
      <c r="D779" s="880" t="s">
        <v>11</v>
      </c>
    </row>
    <row r="780" spans="1:4" s="948" customFormat="1" ht="11.25" customHeight="1" x14ac:dyDescent="0.2">
      <c r="A780" s="1472" t="s">
        <v>3113</v>
      </c>
      <c r="B780" s="949">
        <v>151.19999999999999</v>
      </c>
      <c r="C780" s="949">
        <v>151.19999999999999</v>
      </c>
      <c r="D780" s="882" t="s">
        <v>2745</v>
      </c>
    </row>
    <row r="781" spans="1:4" s="948" customFormat="1" ht="11.25" customHeight="1" x14ac:dyDescent="0.2">
      <c r="A781" s="1473"/>
      <c r="B781" s="950">
        <v>151.19999999999999</v>
      </c>
      <c r="C781" s="950">
        <v>151.19999999999999</v>
      </c>
      <c r="D781" s="886" t="s">
        <v>11</v>
      </c>
    </row>
    <row r="782" spans="1:4" s="948" customFormat="1" ht="11.25" customHeight="1" x14ac:dyDescent="0.2">
      <c r="A782" s="1471" t="s">
        <v>3114</v>
      </c>
      <c r="B782" s="947">
        <v>282.8</v>
      </c>
      <c r="C782" s="947">
        <v>282.79031000000003</v>
      </c>
      <c r="D782" s="880" t="s">
        <v>2618</v>
      </c>
    </row>
    <row r="783" spans="1:4" s="948" customFormat="1" ht="11.25" customHeight="1" x14ac:dyDescent="0.2">
      <c r="A783" s="1471"/>
      <c r="B783" s="947">
        <v>282.8</v>
      </c>
      <c r="C783" s="947">
        <v>282.79031000000003</v>
      </c>
      <c r="D783" s="880" t="s">
        <v>11</v>
      </c>
    </row>
    <row r="784" spans="1:4" s="948" customFormat="1" ht="11.25" customHeight="1" x14ac:dyDescent="0.2">
      <c r="A784" s="1472" t="s">
        <v>3115</v>
      </c>
      <c r="B784" s="949">
        <v>62.5</v>
      </c>
      <c r="C784" s="949">
        <v>62.5</v>
      </c>
      <c r="D784" s="882" t="s">
        <v>2745</v>
      </c>
    </row>
    <row r="785" spans="1:4" s="948" customFormat="1" ht="11.25" customHeight="1" x14ac:dyDescent="0.2">
      <c r="A785" s="1473"/>
      <c r="B785" s="950">
        <v>62.5</v>
      </c>
      <c r="C785" s="950">
        <v>62.5</v>
      </c>
      <c r="D785" s="886" t="s">
        <v>11</v>
      </c>
    </row>
    <row r="786" spans="1:4" s="948" customFormat="1" ht="11.25" customHeight="1" x14ac:dyDescent="0.2">
      <c r="A786" s="1471" t="s">
        <v>1134</v>
      </c>
      <c r="B786" s="947">
        <v>30</v>
      </c>
      <c r="C786" s="947">
        <v>30</v>
      </c>
      <c r="D786" s="880" t="s">
        <v>1111</v>
      </c>
    </row>
    <row r="787" spans="1:4" s="948" customFormat="1" ht="11.25" customHeight="1" x14ac:dyDescent="0.2">
      <c r="A787" s="1471"/>
      <c r="B787" s="947">
        <v>30</v>
      </c>
      <c r="C787" s="947">
        <v>30</v>
      </c>
      <c r="D787" s="880" t="s">
        <v>11</v>
      </c>
    </row>
    <row r="788" spans="1:4" s="948" customFormat="1" ht="11.25" customHeight="1" x14ac:dyDescent="0.2">
      <c r="A788" s="1472" t="s">
        <v>3116</v>
      </c>
      <c r="B788" s="949">
        <v>2464</v>
      </c>
      <c r="C788" s="949">
        <v>2464</v>
      </c>
      <c r="D788" s="882" t="s">
        <v>2735</v>
      </c>
    </row>
    <row r="789" spans="1:4" s="948" customFormat="1" ht="11.25" customHeight="1" x14ac:dyDescent="0.2">
      <c r="A789" s="1471"/>
      <c r="B789" s="947">
        <v>24.8</v>
      </c>
      <c r="C789" s="947">
        <v>0</v>
      </c>
      <c r="D789" s="880" t="s">
        <v>2739</v>
      </c>
    </row>
    <row r="790" spans="1:4" s="948" customFormat="1" ht="11.25" customHeight="1" x14ac:dyDescent="0.2">
      <c r="A790" s="1473"/>
      <c r="B790" s="950">
        <v>2488.8000000000002</v>
      </c>
      <c r="C790" s="950">
        <v>2464</v>
      </c>
      <c r="D790" s="886" t="s">
        <v>11</v>
      </c>
    </row>
    <row r="791" spans="1:4" s="948" customFormat="1" ht="11.25" customHeight="1" x14ac:dyDescent="0.2">
      <c r="A791" s="1472" t="s">
        <v>4799</v>
      </c>
      <c r="B791" s="947">
        <v>40</v>
      </c>
      <c r="C791" s="947">
        <v>39.957800000000006</v>
      </c>
      <c r="D791" s="880" t="s">
        <v>1337</v>
      </c>
    </row>
    <row r="792" spans="1:4" s="948" customFormat="1" ht="11.25" customHeight="1" x14ac:dyDescent="0.2">
      <c r="A792" s="1473"/>
      <c r="B792" s="947">
        <v>40</v>
      </c>
      <c r="C792" s="947">
        <v>39.957800000000006</v>
      </c>
      <c r="D792" s="880" t="s">
        <v>11</v>
      </c>
    </row>
    <row r="793" spans="1:4" s="948" customFormat="1" ht="11.25" customHeight="1" x14ac:dyDescent="0.2">
      <c r="A793" s="1472" t="s">
        <v>3117</v>
      </c>
      <c r="B793" s="949">
        <v>20</v>
      </c>
      <c r="C793" s="949">
        <v>20</v>
      </c>
      <c r="D793" s="882" t="s">
        <v>2745</v>
      </c>
    </row>
    <row r="794" spans="1:4" s="948" customFormat="1" ht="11.25" customHeight="1" x14ac:dyDescent="0.2">
      <c r="A794" s="1471"/>
      <c r="B794" s="947">
        <v>35</v>
      </c>
      <c r="C794" s="947">
        <v>34.594999999999999</v>
      </c>
      <c r="D794" s="880" t="s">
        <v>2747</v>
      </c>
    </row>
    <row r="795" spans="1:4" s="948" customFormat="1" ht="11.25" customHeight="1" x14ac:dyDescent="0.2">
      <c r="A795" s="1473"/>
      <c r="B795" s="950">
        <v>55</v>
      </c>
      <c r="C795" s="950">
        <v>54.594999999999999</v>
      </c>
      <c r="D795" s="886" t="s">
        <v>11</v>
      </c>
    </row>
    <row r="796" spans="1:4" s="948" customFormat="1" ht="11.25" customHeight="1" x14ac:dyDescent="0.2">
      <c r="A796" s="1471" t="s">
        <v>3118</v>
      </c>
      <c r="B796" s="947">
        <v>340</v>
      </c>
      <c r="C796" s="947">
        <v>340</v>
      </c>
      <c r="D796" s="880" t="s">
        <v>2747</v>
      </c>
    </row>
    <row r="797" spans="1:4" s="948" customFormat="1" ht="11.25" customHeight="1" x14ac:dyDescent="0.2">
      <c r="A797" s="1471"/>
      <c r="B797" s="947">
        <v>340</v>
      </c>
      <c r="C797" s="947">
        <v>340</v>
      </c>
      <c r="D797" s="880" t="s">
        <v>11</v>
      </c>
    </row>
    <row r="798" spans="1:4" s="948" customFormat="1" ht="11.25" customHeight="1" x14ac:dyDescent="0.2">
      <c r="A798" s="1472" t="s">
        <v>3119</v>
      </c>
      <c r="B798" s="949">
        <v>89.15</v>
      </c>
      <c r="C798" s="949">
        <v>89.15</v>
      </c>
      <c r="D798" s="882" t="s">
        <v>2770</v>
      </c>
    </row>
    <row r="799" spans="1:4" s="948" customFormat="1" ht="11.25" customHeight="1" x14ac:dyDescent="0.2">
      <c r="A799" s="1473"/>
      <c r="B799" s="950">
        <v>89.15</v>
      </c>
      <c r="C799" s="950">
        <v>89.15</v>
      </c>
      <c r="D799" s="886" t="s">
        <v>11</v>
      </c>
    </row>
    <row r="800" spans="1:4" s="948" customFormat="1" ht="21" x14ac:dyDescent="0.2">
      <c r="A800" s="1471" t="s">
        <v>1086</v>
      </c>
      <c r="B800" s="947">
        <v>99</v>
      </c>
      <c r="C800" s="947">
        <v>99</v>
      </c>
      <c r="D800" s="880" t="s">
        <v>2737</v>
      </c>
    </row>
    <row r="801" spans="1:4" s="948" customFormat="1" ht="11.25" customHeight="1" x14ac:dyDescent="0.2">
      <c r="A801" s="1471"/>
      <c r="B801" s="947">
        <v>84</v>
      </c>
      <c r="C801" s="947">
        <v>13</v>
      </c>
      <c r="D801" s="880" t="s">
        <v>3120</v>
      </c>
    </row>
    <row r="802" spans="1:4" s="948" customFormat="1" ht="11.25" customHeight="1" x14ac:dyDescent="0.2">
      <c r="A802" s="1471"/>
      <c r="B802" s="947">
        <v>183</v>
      </c>
      <c r="C802" s="947">
        <v>112</v>
      </c>
      <c r="D802" s="880" t="s">
        <v>11</v>
      </c>
    </row>
    <row r="803" spans="1:4" s="948" customFormat="1" ht="11.25" customHeight="1" x14ac:dyDescent="0.2">
      <c r="A803" s="1472" t="s">
        <v>1135</v>
      </c>
      <c r="B803" s="949">
        <v>90</v>
      </c>
      <c r="C803" s="949">
        <v>90</v>
      </c>
      <c r="D803" s="882" t="s">
        <v>1111</v>
      </c>
    </row>
    <row r="804" spans="1:4" s="948" customFormat="1" ht="11.25" customHeight="1" x14ac:dyDescent="0.2">
      <c r="A804" s="1473"/>
      <c r="B804" s="950">
        <v>90</v>
      </c>
      <c r="C804" s="950">
        <v>90</v>
      </c>
      <c r="D804" s="886" t="s">
        <v>11</v>
      </c>
    </row>
    <row r="805" spans="1:4" s="948" customFormat="1" ht="11.25" customHeight="1" x14ac:dyDescent="0.2">
      <c r="A805" s="1471" t="s">
        <v>3121</v>
      </c>
      <c r="B805" s="947">
        <v>40</v>
      </c>
      <c r="C805" s="947">
        <v>38.057000000000002</v>
      </c>
      <c r="D805" s="880" t="s">
        <v>2745</v>
      </c>
    </row>
    <row r="806" spans="1:4" s="948" customFormat="1" ht="11.25" customHeight="1" x14ac:dyDescent="0.2">
      <c r="A806" s="1471"/>
      <c r="B806" s="947">
        <v>40</v>
      </c>
      <c r="C806" s="947">
        <v>38.057000000000002</v>
      </c>
      <c r="D806" s="880" t="s">
        <v>11</v>
      </c>
    </row>
    <row r="807" spans="1:4" s="948" customFormat="1" ht="11.25" customHeight="1" x14ac:dyDescent="0.2">
      <c r="A807" s="1472" t="s">
        <v>1136</v>
      </c>
      <c r="B807" s="949">
        <v>80</v>
      </c>
      <c r="C807" s="949">
        <v>80</v>
      </c>
      <c r="D807" s="882" t="s">
        <v>2745</v>
      </c>
    </row>
    <row r="808" spans="1:4" s="948" customFormat="1" ht="11.25" customHeight="1" x14ac:dyDescent="0.2">
      <c r="A808" s="1471"/>
      <c r="B808" s="947">
        <v>30</v>
      </c>
      <c r="C808" s="947">
        <v>30</v>
      </c>
      <c r="D808" s="880" t="s">
        <v>1111</v>
      </c>
    </row>
    <row r="809" spans="1:4" s="948" customFormat="1" ht="11.25" customHeight="1" x14ac:dyDescent="0.2">
      <c r="A809" s="1473"/>
      <c r="B809" s="950">
        <v>110</v>
      </c>
      <c r="C809" s="950">
        <v>110</v>
      </c>
      <c r="D809" s="886" t="s">
        <v>11</v>
      </c>
    </row>
    <row r="810" spans="1:4" s="948" customFormat="1" ht="11.25" customHeight="1" x14ac:dyDescent="0.2">
      <c r="A810" s="1471" t="s">
        <v>3122</v>
      </c>
      <c r="B810" s="947">
        <v>475</v>
      </c>
      <c r="C810" s="947">
        <v>137.5</v>
      </c>
      <c r="D810" s="880" t="s">
        <v>2862</v>
      </c>
    </row>
    <row r="811" spans="1:4" s="948" customFormat="1" ht="11.25" customHeight="1" x14ac:dyDescent="0.2">
      <c r="A811" s="1471"/>
      <c r="B811" s="947">
        <v>475</v>
      </c>
      <c r="C811" s="947">
        <v>137.5</v>
      </c>
      <c r="D811" s="880" t="s">
        <v>11</v>
      </c>
    </row>
    <row r="812" spans="1:4" s="948" customFormat="1" ht="11.25" customHeight="1" x14ac:dyDescent="0.2">
      <c r="A812" s="1472" t="s">
        <v>1137</v>
      </c>
      <c r="B812" s="949">
        <v>120</v>
      </c>
      <c r="C812" s="949">
        <v>120</v>
      </c>
      <c r="D812" s="882" t="s">
        <v>1111</v>
      </c>
    </row>
    <row r="813" spans="1:4" s="948" customFormat="1" ht="11.25" customHeight="1" x14ac:dyDescent="0.2">
      <c r="A813" s="1473"/>
      <c r="B813" s="950">
        <v>120</v>
      </c>
      <c r="C813" s="950">
        <v>120</v>
      </c>
      <c r="D813" s="886" t="s">
        <v>11</v>
      </c>
    </row>
    <row r="814" spans="1:4" s="948" customFormat="1" ht="11.25" customHeight="1" x14ac:dyDescent="0.2">
      <c r="A814" s="1471" t="s">
        <v>3123</v>
      </c>
      <c r="B814" s="947">
        <v>2645</v>
      </c>
      <c r="C814" s="947">
        <v>2645</v>
      </c>
      <c r="D814" s="880" t="s">
        <v>2735</v>
      </c>
    </row>
    <row r="815" spans="1:4" s="948" customFormat="1" ht="21" x14ac:dyDescent="0.2">
      <c r="A815" s="1471"/>
      <c r="B815" s="947">
        <v>200</v>
      </c>
      <c r="C815" s="947">
        <v>183.249</v>
      </c>
      <c r="D815" s="880" t="s">
        <v>2867</v>
      </c>
    </row>
    <row r="816" spans="1:4" s="948" customFormat="1" ht="11.25" customHeight="1" x14ac:dyDescent="0.2">
      <c r="A816" s="1471"/>
      <c r="B816" s="947">
        <v>1118.27</v>
      </c>
      <c r="C816" s="947">
        <v>905.3</v>
      </c>
      <c r="D816" s="880" t="s">
        <v>2739</v>
      </c>
    </row>
    <row r="817" spans="1:4" s="948" customFormat="1" ht="11.25" customHeight="1" x14ac:dyDescent="0.2">
      <c r="A817" s="1471"/>
      <c r="B817" s="947">
        <v>3963.27</v>
      </c>
      <c r="C817" s="947">
        <v>3733.549</v>
      </c>
      <c r="D817" s="880" t="s">
        <v>11</v>
      </c>
    </row>
    <row r="818" spans="1:4" s="948" customFormat="1" ht="11.25" customHeight="1" x14ac:dyDescent="0.2">
      <c r="A818" s="1472" t="s">
        <v>3124</v>
      </c>
      <c r="B818" s="949">
        <v>115.6</v>
      </c>
      <c r="C818" s="949">
        <v>115.6</v>
      </c>
      <c r="D818" s="882" t="s">
        <v>2745</v>
      </c>
    </row>
    <row r="819" spans="1:4" s="948" customFormat="1" ht="11.25" customHeight="1" x14ac:dyDescent="0.2">
      <c r="A819" s="1473"/>
      <c r="B819" s="950">
        <v>115.6</v>
      </c>
      <c r="C819" s="950">
        <v>115.6</v>
      </c>
      <c r="D819" s="886" t="s">
        <v>11</v>
      </c>
    </row>
    <row r="820" spans="1:4" s="948" customFormat="1" ht="11.25" customHeight="1" x14ac:dyDescent="0.2">
      <c r="A820" s="1471" t="s">
        <v>3125</v>
      </c>
      <c r="B820" s="947">
        <v>744.3</v>
      </c>
      <c r="C820" s="947">
        <v>492.036</v>
      </c>
      <c r="D820" s="880" t="s">
        <v>2747</v>
      </c>
    </row>
    <row r="821" spans="1:4" s="948" customFormat="1" ht="11.25" customHeight="1" x14ac:dyDescent="0.2">
      <c r="A821" s="1471"/>
      <c r="B821" s="947">
        <v>744.3</v>
      </c>
      <c r="C821" s="947">
        <v>492.036</v>
      </c>
      <c r="D821" s="880" t="s">
        <v>11</v>
      </c>
    </row>
    <row r="822" spans="1:4" s="948" customFormat="1" ht="11.25" customHeight="1" x14ac:dyDescent="0.2">
      <c r="A822" s="1472" t="s">
        <v>4799</v>
      </c>
      <c r="B822" s="949">
        <v>50</v>
      </c>
      <c r="C822" s="949">
        <v>50</v>
      </c>
      <c r="D822" s="882" t="s">
        <v>1006</v>
      </c>
    </row>
    <row r="823" spans="1:4" s="948" customFormat="1" ht="11.25" customHeight="1" x14ac:dyDescent="0.2">
      <c r="A823" s="1473"/>
      <c r="B823" s="950">
        <v>50</v>
      </c>
      <c r="C823" s="950">
        <v>50</v>
      </c>
      <c r="D823" s="886" t="s">
        <v>11</v>
      </c>
    </row>
    <row r="824" spans="1:4" s="948" customFormat="1" ht="11.25" customHeight="1" x14ac:dyDescent="0.2">
      <c r="A824" s="1471" t="s">
        <v>3126</v>
      </c>
      <c r="B824" s="947">
        <v>200</v>
      </c>
      <c r="C824" s="947">
        <v>199.61599999999999</v>
      </c>
      <c r="D824" s="880" t="s">
        <v>2747</v>
      </c>
    </row>
    <row r="825" spans="1:4" s="948" customFormat="1" ht="11.25" customHeight="1" x14ac:dyDescent="0.2">
      <c r="A825" s="1471"/>
      <c r="B825" s="947">
        <v>200</v>
      </c>
      <c r="C825" s="947">
        <v>199.61599999999999</v>
      </c>
      <c r="D825" s="880" t="s">
        <v>11</v>
      </c>
    </row>
    <row r="826" spans="1:4" s="948" customFormat="1" ht="21" x14ac:dyDescent="0.2">
      <c r="A826" s="1472" t="s">
        <v>1062</v>
      </c>
      <c r="B826" s="949">
        <v>73.2</v>
      </c>
      <c r="C826" s="949">
        <v>73.2</v>
      </c>
      <c r="D826" s="882" t="s">
        <v>2737</v>
      </c>
    </row>
    <row r="827" spans="1:4" s="948" customFormat="1" ht="11.25" customHeight="1" x14ac:dyDescent="0.2">
      <c r="A827" s="1471"/>
      <c r="B827" s="947">
        <v>160</v>
      </c>
      <c r="C827" s="947">
        <v>160</v>
      </c>
      <c r="D827" s="880" t="s">
        <v>2745</v>
      </c>
    </row>
    <row r="828" spans="1:4" s="948" customFormat="1" ht="11.25" customHeight="1" x14ac:dyDescent="0.2">
      <c r="A828" s="1471"/>
      <c r="B828" s="947">
        <v>50</v>
      </c>
      <c r="C828" s="947">
        <v>0</v>
      </c>
      <c r="D828" s="880" t="s">
        <v>1056</v>
      </c>
    </row>
    <row r="829" spans="1:4" s="948" customFormat="1" ht="11.25" customHeight="1" x14ac:dyDescent="0.2">
      <c r="A829" s="1471"/>
      <c r="B829" s="947">
        <v>180</v>
      </c>
      <c r="C829" s="947">
        <v>0</v>
      </c>
      <c r="D829" s="880" t="s">
        <v>1217</v>
      </c>
    </row>
    <row r="830" spans="1:4" s="948" customFormat="1" ht="11.25" customHeight="1" x14ac:dyDescent="0.2">
      <c r="A830" s="1471"/>
      <c r="B830" s="947">
        <v>150</v>
      </c>
      <c r="C830" s="947">
        <v>0</v>
      </c>
      <c r="D830" s="880" t="s">
        <v>1077</v>
      </c>
    </row>
    <row r="831" spans="1:4" s="948" customFormat="1" ht="11.25" customHeight="1" x14ac:dyDescent="0.2">
      <c r="A831" s="1471"/>
      <c r="B831" s="947">
        <v>700</v>
      </c>
      <c r="C831" s="947">
        <v>700</v>
      </c>
      <c r="D831" s="880" t="s">
        <v>1082</v>
      </c>
    </row>
    <row r="832" spans="1:4" s="948" customFormat="1" ht="11.25" customHeight="1" x14ac:dyDescent="0.2">
      <c r="A832" s="1473"/>
      <c r="B832" s="950">
        <v>1313.2</v>
      </c>
      <c r="C832" s="950">
        <v>933.2</v>
      </c>
      <c r="D832" s="886" t="s">
        <v>11</v>
      </c>
    </row>
    <row r="833" spans="1:4" s="948" customFormat="1" ht="11.25" customHeight="1" x14ac:dyDescent="0.2">
      <c r="A833" s="1472" t="s">
        <v>4799</v>
      </c>
      <c r="B833" s="947">
        <v>20</v>
      </c>
      <c r="C833" s="947">
        <v>19.998000000000001</v>
      </c>
      <c r="D833" s="880" t="s">
        <v>1337</v>
      </c>
    </row>
    <row r="834" spans="1:4" s="948" customFormat="1" ht="11.25" customHeight="1" x14ac:dyDescent="0.2">
      <c r="A834" s="1473"/>
      <c r="B834" s="947">
        <v>20</v>
      </c>
      <c r="C834" s="947">
        <v>19.998000000000001</v>
      </c>
      <c r="D834" s="880" t="s">
        <v>11</v>
      </c>
    </row>
    <row r="835" spans="1:4" s="948" customFormat="1" ht="11.25" customHeight="1" x14ac:dyDescent="0.2">
      <c r="A835" s="1472" t="s">
        <v>3127</v>
      </c>
      <c r="B835" s="949">
        <v>450</v>
      </c>
      <c r="C835" s="949">
        <v>75</v>
      </c>
      <c r="D835" s="882" t="s">
        <v>2736</v>
      </c>
    </row>
    <row r="836" spans="1:4" s="948" customFormat="1" ht="11.25" customHeight="1" x14ac:dyDescent="0.2">
      <c r="A836" s="1473"/>
      <c r="B836" s="950">
        <v>450</v>
      </c>
      <c r="C836" s="950">
        <v>75</v>
      </c>
      <c r="D836" s="886" t="s">
        <v>11</v>
      </c>
    </row>
    <row r="837" spans="1:4" s="948" customFormat="1" ht="11.25" customHeight="1" x14ac:dyDescent="0.2">
      <c r="A837" s="1471" t="s">
        <v>1010</v>
      </c>
      <c r="B837" s="947">
        <v>200</v>
      </c>
      <c r="C837" s="947">
        <v>200</v>
      </c>
      <c r="D837" s="880" t="s">
        <v>1007</v>
      </c>
    </row>
    <row r="838" spans="1:4" s="948" customFormat="1" ht="11.25" customHeight="1" x14ac:dyDescent="0.2">
      <c r="A838" s="1471"/>
      <c r="B838" s="947">
        <v>200</v>
      </c>
      <c r="C838" s="947">
        <v>200</v>
      </c>
      <c r="D838" s="880" t="s">
        <v>11</v>
      </c>
    </row>
    <row r="839" spans="1:4" s="948" customFormat="1" ht="11.25" customHeight="1" x14ac:dyDescent="0.2">
      <c r="A839" s="1472" t="s">
        <v>3128</v>
      </c>
      <c r="B839" s="949">
        <v>50</v>
      </c>
      <c r="C839" s="949">
        <v>50</v>
      </c>
      <c r="D839" s="882" t="s">
        <v>1056</v>
      </c>
    </row>
    <row r="840" spans="1:4" s="948" customFormat="1" ht="11.25" customHeight="1" x14ac:dyDescent="0.2">
      <c r="A840" s="1473"/>
      <c r="B840" s="950">
        <v>50</v>
      </c>
      <c r="C840" s="950">
        <v>50</v>
      </c>
      <c r="D840" s="886" t="s">
        <v>11</v>
      </c>
    </row>
    <row r="841" spans="1:4" s="948" customFormat="1" ht="11.25" customHeight="1" x14ac:dyDescent="0.2">
      <c r="A841" s="1471" t="s">
        <v>3129</v>
      </c>
      <c r="B841" s="947">
        <v>74</v>
      </c>
      <c r="C841" s="947">
        <v>74</v>
      </c>
      <c r="D841" s="880" t="s">
        <v>2893</v>
      </c>
    </row>
    <row r="842" spans="1:4" s="948" customFormat="1" ht="21" x14ac:dyDescent="0.2">
      <c r="A842" s="1471"/>
      <c r="B842" s="947">
        <v>36</v>
      </c>
      <c r="C842" s="947">
        <v>36</v>
      </c>
      <c r="D842" s="880" t="s">
        <v>2867</v>
      </c>
    </row>
    <row r="843" spans="1:4" s="948" customFormat="1" ht="11.25" customHeight="1" x14ac:dyDescent="0.2">
      <c r="A843" s="1471"/>
      <c r="B843" s="947">
        <v>110</v>
      </c>
      <c r="C843" s="947">
        <v>110</v>
      </c>
      <c r="D843" s="880" t="s">
        <v>11</v>
      </c>
    </row>
    <row r="844" spans="1:4" s="948" customFormat="1" ht="11.25" customHeight="1" x14ac:dyDescent="0.2">
      <c r="A844" s="1472" t="s">
        <v>3130</v>
      </c>
      <c r="B844" s="949">
        <v>12.7</v>
      </c>
      <c r="C844" s="949">
        <v>12.7</v>
      </c>
      <c r="D844" s="882" t="s">
        <v>2770</v>
      </c>
    </row>
    <row r="845" spans="1:4" s="948" customFormat="1" ht="11.25" customHeight="1" x14ac:dyDescent="0.2">
      <c r="A845" s="1473"/>
      <c r="B845" s="950">
        <v>12.7</v>
      </c>
      <c r="C845" s="950">
        <v>12.7</v>
      </c>
      <c r="D845" s="886" t="s">
        <v>11</v>
      </c>
    </row>
    <row r="846" spans="1:4" s="948" customFormat="1" ht="21" x14ac:dyDescent="0.2">
      <c r="A846" s="1471" t="s">
        <v>3131</v>
      </c>
      <c r="B846" s="947">
        <v>50</v>
      </c>
      <c r="C846" s="947">
        <v>50</v>
      </c>
      <c r="D846" s="880" t="s">
        <v>2737</v>
      </c>
    </row>
    <row r="847" spans="1:4" s="948" customFormat="1" ht="11.25" customHeight="1" x14ac:dyDescent="0.2">
      <c r="A847" s="1471"/>
      <c r="B847" s="947">
        <v>50</v>
      </c>
      <c r="C847" s="947">
        <v>50</v>
      </c>
      <c r="D847" s="880" t="s">
        <v>11</v>
      </c>
    </row>
    <row r="848" spans="1:4" s="948" customFormat="1" ht="11.25" customHeight="1" x14ac:dyDescent="0.2">
      <c r="A848" s="1472" t="s">
        <v>3132</v>
      </c>
      <c r="B848" s="949">
        <v>320</v>
      </c>
      <c r="C848" s="949">
        <v>320</v>
      </c>
      <c r="D848" s="882" t="s">
        <v>2745</v>
      </c>
    </row>
    <row r="849" spans="1:4" s="948" customFormat="1" ht="11.25" customHeight="1" x14ac:dyDescent="0.2">
      <c r="A849" s="1473"/>
      <c r="B849" s="950">
        <v>320</v>
      </c>
      <c r="C849" s="950">
        <v>320</v>
      </c>
      <c r="D849" s="886" t="s">
        <v>11</v>
      </c>
    </row>
    <row r="850" spans="1:4" s="948" customFormat="1" ht="11.25" customHeight="1" x14ac:dyDescent="0.2">
      <c r="A850" s="1471" t="s">
        <v>3133</v>
      </c>
      <c r="B850" s="947">
        <v>158.4</v>
      </c>
      <c r="C850" s="947">
        <v>158.4</v>
      </c>
      <c r="D850" s="880" t="s">
        <v>2745</v>
      </c>
    </row>
    <row r="851" spans="1:4" s="948" customFormat="1" ht="11.25" customHeight="1" x14ac:dyDescent="0.2">
      <c r="A851" s="1471"/>
      <c r="B851" s="947">
        <v>158.4</v>
      </c>
      <c r="C851" s="947">
        <v>158.4</v>
      </c>
      <c r="D851" s="880" t="s">
        <v>11</v>
      </c>
    </row>
    <row r="852" spans="1:4" s="948" customFormat="1" ht="11.25" customHeight="1" x14ac:dyDescent="0.2">
      <c r="A852" s="1472" t="s">
        <v>1018</v>
      </c>
      <c r="B852" s="949">
        <v>30</v>
      </c>
      <c r="C852" s="949">
        <v>30</v>
      </c>
      <c r="D852" s="882" t="s">
        <v>3134</v>
      </c>
    </row>
    <row r="853" spans="1:4" s="948" customFormat="1" ht="11.25" customHeight="1" x14ac:dyDescent="0.2">
      <c r="A853" s="1473"/>
      <c r="B853" s="950">
        <v>30</v>
      </c>
      <c r="C853" s="950">
        <v>30</v>
      </c>
      <c r="D853" s="886" t="s">
        <v>11</v>
      </c>
    </row>
    <row r="854" spans="1:4" s="948" customFormat="1" ht="11.25" customHeight="1" x14ac:dyDescent="0.2">
      <c r="A854" s="1471" t="s">
        <v>1176</v>
      </c>
      <c r="B854" s="947">
        <v>300</v>
      </c>
      <c r="C854" s="947">
        <v>300</v>
      </c>
      <c r="D854" s="880" t="s">
        <v>1173</v>
      </c>
    </row>
    <row r="855" spans="1:4" s="948" customFormat="1" ht="11.25" customHeight="1" x14ac:dyDescent="0.2">
      <c r="A855" s="1471"/>
      <c r="B855" s="947">
        <v>300</v>
      </c>
      <c r="C855" s="947">
        <v>300</v>
      </c>
      <c r="D855" s="880" t="s">
        <v>11</v>
      </c>
    </row>
    <row r="856" spans="1:4" s="948" customFormat="1" ht="11.25" customHeight="1" x14ac:dyDescent="0.2">
      <c r="A856" s="1472" t="s">
        <v>3135</v>
      </c>
      <c r="B856" s="949">
        <v>120</v>
      </c>
      <c r="C856" s="949">
        <v>120</v>
      </c>
      <c r="D856" s="882" t="s">
        <v>2745</v>
      </c>
    </row>
    <row r="857" spans="1:4" s="948" customFormat="1" ht="11.25" customHeight="1" x14ac:dyDescent="0.2">
      <c r="A857" s="1473"/>
      <c r="B857" s="950">
        <v>120</v>
      </c>
      <c r="C857" s="950">
        <v>120</v>
      </c>
      <c r="D857" s="886" t="s">
        <v>11</v>
      </c>
    </row>
    <row r="858" spans="1:4" s="948" customFormat="1" ht="11.25" customHeight="1" x14ac:dyDescent="0.2">
      <c r="A858" s="1471" t="s">
        <v>3136</v>
      </c>
      <c r="B858" s="947">
        <v>73.2</v>
      </c>
      <c r="C858" s="947">
        <v>65.146000000000001</v>
      </c>
      <c r="D858" s="880" t="s">
        <v>2749</v>
      </c>
    </row>
    <row r="859" spans="1:4" s="948" customFormat="1" ht="11.25" customHeight="1" x14ac:dyDescent="0.2">
      <c r="A859" s="1471"/>
      <c r="B859" s="947">
        <v>73.2</v>
      </c>
      <c r="C859" s="947">
        <v>65.146000000000001</v>
      </c>
      <c r="D859" s="880" t="s">
        <v>11</v>
      </c>
    </row>
    <row r="860" spans="1:4" s="948" customFormat="1" ht="11.25" customHeight="1" x14ac:dyDescent="0.2">
      <c r="A860" s="1472" t="s">
        <v>957</v>
      </c>
      <c r="B860" s="949">
        <v>140</v>
      </c>
      <c r="C860" s="949">
        <v>140</v>
      </c>
      <c r="D860" s="882" t="s">
        <v>951</v>
      </c>
    </row>
    <row r="861" spans="1:4" s="948" customFormat="1" ht="11.25" customHeight="1" x14ac:dyDescent="0.2">
      <c r="A861" s="1473"/>
      <c r="B861" s="950">
        <v>140</v>
      </c>
      <c r="C861" s="950">
        <v>140</v>
      </c>
      <c r="D861" s="886" t="s">
        <v>11</v>
      </c>
    </row>
    <row r="862" spans="1:4" s="948" customFormat="1" ht="11.25" customHeight="1" x14ac:dyDescent="0.2">
      <c r="A862" s="1471" t="s">
        <v>3137</v>
      </c>
      <c r="B862" s="947">
        <v>12</v>
      </c>
      <c r="C862" s="947">
        <v>12</v>
      </c>
      <c r="D862" s="880" t="s">
        <v>2734</v>
      </c>
    </row>
    <row r="863" spans="1:4" s="948" customFormat="1" ht="11.25" customHeight="1" x14ac:dyDescent="0.2">
      <c r="A863" s="1471"/>
      <c r="B863" s="947">
        <v>12</v>
      </c>
      <c r="C863" s="947">
        <v>12</v>
      </c>
      <c r="D863" s="880" t="s">
        <v>11</v>
      </c>
    </row>
    <row r="864" spans="1:4" s="948" customFormat="1" ht="11.25" customHeight="1" x14ac:dyDescent="0.2">
      <c r="A864" s="1472" t="s">
        <v>1064</v>
      </c>
      <c r="B864" s="949">
        <v>54.5</v>
      </c>
      <c r="C864" s="949">
        <v>0</v>
      </c>
      <c r="D864" s="882" t="s">
        <v>1056</v>
      </c>
    </row>
    <row r="865" spans="1:4" s="948" customFormat="1" ht="11.25" customHeight="1" x14ac:dyDescent="0.2">
      <c r="A865" s="1473"/>
      <c r="B865" s="950">
        <v>54.5</v>
      </c>
      <c r="C865" s="950">
        <v>0</v>
      </c>
      <c r="D865" s="886" t="s">
        <v>11</v>
      </c>
    </row>
    <row r="866" spans="1:4" s="948" customFormat="1" ht="11.25" customHeight="1" x14ac:dyDescent="0.2">
      <c r="A866" s="1472" t="s">
        <v>3138</v>
      </c>
      <c r="B866" s="949">
        <v>102.8</v>
      </c>
      <c r="C866" s="949">
        <v>102.8</v>
      </c>
      <c r="D866" s="882" t="s">
        <v>2745</v>
      </c>
    </row>
    <row r="867" spans="1:4" s="948" customFormat="1" ht="11.25" customHeight="1" x14ac:dyDescent="0.2">
      <c r="A867" s="1473"/>
      <c r="B867" s="950">
        <v>102.8</v>
      </c>
      <c r="C867" s="950">
        <v>102.8</v>
      </c>
      <c r="D867" s="886" t="s">
        <v>11</v>
      </c>
    </row>
    <row r="868" spans="1:4" s="948" customFormat="1" ht="11.25" customHeight="1" x14ac:dyDescent="0.2">
      <c r="A868" s="1471" t="s">
        <v>3139</v>
      </c>
      <c r="B868" s="947">
        <v>35</v>
      </c>
      <c r="C868" s="947">
        <v>35</v>
      </c>
      <c r="D868" s="880" t="s">
        <v>2741</v>
      </c>
    </row>
    <row r="869" spans="1:4" s="948" customFormat="1" ht="11.25" customHeight="1" x14ac:dyDescent="0.2">
      <c r="A869" s="1471"/>
      <c r="B869" s="947">
        <v>35</v>
      </c>
      <c r="C869" s="947">
        <v>35</v>
      </c>
      <c r="D869" s="880" t="s">
        <v>11</v>
      </c>
    </row>
    <row r="870" spans="1:4" s="948" customFormat="1" ht="11.25" customHeight="1" x14ac:dyDescent="0.2">
      <c r="A870" s="1472" t="s">
        <v>3140</v>
      </c>
      <c r="B870" s="949">
        <v>82.4</v>
      </c>
      <c r="C870" s="949">
        <v>78.664600000000007</v>
      </c>
      <c r="D870" s="882" t="s">
        <v>2744</v>
      </c>
    </row>
    <row r="871" spans="1:4" s="948" customFormat="1" ht="11.25" customHeight="1" x14ac:dyDescent="0.2">
      <c r="A871" s="1473"/>
      <c r="B871" s="950">
        <v>82.4</v>
      </c>
      <c r="C871" s="950">
        <v>78.664600000000007</v>
      </c>
      <c r="D871" s="886" t="s">
        <v>11</v>
      </c>
    </row>
    <row r="872" spans="1:4" s="948" customFormat="1" ht="11.25" customHeight="1" x14ac:dyDescent="0.2">
      <c r="A872" s="1471" t="s">
        <v>3141</v>
      </c>
      <c r="B872" s="947">
        <v>113.2</v>
      </c>
      <c r="C872" s="947">
        <v>113.2</v>
      </c>
      <c r="D872" s="880" t="s">
        <v>2741</v>
      </c>
    </row>
    <row r="873" spans="1:4" s="948" customFormat="1" ht="11.25" customHeight="1" x14ac:dyDescent="0.2">
      <c r="A873" s="1471"/>
      <c r="B873" s="947">
        <v>113.2</v>
      </c>
      <c r="C873" s="947">
        <v>113.2</v>
      </c>
      <c r="D873" s="880" t="s">
        <v>11</v>
      </c>
    </row>
    <row r="874" spans="1:4" s="948" customFormat="1" ht="11.25" customHeight="1" x14ac:dyDescent="0.2">
      <c r="A874" s="1472" t="s">
        <v>3142</v>
      </c>
      <c r="B874" s="949">
        <v>6717</v>
      </c>
      <c r="C874" s="949">
        <v>6717</v>
      </c>
      <c r="D874" s="882" t="s">
        <v>2735</v>
      </c>
    </row>
    <row r="875" spans="1:4" s="948" customFormat="1" ht="11.25" customHeight="1" x14ac:dyDescent="0.2">
      <c r="A875" s="1473"/>
      <c r="B875" s="950">
        <v>6717</v>
      </c>
      <c r="C875" s="950">
        <v>6717</v>
      </c>
      <c r="D875" s="886" t="s">
        <v>11</v>
      </c>
    </row>
    <row r="876" spans="1:4" s="948" customFormat="1" ht="11.25" customHeight="1" x14ac:dyDescent="0.2">
      <c r="A876" s="1471" t="s">
        <v>3143</v>
      </c>
      <c r="B876" s="947">
        <v>3260.61</v>
      </c>
      <c r="C876" s="947">
        <v>3100.59229</v>
      </c>
      <c r="D876" s="880" t="s">
        <v>3144</v>
      </c>
    </row>
    <row r="877" spans="1:4" s="948" customFormat="1" ht="11.25" customHeight="1" x14ac:dyDescent="0.2">
      <c r="A877" s="1471"/>
      <c r="B877" s="947">
        <v>3260.61</v>
      </c>
      <c r="C877" s="947">
        <v>3100.59229</v>
      </c>
      <c r="D877" s="880" t="s">
        <v>11</v>
      </c>
    </row>
    <row r="878" spans="1:4" s="948" customFormat="1" ht="11.25" customHeight="1" x14ac:dyDescent="0.2">
      <c r="A878" s="1472" t="s">
        <v>3145</v>
      </c>
      <c r="B878" s="949">
        <v>410.68</v>
      </c>
      <c r="C878" s="949">
        <v>410.66778999999997</v>
      </c>
      <c r="D878" s="882" t="s">
        <v>2618</v>
      </c>
    </row>
    <row r="879" spans="1:4" s="948" customFormat="1" ht="11.25" customHeight="1" x14ac:dyDescent="0.2">
      <c r="A879" s="1473"/>
      <c r="B879" s="950">
        <v>410.68</v>
      </c>
      <c r="C879" s="950">
        <v>410.66778999999997</v>
      </c>
      <c r="D879" s="886" t="s">
        <v>11</v>
      </c>
    </row>
    <row r="880" spans="1:4" s="948" customFormat="1" ht="11.25" customHeight="1" x14ac:dyDescent="0.2">
      <c r="A880" s="1471" t="s">
        <v>1065</v>
      </c>
      <c r="B880" s="947">
        <v>150</v>
      </c>
      <c r="C880" s="947">
        <v>50</v>
      </c>
      <c r="D880" s="880" t="s">
        <v>1056</v>
      </c>
    </row>
    <row r="881" spans="1:4" s="948" customFormat="1" ht="11.25" customHeight="1" x14ac:dyDescent="0.2">
      <c r="A881" s="1471"/>
      <c r="B881" s="947">
        <v>150</v>
      </c>
      <c r="C881" s="947">
        <v>50</v>
      </c>
      <c r="D881" s="880" t="s">
        <v>11</v>
      </c>
    </row>
    <row r="882" spans="1:4" s="948" customFormat="1" ht="11.25" customHeight="1" x14ac:dyDescent="0.2">
      <c r="A882" s="1472" t="s">
        <v>1035</v>
      </c>
      <c r="B882" s="949">
        <v>2112.39</v>
      </c>
      <c r="C882" s="949">
        <v>1897.4264299999998</v>
      </c>
      <c r="D882" s="882" t="s">
        <v>2608</v>
      </c>
    </row>
    <row r="883" spans="1:4" s="948" customFormat="1" ht="11.25" customHeight="1" x14ac:dyDescent="0.2">
      <c r="A883" s="1471"/>
      <c r="B883" s="947">
        <v>200</v>
      </c>
      <c r="C883" s="947">
        <v>200</v>
      </c>
      <c r="D883" s="880" t="s">
        <v>1030</v>
      </c>
    </row>
    <row r="884" spans="1:4" s="948" customFormat="1" ht="11.25" customHeight="1" x14ac:dyDescent="0.2">
      <c r="A884" s="1473"/>
      <c r="B884" s="950">
        <v>2312.39</v>
      </c>
      <c r="C884" s="950">
        <v>2097.4264299999995</v>
      </c>
      <c r="D884" s="886" t="s">
        <v>11</v>
      </c>
    </row>
    <row r="885" spans="1:4" s="948" customFormat="1" ht="11.25" customHeight="1" x14ac:dyDescent="0.2">
      <c r="A885" s="1471" t="s">
        <v>1092</v>
      </c>
      <c r="B885" s="947">
        <v>31</v>
      </c>
      <c r="C885" s="947">
        <v>31</v>
      </c>
      <c r="D885" s="880" t="s">
        <v>2745</v>
      </c>
    </row>
    <row r="886" spans="1:4" s="948" customFormat="1" ht="11.25" customHeight="1" x14ac:dyDescent="0.2">
      <c r="A886" s="1471"/>
      <c r="B886" s="947">
        <v>300</v>
      </c>
      <c r="C886" s="947">
        <v>299.94</v>
      </c>
      <c r="D886" s="880" t="s">
        <v>1091</v>
      </c>
    </row>
    <row r="887" spans="1:4" s="948" customFormat="1" ht="11.25" customHeight="1" x14ac:dyDescent="0.2">
      <c r="A887" s="1471"/>
      <c r="B887" s="947">
        <v>331</v>
      </c>
      <c r="C887" s="947">
        <v>330.94</v>
      </c>
      <c r="D887" s="880" t="s">
        <v>11</v>
      </c>
    </row>
    <row r="888" spans="1:4" s="948" customFormat="1" ht="11.25" customHeight="1" x14ac:dyDescent="0.2">
      <c r="A888" s="1472" t="s">
        <v>1215</v>
      </c>
      <c r="B888" s="949">
        <v>40</v>
      </c>
      <c r="C888" s="949">
        <v>39.865000000000002</v>
      </c>
      <c r="D888" s="882" t="s">
        <v>1214</v>
      </c>
    </row>
    <row r="889" spans="1:4" s="948" customFormat="1" ht="11.25" customHeight="1" x14ac:dyDescent="0.2">
      <c r="A889" s="1473"/>
      <c r="B889" s="950">
        <v>40</v>
      </c>
      <c r="C889" s="950">
        <v>39.865000000000002</v>
      </c>
      <c r="D889" s="886" t="s">
        <v>11</v>
      </c>
    </row>
    <row r="890" spans="1:4" s="948" customFormat="1" ht="11.25" customHeight="1" x14ac:dyDescent="0.2">
      <c r="A890" s="1471" t="s">
        <v>3146</v>
      </c>
      <c r="B890" s="947">
        <v>55</v>
      </c>
      <c r="C890" s="947">
        <v>55</v>
      </c>
      <c r="D890" s="880" t="s">
        <v>2745</v>
      </c>
    </row>
    <row r="891" spans="1:4" s="948" customFormat="1" ht="11.25" customHeight="1" x14ac:dyDescent="0.2">
      <c r="A891" s="1471"/>
      <c r="B891" s="947">
        <v>55</v>
      </c>
      <c r="C891" s="947">
        <v>55</v>
      </c>
      <c r="D891" s="880" t="s">
        <v>11</v>
      </c>
    </row>
    <row r="892" spans="1:4" s="948" customFormat="1" ht="11.25" customHeight="1" x14ac:dyDescent="0.2">
      <c r="A892" s="1472" t="s">
        <v>3147</v>
      </c>
      <c r="B892" s="949">
        <v>519</v>
      </c>
      <c r="C892" s="949">
        <v>519</v>
      </c>
      <c r="D892" s="882" t="s">
        <v>2735</v>
      </c>
    </row>
    <row r="893" spans="1:4" s="948" customFormat="1" ht="11.25" customHeight="1" x14ac:dyDescent="0.2">
      <c r="A893" s="1471"/>
      <c r="B893" s="947">
        <v>220</v>
      </c>
      <c r="C893" s="947">
        <v>220</v>
      </c>
      <c r="D893" s="880" t="s">
        <v>2817</v>
      </c>
    </row>
    <row r="894" spans="1:4" s="948" customFormat="1" ht="11.25" customHeight="1" x14ac:dyDescent="0.2">
      <c r="A894" s="1473"/>
      <c r="B894" s="950">
        <v>739</v>
      </c>
      <c r="C894" s="950">
        <v>739</v>
      </c>
      <c r="D894" s="886" t="s">
        <v>11</v>
      </c>
    </row>
    <row r="895" spans="1:4" s="948" customFormat="1" ht="11.25" customHeight="1" x14ac:dyDescent="0.2">
      <c r="A895" s="1471" t="s">
        <v>3148</v>
      </c>
      <c r="B895" s="947">
        <v>3675</v>
      </c>
      <c r="C895" s="947">
        <v>3675</v>
      </c>
      <c r="D895" s="880" t="s">
        <v>2735</v>
      </c>
    </row>
    <row r="896" spans="1:4" s="948" customFormat="1" ht="11.25" customHeight="1" x14ac:dyDescent="0.2">
      <c r="A896" s="1471"/>
      <c r="B896" s="947">
        <v>3675</v>
      </c>
      <c r="C896" s="947">
        <v>3675</v>
      </c>
      <c r="D896" s="880" t="s">
        <v>11</v>
      </c>
    </row>
    <row r="897" spans="1:4" s="948" customFormat="1" ht="11.25" customHeight="1" x14ac:dyDescent="0.2">
      <c r="A897" s="1472" t="s">
        <v>3149</v>
      </c>
      <c r="B897" s="949">
        <v>766</v>
      </c>
      <c r="C897" s="949">
        <v>766</v>
      </c>
      <c r="D897" s="882" t="s">
        <v>2735</v>
      </c>
    </row>
    <row r="898" spans="1:4" s="948" customFormat="1" ht="11.25" customHeight="1" x14ac:dyDescent="0.2">
      <c r="A898" s="1471"/>
      <c r="B898" s="947">
        <v>350</v>
      </c>
      <c r="C898" s="947">
        <v>350</v>
      </c>
      <c r="D898" s="880" t="s">
        <v>2817</v>
      </c>
    </row>
    <row r="899" spans="1:4" s="948" customFormat="1" ht="11.25" customHeight="1" x14ac:dyDescent="0.2">
      <c r="A899" s="1471"/>
      <c r="B899" s="947">
        <v>113.5</v>
      </c>
      <c r="C899" s="947">
        <v>14.5</v>
      </c>
      <c r="D899" s="880" t="s">
        <v>2739</v>
      </c>
    </row>
    <row r="900" spans="1:4" s="948" customFormat="1" ht="11.25" customHeight="1" x14ac:dyDescent="0.2">
      <c r="A900" s="1473"/>
      <c r="B900" s="950">
        <v>1229.5</v>
      </c>
      <c r="C900" s="950">
        <v>1130.5</v>
      </c>
      <c r="D900" s="886" t="s">
        <v>11</v>
      </c>
    </row>
    <row r="901" spans="1:4" s="948" customFormat="1" ht="11.25" customHeight="1" x14ac:dyDescent="0.2">
      <c r="A901" s="1471" t="s">
        <v>3150</v>
      </c>
      <c r="B901" s="947">
        <v>150</v>
      </c>
      <c r="C901" s="947">
        <v>150</v>
      </c>
      <c r="D901" s="880" t="s">
        <v>2738</v>
      </c>
    </row>
    <row r="902" spans="1:4" s="948" customFormat="1" ht="11.25" customHeight="1" x14ac:dyDescent="0.2">
      <c r="A902" s="1471"/>
      <c r="B902" s="947">
        <v>150</v>
      </c>
      <c r="C902" s="947">
        <v>150</v>
      </c>
      <c r="D902" s="880" t="s">
        <v>11</v>
      </c>
    </row>
    <row r="903" spans="1:4" s="948" customFormat="1" ht="11.25" customHeight="1" x14ac:dyDescent="0.2">
      <c r="A903" s="1472" t="s">
        <v>988</v>
      </c>
      <c r="B903" s="949">
        <v>30</v>
      </c>
      <c r="C903" s="949">
        <v>30</v>
      </c>
      <c r="D903" s="882" t="s">
        <v>978</v>
      </c>
    </row>
    <row r="904" spans="1:4" s="948" customFormat="1" ht="11.25" customHeight="1" x14ac:dyDescent="0.2">
      <c r="A904" s="1473"/>
      <c r="B904" s="950">
        <v>30</v>
      </c>
      <c r="C904" s="950">
        <v>30</v>
      </c>
      <c r="D904" s="886" t="s">
        <v>11</v>
      </c>
    </row>
    <row r="905" spans="1:4" s="948" customFormat="1" ht="11.25" customHeight="1" x14ac:dyDescent="0.2">
      <c r="A905" s="1471" t="s">
        <v>3151</v>
      </c>
      <c r="B905" s="947">
        <v>150</v>
      </c>
      <c r="C905" s="947">
        <v>150</v>
      </c>
      <c r="D905" s="880" t="s">
        <v>2862</v>
      </c>
    </row>
    <row r="906" spans="1:4" s="948" customFormat="1" ht="11.25" customHeight="1" x14ac:dyDescent="0.2">
      <c r="A906" s="1471"/>
      <c r="B906" s="947">
        <v>150</v>
      </c>
      <c r="C906" s="947">
        <v>150</v>
      </c>
      <c r="D906" s="880" t="s">
        <v>11</v>
      </c>
    </row>
    <row r="907" spans="1:4" s="948" customFormat="1" ht="11.25" customHeight="1" x14ac:dyDescent="0.2">
      <c r="A907" s="1472" t="s">
        <v>3152</v>
      </c>
      <c r="B907" s="949">
        <v>300</v>
      </c>
      <c r="C907" s="949">
        <v>150</v>
      </c>
      <c r="D907" s="882" t="s">
        <v>2862</v>
      </c>
    </row>
    <row r="908" spans="1:4" s="948" customFormat="1" ht="11.25" customHeight="1" x14ac:dyDescent="0.2">
      <c r="A908" s="1471"/>
      <c r="B908" s="947">
        <v>996.8</v>
      </c>
      <c r="C908" s="947">
        <v>0</v>
      </c>
      <c r="D908" s="880" t="s">
        <v>2842</v>
      </c>
    </row>
    <row r="909" spans="1:4" s="948" customFormat="1" ht="11.25" customHeight="1" x14ac:dyDescent="0.2">
      <c r="A909" s="1473"/>
      <c r="B909" s="950">
        <v>1296.8</v>
      </c>
      <c r="C909" s="950">
        <v>150</v>
      </c>
      <c r="D909" s="886" t="s">
        <v>11</v>
      </c>
    </row>
    <row r="910" spans="1:4" s="948" customFormat="1" ht="11.25" customHeight="1" x14ac:dyDescent="0.2">
      <c r="A910" s="1471" t="s">
        <v>3153</v>
      </c>
      <c r="B910" s="947">
        <v>496.3</v>
      </c>
      <c r="C910" s="947">
        <v>496.19140000000004</v>
      </c>
      <c r="D910" s="880" t="s">
        <v>2619</v>
      </c>
    </row>
    <row r="911" spans="1:4" s="948" customFormat="1" ht="11.25" customHeight="1" x14ac:dyDescent="0.2">
      <c r="A911" s="1471"/>
      <c r="B911" s="947">
        <v>496.3</v>
      </c>
      <c r="C911" s="947">
        <v>496.19140000000004</v>
      </c>
      <c r="D911" s="880" t="s">
        <v>11</v>
      </c>
    </row>
    <row r="912" spans="1:4" s="948" customFormat="1" ht="11.25" customHeight="1" x14ac:dyDescent="0.2">
      <c r="A912" s="1472" t="s">
        <v>3154</v>
      </c>
      <c r="B912" s="949">
        <v>442.1</v>
      </c>
      <c r="C912" s="949">
        <v>292.10000000000002</v>
      </c>
      <c r="D912" s="882" t="s">
        <v>2862</v>
      </c>
    </row>
    <row r="913" spans="1:4" s="948" customFormat="1" ht="11.25" customHeight="1" x14ac:dyDescent="0.2">
      <c r="A913" s="1473"/>
      <c r="B913" s="950">
        <v>442.1</v>
      </c>
      <c r="C913" s="950">
        <v>292.10000000000002</v>
      </c>
      <c r="D913" s="886" t="s">
        <v>11</v>
      </c>
    </row>
    <row r="914" spans="1:4" s="948" customFormat="1" ht="11.25" customHeight="1" x14ac:dyDescent="0.2">
      <c r="A914" s="1472" t="s">
        <v>3155</v>
      </c>
      <c r="B914" s="949">
        <v>4827</v>
      </c>
      <c r="C914" s="949">
        <v>4827</v>
      </c>
      <c r="D914" s="882" t="s">
        <v>2901</v>
      </c>
    </row>
    <row r="915" spans="1:4" s="948" customFormat="1" ht="11.25" customHeight="1" x14ac:dyDescent="0.2">
      <c r="A915" s="1473"/>
      <c r="B915" s="950">
        <v>4827</v>
      </c>
      <c r="C915" s="950">
        <v>4827</v>
      </c>
      <c r="D915" s="886" t="s">
        <v>11</v>
      </c>
    </row>
    <row r="916" spans="1:4" s="948" customFormat="1" ht="11.25" customHeight="1" x14ac:dyDescent="0.2">
      <c r="A916" s="1472" t="s">
        <v>3156</v>
      </c>
      <c r="B916" s="949">
        <v>280</v>
      </c>
      <c r="C916" s="949">
        <v>0</v>
      </c>
      <c r="D916" s="882" t="s">
        <v>2862</v>
      </c>
    </row>
    <row r="917" spans="1:4" s="948" customFormat="1" ht="11.25" customHeight="1" x14ac:dyDescent="0.2">
      <c r="A917" s="1473"/>
      <c r="B917" s="950">
        <v>280</v>
      </c>
      <c r="C917" s="950">
        <v>0</v>
      </c>
      <c r="D917" s="886" t="s">
        <v>11</v>
      </c>
    </row>
    <row r="918" spans="1:4" s="948" customFormat="1" ht="11.25" customHeight="1" x14ac:dyDescent="0.2">
      <c r="A918" s="1471" t="s">
        <v>3157</v>
      </c>
      <c r="B918" s="947">
        <v>126</v>
      </c>
      <c r="C918" s="947">
        <v>63</v>
      </c>
      <c r="D918" s="880" t="s">
        <v>2862</v>
      </c>
    </row>
    <row r="919" spans="1:4" s="948" customFormat="1" ht="11.25" customHeight="1" x14ac:dyDescent="0.2">
      <c r="A919" s="1471"/>
      <c r="B919" s="947">
        <v>126</v>
      </c>
      <c r="C919" s="947">
        <v>63</v>
      </c>
      <c r="D919" s="880" t="s">
        <v>11</v>
      </c>
    </row>
    <row r="920" spans="1:4" s="948" customFormat="1" ht="11.25" customHeight="1" x14ac:dyDescent="0.2">
      <c r="A920" s="1472" t="s">
        <v>3158</v>
      </c>
      <c r="B920" s="949">
        <v>1003</v>
      </c>
      <c r="C920" s="949">
        <v>1003</v>
      </c>
      <c r="D920" s="882" t="s">
        <v>2735</v>
      </c>
    </row>
    <row r="921" spans="1:4" s="948" customFormat="1" ht="11.25" customHeight="1" x14ac:dyDescent="0.2">
      <c r="A921" s="1473"/>
      <c r="B921" s="950">
        <v>1003</v>
      </c>
      <c r="C921" s="950">
        <v>1003</v>
      </c>
      <c r="D921" s="886" t="s">
        <v>11</v>
      </c>
    </row>
    <row r="922" spans="1:4" s="948" customFormat="1" ht="11.25" customHeight="1" x14ac:dyDescent="0.2">
      <c r="A922" s="1471" t="s">
        <v>3159</v>
      </c>
      <c r="B922" s="947">
        <v>519.01</v>
      </c>
      <c r="C922" s="947">
        <v>328.01299999999998</v>
      </c>
      <c r="D922" s="880" t="s">
        <v>2747</v>
      </c>
    </row>
    <row r="923" spans="1:4" s="948" customFormat="1" ht="11.25" customHeight="1" x14ac:dyDescent="0.2">
      <c r="A923" s="1471"/>
      <c r="B923" s="947">
        <v>519.01</v>
      </c>
      <c r="C923" s="947">
        <v>328.01299999999998</v>
      </c>
      <c r="D923" s="880" t="s">
        <v>11</v>
      </c>
    </row>
    <row r="924" spans="1:4" s="948" customFormat="1" ht="11.25" customHeight="1" x14ac:dyDescent="0.2">
      <c r="A924" s="1472" t="s">
        <v>3160</v>
      </c>
      <c r="B924" s="949">
        <v>1961.82</v>
      </c>
      <c r="C924" s="949">
        <v>1961.7881500000001</v>
      </c>
      <c r="D924" s="882" t="s">
        <v>2618</v>
      </c>
    </row>
    <row r="925" spans="1:4" s="948" customFormat="1" ht="11.25" customHeight="1" x14ac:dyDescent="0.2">
      <c r="A925" s="1473"/>
      <c r="B925" s="950">
        <v>1961.82</v>
      </c>
      <c r="C925" s="950">
        <v>1961.7881500000001</v>
      </c>
      <c r="D925" s="886" t="s">
        <v>11</v>
      </c>
    </row>
    <row r="926" spans="1:4" s="948" customFormat="1" ht="11.25" customHeight="1" x14ac:dyDescent="0.2">
      <c r="A926" s="1471" t="s">
        <v>3161</v>
      </c>
      <c r="B926" s="947">
        <v>196.65</v>
      </c>
      <c r="C926" s="947">
        <v>0</v>
      </c>
      <c r="D926" s="880" t="s">
        <v>2747</v>
      </c>
    </row>
    <row r="927" spans="1:4" s="948" customFormat="1" ht="11.25" customHeight="1" x14ac:dyDescent="0.2">
      <c r="A927" s="1471"/>
      <c r="B927" s="947">
        <v>196.65</v>
      </c>
      <c r="C927" s="947">
        <v>0</v>
      </c>
      <c r="D927" s="880" t="s">
        <v>11</v>
      </c>
    </row>
    <row r="928" spans="1:4" s="948" customFormat="1" ht="11.25" customHeight="1" x14ac:dyDescent="0.2">
      <c r="A928" s="1472" t="s">
        <v>3162</v>
      </c>
      <c r="B928" s="949">
        <v>637</v>
      </c>
      <c r="C928" s="949">
        <v>635.36983999999995</v>
      </c>
      <c r="D928" s="882" t="s">
        <v>3163</v>
      </c>
    </row>
    <row r="929" spans="1:4" s="948" customFormat="1" ht="11.25" customHeight="1" x14ac:dyDescent="0.2">
      <c r="A929" s="1471"/>
      <c r="B929" s="947">
        <v>3578.71</v>
      </c>
      <c r="C929" s="947">
        <v>3578.7058900000002</v>
      </c>
      <c r="D929" s="880" t="s">
        <v>3164</v>
      </c>
    </row>
    <row r="930" spans="1:4" s="948" customFormat="1" ht="11.25" customHeight="1" x14ac:dyDescent="0.2">
      <c r="A930" s="1473"/>
      <c r="B930" s="950">
        <v>4215.71</v>
      </c>
      <c r="C930" s="950">
        <v>4214.0757300000005</v>
      </c>
      <c r="D930" s="886" t="s">
        <v>11</v>
      </c>
    </row>
    <row r="931" spans="1:4" s="948" customFormat="1" ht="11.25" customHeight="1" x14ac:dyDescent="0.2">
      <c r="A931" s="1471" t="s">
        <v>3165</v>
      </c>
      <c r="B931" s="947">
        <v>256.03999999999996</v>
      </c>
      <c r="C931" s="947">
        <v>256.03500000000003</v>
      </c>
      <c r="D931" s="880" t="s">
        <v>2618</v>
      </c>
    </row>
    <row r="932" spans="1:4" s="948" customFormat="1" ht="11.25" customHeight="1" x14ac:dyDescent="0.2">
      <c r="A932" s="1471"/>
      <c r="B932" s="947">
        <v>256.03999999999996</v>
      </c>
      <c r="C932" s="947">
        <v>256.03500000000003</v>
      </c>
      <c r="D932" s="880" t="s">
        <v>11</v>
      </c>
    </row>
    <row r="933" spans="1:4" s="948" customFormat="1" ht="11.25" customHeight="1" x14ac:dyDescent="0.2">
      <c r="A933" s="1472" t="s">
        <v>3166</v>
      </c>
      <c r="B933" s="949">
        <v>150</v>
      </c>
      <c r="C933" s="949">
        <v>150</v>
      </c>
      <c r="D933" s="882" t="s">
        <v>2862</v>
      </c>
    </row>
    <row r="934" spans="1:4" s="948" customFormat="1" ht="11.25" customHeight="1" x14ac:dyDescent="0.2">
      <c r="A934" s="1471"/>
      <c r="B934" s="947">
        <v>42000</v>
      </c>
      <c r="C934" s="947">
        <v>42000</v>
      </c>
      <c r="D934" s="880" t="s">
        <v>3167</v>
      </c>
    </row>
    <row r="935" spans="1:4" s="948" customFormat="1" ht="11.25" customHeight="1" x14ac:dyDescent="0.2">
      <c r="A935" s="1473"/>
      <c r="B935" s="950">
        <v>42150</v>
      </c>
      <c r="C935" s="950">
        <v>42150</v>
      </c>
      <c r="D935" s="886" t="s">
        <v>11</v>
      </c>
    </row>
    <row r="936" spans="1:4" s="948" customFormat="1" ht="11.25" customHeight="1" x14ac:dyDescent="0.2">
      <c r="A936" s="1471" t="s">
        <v>3168</v>
      </c>
      <c r="B936" s="947">
        <v>233</v>
      </c>
      <c r="C936" s="947">
        <v>233</v>
      </c>
      <c r="D936" s="880" t="s">
        <v>2735</v>
      </c>
    </row>
    <row r="937" spans="1:4" s="948" customFormat="1" ht="11.25" customHeight="1" x14ac:dyDescent="0.2">
      <c r="A937" s="1471"/>
      <c r="B937" s="947">
        <v>233</v>
      </c>
      <c r="C937" s="947">
        <v>233</v>
      </c>
      <c r="D937" s="880" t="s">
        <v>11</v>
      </c>
    </row>
    <row r="938" spans="1:4" s="948" customFormat="1" ht="11.25" customHeight="1" x14ac:dyDescent="0.2">
      <c r="A938" s="1472" t="s">
        <v>1138</v>
      </c>
      <c r="B938" s="949">
        <v>30</v>
      </c>
      <c r="C938" s="949">
        <v>30</v>
      </c>
      <c r="D938" s="882" t="s">
        <v>1111</v>
      </c>
    </row>
    <row r="939" spans="1:4" s="948" customFormat="1" ht="11.25" customHeight="1" x14ac:dyDescent="0.2">
      <c r="A939" s="1473"/>
      <c r="B939" s="950">
        <v>30</v>
      </c>
      <c r="C939" s="950">
        <v>30</v>
      </c>
      <c r="D939" s="886" t="s">
        <v>11</v>
      </c>
    </row>
    <row r="940" spans="1:4" s="948" customFormat="1" ht="11.25" customHeight="1" x14ac:dyDescent="0.2">
      <c r="A940" s="1471" t="s">
        <v>3169</v>
      </c>
      <c r="B940" s="947">
        <v>1630.35</v>
      </c>
      <c r="C940" s="947">
        <v>1630.32863</v>
      </c>
      <c r="D940" s="880" t="s">
        <v>2618</v>
      </c>
    </row>
    <row r="941" spans="1:4" s="948" customFormat="1" ht="11.25" customHeight="1" x14ac:dyDescent="0.2">
      <c r="A941" s="1471"/>
      <c r="B941" s="947">
        <v>1630.35</v>
      </c>
      <c r="C941" s="947">
        <v>1630.32863</v>
      </c>
      <c r="D941" s="880" t="s">
        <v>11</v>
      </c>
    </row>
    <row r="942" spans="1:4" s="948" customFormat="1" ht="11.25" customHeight="1" x14ac:dyDescent="0.2">
      <c r="A942" s="1472" t="s">
        <v>3170</v>
      </c>
      <c r="B942" s="949">
        <v>613</v>
      </c>
      <c r="C942" s="949">
        <v>613</v>
      </c>
      <c r="D942" s="882" t="s">
        <v>2735</v>
      </c>
    </row>
    <row r="943" spans="1:4" s="948" customFormat="1" ht="11.25" customHeight="1" x14ac:dyDescent="0.2">
      <c r="A943" s="1473"/>
      <c r="B943" s="950">
        <v>613</v>
      </c>
      <c r="C943" s="950">
        <v>613</v>
      </c>
      <c r="D943" s="886" t="s">
        <v>11</v>
      </c>
    </row>
    <row r="944" spans="1:4" s="948" customFormat="1" ht="11.25" customHeight="1" x14ac:dyDescent="0.2">
      <c r="A944" s="1471" t="s">
        <v>3171</v>
      </c>
      <c r="B944" s="947">
        <v>299</v>
      </c>
      <c r="C944" s="947">
        <v>149.5</v>
      </c>
      <c r="D944" s="880" t="s">
        <v>2862</v>
      </c>
    </row>
    <row r="945" spans="1:4" s="948" customFormat="1" ht="11.25" customHeight="1" x14ac:dyDescent="0.2">
      <c r="A945" s="1471"/>
      <c r="B945" s="947">
        <v>299</v>
      </c>
      <c r="C945" s="947">
        <v>149.5</v>
      </c>
      <c r="D945" s="880" t="s">
        <v>11</v>
      </c>
    </row>
    <row r="946" spans="1:4" s="948" customFormat="1" ht="11.25" customHeight="1" x14ac:dyDescent="0.2">
      <c r="A946" s="1472" t="s">
        <v>1139</v>
      </c>
      <c r="B946" s="949">
        <v>64</v>
      </c>
      <c r="C946" s="949">
        <v>64</v>
      </c>
      <c r="D946" s="882" t="s">
        <v>1111</v>
      </c>
    </row>
    <row r="947" spans="1:4" s="948" customFormat="1" ht="11.25" customHeight="1" x14ac:dyDescent="0.2">
      <c r="A947" s="1473"/>
      <c r="B947" s="950">
        <v>64</v>
      </c>
      <c r="C947" s="950">
        <v>64</v>
      </c>
      <c r="D947" s="886" t="s">
        <v>11</v>
      </c>
    </row>
    <row r="948" spans="1:4" s="948" customFormat="1" ht="11.25" customHeight="1" x14ac:dyDescent="0.2">
      <c r="A948" s="1472" t="s">
        <v>4799</v>
      </c>
      <c r="B948" s="949">
        <v>17</v>
      </c>
      <c r="C948" s="949">
        <v>17</v>
      </c>
      <c r="D948" s="882" t="s">
        <v>1337</v>
      </c>
    </row>
    <row r="949" spans="1:4" s="948" customFormat="1" ht="11.25" customHeight="1" x14ac:dyDescent="0.2">
      <c r="A949" s="1473"/>
      <c r="B949" s="950">
        <v>17</v>
      </c>
      <c r="C949" s="950">
        <v>17</v>
      </c>
      <c r="D949" s="886" t="s">
        <v>11</v>
      </c>
    </row>
    <row r="950" spans="1:4" s="948" customFormat="1" ht="11.25" customHeight="1" x14ac:dyDescent="0.2">
      <c r="A950" s="1472" t="s">
        <v>4799</v>
      </c>
      <c r="B950" s="947">
        <v>24</v>
      </c>
      <c r="C950" s="947">
        <v>24</v>
      </c>
      <c r="D950" s="880" t="s">
        <v>1337</v>
      </c>
    </row>
    <row r="951" spans="1:4" s="948" customFormat="1" ht="11.25" customHeight="1" x14ac:dyDescent="0.2">
      <c r="A951" s="1473"/>
      <c r="B951" s="947">
        <v>24</v>
      </c>
      <c r="C951" s="947">
        <v>24</v>
      </c>
      <c r="D951" s="880" t="s">
        <v>11</v>
      </c>
    </row>
    <row r="952" spans="1:4" s="948" customFormat="1" ht="11.25" customHeight="1" x14ac:dyDescent="0.2">
      <c r="A952" s="1472" t="s">
        <v>3172</v>
      </c>
      <c r="B952" s="949">
        <v>28.2</v>
      </c>
      <c r="C952" s="949">
        <v>28.2</v>
      </c>
      <c r="D952" s="882" t="s">
        <v>2770</v>
      </c>
    </row>
    <row r="953" spans="1:4" s="948" customFormat="1" ht="11.25" customHeight="1" x14ac:dyDescent="0.2">
      <c r="A953" s="1473"/>
      <c r="B953" s="950">
        <v>28.2</v>
      </c>
      <c r="C953" s="950">
        <v>28.2</v>
      </c>
      <c r="D953" s="886" t="s">
        <v>11</v>
      </c>
    </row>
    <row r="954" spans="1:4" s="948" customFormat="1" ht="11.25" customHeight="1" x14ac:dyDescent="0.2">
      <c r="A954" s="1471" t="s">
        <v>3173</v>
      </c>
      <c r="B954" s="947">
        <v>142.44999999999999</v>
      </c>
      <c r="C954" s="947">
        <v>142.44999999999999</v>
      </c>
      <c r="D954" s="880" t="s">
        <v>2770</v>
      </c>
    </row>
    <row r="955" spans="1:4" s="948" customFormat="1" ht="11.25" customHeight="1" x14ac:dyDescent="0.2">
      <c r="A955" s="1471"/>
      <c r="B955" s="947">
        <v>142.44999999999999</v>
      </c>
      <c r="C955" s="947">
        <v>142.44999999999999</v>
      </c>
      <c r="D955" s="880" t="s">
        <v>11</v>
      </c>
    </row>
    <row r="956" spans="1:4" s="948" customFormat="1" ht="11.25" customHeight="1" x14ac:dyDescent="0.2">
      <c r="A956" s="1472" t="s">
        <v>3174</v>
      </c>
      <c r="B956" s="949">
        <v>350</v>
      </c>
      <c r="C956" s="949">
        <v>350</v>
      </c>
      <c r="D956" s="882" t="s">
        <v>2743</v>
      </c>
    </row>
    <row r="957" spans="1:4" s="948" customFormat="1" ht="11.25" customHeight="1" x14ac:dyDescent="0.2">
      <c r="A957" s="1473"/>
      <c r="B957" s="950">
        <v>350</v>
      </c>
      <c r="C957" s="950">
        <v>350</v>
      </c>
      <c r="D957" s="886" t="s">
        <v>11</v>
      </c>
    </row>
    <row r="958" spans="1:4" s="948" customFormat="1" ht="11.25" customHeight="1" x14ac:dyDescent="0.2">
      <c r="A958" s="1471" t="s">
        <v>1140</v>
      </c>
      <c r="B958" s="947">
        <v>80</v>
      </c>
      <c r="C958" s="947">
        <v>80</v>
      </c>
      <c r="D958" s="880" t="s">
        <v>2745</v>
      </c>
    </row>
    <row r="959" spans="1:4" s="948" customFormat="1" ht="11.25" customHeight="1" x14ac:dyDescent="0.2">
      <c r="A959" s="1471"/>
      <c r="B959" s="947">
        <v>40</v>
      </c>
      <c r="C959" s="947">
        <v>40</v>
      </c>
      <c r="D959" s="880" t="s">
        <v>1111</v>
      </c>
    </row>
    <row r="960" spans="1:4" s="948" customFormat="1" ht="11.25" customHeight="1" x14ac:dyDescent="0.2">
      <c r="A960" s="1471"/>
      <c r="B960" s="947">
        <v>120</v>
      </c>
      <c r="C960" s="947">
        <v>120</v>
      </c>
      <c r="D960" s="880" t="s">
        <v>11</v>
      </c>
    </row>
    <row r="961" spans="1:4" s="948" customFormat="1" ht="11.25" customHeight="1" x14ac:dyDescent="0.2">
      <c r="A961" s="1472" t="s">
        <v>973</v>
      </c>
      <c r="B961" s="949">
        <v>50</v>
      </c>
      <c r="C961" s="949">
        <v>50</v>
      </c>
      <c r="D961" s="882" t="s">
        <v>972</v>
      </c>
    </row>
    <row r="962" spans="1:4" s="948" customFormat="1" ht="11.25" customHeight="1" x14ac:dyDescent="0.2">
      <c r="A962" s="1473"/>
      <c r="B962" s="950">
        <v>50</v>
      </c>
      <c r="C962" s="950">
        <v>50</v>
      </c>
      <c r="D962" s="886" t="s">
        <v>11</v>
      </c>
    </row>
    <row r="963" spans="1:4" s="948" customFormat="1" ht="11.25" customHeight="1" x14ac:dyDescent="0.2">
      <c r="A963" s="1472" t="s">
        <v>4799</v>
      </c>
      <c r="B963" s="947">
        <v>50</v>
      </c>
      <c r="C963" s="947">
        <v>50</v>
      </c>
      <c r="D963" s="880" t="s">
        <v>1006</v>
      </c>
    </row>
    <row r="964" spans="1:4" s="948" customFormat="1" ht="11.25" customHeight="1" x14ac:dyDescent="0.2">
      <c r="A964" s="1473"/>
      <c r="B964" s="947">
        <v>50</v>
      </c>
      <c r="C964" s="947">
        <v>50</v>
      </c>
      <c r="D964" s="880" t="s">
        <v>11</v>
      </c>
    </row>
    <row r="965" spans="1:4" s="948" customFormat="1" ht="11.25" customHeight="1" x14ac:dyDescent="0.2">
      <c r="A965" s="1472" t="s">
        <v>4799</v>
      </c>
      <c r="B965" s="949">
        <v>50</v>
      </c>
      <c r="C965" s="949">
        <v>50</v>
      </c>
      <c r="D965" s="882" t="s">
        <v>1006</v>
      </c>
    </row>
    <row r="966" spans="1:4" s="948" customFormat="1" ht="11.25" customHeight="1" x14ac:dyDescent="0.2">
      <c r="A966" s="1473"/>
      <c r="B966" s="950">
        <v>50</v>
      </c>
      <c r="C966" s="950">
        <v>50</v>
      </c>
      <c r="D966" s="886" t="s">
        <v>11</v>
      </c>
    </row>
    <row r="967" spans="1:4" s="948" customFormat="1" ht="11.25" customHeight="1" x14ac:dyDescent="0.2">
      <c r="A967" s="1471" t="s">
        <v>3175</v>
      </c>
      <c r="B967" s="947">
        <v>300</v>
      </c>
      <c r="C967" s="947">
        <v>0</v>
      </c>
      <c r="D967" s="880" t="s">
        <v>3176</v>
      </c>
    </row>
    <row r="968" spans="1:4" s="948" customFormat="1" ht="11.25" customHeight="1" x14ac:dyDescent="0.2">
      <c r="A968" s="1471"/>
      <c r="B968" s="947">
        <v>300</v>
      </c>
      <c r="C968" s="947">
        <v>0</v>
      </c>
      <c r="D968" s="880" t="s">
        <v>11</v>
      </c>
    </row>
    <row r="969" spans="1:4" s="948" customFormat="1" ht="11.25" customHeight="1" x14ac:dyDescent="0.2">
      <c r="A969" s="1472" t="s">
        <v>3177</v>
      </c>
      <c r="B969" s="949">
        <v>300</v>
      </c>
      <c r="C969" s="949">
        <v>0</v>
      </c>
      <c r="D969" s="882" t="s">
        <v>3176</v>
      </c>
    </row>
    <row r="970" spans="1:4" s="948" customFormat="1" ht="11.25" customHeight="1" x14ac:dyDescent="0.2">
      <c r="A970" s="1473"/>
      <c r="B970" s="950">
        <v>300</v>
      </c>
      <c r="C970" s="950">
        <v>0</v>
      </c>
      <c r="D970" s="886" t="s">
        <v>11</v>
      </c>
    </row>
    <row r="971" spans="1:4" s="948" customFormat="1" ht="11.25" customHeight="1" x14ac:dyDescent="0.2">
      <c r="A971" s="1471" t="s">
        <v>3178</v>
      </c>
      <c r="B971" s="947">
        <v>300</v>
      </c>
      <c r="C971" s="947">
        <v>0</v>
      </c>
      <c r="D971" s="880" t="s">
        <v>3176</v>
      </c>
    </row>
    <row r="972" spans="1:4" s="948" customFormat="1" ht="11.25" customHeight="1" x14ac:dyDescent="0.2">
      <c r="A972" s="1471"/>
      <c r="B972" s="947">
        <v>300</v>
      </c>
      <c r="C972" s="947">
        <v>0</v>
      </c>
      <c r="D972" s="880" t="s">
        <v>11</v>
      </c>
    </row>
    <row r="973" spans="1:4" s="948" customFormat="1" ht="11.25" customHeight="1" x14ac:dyDescent="0.2">
      <c r="A973" s="1472" t="s">
        <v>3179</v>
      </c>
      <c r="B973" s="949">
        <v>300</v>
      </c>
      <c r="C973" s="949">
        <v>0</v>
      </c>
      <c r="D973" s="882" t="s">
        <v>3176</v>
      </c>
    </row>
    <row r="974" spans="1:4" s="948" customFormat="1" ht="11.25" customHeight="1" x14ac:dyDescent="0.2">
      <c r="A974" s="1473"/>
      <c r="B974" s="950">
        <v>300</v>
      </c>
      <c r="C974" s="950">
        <v>0</v>
      </c>
      <c r="D974" s="886" t="s">
        <v>11</v>
      </c>
    </row>
    <row r="975" spans="1:4" s="948" customFormat="1" ht="11.25" customHeight="1" x14ac:dyDescent="0.2">
      <c r="A975" s="1471" t="s">
        <v>3180</v>
      </c>
      <c r="B975" s="947">
        <v>612</v>
      </c>
      <c r="C975" s="947">
        <v>612</v>
      </c>
      <c r="D975" s="880" t="s">
        <v>2735</v>
      </c>
    </row>
    <row r="976" spans="1:4" s="948" customFormat="1" ht="11.25" customHeight="1" x14ac:dyDescent="0.2">
      <c r="A976" s="1471"/>
      <c r="B976" s="947">
        <v>267.60000000000002</v>
      </c>
      <c r="C976" s="947">
        <v>0</v>
      </c>
      <c r="D976" s="880" t="s">
        <v>2739</v>
      </c>
    </row>
    <row r="977" spans="1:4" s="948" customFormat="1" ht="11.25" customHeight="1" x14ac:dyDescent="0.2">
      <c r="A977" s="1471"/>
      <c r="B977" s="947">
        <v>879.6</v>
      </c>
      <c r="C977" s="947">
        <v>612</v>
      </c>
      <c r="D977" s="880" t="s">
        <v>11</v>
      </c>
    </row>
    <row r="978" spans="1:4" s="948" customFormat="1" ht="11.25" customHeight="1" x14ac:dyDescent="0.2">
      <c r="A978" s="1472" t="s">
        <v>3181</v>
      </c>
      <c r="B978" s="949">
        <v>667.6</v>
      </c>
      <c r="C978" s="949">
        <v>0</v>
      </c>
      <c r="D978" s="882" t="s">
        <v>2842</v>
      </c>
    </row>
    <row r="979" spans="1:4" s="948" customFormat="1" ht="11.25" customHeight="1" x14ac:dyDescent="0.2">
      <c r="A979" s="1473"/>
      <c r="B979" s="950">
        <v>667.6</v>
      </c>
      <c r="C979" s="950">
        <v>0</v>
      </c>
      <c r="D979" s="886" t="s">
        <v>11</v>
      </c>
    </row>
    <row r="980" spans="1:4" s="948" customFormat="1" ht="11.25" customHeight="1" x14ac:dyDescent="0.2">
      <c r="A980" s="1471" t="s">
        <v>3182</v>
      </c>
      <c r="B980" s="947">
        <v>454.4</v>
      </c>
      <c r="C980" s="947">
        <v>454.4</v>
      </c>
      <c r="D980" s="880" t="s">
        <v>1463</v>
      </c>
    </row>
    <row r="981" spans="1:4" s="948" customFormat="1" ht="11.25" customHeight="1" x14ac:dyDescent="0.2">
      <c r="A981" s="1471"/>
      <c r="B981" s="947">
        <v>6838.15</v>
      </c>
      <c r="C981" s="947">
        <v>6838.146999999999</v>
      </c>
      <c r="D981" s="880" t="s">
        <v>1458</v>
      </c>
    </row>
    <row r="982" spans="1:4" s="948" customFormat="1" ht="11.25" customHeight="1" x14ac:dyDescent="0.2">
      <c r="A982" s="1471"/>
      <c r="B982" s="947">
        <v>115.33</v>
      </c>
      <c r="C982" s="947">
        <v>115.331</v>
      </c>
      <c r="D982" s="880" t="s">
        <v>1454</v>
      </c>
    </row>
    <row r="983" spans="1:4" s="948" customFormat="1" ht="11.25" customHeight="1" x14ac:dyDescent="0.2">
      <c r="A983" s="1471"/>
      <c r="B983" s="947">
        <v>7407.8799999999992</v>
      </c>
      <c r="C983" s="947">
        <v>7407.8779999999988</v>
      </c>
      <c r="D983" s="880" t="s">
        <v>11</v>
      </c>
    </row>
    <row r="984" spans="1:4" s="948" customFormat="1" ht="11.25" customHeight="1" x14ac:dyDescent="0.2">
      <c r="A984" s="1472" t="s">
        <v>3183</v>
      </c>
      <c r="B984" s="949">
        <v>595.21</v>
      </c>
      <c r="C984" s="949">
        <v>595.20500000000004</v>
      </c>
      <c r="D984" s="882" t="s">
        <v>1458</v>
      </c>
    </row>
    <row r="985" spans="1:4" s="948" customFormat="1" ht="11.25" customHeight="1" x14ac:dyDescent="0.2">
      <c r="A985" s="1471"/>
      <c r="B985" s="947">
        <v>19.46</v>
      </c>
      <c r="C985" s="947">
        <v>19.460999999999999</v>
      </c>
      <c r="D985" s="880" t="s">
        <v>1454</v>
      </c>
    </row>
    <row r="986" spans="1:4" s="948" customFormat="1" ht="11.25" customHeight="1" x14ac:dyDescent="0.2">
      <c r="A986" s="1473"/>
      <c r="B986" s="950">
        <v>614.67000000000007</v>
      </c>
      <c r="C986" s="950">
        <v>614.66600000000005</v>
      </c>
      <c r="D986" s="886" t="s">
        <v>11</v>
      </c>
    </row>
    <row r="987" spans="1:4" s="948" customFormat="1" ht="11.25" customHeight="1" x14ac:dyDescent="0.2">
      <c r="A987" s="1471" t="s">
        <v>3184</v>
      </c>
      <c r="B987" s="947">
        <v>577.61</v>
      </c>
      <c r="C987" s="947">
        <v>577.60699999999997</v>
      </c>
      <c r="D987" s="880" t="s">
        <v>1458</v>
      </c>
    </row>
    <row r="988" spans="1:4" s="948" customFormat="1" ht="11.25" customHeight="1" x14ac:dyDescent="0.2">
      <c r="A988" s="1471"/>
      <c r="B988" s="947">
        <v>16.82</v>
      </c>
      <c r="C988" s="947">
        <v>16.82</v>
      </c>
      <c r="D988" s="880" t="s">
        <v>1454</v>
      </c>
    </row>
    <row r="989" spans="1:4" s="948" customFormat="1" ht="11.25" customHeight="1" x14ac:dyDescent="0.2">
      <c r="A989" s="1471"/>
      <c r="B989" s="947">
        <v>594.43000000000006</v>
      </c>
      <c r="C989" s="947">
        <v>594.42700000000002</v>
      </c>
      <c r="D989" s="880" t="s">
        <v>11</v>
      </c>
    </row>
    <row r="990" spans="1:4" s="948" customFormat="1" ht="11.25" customHeight="1" x14ac:dyDescent="0.2">
      <c r="A990" s="1472" t="s">
        <v>3185</v>
      </c>
      <c r="B990" s="949">
        <v>1720.45</v>
      </c>
      <c r="C990" s="949">
        <v>1720.45</v>
      </c>
      <c r="D990" s="882" t="s">
        <v>1458</v>
      </c>
    </row>
    <row r="991" spans="1:4" s="948" customFormat="1" ht="11.25" customHeight="1" x14ac:dyDescent="0.2">
      <c r="A991" s="1471"/>
      <c r="B991" s="947">
        <v>22.29</v>
      </c>
      <c r="C991" s="947">
        <v>22.288</v>
      </c>
      <c r="D991" s="880" t="s">
        <v>1454</v>
      </c>
    </row>
    <row r="992" spans="1:4" s="948" customFormat="1" ht="11.25" customHeight="1" x14ac:dyDescent="0.2">
      <c r="A992" s="1473"/>
      <c r="B992" s="950">
        <v>1742.74</v>
      </c>
      <c r="C992" s="950">
        <v>1742.7380000000001</v>
      </c>
      <c r="D992" s="886" t="s">
        <v>11</v>
      </c>
    </row>
    <row r="993" spans="1:4" s="948" customFormat="1" ht="11.25" customHeight="1" x14ac:dyDescent="0.2">
      <c r="A993" s="1471" t="s">
        <v>3186</v>
      </c>
      <c r="B993" s="947">
        <v>1905.95</v>
      </c>
      <c r="C993" s="947">
        <v>1904.2830000000001</v>
      </c>
      <c r="D993" s="880" t="s">
        <v>1458</v>
      </c>
    </row>
    <row r="994" spans="1:4" s="948" customFormat="1" ht="11.25" customHeight="1" x14ac:dyDescent="0.2">
      <c r="A994" s="1471"/>
      <c r="B994" s="947">
        <v>37.01</v>
      </c>
      <c r="C994" s="947">
        <v>37.008000000000003</v>
      </c>
      <c r="D994" s="880" t="s">
        <v>1454</v>
      </c>
    </row>
    <row r="995" spans="1:4" s="948" customFormat="1" ht="11.25" customHeight="1" x14ac:dyDescent="0.2">
      <c r="A995" s="1471"/>
      <c r="B995" s="947">
        <v>1942.96</v>
      </c>
      <c r="C995" s="947">
        <v>1941.2910000000002</v>
      </c>
      <c r="D995" s="880" t="s">
        <v>11</v>
      </c>
    </row>
    <row r="996" spans="1:4" s="948" customFormat="1" ht="11.25" customHeight="1" x14ac:dyDescent="0.2">
      <c r="A996" s="1472" t="s">
        <v>3187</v>
      </c>
      <c r="B996" s="949">
        <v>1010.0400000000001</v>
      </c>
      <c r="C996" s="949">
        <v>1010.044</v>
      </c>
      <c r="D996" s="882" t="s">
        <v>1458</v>
      </c>
    </row>
    <row r="997" spans="1:4" s="948" customFormat="1" ht="11.25" customHeight="1" x14ac:dyDescent="0.2">
      <c r="A997" s="1471"/>
      <c r="B997" s="947">
        <v>20</v>
      </c>
      <c r="C997" s="947">
        <v>20</v>
      </c>
      <c r="D997" s="880" t="s">
        <v>1450</v>
      </c>
    </row>
    <row r="998" spans="1:4" s="948" customFormat="1" ht="11.25" customHeight="1" x14ac:dyDescent="0.2">
      <c r="A998" s="1471"/>
      <c r="B998" s="947">
        <v>15.86</v>
      </c>
      <c r="C998" s="947">
        <v>15.856</v>
      </c>
      <c r="D998" s="880" t="s">
        <v>1454</v>
      </c>
    </row>
    <row r="999" spans="1:4" s="948" customFormat="1" ht="11.25" customHeight="1" x14ac:dyDescent="0.2">
      <c r="A999" s="1473"/>
      <c r="B999" s="950">
        <v>1045.8999999999999</v>
      </c>
      <c r="C999" s="950">
        <v>1045.8999999999999</v>
      </c>
      <c r="D999" s="886" t="s">
        <v>11</v>
      </c>
    </row>
    <row r="1000" spans="1:4" s="948" customFormat="1" ht="11.25" customHeight="1" x14ac:dyDescent="0.2">
      <c r="A1000" s="1471" t="s">
        <v>3188</v>
      </c>
      <c r="B1000" s="947">
        <v>1573.46</v>
      </c>
      <c r="C1000" s="947">
        <v>1482.4280000000001</v>
      </c>
      <c r="D1000" s="880" t="s">
        <v>1458</v>
      </c>
    </row>
    <row r="1001" spans="1:4" s="948" customFormat="1" ht="11.25" customHeight="1" x14ac:dyDescent="0.2">
      <c r="A1001" s="1471"/>
      <c r="B1001" s="947">
        <v>6.15</v>
      </c>
      <c r="C1001" s="947">
        <v>6.1479999999999997</v>
      </c>
      <c r="D1001" s="880" t="s">
        <v>1454</v>
      </c>
    </row>
    <row r="1002" spans="1:4" s="948" customFormat="1" ht="11.25" customHeight="1" x14ac:dyDescent="0.2">
      <c r="A1002" s="1471"/>
      <c r="B1002" s="947">
        <v>1579.6100000000001</v>
      </c>
      <c r="C1002" s="947">
        <v>1488.576</v>
      </c>
      <c r="D1002" s="880" t="s">
        <v>11</v>
      </c>
    </row>
    <row r="1003" spans="1:4" s="948" customFormat="1" ht="11.25" customHeight="1" x14ac:dyDescent="0.2">
      <c r="A1003" s="1472" t="s">
        <v>3189</v>
      </c>
      <c r="B1003" s="949">
        <v>1790.38</v>
      </c>
      <c r="C1003" s="949">
        <v>1790.3829999999998</v>
      </c>
      <c r="D1003" s="882" t="s">
        <v>1458</v>
      </c>
    </row>
    <row r="1004" spans="1:4" s="948" customFormat="1" ht="11.25" customHeight="1" x14ac:dyDescent="0.2">
      <c r="A1004" s="1471"/>
      <c r="B1004" s="947">
        <v>38.15</v>
      </c>
      <c r="C1004" s="947">
        <v>38.148000000000003</v>
      </c>
      <c r="D1004" s="880" t="s">
        <v>1454</v>
      </c>
    </row>
    <row r="1005" spans="1:4" s="948" customFormat="1" ht="11.25" customHeight="1" x14ac:dyDescent="0.2">
      <c r="A1005" s="1473"/>
      <c r="B1005" s="950">
        <v>1828.5300000000002</v>
      </c>
      <c r="C1005" s="950">
        <v>1828.5309999999997</v>
      </c>
      <c r="D1005" s="886" t="s">
        <v>11</v>
      </c>
    </row>
    <row r="1006" spans="1:4" s="948" customFormat="1" ht="11.25" customHeight="1" x14ac:dyDescent="0.2">
      <c r="A1006" s="1472" t="s">
        <v>3190</v>
      </c>
      <c r="B1006" s="949">
        <v>2216.15</v>
      </c>
      <c r="C1006" s="949">
        <v>2216.15</v>
      </c>
      <c r="D1006" s="882" t="s">
        <v>1458</v>
      </c>
    </row>
    <row r="1007" spans="1:4" s="948" customFormat="1" ht="11.25" customHeight="1" x14ac:dyDescent="0.2">
      <c r="A1007" s="1471"/>
      <c r="B1007" s="947">
        <v>24.61</v>
      </c>
      <c r="C1007" s="947">
        <v>24.606999999999999</v>
      </c>
      <c r="D1007" s="880" t="s">
        <v>1454</v>
      </c>
    </row>
    <row r="1008" spans="1:4" s="948" customFormat="1" ht="11.25" customHeight="1" x14ac:dyDescent="0.2">
      <c r="A1008" s="1473"/>
      <c r="B1008" s="950">
        <v>2240.7600000000002</v>
      </c>
      <c r="C1008" s="950">
        <v>2240.7570000000001</v>
      </c>
      <c r="D1008" s="886" t="s">
        <v>11</v>
      </c>
    </row>
    <row r="1009" spans="1:4" s="948" customFormat="1" ht="11.25" customHeight="1" x14ac:dyDescent="0.2">
      <c r="A1009" s="1472" t="s">
        <v>3191</v>
      </c>
      <c r="B1009" s="949">
        <v>1084.6600000000001</v>
      </c>
      <c r="C1009" s="949">
        <v>1084.663</v>
      </c>
      <c r="D1009" s="882" t="s">
        <v>1458</v>
      </c>
    </row>
    <row r="1010" spans="1:4" s="948" customFormat="1" ht="11.25" customHeight="1" x14ac:dyDescent="0.2">
      <c r="A1010" s="1471"/>
      <c r="B1010" s="947">
        <v>12.69</v>
      </c>
      <c r="C1010" s="947">
        <v>12.688000000000001</v>
      </c>
      <c r="D1010" s="880" t="s">
        <v>1454</v>
      </c>
    </row>
    <row r="1011" spans="1:4" s="948" customFormat="1" ht="11.25" customHeight="1" x14ac:dyDescent="0.2">
      <c r="A1011" s="1473"/>
      <c r="B1011" s="950">
        <v>1097.3500000000001</v>
      </c>
      <c r="C1011" s="950">
        <v>1097.3510000000001</v>
      </c>
      <c r="D1011" s="886" t="s">
        <v>11</v>
      </c>
    </row>
    <row r="1012" spans="1:4" s="948" customFormat="1" ht="11.25" customHeight="1" x14ac:dyDescent="0.2">
      <c r="A1012" s="1471" t="s">
        <v>3192</v>
      </c>
      <c r="B1012" s="947">
        <v>769.56</v>
      </c>
      <c r="C1012" s="947">
        <v>769.55799999999999</v>
      </c>
      <c r="D1012" s="880" t="s">
        <v>1458</v>
      </c>
    </row>
    <row r="1013" spans="1:4" s="948" customFormat="1" ht="11.25" customHeight="1" x14ac:dyDescent="0.2">
      <c r="A1013" s="1471"/>
      <c r="B1013" s="947">
        <v>14.54</v>
      </c>
      <c r="C1013" s="947">
        <v>14.541</v>
      </c>
      <c r="D1013" s="880" t="s">
        <v>1454</v>
      </c>
    </row>
    <row r="1014" spans="1:4" s="948" customFormat="1" ht="11.25" customHeight="1" x14ac:dyDescent="0.2">
      <c r="A1014" s="1471"/>
      <c r="B1014" s="947">
        <v>784.09999999999991</v>
      </c>
      <c r="C1014" s="947">
        <v>784.09900000000005</v>
      </c>
      <c r="D1014" s="880" t="s">
        <v>11</v>
      </c>
    </row>
    <row r="1015" spans="1:4" s="948" customFormat="1" ht="11.25" customHeight="1" x14ac:dyDescent="0.2">
      <c r="A1015" s="1472" t="s">
        <v>3193</v>
      </c>
      <c r="B1015" s="949">
        <v>147.58000000000001</v>
      </c>
      <c r="C1015" s="949">
        <v>147.57600000000002</v>
      </c>
      <c r="D1015" s="882" t="s">
        <v>1458</v>
      </c>
    </row>
    <row r="1016" spans="1:4" s="948" customFormat="1" ht="11.25" customHeight="1" x14ac:dyDescent="0.2">
      <c r="A1016" s="1471"/>
      <c r="B1016" s="947">
        <v>4.8</v>
      </c>
      <c r="C1016" s="947">
        <v>4.8</v>
      </c>
      <c r="D1016" s="880" t="s">
        <v>1454</v>
      </c>
    </row>
    <row r="1017" spans="1:4" s="948" customFormat="1" ht="11.25" customHeight="1" x14ac:dyDescent="0.2">
      <c r="A1017" s="1473"/>
      <c r="B1017" s="950">
        <v>152.38</v>
      </c>
      <c r="C1017" s="950">
        <v>152.37600000000003</v>
      </c>
      <c r="D1017" s="886" t="s">
        <v>11</v>
      </c>
    </row>
    <row r="1018" spans="1:4" s="948" customFormat="1" ht="11.25" customHeight="1" x14ac:dyDescent="0.2">
      <c r="A1018" s="1471" t="s">
        <v>3194</v>
      </c>
      <c r="B1018" s="947">
        <v>2612.87</v>
      </c>
      <c r="C1018" s="947">
        <v>2612.866</v>
      </c>
      <c r="D1018" s="880" t="s">
        <v>1458</v>
      </c>
    </row>
    <row r="1019" spans="1:4" s="948" customFormat="1" ht="11.25" customHeight="1" x14ac:dyDescent="0.2">
      <c r="A1019" s="1471"/>
      <c r="B1019" s="947">
        <v>40.119999999999997</v>
      </c>
      <c r="C1019" s="947">
        <v>40.115000000000002</v>
      </c>
      <c r="D1019" s="880" t="s">
        <v>1454</v>
      </c>
    </row>
    <row r="1020" spans="1:4" s="948" customFormat="1" ht="11.25" customHeight="1" x14ac:dyDescent="0.2">
      <c r="A1020" s="1471"/>
      <c r="B1020" s="947">
        <v>2652.99</v>
      </c>
      <c r="C1020" s="947">
        <v>2652.9809999999998</v>
      </c>
      <c r="D1020" s="880" t="s">
        <v>11</v>
      </c>
    </row>
    <row r="1021" spans="1:4" s="948" customFormat="1" ht="11.25" customHeight="1" x14ac:dyDescent="0.2">
      <c r="A1021" s="1472" t="s">
        <v>3195</v>
      </c>
      <c r="B1021" s="949">
        <v>1166.3599999999999</v>
      </c>
      <c r="C1021" s="949">
        <v>1166.3589999999999</v>
      </c>
      <c r="D1021" s="882" t="s">
        <v>1458</v>
      </c>
    </row>
    <row r="1022" spans="1:4" s="948" customFormat="1" ht="11.25" customHeight="1" x14ac:dyDescent="0.2">
      <c r="A1022" s="1471"/>
      <c r="B1022" s="947">
        <v>6.34</v>
      </c>
      <c r="C1022" s="947">
        <v>6.3440000000000003</v>
      </c>
      <c r="D1022" s="880" t="s">
        <v>1454</v>
      </c>
    </row>
    <row r="1023" spans="1:4" s="948" customFormat="1" ht="11.25" customHeight="1" x14ac:dyDescent="0.2">
      <c r="A1023" s="1473"/>
      <c r="B1023" s="950">
        <v>1172.6999999999998</v>
      </c>
      <c r="C1023" s="950">
        <v>1172.703</v>
      </c>
      <c r="D1023" s="886" t="s">
        <v>11</v>
      </c>
    </row>
    <row r="1024" spans="1:4" s="948" customFormat="1" ht="11.25" customHeight="1" x14ac:dyDescent="0.2">
      <c r="A1024" s="1471" t="s">
        <v>3196</v>
      </c>
      <c r="B1024" s="947">
        <v>835.42</v>
      </c>
      <c r="C1024" s="947">
        <v>835.4129999999999</v>
      </c>
      <c r="D1024" s="880" t="s">
        <v>1458</v>
      </c>
    </row>
    <row r="1025" spans="1:4" s="948" customFormat="1" ht="11.25" customHeight="1" x14ac:dyDescent="0.2">
      <c r="A1025" s="1471"/>
      <c r="B1025" s="947">
        <v>13.91</v>
      </c>
      <c r="C1025" s="947">
        <v>13.907999999999999</v>
      </c>
      <c r="D1025" s="880" t="s">
        <v>1454</v>
      </c>
    </row>
    <row r="1026" spans="1:4" s="948" customFormat="1" ht="11.25" customHeight="1" x14ac:dyDescent="0.2">
      <c r="A1026" s="1471"/>
      <c r="B1026" s="947">
        <v>849.32999999999993</v>
      </c>
      <c r="C1026" s="947">
        <v>849.32099999999991</v>
      </c>
      <c r="D1026" s="880" t="s">
        <v>11</v>
      </c>
    </row>
    <row r="1027" spans="1:4" s="948" customFormat="1" ht="11.25" customHeight="1" x14ac:dyDescent="0.2">
      <c r="A1027" s="1472" t="s">
        <v>3197</v>
      </c>
      <c r="B1027" s="949">
        <v>1779.6</v>
      </c>
      <c r="C1027" s="949">
        <v>1779.6019999999999</v>
      </c>
      <c r="D1027" s="882" t="s">
        <v>1458</v>
      </c>
    </row>
    <row r="1028" spans="1:4" s="948" customFormat="1" ht="11.25" customHeight="1" x14ac:dyDescent="0.2">
      <c r="A1028" s="1471"/>
      <c r="B1028" s="947">
        <v>30.18</v>
      </c>
      <c r="C1028" s="947">
        <v>30.175999999999998</v>
      </c>
      <c r="D1028" s="880" t="s">
        <v>1454</v>
      </c>
    </row>
    <row r="1029" spans="1:4" s="948" customFormat="1" ht="11.25" customHeight="1" x14ac:dyDescent="0.2">
      <c r="A1029" s="1473"/>
      <c r="B1029" s="950">
        <v>1809.78</v>
      </c>
      <c r="C1029" s="950">
        <v>1809.7779999999998</v>
      </c>
      <c r="D1029" s="886" t="s">
        <v>11</v>
      </c>
    </row>
    <row r="1030" spans="1:4" s="948" customFormat="1" ht="11.25" customHeight="1" x14ac:dyDescent="0.2">
      <c r="A1030" s="1471" t="s">
        <v>3198</v>
      </c>
      <c r="B1030" s="947">
        <v>1548.41</v>
      </c>
      <c r="C1030" s="947">
        <v>1548.405</v>
      </c>
      <c r="D1030" s="880" t="s">
        <v>1458</v>
      </c>
    </row>
    <row r="1031" spans="1:4" s="948" customFormat="1" ht="11.25" customHeight="1" x14ac:dyDescent="0.2">
      <c r="A1031" s="1471"/>
      <c r="B1031" s="947">
        <v>20.58</v>
      </c>
      <c r="C1031" s="947">
        <v>20.576000000000001</v>
      </c>
      <c r="D1031" s="880" t="s">
        <v>1454</v>
      </c>
    </row>
    <row r="1032" spans="1:4" s="948" customFormat="1" ht="11.25" customHeight="1" x14ac:dyDescent="0.2">
      <c r="A1032" s="1471"/>
      <c r="B1032" s="947">
        <v>1568.99</v>
      </c>
      <c r="C1032" s="947">
        <v>1568.981</v>
      </c>
      <c r="D1032" s="880" t="s">
        <v>11</v>
      </c>
    </row>
    <row r="1033" spans="1:4" s="948" customFormat="1" ht="11.25" customHeight="1" x14ac:dyDescent="0.2">
      <c r="A1033" s="1472" t="s">
        <v>3199</v>
      </c>
      <c r="B1033" s="949">
        <v>113.6</v>
      </c>
      <c r="C1033" s="949">
        <v>113.6</v>
      </c>
      <c r="D1033" s="882" t="s">
        <v>1463</v>
      </c>
    </row>
    <row r="1034" spans="1:4" s="948" customFormat="1" ht="11.25" customHeight="1" x14ac:dyDescent="0.2">
      <c r="A1034" s="1471"/>
      <c r="B1034" s="947">
        <v>2759.19</v>
      </c>
      <c r="C1034" s="947">
        <v>2759.1850000000004</v>
      </c>
      <c r="D1034" s="880" t="s">
        <v>1458</v>
      </c>
    </row>
    <row r="1035" spans="1:4" s="948" customFormat="1" ht="11.25" customHeight="1" x14ac:dyDescent="0.2">
      <c r="A1035" s="1471"/>
      <c r="B1035" s="947">
        <v>47.5</v>
      </c>
      <c r="C1035" s="947">
        <v>47.496000000000002</v>
      </c>
      <c r="D1035" s="880" t="s">
        <v>1454</v>
      </c>
    </row>
    <row r="1036" spans="1:4" s="948" customFormat="1" ht="11.25" customHeight="1" x14ac:dyDescent="0.2">
      <c r="A1036" s="1473"/>
      <c r="B1036" s="950">
        <v>2920.29</v>
      </c>
      <c r="C1036" s="950">
        <v>2920.2810000000004</v>
      </c>
      <c r="D1036" s="886" t="s">
        <v>11</v>
      </c>
    </row>
    <row r="1037" spans="1:4" s="948" customFormat="1" ht="11.25" customHeight="1" x14ac:dyDescent="0.2">
      <c r="A1037" s="1471" t="s">
        <v>3200</v>
      </c>
      <c r="B1037" s="947">
        <v>2339.31</v>
      </c>
      <c r="C1037" s="947">
        <v>2339.3090000000002</v>
      </c>
      <c r="D1037" s="880" t="s">
        <v>1458</v>
      </c>
    </row>
    <row r="1038" spans="1:4" s="948" customFormat="1" ht="11.25" customHeight="1" x14ac:dyDescent="0.2">
      <c r="A1038" s="1471"/>
      <c r="B1038" s="947">
        <v>37.9</v>
      </c>
      <c r="C1038" s="947">
        <v>37.896000000000001</v>
      </c>
      <c r="D1038" s="880" t="s">
        <v>1454</v>
      </c>
    </row>
    <row r="1039" spans="1:4" s="948" customFormat="1" ht="11.25" customHeight="1" x14ac:dyDescent="0.2">
      <c r="A1039" s="1471"/>
      <c r="B1039" s="947">
        <v>2377.21</v>
      </c>
      <c r="C1039" s="947">
        <v>2377.2050000000004</v>
      </c>
      <c r="D1039" s="880" t="s">
        <v>11</v>
      </c>
    </row>
    <row r="1040" spans="1:4" s="948" customFormat="1" ht="11.25" customHeight="1" x14ac:dyDescent="0.2">
      <c r="A1040" s="1472" t="s">
        <v>3201</v>
      </c>
      <c r="B1040" s="949">
        <v>227.2</v>
      </c>
      <c r="C1040" s="949">
        <v>227.2</v>
      </c>
      <c r="D1040" s="882" t="s">
        <v>1463</v>
      </c>
    </row>
    <row r="1041" spans="1:4" s="948" customFormat="1" ht="11.25" customHeight="1" x14ac:dyDescent="0.2">
      <c r="A1041" s="1471"/>
      <c r="B1041" s="947">
        <v>5020.34</v>
      </c>
      <c r="C1041" s="947">
        <v>5020.3410000000003</v>
      </c>
      <c r="D1041" s="880" t="s">
        <v>1458</v>
      </c>
    </row>
    <row r="1042" spans="1:4" s="948" customFormat="1" ht="11.25" customHeight="1" x14ac:dyDescent="0.2">
      <c r="A1042" s="1471"/>
      <c r="B1042" s="947">
        <v>71.58</v>
      </c>
      <c r="C1042" s="947">
        <v>71.58</v>
      </c>
      <c r="D1042" s="880" t="s">
        <v>1454</v>
      </c>
    </row>
    <row r="1043" spans="1:4" s="948" customFormat="1" ht="11.25" customHeight="1" x14ac:dyDescent="0.2">
      <c r="A1043" s="1473"/>
      <c r="B1043" s="950">
        <v>5319.12</v>
      </c>
      <c r="C1043" s="950">
        <v>5319.1210000000001</v>
      </c>
      <c r="D1043" s="886" t="s">
        <v>11</v>
      </c>
    </row>
    <row r="1044" spans="1:4" s="948" customFormat="1" ht="11.25" customHeight="1" x14ac:dyDescent="0.2">
      <c r="A1044" s="1471" t="s">
        <v>3202</v>
      </c>
      <c r="B1044" s="947">
        <v>56.8</v>
      </c>
      <c r="C1044" s="947">
        <v>37.866</v>
      </c>
      <c r="D1044" s="880" t="s">
        <v>1463</v>
      </c>
    </row>
    <row r="1045" spans="1:4" s="948" customFormat="1" ht="11.25" customHeight="1" x14ac:dyDescent="0.2">
      <c r="A1045" s="1471"/>
      <c r="B1045" s="947">
        <v>3236.76</v>
      </c>
      <c r="C1045" s="947">
        <v>3236.7580000000003</v>
      </c>
      <c r="D1045" s="880" t="s">
        <v>1458</v>
      </c>
    </row>
    <row r="1046" spans="1:4" s="948" customFormat="1" ht="11.25" customHeight="1" x14ac:dyDescent="0.2">
      <c r="A1046" s="1471"/>
      <c r="B1046" s="947">
        <v>52.82</v>
      </c>
      <c r="C1046" s="947">
        <v>52.816000000000003</v>
      </c>
      <c r="D1046" s="880" t="s">
        <v>1454</v>
      </c>
    </row>
    <row r="1047" spans="1:4" s="948" customFormat="1" ht="11.25" customHeight="1" x14ac:dyDescent="0.2">
      <c r="A1047" s="1471"/>
      <c r="B1047" s="947">
        <v>3346.3800000000006</v>
      </c>
      <c r="C1047" s="947">
        <v>3327.44</v>
      </c>
      <c r="D1047" s="880" t="s">
        <v>11</v>
      </c>
    </row>
    <row r="1048" spans="1:4" s="948" customFormat="1" ht="11.25" customHeight="1" x14ac:dyDescent="0.2">
      <c r="A1048" s="1472" t="s">
        <v>3203</v>
      </c>
      <c r="B1048" s="949">
        <v>2020.35</v>
      </c>
      <c r="C1048" s="949">
        <v>2020.3510000000001</v>
      </c>
      <c r="D1048" s="882" t="s">
        <v>1458</v>
      </c>
    </row>
    <row r="1049" spans="1:4" s="948" customFormat="1" ht="11.25" customHeight="1" x14ac:dyDescent="0.2">
      <c r="A1049" s="1471"/>
      <c r="B1049" s="947">
        <v>22.34</v>
      </c>
      <c r="C1049" s="947">
        <v>22.337</v>
      </c>
      <c r="D1049" s="880" t="s">
        <v>1454</v>
      </c>
    </row>
    <row r="1050" spans="1:4" s="948" customFormat="1" ht="11.25" customHeight="1" x14ac:dyDescent="0.2">
      <c r="A1050" s="1473"/>
      <c r="B1050" s="950">
        <v>2042.6899999999998</v>
      </c>
      <c r="C1050" s="950">
        <v>2042.6880000000001</v>
      </c>
      <c r="D1050" s="886" t="s">
        <v>11</v>
      </c>
    </row>
    <row r="1051" spans="1:4" s="948" customFormat="1" ht="11.25" customHeight="1" x14ac:dyDescent="0.2">
      <c r="A1051" s="1471" t="s">
        <v>3204</v>
      </c>
      <c r="B1051" s="947">
        <v>757.95</v>
      </c>
      <c r="C1051" s="947">
        <v>757.94799999999998</v>
      </c>
      <c r="D1051" s="880" t="s">
        <v>1458</v>
      </c>
    </row>
    <row r="1052" spans="1:4" s="948" customFormat="1" ht="11.25" customHeight="1" x14ac:dyDescent="0.2">
      <c r="A1052" s="1471"/>
      <c r="B1052" s="947">
        <v>17.489999999999998</v>
      </c>
      <c r="C1052" s="947">
        <v>17.488</v>
      </c>
      <c r="D1052" s="880" t="s">
        <v>1454</v>
      </c>
    </row>
    <row r="1053" spans="1:4" s="948" customFormat="1" ht="11.25" customHeight="1" x14ac:dyDescent="0.2">
      <c r="A1053" s="1471"/>
      <c r="B1053" s="947">
        <v>775.44</v>
      </c>
      <c r="C1053" s="947">
        <v>775.43599999999992</v>
      </c>
      <c r="D1053" s="880" t="s">
        <v>11</v>
      </c>
    </row>
    <row r="1054" spans="1:4" s="948" customFormat="1" ht="11.25" customHeight="1" x14ac:dyDescent="0.2">
      <c r="A1054" s="1472" t="s">
        <v>958</v>
      </c>
      <c r="B1054" s="949">
        <v>500</v>
      </c>
      <c r="C1054" s="949">
        <v>500</v>
      </c>
      <c r="D1054" s="882" t="s">
        <v>951</v>
      </c>
    </row>
    <row r="1055" spans="1:4" s="948" customFormat="1" ht="11.25" customHeight="1" x14ac:dyDescent="0.2">
      <c r="A1055" s="1471"/>
      <c r="B1055" s="947">
        <v>2000</v>
      </c>
      <c r="C1055" s="947">
        <v>100</v>
      </c>
      <c r="D1055" s="880" t="s">
        <v>3205</v>
      </c>
    </row>
    <row r="1056" spans="1:4" s="948" customFormat="1" ht="11.25" customHeight="1" x14ac:dyDescent="0.2">
      <c r="A1056" s="1473"/>
      <c r="B1056" s="950">
        <v>2500</v>
      </c>
      <c r="C1056" s="950">
        <v>600</v>
      </c>
      <c r="D1056" s="886" t="s">
        <v>11</v>
      </c>
    </row>
    <row r="1057" spans="1:4" s="948" customFormat="1" ht="11.25" customHeight="1" x14ac:dyDescent="0.2">
      <c r="A1057" s="1471" t="s">
        <v>959</v>
      </c>
      <c r="B1057" s="947">
        <v>300</v>
      </c>
      <c r="C1057" s="947">
        <v>300</v>
      </c>
      <c r="D1057" s="880" t="s">
        <v>951</v>
      </c>
    </row>
    <row r="1058" spans="1:4" s="948" customFormat="1" ht="11.25" customHeight="1" x14ac:dyDescent="0.2">
      <c r="A1058" s="1471"/>
      <c r="B1058" s="947">
        <v>300</v>
      </c>
      <c r="C1058" s="947">
        <v>300</v>
      </c>
      <c r="D1058" s="880" t="s">
        <v>11</v>
      </c>
    </row>
    <row r="1059" spans="1:4" s="948" customFormat="1" ht="11.25" customHeight="1" x14ac:dyDescent="0.2">
      <c r="A1059" s="1472" t="s">
        <v>3206</v>
      </c>
      <c r="B1059" s="949">
        <v>280</v>
      </c>
      <c r="C1059" s="949">
        <v>0</v>
      </c>
      <c r="D1059" s="882" t="s">
        <v>2862</v>
      </c>
    </row>
    <row r="1060" spans="1:4" s="948" customFormat="1" ht="11.25" customHeight="1" x14ac:dyDescent="0.2">
      <c r="A1060" s="1473"/>
      <c r="B1060" s="950">
        <v>280</v>
      </c>
      <c r="C1060" s="950">
        <v>0</v>
      </c>
      <c r="D1060" s="886" t="s">
        <v>11</v>
      </c>
    </row>
    <row r="1061" spans="1:4" s="948" customFormat="1" ht="11.25" customHeight="1" x14ac:dyDescent="0.2">
      <c r="A1061" s="1471" t="s">
        <v>3207</v>
      </c>
      <c r="B1061" s="947">
        <v>269.7</v>
      </c>
      <c r="C1061" s="947">
        <v>269.68275</v>
      </c>
      <c r="D1061" s="880" t="s">
        <v>2618</v>
      </c>
    </row>
    <row r="1062" spans="1:4" s="948" customFormat="1" ht="11.25" customHeight="1" x14ac:dyDescent="0.2">
      <c r="A1062" s="1471"/>
      <c r="B1062" s="947">
        <v>269.7</v>
      </c>
      <c r="C1062" s="947">
        <v>269.68275</v>
      </c>
      <c r="D1062" s="880" t="s">
        <v>11</v>
      </c>
    </row>
    <row r="1063" spans="1:4" s="948" customFormat="1" ht="11.25" customHeight="1" x14ac:dyDescent="0.2">
      <c r="A1063" s="1472" t="s">
        <v>3208</v>
      </c>
      <c r="B1063" s="949">
        <v>300</v>
      </c>
      <c r="C1063" s="949">
        <v>150</v>
      </c>
      <c r="D1063" s="882" t="s">
        <v>2862</v>
      </c>
    </row>
    <row r="1064" spans="1:4" s="948" customFormat="1" ht="11.25" customHeight="1" x14ac:dyDescent="0.2">
      <c r="A1064" s="1473"/>
      <c r="B1064" s="950">
        <v>300</v>
      </c>
      <c r="C1064" s="950">
        <v>150</v>
      </c>
      <c r="D1064" s="886" t="s">
        <v>11</v>
      </c>
    </row>
    <row r="1065" spans="1:4" s="948" customFormat="1" ht="11.25" customHeight="1" x14ac:dyDescent="0.2">
      <c r="A1065" s="1471" t="s">
        <v>3209</v>
      </c>
      <c r="B1065" s="947">
        <v>41.8</v>
      </c>
      <c r="C1065" s="947">
        <v>41.8</v>
      </c>
      <c r="D1065" s="880" t="s">
        <v>2870</v>
      </c>
    </row>
    <row r="1066" spans="1:4" s="948" customFormat="1" ht="11.25" customHeight="1" x14ac:dyDescent="0.2">
      <c r="A1066" s="1471"/>
      <c r="B1066" s="947">
        <v>41.8</v>
      </c>
      <c r="C1066" s="947">
        <v>41.8</v>
      </c>
      <c r="D1066" s="880" t="s">
        <v>11</v>
      </c>
    </row>
    <row r="1067" spans="1:4" s="948" customFormat="1" ht="11.25" customHeight="1" x14ac:dyDescent="0.2">
      <c r="A1067" s="1472" t="s">
        <v>3210</v>
      </c>
      <c r="B1067" s="949">
        <v>1700</v>
      </c>
      <c r="C1067" s="949">
        <v>1560.742</v>
      </c>
      <c r="D1067" s="882" t="s">
        <v>2901</v>
      </c>
    </row>
    <row r="1068" spans="1:4" s="948" customFormat="1" ht="11.25" customHeight="1" x14ac:dyDescent="0.2">
      <c r="A1068" s="1473"/>
      <c r="B1068" s="950">
        <v>1700</v>
      </c>
      <c r="C1068" s="950">
        <v>1560.742</v>
      </c>
      <c r="D1068" s="886" t="s">
        <v>11</v>
      </c>
    </row>
    <row r="1069" spans="1:4" s="948" customFormat="1" ht="11.25" customHeight="1" x14ac:dyDescent="0.2">
      <c r="A1069" s="1471" t="s">
        <v>3211</v>
      </c>
      <c r="B1069" s="947">
        <v>1587</v>
      </c>
      <c r="C1069" s="947">
        <v>1587</v>
      </c>
      <c r="D1069" s="880" t="s">
        <v>2735</v>
      </c>
    </row>
    <row r="1070" spans="1:4" s="948" customFormat="1" ht="11.25" customHeight="1" x14ac:dyDescent="0.2">
      <c r="A1070" s="1471"/>
      <c r="B1070" s="947">
        <v>3744.1499999999996</v>
      </c>
      <c r="C1070" s="947">
        <v>3744.1499999999996</v>
      </c>
      <c r="D1070" s="880" t="s">
        <v>2739</v>
      </c>
    </row>
    <row r="1071" spans="1:4" s="948" customFormat="1" ht="11.25" customHeight="1" x14ac:dyDescent="0.2">
      <c r="A1071" s="1471"/>
      <c r="B1071" s="947">
        <v>5331.15</v>
      </c>
      <c r="C1071" s="947">
        <v>5331.15</v>
      </c>
      <c r="D1071" s="880" t="s">
        <v>11</v>
      </c>
    </row>
    <row r="1072" spans="1:4" s="948" customFormat="1" ht="21" x14ac:dyDescent="0.2">
      <c r="A1072" s="1472" t="s">
        <v>3212</v>
      </c>
      <c r="B1072" s="949">
        <v>30</v>
      </c>
      <c r="C1072" s="949">
        <v>30</v>
      </c>
      <c r="D1072" s="882" t="s">
        <v>2737</v>
      </c>
    </row>
    <row r="1073" spans="1:4" s="948" customFormat="1" ht="11.25" customHeight="1" x14ac:dyDescent="0.2">
      <c r="A1073" s="1473"/>
      <c r="B1073" s="950">
        <v>30</v>
      </c>
      <c r="C1073" s="950">
        <v>30</v>
      </c>
      <c r="D1073" s="886" t="s">
        <v>11</v>
      </c>
    </row>
    <row r="1074" spans="1:4" s="948" customFormat="1" ht="11.25" customHeight="1" x14ac:dyDescent="0.2">
      <c r="A1074" s="1471" t="s">
        <v>3213</v>
      </c>
      <c r="B1074" s="947">
        <v>995.2</v>
      </c>
      <c r="C1074" s="947">
        <v>0</v>
      </c>
      <c r="D1074" s="880" t="s">
        <v>2842</v>
      </c>
    </row>
    <row r="1075" spans="1:4" s="948" customFormat="1" ht="11.25" customHeight="1" x14ac:dyDescent="0.2">
      <c r="A1075" s="1471"/>
      <c r="B1075" s="947">
        <v>995.2</v>
      </c>
      <c r="C1075" s="947">
        <v>0</v>
      </c>
      <c r="D1075" s="880" t="s">
        <v>11</v>
      </c>
    </row>
    <row r="1076" spans="1:4" s="948" customFormat="1" ht="11.25" customHeight="1" x14ac:dyDescent="0.2">
      <c r="A1076" s="1472" t="s">
        <v>3214</v>
      </c>
      <c r="B1076" s="949">
        <v>17.100000000000001</v>
      </c>
      <c r="C1076" s="949">
        <v>0</v>
      </c>
      <c r="D1076" s="882" t="s">
        <v>2870</v>
      </c>
    </row>
    <row r="1077" spans="1:4" s="948" customFormat="1" ht="11.25" customHeight="1" x14ac:dyDescent="0.2">
      <c r="A1077" s="1473"/>
      <c r="B1077" s="950">
        <v>17.100000000000001</v>
      </c>
      <c r="C1077" s="950">
        <v>0</v>
      </c>
      <c r="D1077" s="886" t="s">
        <v>11</v>
      </c>
    </row>
    <row r="1078" spans="1:4" s="948" customFormat="1" ht="11.25" customHeight="1" x14ac:dyDescent="0.2">
      <c r="A1078" s="1471" t="s">
        <v>3215</v>
      </c>
      <c r="B1078" s="947">
        <v>160</v>
      </c>
      <c r="C1078" s="947">
        <v>160</v>
      </c>
      <c r="D1078" s="880" t="s">
        <v>2745</v>
      </c>
    </row>
    <row r="1079" spans="1:4" s="948" customFormat="1" ht="11.25" customHeight="1" x14ac:dyDescent="0.2">
      <c r="A1079" s="1471"/>
      <c r="B1079" s="947">
        <v>160</v>
      </c>
      <c r="C1079" s="947">
        <v>160</v>
      </c>
      <c r="D1079" s="880" t="s">
        <v>11</v>
      </c>
    </row>
    <row r="1080" spans="1:4" s="948" customFormat="1" ht="11.25" customHeight="1" x14ac:dyDescent="0.2">
      <c r="A1080" s="1472" t="s">
        <v>3216</v>
      </c>
      <c r="B1080" s="949">
        <v>160</v>
      </c>
      <c r="C1080" s="949">
        <v>160</v>
      </c>
      <c r="D1080" s="882" t="s">
        <v>2745</v>
      </c>
    </row>
    <row r="1081" spans="1:4" s="948" customFormat="1" ht="11.25" customHeight="1" x14ac:dyDescent="0.2">
      <c r="A1081" s="1473"/>
      <c r="B1081" s="950">
        <v>160</v>
      </c>
      <c r="C1081" s="950">
        <v>160</v>
      </c>
      <c r="D1081" s="886" t="s">
        <v>11</v>
      </c>
    </row>
    <row r="1082" spans="1:4" s="948" customFormat="1" ht="11.25" customHeight="1" x14ac:dyDescent="0.2">
      <c r="A1082" s="1471" t="s">
        <v>3217</v>
      </c>
      <c r="B1082" s="947">
        <v>1434.11</v>
      </c>
      <c r="C1082" s="947">
        <v>1434.11</v>
      </c>
      <c r="D1082" s="880" t="s">
        <v>1458</v>
      </c>
    </row>
    <row r="1083" spans="1:4" s="948" customFormat="1" ht="11.25" customHeight="1" x14ac:dyDescent="0.2">
      <c r="A1083" s="1471"/>
      <c r="B1083" s="947">
        <v>5.3</v>
      </c>
      <c r="C1083" s="947">
        <v>5.3010000000000002</v>
      </c>
      <c r="D1083" s="880" t="s">
        <v>1454</v>
      </c>
    </row>
    <row r="1084" spans="1:4" s="948" customFormat="1" ht="11.25" customHeight="1" x14ac:dyDescent="0.2">
      <c r="A1084" s="1471"/>
      <c r="B1084" s="947">
        <v>1439.4099999999999</v>
      </c>
      <c r="C1084" s="947">
        <v>1439.4109999999998</v>
      </c>
      <c r="D1084" s="880" t="s">
        <v>11</v>
      </c>
    </row>
    <row r="1085" spans="1:4" s="948" customFormat="1" ht="11.25" customHeight="1" x14ac:dyDescent="0.2">
      <c r="A1085" s="1472" t="s">
        <v>3218</v>
      </c>
      <c r="B1085" s="949">
        <v>19.399999999999999</v>
      </c>
      <c r="C1085" s="949">
        <v>0</v>
      </c>
      <c r="D1085" s="882" t="s">
        <v>2870</v>
      </c>
    </row>
    <row r="1086" spans="1:4" s="948" customFormat="1" ht="11.25" customHeight="1" x14ac:dyDescent="0.2">
      <c r="A1086" s="1473"/>
      <c r="B1086" s="950">
        <v>19.399999999999999</v>
      </c>
      <c r="C1086" s="950">
        <v>0</v>
      </c>
      <c r="D1086" s="886" t="s">
        <v>11</v>
      </c>
    </row>
    <row r="1087" spans="1:4" s="948" customFormat="1" ht="11.25" customHeight="1" x14ac:dyDescent="0.2">
      <c r="A1087" s="1471" t="s">
        <v>974</v>
      </c>
      <c r="B1087" s="947">
        <v>30</v>
      </c>
      <c r="C1087" s="947">
        <v>30</v>
      </c>
      <c r="D1087" s="880" t="s">
        <v>972</v>
      </c>
    </row>
    <row r="1088" spans="1:4" s="948" customFormat="1" ht="11.25" customHeight="1" x14ac:dyDescent="0.2">
      <c r="A1088" s="1471"/>
      <c r="B1088" s="947">
        <v>100</v>
      </c>
      <c r="C1088" s="947">
        <v>100</v>
      </c>
      <c r="D1088" s="880" t="s">
        <v>978</v>
      </c>
    </row>
    <row r="1089" spans="1:4" s="948" customFormat="1" ht="11.25" customHeight="1" x14ac:dyDescent="0.2">
      <c r="A1089" s="1471"/>
      <c r="B1089" s="947">
        <v>130</v>
      </c>
      <c r="C1089" s="947">
        <v>130</v>
      </c>
      <c r="D1089" s="880" t="s">
        <v>11</v>
      </c>
    </row>
    <row r="1090" spans="1:4" s="948" customFormat="1" ht="11.25" customHeight="1" x14ac:dyDescent="0.2">
      <c r="A1090" s="1472" t="s">
        <v>4799</v>
      </c>
      <c r="B1090" s="949">
        <v>10</v>
      </c>
      <c r="C1090" s="949">
        <v>10</v>
      </c>
      <c r="D1090" s="882" t="s">
        <v>1337</v>
      </c>
    </row>
    <row r="1091" spans="1:4" s="948" customFormat="1" ht="11.25" customHeight="1" x14ac:dyDescent="0.2">
      <c r="A1091" s="1473"/>
      <c r="B1091" s="950">
        <v>10</v>
      </c>
      <c r="C1091" s="950">
        <v>10</v>
      </c>
      <c r="D1091" s="886" t="s">
        <v>11</v>
      </c>
    </row>
    <row r="1092" spans="1:4" s="948" customFormat="1" ht="11.25" customHeight="1" x14ac:dyDescent="0.2">
      <c r="A1092" s="1472" t="s">
        <v>4799</v>
      </c>
      <c r="B1092" s="947">
        <v>17</v>
      </c>
      <c r="C1092" s="947">
        <v>17</v>
      </c>
      <c r="D1092" s="880" t="s">
        <v>1337</v>
      </c>
    </row>
    <row r="1093" spans="1:4" s="948" customFormat="1" ht="11.25" customHeight="1" x14ac:dyDescent="0.2">
      <c r="A1093" s="1473"/>
      <c r="B1093" s="947">
        <v>17</v>
      </c>
      <c r="C1093" s="947">
        <v>17</v>
      </c>
      <c r="D1093" s="880" t="s">
        <v>11</v>
      </c>
    </row>
    <row r="1094" spans="1:4" s="948" customFormat="1" ht="11.25" customHeight="1" x14ac:dyDescent="0.2">
      <c r="A1094" s="1472" t="s">
        <v>3219</v>
      </c>
      <c r="B1094" s="949">
        <v>917</v>
      </c>
      <c r="C1094" s="949">
        <v>917</v>
      </c>
      <c r="D1094" s="882" t="s">
        <v>2735</v>
      </c>
    </row>
    <row r="1095" spans="1:4" s="948" customFormat="1" ht="11.25" customHeight="1" x14ac:dyDescent="0.2">
      <c r="A1095" s="1471"/>
      <c r="B1095" s="947">
        <v>109</v>
      </c>
      <c r="C1095" s="947">
        <v>109</v>
      </c>
      <c r="D1095" s="880" t="s">
        <v>2886</v>
      </c>
    </row>
    <row r="1096" spans="1:4" s="948" customFormat="1" ht="21" x14ac:dyDescent="0.2">
      <c r="A1096" s="1471"/>
      <c r="B1096" s="947">
        <v>75</v>
      </c>
      <c r="C1096" s="947">
        <v>75</v>
      </c>
      <c r="D1096" s="880" t="s">
        <v>2867</v>
      </c>
    </row>
    <row r="1097" spans="1:4" s="948" customFormat="1" ht="11.25" customHeight="1" x14ac:dyDescent="0.2">
      <c r="A1097" s="1473"/>
      <c r="B1097" s="950">
        <v>1101</v>
      </c>
      <c r="C1097" s="950">
        <v>1101</v>
      </c>
      <c r="D1097" s="886" t="s">
        <v>11</v>
      </c>
    </row>
    <row r="1098" spans="1:4" s="948" customFormat="1" ht="11.25" customHeight="1" x14ac:dyDescent="0.2">
      <c r="A1098" s="1471" t="s">
        <v>1087</v>
      </c>
      <c r="B1098" s="947">
        <v>73.900000000000006</v>
      </c>
      <c r="C1098" s="947">
        <v>73.900000000000006</v>
      </c>
      <c r="D1098" s="880" t="s">
        <v>2770</v>
      </c>
    </row>
    <row r="1099" spans="1:4" s="948" customFormat="1" ht="11.25" customHeight="1" x14ac:dyDescent="0.2">
      <c r="A1099" s="1471"/>
      <c r="B1099" s="947">
        <v>6.67</v>
      </c>
      <c r="C1099" s="947">
        <v>6.6680000000000001</v>
      </c>
      <c r="D1099" s="880" t="s">
        <v>3220</v>
      </c>
    </row>
    <row r="1100" spans="1:4" s="948" customFormat="1" ht="11.25" customHeight="1" x14ac:dyDescent="0.2">
      <c r="A1100" s="1471"/>
      <c r="B1100" s="947">
        <v>80.569999999999993</v>
      </c>
      <c r="C1100" s="947">
        <v>80.568000000000012</v>
      </c>
      <c r="D1100" s="880" t="s">
        <v>11</v>
      </c>
    </row>
    <row r="1101" spans="1:4" s="948" customFormat="1" ht="11.25" customHeight="1" x14ac:dyDescent="0.2">
      <c r="A1101" s="1472" t="s">
        <v>1141</v>
      </c>
      <c r="B1101" s="949">
        <v>20</v>
      </c>
      <c r="C1101" s="949">
        <v>20</v>
      </c>
      <c r="D1101" s="882" t="s">
        <v>1111</v>
      </c>
    </row>
    <row r="1102" spans="1:4" s="948" customFormat="1" ht="11.25" customHeight="1" x14ac:dyDescent="0.2">
      <c r="A1102" s="1473"/>
      <c r="B1102" s="950">
        <v>20</v>
      </c>
      <c r="C1102" s="950">
        <v>20</v>
      </c>
      <c r="D1102" s="886" t="s">
        <v>11</v>
      </c>
    </row>
    <row r="1103" spans="1:4" s="948" customFormat="1" ht="11.25" customHeight="1" x14ac:dyDescent="0.2">
      <c r="A1103" s="1471" t="s">
        <v>3221</v>
      </c>
      <c r="B1103" s="947">
        <v>300</v>
      </c>
      <c r="C1103" s="947">
        <v>0</v>
      </c>
      <c r="D1103" s="880" t="s">
        <v>3176</v>
      </c>
    </row>
    <row r="1104" spans="1:4" s="948" customFormat="1" ht="11.25" customHeight="1" x14ac:dyDescent="0.2">
      <c r="A1104" s="1471"/>
      <c r="B1104" s="947">
        <v>300</v>
      </c>
      <c r="C1104" s="947">
        <v>0</v>
      </c>
      <c r="D1104" s="880" t="s">
        <v>11</v>
      </c>
    </row>
    <row r="1105" spans="1:4" s="948" customFormat="1" ht="11.25" customHeight="1" x14ac:dyDescent="0.2">
      <c r="A1105" s="1472" t="s">
        <v>3222</v>
      </c>
      <c r="B1105" s="949">
        <v>300</v>
      </c>
      <c r="C1105" s="949">
        <v>0</v>
      </c>
      <c r="D1105" s="882" t="s">
        <v>3176</v>
      </c>
    </row>
    <row r="1106" spans="1:4" s="948" customFormat="1" ht="11.25" customHeight="1" x14ac:dyDescent="0.2">
      <c r="A1106" s="1473"/>
      <c r="B1106" s="950">
        <v>300</v>
      </c>
      <c r="C1106" s="950">
        <v>0</v>
      </c>
      <c r="D1106" s="886" t="s">
        <v>11</v>
      </c>
    </row>
    <row r="1107" spans="1:4" s="948" customFormat="1" ht="11.25" customHeight="1" x14ac:dyDescent="0.2">
      <c r="A1107" s="1471" t="s">
        <v>3223</v>
      </c>
      <c r="B1107" s="947">
        <v>300</v>
      </c>
      <c r="C1107" s="947">
        <v>0</v>
      </c>
      <c r="D1107" s="880" t="s">
        <v>3176</v>
      </c>
    </row>
    <row r="1108" spans="1:4" s="948" customFormat="1" ht="11.25" customHeight="1" x14ac:dyDescent="0.2">
      <c r="A1108" s="1471"/>
      <c r="B1108" s="947">
        <v>300</v>
      </c>
      <c r="C1108" s="947">
        <v>0</v>
      </c>
      <c r="D1108" s="880" t="s">
        <v>11</v>
      </c>
    </row>
    <row r="1109" spans="1:4" s="948" customFormat="1" ht="11.25" customHeight="1" x14ac:dyDescent="0.2">
      <c r="A1109" s="1472" t="s">
        <v>3224</v>
      </c>
      <c r="B1109" s="949">
        <v>300</v>
      </c>
      <c r="C1109" s="949">
        <v>0</v>
      </c>
      <c r="D1109" s="882" t="s">
        <v>3176</v>
      </c>
    </row>
    <row r="1110" spans="1:4" s="948" customFormat="1" ht="11.25" customHeight="1" x14ac:dyDescent="0.2">
      <c r="A1110" s="1473"/>
      <c r="B1110" s="950">
        <v>300</v>
      </c>
      <c r="C1110" s="950">
        <v>0</v>
      </c>
      <c r="D1110" s="886" t="s">
        <v>11</v>
      </c>
    </row>
    <row r="1111" spans="1:4" s="948" customFormat="1" ht="11.25" customHeight="1" x14ac:dyDescent="0.2">
      <c r="A1111" s="1471" t="s">
        <v>3225</v>
      </c>
      <c r="B1111" s="947">
        <v>300</v>
      </c>
      <c r="C1111" s="947">
        <v>0</v>
      </c>
      <c r="D1111" s="880" t="s">
        <v>3176</v>
      </c>
    </row>
    <row r="1112" spans="1:4" s="948" customFormat="1" ht="11.25" customHeight="1" x14ac:dyDescent="0.2">
      <c r="A1112" s="1471"/>
      <c r="B1112" s="947">
        <v>300</v>
      </c>
      <c r="C1112" s="947">
        <v>0</v>
      </c>
      <c r="D1112" s="880" t="s">
        <v>11</v>
      </c>
    </row>
    <row r="1113" spans="1:4" s="948" customFormat="1" ht="11.25" customHeight="1" x14ac:dyDescent="0.2">
      <c r="A1113" s="1472" t="s">
        <v>3226</v>
      </c>
      <c r="B1113" s="949">
        <v>300</v>
      </c>
      <c r="C1113" s="949">
        <v>0</v>
      </c>
      <c r="D1113" s="882" t="s">
        <v>3176</v>
      </c>
    </row>
    <row r="1114" spans="1:4" s="948" customFormat="1" ht="11.25" customHeight="1" x14ac:dyDescent="0.2">
      <c r="A1114" s="1473"/>
      <c r="B1114" s="950">
        <v>300</v>
      </c>
      <c r="C1114" s="950">
        <v>0</v>
      </c>
      <c r="D1114" s="886" t="s">
        <v>11</v>
      </c>
    </row>
    <row r="1115" spans="1:4" s="948" customFormat="1" ht="11.25" customHeight="1" x14ac:dyDescent="0.2">
      <c r="A1115" s="1471" t="s">
        <v>738</v>
      </c>
      <c r="B1115" s="947">
        <v>25</v>
      </c>
      <c r="C1115" s="947">
        <v>25</v>
      </c>
      <c r="D1115" s="880" t="s">
        <v>735</v>
      </c>
    </row>
    <row r="1116" spans="1:4" s="948" customFormat="1" ht="11.25" customHeight="1" x14ac:dyDescent="0.2">
      <c r="A1116" s="1471"/>
      <c r="B1116" s="947">
        <v>25</v>
      </c>
      <c r="C1116" s="947">
        <v>25</v>
      </c>
      <c r="D1116" s="880" t="s">
        <v>11</v>
      </c>
    </row>
    <row r="1117" spans="1:4" s="948" customFormat="1" ht="11.25" customHeight="1" x14ac:dyDescent="0.2">
      <c r="A1117" s="1472" t="s">
        <v>975</v>
      </c>
      <c r="B1117" s="949">
        <v>15</v>
      </c>
      <c r="C1117" s="949">
        <v>15</v>
      </c>
      <c r="D1117" s="882" t="s">
        <v>972</v>
      </c>
    </row>
    <row r="1118" spans="1:4" s="948" customFormat="1" ht="11.25" customHeight="1" x14ac:dyDescent="0.2">
      <c r="A1118" s="1473"/>
      <c r="B1118" s="950">
        <v>15</v>
      </c>
      <c r="C1118" s="950">
        <v>15</v>
      </c>
      <c r="D1118" s="886" t="s">
        <v>11</v>
      </c>
    </row>
    <row r="1119" spans="1:4" s="948" customFormat="1" ht="11.25" customHeight="1" x14ac:dyDescent="0.2">
      <c r="A1119" s="1471" t="s">
        <v>3227</v>
      </c>
      <c r="B1119" s="947">
        <v>70</v>
      </c>
      <c r="C1119" s="947">
        <v>70</v>
      </c>
      <c r="D1119" s="880" t="s">
        <v>2741</v>
      </c>
    </row>
    <row r="1120" spans="1:4" s="948" customFormat="1" ht="11.25" customHeight="1" x14ac:dyDescent="0.2">
      <c r="A1120" s="1471"/>
      <c r="B1120" s="947">
        <v>70</v>
      </c>
      <c r="C1120" s="947">
        <v>70</v>
      </c>
      <c r="D1120" s="880" t="s">
        <v>11</v>
      </c>
    </row>
    <row r="1121" spans="1:4" s="948" customFormat="1" ht="11.25" customHeight="1" x14ac:dyDescent="0.2">
      <c r="A1121" s="1472" t="s">
        <v>960</v>
      </c>
      <c r="B1121" s="949">
        <v>250</v>
      </c>
      <c r="C1121" s="949">
        <v>250</v>
      </c>
      <c r="D1121" s="882" t="s">
        <v>951</v>
      </c>
    </row>
    <row r="1122" spans="1:4" s="948" customFormat="1" ht="11.25" customHeight="1" x14ac:dyDescent="0.2">
      <c r="A1122" s="1473"/>
      <c r="B1122" s="950">
        <v>250</v>
      </c>
      <c r="C1122" s="950">
        <v>250</v>
      </c>
      <c r="D1122" s="886" t="s">
        <v>11</v>
      </c>
    </row>
    <row r="1123" spans="1:4" s="948" customFormat="1" ht="11.25" customHeight="1" x14ac:dyDescent="0.2">
      <c r="A1123" s="1471" t="s">
        <v>989</v>
      </c>
      <c r="B1123" s="947">
        <v>70</v>
      </c>
      <c r="C1123" s="947">
        <v>70</v>
      </c>
      <c r="D1123" s="880" t="s">
        <v>2741</v>
      </c>
    </row>
    <row r="1124" spans="1:4" s="948" customFormat="1" ht="11.25" customHeight="1" x14ac:dyDescent="0.2">
      <c r="A1124" s="1471"/>
      <c r="B1124" s="947">
        <v>50</v>
      </c>
      <c r="C1124" s="947">
        <v>50</v>
      </c>
      <c r="D1124" s="880" t="s">
        <v>978</v>
      </c>
    </row>
    <row r="1125" spans="1:4" s="948" customFormat="1" ht="11.25" customHeight="1" x14ac:dyDescent="0.2">
      <c r="A1125" s="1471"/>
      <c r="B1125" s="947">
        <v>120</v>
      </c>
      <c r="C1125" s="947">
        <v>120</v>
      </c>
      <c r="D1125" s="880" t="s">
        <v>11</v>
      </c>
    </row>
    <row r="1126" spans="1:4" s="948" customFormat="1" ht="11.25" customHeight="1" x14ac:dyDescent="0.2">
      <c r="A1126" s="1472" t="s">
        <v>739</v>
      </c>
      <c r="B1126" s="949">
        <v>20</v>
      </c>
      <c r="C1126" s="949">
        <v>20</v>
      </c>
      <c r="D1126" s="882" t="s">
        <v>735</v>
      </c>
    </row>
    <row r="1127" spans="1:4" s="948" customFormat="1" ht="11.25" customHeight="1" x14ac:dyDescent="0.2">
      <c r="A1127" s="1473"/>
      <c r="B1127" s="950">
        <v>20</v>
      </c>
      <c r="C1127" s="950">
        <v>20</v>
      </c>
      <c r="D1127" s="886" t="s">
        <v>11</v>
      </c>
    </row>
    <row r="1128" spans="1:4" s="948" customFormat="1" ht="11.25" customHeight="1" x14ac:dyDescent="0.2">
      <c r="A1128" s="1471" t="s">
        <v>740</v>
      </c>
      <c r="B1128" s="947">
        <v>50</v>
      </c>
      <c r="C1128" s="947">
        <v>50</v>
      </c>
      <c r="D1128" s="880" t="s">
        <v>735</v>
      </c>
    </row>
    <row r="1129" spans="1:4" s="948" customFormat="1" ht="11.25" customHeight="1" x14ac:dyDescent="0.2">
      <c r="A1129" s="1471"/>
      <c r="B1129" s="947">
        <v>50</v>
      </c>
      <c r="C1129" s="947">
        <v>50</v>
      </c>
      <c r="D1129" s="880" t="s">
        <v>11</v>
      </c>
    </row>
    <row r="1130" spans="1:4" s="948" customFormat="1" ht="11.25" customHeight="1" x14ac:dyDescent="0.2">
      <c r="A1130" s="1472" t="s">
        <v>3228</v>
      </c>
      <c r="B1130" s="949">
        <v>181.57000000000002</v>
      </c>
      <c r="C1130" s="949">
        <v>181.56042000000002</v>
      </c>
      <c r="D1130" s="882" t="s">
        <v>2602</v>
      </c>
    </row>
    <row r="1131" spans="1:4" s="948" customFormat="1" ht="11.25" customHeight="1" x14ac:dyDescent="0.2">
      <c r="A1131" s="1473"/>
      <c r="B1131" s="950">
        <v>181.57000000000002</v>
      </c>
      <c r="C1131" s="950">
        <v>181.56042000000002</v>
      </c>
      <c r="D1131" s="886" t="s">
        <v>11</v>
      </c>
    </row>
    <row r="1132" spans="1:4" s="948" customFormat="1" ht="11.25" customHeight="1" x14ac:dyDescent="0.2">
      <c r="A1132" s="1471" t="s">
        <v>3229</v>
      </c>
      <c r="B1132" s="947">
        <v>326</v>
      </c>
      <c r="C1132" s="947">
        <v>326</v>
      </c>
      <c r="D1132" s="880" t="s">
        <v>2735</v>
      </c>
    </row>
    <row r="1133" spans="1:4" s="948" customFormat="1" ht="11.25" customHeight="1" x14ac:dyDescent="0.2">
      <c r="A1133" s="1471"/>
      <c r="B1133" s="947">
        <v>80</v>
      </c>
      <c r="C1133" s="947">
        <v>80</v>
      </c>
      <c r="D1133" s="880" t="s">
        <v>2893</v>
      </c>
    </row>
    <row r="1134" spans="1:4" s="948" customFormat="1" ht="11.25" customHeight="1" x14ac:dyDescent="0.2">
      <c r="A1134" s="1471"/>
      <c r="B1134" s="947">
        <v>406</v>
      </c>
      <c r="C1134" s="947">
        <v>406</v>
      </c>
      <c r="D1134" s="880" t="s">
        <v>11</v>
      </c>
    </row>
    <row r="1135" spans="1:4" s="948" customFormat="1" ht="11.25" customHeight="1" x14ac:dyDescent="0.2">
      <c r="A1135" s="1472" t="s">
        <v>3230</v>
      </c>
      <c r="B1135" s="949">
        <v>202.6</v>
      </c>
      <c r="C1135" s="949">
        <v>198.45895999999999</v>
      </c>
      <c r="D1135" s="882" t="s">
        <v>2870</v>
      </c>
    </row>
    <row r="1136" spans="1:4" s="948" customFormat="1" ht="11.25" customHeight="1" x14ac:dyDescent="0.2">
      <c r="A1136" s="1473"/>
      <c r="B1136" s="950">
        <v>202.6</v>
      </c>
      <c r="C1136" s="950">
        <v>198.45895999999999</v>
      </c>
      <c r="D1136" s="886" t="s">
        <v>11</v>
      </c>
    </row>
    <row r="1137" spans="1:4" s="948" customFormat="1" ht="11.25" customHeight="1" x14ac:dyDescent="0.2">
      <c r="A1137" s="1471" t="s">
        <v>3231</v>
      </c>
      <c r="B1137" s="947">
        <v>2259</v>
      </c>
      <c r="C1137" s="947">
        <v>2259</v>
      </c>
      <c r="D1137" s="880" t="s">
        <v>2735</v>
      </c>
    </row>
    <row r="1138" spans="1:4" s="948" customFormat="1" ht="11.25" customHeight="1" x14ac:dyDescent="0.2">
      <c r="A1138" s="1471"/>
      <c r="B1138" s="947">
        <v>389.4</v>
      </c>
      <c r="C1138" s="947">
        <v>389.4</v>
      </c>
      <c r="D1138" s="880" t="s">
        <v>2817</v>
      </c>
    </row>
    <row r="1139" spans="1:4" s="948" customFormat="1" ht="11.25" customHeight="1" x14ac:dyDescent="0.2">
      <c r="A1139" s="1471"/>
      <c r="B1139" s="947">
        <v>2648.4</v>
      </c>
      <c r="C1139" s="947">
        <v>2648.4</v>
      </c>
      <c r="D1139" s="880" t="s">
        <v>11</v>
      </c>
    </row>
    <row r="1140" spans="1:4" s="948" customFormat="1" ht="11.25" customHeight="1" x14ac:dyDescent="0.2">
      <c r="A1140" s="1472" t="s">
        <v>4799</v>
      </c>
      <c r="B1140" s="949">
        <v>10.51</v>
      </c>
      <c r="C1140" s="949">
        <v>10.5</v>
      </c>
      <c r="D1140" s="882" t="s">
        <v>1337</v>
      </c>
    </row>
    <row r="1141" spans="1:4" s="948" customFormat="1" ht="11.25" customHeight="1" x14ac:dyDescent="0.2">
      <c r="A1141" s="1473"/>
      <c r="B1141" s="950">
        <v>10.51</v>
      </c>
      <c r="C1141" s="950">
        <v>10.5</v>
      </c>
      <c r="D1141" s="886" t="s">
        <v>11</v>
      </c>
    </row>
    <row r="1142" spans="1:4" s="948" customFormat="1" ht="11.25" customHeight="1" x14ac:dyDescent="0.2">
      <c r="A1142" s="1471" t="s">
        <v>3232</v>
      </c>
      <c r="B1142" s="947">
        <v>27</v>
      </c>
      <c r="C1142" s="947">
        <v>27</v>
      </c>
      <c r="D1142" s="880" t="s">
        <v>2870</v>
      </c>
    </row>
    <row r="1143" spans="1:4" s="948" customFormat="1" ht="11.25" customHeight="1" x14ac:dyDescent="0.2">
      <c r="A1143" s="1471"/>
      <c r="B1143" s="947">
        <v>27</v>
      </c>
      <c r="C1143" s="947">
        <v>27</v>
      </c>
      <c r="D1143" s="880" t="s">
        <v>11</v>
      </c>
    </row>
    <row r="1144" spans="1:4" s="948" customFormat="1" ht="11.25" customHeight="1" x14ac:dyDescent="0.2">
      <c r="A1144" s="1472" t="s">
        <v>1019</v>
      </c>
      <c r="B1144" s="949">
        <v>180</v>
      </c>
      <c r="C1144" s="949">
        <v>180</v>
      </c>
      <c r="D1144" s="882" t="s">
        <v>3233</v>
      </c>
    </row>
    <row r="1145" spans="1:4" s="948" customFormat="1" ht="11.25" customHeight="1" x14ac:dyDescent="0.2">
      <c r="A1145" s="1473"/>
      <c r="B1145" s="950">
        <v>180</v>
      </c>
      <c r="C1145" s="950">
        <v>180</v>
      </c>
      <c r="D1145" s="886" t="s">
        <v>11</v>
      </c>
    </row>
    <row r="1146" spans="1:4" s="948" customFormat="1" ht="11.25" customHeight="1" x14ac:dyDescent="0.2">
      <c r="A1146" s="1472" t="s">
        <v>3234</v>
      </c>
      <c r="B1146" s="949">
        <v>30</v>
      </c>
      <c r="C1146" s="949">
        <v>30</v>
      </c>
      <c r="D1146" s="882" t="s">
        <v>2745</v>
      </c>
    </row>
    <row r="1147" spans="1:4" s="948" customFormat="1" ht="11.25" customHeight="1" x14ac:dyDescent="0.2">
      <c r="A1147" s="1473"/>
      <c r="B1147" s="950">
        <v>30</v>
      </c>
      <c r="C1147" s="950">
        <v>30</v>
      </c>
      <c r="D1147" s="886" t="s">
        <v>11</v>
      </c>
    </row>
    <row r="1148" spans="1:4" s="948" customFormat="1" ht="11.25" customHeight="1" x14ac:dyDescent="0.2">
      <c r="A1148" s="1472" t="s">
        <v>3235</v>
      </c>
      <c r="B1148" s="949">
        <v>37</v>
      </c>
      <c r="C1148" s="949">
        <v>37</v>
      </c>
      <c r="D1148" s="882" t="s">
        <v>2745</v>
      </c>
    </row>
    <row r="1149" spans="1:4" s="948" customFormat="1" ht="11.25" customHeight="1" x14ac:dyDescent="0.2">
      <c r="A1149" s="1471"/>
      <c r="B1149" s="947">
        <v>300</v>
      </c>
      <c r="C1149" s="947">
        <v>300</v>
      </c>
      <c r="D1149" s="880" t="s">
        <v>1107</v>
      </c>
    </row>
    <row r="1150" spans="1:4" s="948" customFormat="1" ht="11.25" customHeight="1" x14ac:dyDescent="0.2">
      <c r="A1150" s="1471"/>
      <c r="B1150" s="947">
        <v>1320</v>
      </c>
      <c r="C1150" s="947">
        <v>1320</v>
      </c>
      <c r="D1150" s="880" t="s">
        <v>1111</v>
      </c>
    </row>
    <row r="1151" spans="1:4" s="948" customFormat="1" ht="11.25" customHeight="1" x14ac:dyDescent="0.2">
      <c r="A1151" s="1473"/>
      <c r="B1151" s="950">
        <v>1657</v>
      </c>
      <c r="C1151" s="950">
        <v>1657</v>
      </c>
      <c r="D1151" s="886" t="s">
        <v>11</v>
      </c>
    </row>
    <row r="1152" spans="1:4" s="948" customFormat="1" ht="11.25" customHeight="1" x14ac:dyDescent="0.2">
      <c r="A1152" s="1471" t="s">
        <v>3236</v>
      </c>
      <c r="B1152" s="947">
        <v>3337.53</v>
      </c>
      <c r="C1152" s="947">
        <v>3337.5259999999998</v>
      </c>
      <c r="D1152" s="880" t="s">
        <v>1458</v>
      </c>
    </row>
    <row r="1153" spans="1:4" s="948" customFormat="1" ht="11.25" customHeight="1" x14ac:dyDescent="0.2">
      <c r="A1153" s="1471"/>
      <c r="B1153" s="947">
        <v>33.86</v>
      </c>
      <c r="C1153" s="947">
        <v>33.863999999999997</v>
      </c>
      <c r="D1153" s="880" t="s">
        <v>1454</v>
      </c>
    </row>
    <row r="1154" spans="1:4" s="948" customFormat="1" ht="11.25" customHeight="1" x14ac:dyDescent="0.2">
      <c r="A1154" s="1471"/>
      <c r="B1154" s="947">
        <v>3371.3900000000003</v>
      </c>
      <c r="C1154" s="947">
        <v>3371.39</v>
      </c>
      <c r="D1154" s="880" t="s">
        <v>11</v>
      </c>
    </row>
    <row r="1155" spans="1:4" s="948" customFormat="1" ht="21" x14ac:dyDescent="0.2">
      <c r="A1155" s="1472" t="s">
        <v>3237</v>
      </c>
      <c r="B1155" s="949">
        <v>80</v>
      </c>
      <c r="C1155" s="949">
        <v>80</v>
      </c>
      <c r="D1155" s="882" t="s">
        <v>2737</v>
      </c>
    </row>
    <row r="1156" spans="1:4" s="948" customFormat="1" ht="11.25" customHeight="1" x14ac:dyDescent="0.2">
      <c r="A1156" s="1471"/>
      <c r="B1156" s="947">
        <v>110</v>
      </c>
      <c r="C1156" s="947">
        <v>0</v>
      </c>
      <c r="D1156" s="880" t="s">
        <v>2744</v>
      </c>
    </row>
    <row r="1157" spans="1:4" s="948" customFormat="1" ht="11.25" customHeight="1" x14ac:dyDescent="0.2">
      <c r="A1157" s="1473"/>
      <c r="B1157" s="950">
        <v>190</v>
      </c>
      <c r="C1157" s="950">
        <v>80</v>
      </c>
      <c r="D1157" s="886" t="s">
        <v>11</v>
      </c>
    </row>
    <row r="1158" spans="1:4" s="948" customFormat="1" ht="11.25" customHeight="1" x14ac:dyDescent="0.2">
      <c r="A1158" s="1471" t="s">
        <v>1188</v>
      </c>
      <c r="B1158" s="947">
        <v>1137</v>
      </c>
      <c r="C1158" s="947">
        <v>1137</v>
      </c>
      <c r="D1158" s="880" t="s">
        <v>2735</v>
      </c>
    </row>
    <row r="1159" spans="1:4" s="948" customFormat="1" ht="11.25" customHeight="1" x14ac:dyDescent="0.2">
      <c r="A1159" s="1471"/>
      <c r="B1159" s="947">
        <v>100</v>
      </c>
      <c r="C1159" s="947">
        <v>100</v>
      </c>
      <c r="D1159" s="880" t="s">
        <v>3238</v>
      </c>
    </row>
    <row r="1160" spans="1:4" s="948" customFormat="1" ht="11.25" customHeight="1" x14ac:dyDescent="0.2">
      <c r="A1160" s="1471"/>
      <c r="B1160" s="947">
        <v>1237</v>
      </c>
      <c r="C1160" s="947">
        <v>1237</v>
      </c>
      <c r="D1160" s="880" t="s">
        <v>11</v>
      </c>
    </row>
    <row r="1161" spans="1:4" s="948" customFormat="1" ht="11.25" customHeight="1" x14ac:dyDescent="0.2">
      <c r="A1161" s="1472" t="s">
        <v>3239</v>
      </c>
      <c r="B1161" s="949">
        <v>300</v>
      </c>
      <c r="C1161" s="949">
        <v>0</v>
      </c>
      <c r="D1161" s="882" t="s">
        <v>2736</v>
      </c>
    </row>
    <row r="1162" spans="1:4" s="948" customFormat="1" ht="11.25" customHeight="1" x14ac:dyDescent="0.2">
      <c r="A1162" s="1473"/>
      <c r="B1162" s="950">
        <v>300</v>
      </c>
      <c r="C1162" s="950">
        <v>0</v>
      </c>
      <c r="D1162" s="886" t="s">
        <v>11</v>
      </c>
    </row>
    <row r="1163" spans="1:4" s="948" customFormat="1" ht="11.25" customHeight="1" x14ac:dyDescent="0.2">
      <c r="A1163" s="1471" t="s">
        <v>3240</v>
      </c>
      <c r="B1163" s="947">
        <v>450</v>
      </c>
      <c r="C1163" s="947">
        <v>75</v>
      </c>
      <c r="D1163" s="880" t="s">
        <v>2736</v>
      </c>
    </row>
    <row r="1164" spans="1:4" s="948" customFormat="1" ht="11.25" customHeight="1" x14ac:dyDescent="0.2">
      <c r="A1164" s="1471"/>
      <c r="B1164" s="947">
        <v>893.54</v>
      </c>
      <c r="C1164" s="947">
        <v>893.51988000000006</v>
      </c>
      <c r="D1164" s="880" t="s">
        <v>2608</v>
      </c>
    </row>
    <row r="1165" spans="1:4" s="948" customFormat="1" ht="11.25" customHeight="1" x14ac:dyDescent="0.2">
      <c r="A1165" s="1471"/>
      <c r="B1165" s="947">
        <v>1343.54</v>
      </c>
      <c r="C1165" s="947">
        <v>968.51988000000006</v>
      </c>
      <c r="D1165" s="880" t="s">
        <v>11</v>
      </c>
    </row>
    <row r="1166" spans="1:4" s="948" customFormat="1" ht="11.25" customHeight="1" x14ac:dyDescent="0.2">
      <c r="A1166" s="1472" t="s">
        <v>3241</v>
      </c>
      <c r="B1166" s="949">
        <v>124</v>
      </c>
      <c r="C1166" s="949">
        <v>124</v>
      </c>
      <c r="D1166" s="882" t="s">
        <v>2745</v>
      </c>
    </row>
    <row r="1167" spans="1:4" s="948" customFormat="1" ht="11.25" customHeight="1" x14ac:dyDescent="0.2">
      <c r="A1167" s="1473"/>
      <c r="B1167" s="950">
        <v>124</v>
      </c>
      <c r="C1167" s="950">
        <v>124</v>
      </c>
      <c r="D1167" s="886" t="s">
        <v>11</v>
      </c>
    </row>
    <row r="1168" spans="1:4" s="948" customFormat="1" ht="11.25" customHeight="1" x14ac:dyDescent="0.2">
      <c r="A1168" s="1471" t="s">
        <v>3242</v>
      </c>
      <c r="B1168" s="947">
        <v>85</v>
      </c>
      <c r="C1168" s="947">
        <v>85</v>
      </c>
      <c r="D1168" s="880" t="s">
        <v>2745</v>
      </c>
    </row>
    <row r="1169" spans="1:4" s="948" customFormat="1" ht="11.25" customHeight="1" x14ac:dyDescent="0.2">
      <c r="A1169" s="1471"/>
      <c r="B1169" s="947">
        <v>85</v>
      </c>
      <c r="C1169" s="947">
        <v>85</v>
      </c>
      <c r="D1169" s="880" t="s">
        <v>11</v>
      </c>
    </row>
    <row r="1170" spans="1:4" s="948" customFormat="1" ht="11.25" customHeight="1" x14ac:dyDescent="0.2">
      <c r="A1170" s="1472" t="s">
        <v>3243</v>
      </c>
      <c r="B1170" s="949">
        <v>183.6</v>
      </c>
      <c r="C1170" s="949">
        <v>183.6</v>
      </c>
      <c r="D1170" s="882" t="s">
        <v>2745</v>
      </c>
    </row>
    <row r="1171" spans="1:4" s="948" customFormat="1" ht="11.25" customHeight="1" x14ac:dyDescent="0.2">
      <c r="A1171" s="1473"/>
      <c r="B1171" s="950">
        <v>183.6</v>
      </c>
      <c r="C1171" s="950">
        <v>183.6</v>
      </c>
      <c r="D1171" s="886" t="s">
        <v>11</v>
      </c>
    </row>
    <row r="1172" spans="1:4" s="948" customFormat="1" ht="11.25" customHeight="1" x14ac:dyDescent="0.2">
      <c r="A1172" s="1471" t="s">
        <v>1225</v>
      </c>
      <c r="B1172" s="947">
        <v>100</v>
      </c>
      <c r="C1172" s="947">
        <v>100</v>
      </c>
      <c r="D1172" s="880" t="s">
        <v>1217</v>
      </c>
    </row>
    <row r="1173" spans="1:4" s="948" customFormat="1" ht="11.25" customHeight="1" x14ac:dyDescent="0.2">
      <c r="A1173" s="1471"/>
      <c r="B1173" s="947">
        <v>100</v>
      </c>
      <c r="C1173" s="947">
        <v>100</v>
      </c>
      <c r="D1173" s="880" t="s">
        <v>11</v>
      </c>
    </row>
    <row r="1174" spans="1:4" s="948" customFormat="1" ht="11.25" customHeight="1" x14ac:dyDescent="0.2">
      <c r="A1174" s="1472" t="s">
        <v>3244</v>
      </c>
      <c r="B1174" s="949">
        <v>298.89999999999998</v>
      </c>
      <c r="C1174" s="949">
        <v>149.44999999999999</v>
      </c>
      <c r="D1174" s="882" t="s">
        <v>2862</v>
      </c>
    </row>
    <row r="1175" spans="1:4" s="948" customFormat="1" ht="11.25" customHeight="1" x14ac:dyDescent="0.2">
      <c r="A1175" s="1473"/>
      <c r="B1175" s="950">
        <v>298.89999999999998</v>
      </c>
      <c r="C1175" s="950">
        <v>149.44999999999999</v>
      </c>
      <c r="D1175" s="886" t="s">
        <v>11</v>
      </c>
    </row>
    <row r="1176" spans="1:4" s="948" customFormat="1" ht="11.25" customHeight="1" x14ac:dyDescent="0.2">
      <c r="A1176" s="1471" t="s">
        <v>1197</v>
      </c>
      <c r="B1176" s="947">
        <v>100</v>
      </c>
      <c r="C1176" s="947">
        <v>100</v>
      </c>
      <c r="D1176" s="880" t="s">
        <v>1195</v>
      </c>
    </row>
    <row r="1177" spans="1:4" s="948" customFormat="1" ht="11.25" customHeight="1" x14ac:dyDescent="0.2">
      <c r="A1177" s="1471"/>
      <c r="B1177" s="947">
        <v>100</v>
      </c>
      <c r="C1177" s="947">
        <v>100</v>
      </c>
      <c r="D1177" s="880" t="s">
        <v>11</v>
      </c>
    </row>
    <row r="1178" spans="1:4" s="948" customFormat="1" ht="11.25" customHeight="1" x14ac:dyDescent="0.2">
      <c r="A1178" s="1472" t="s">
        <v>3245</v>
      </c>
      <c r="B1178" s="949">
        <v>1010.0400000000001</v>
      </c>
      <c r="C1178" s="949">
        <v>1010.044</v>
      </c>
      <c r="D1178" s="882" t="s">
        <v>1458</v>
      </c>
    </row>
    <row r="1179" spans="1:4" s="948" customFormat="1" ht="11.25" customHeight="1" x14ac:dyDescent="0.2">
      <c r="A1179" s="1471"/>
      <c r="B1179" s="947">
        <v>16.13</v>
      </c>
      <c r="C1179" s="947">
        <v>16.13</v>
      </c>
      <c r="D1179" s="880" t="s">
        <v>1454</v>
      </c>
    </row>
    <row r="1180" spans="1:4" s="948" customFormat="1" ht="11.25" customHeight="1" x14ac:dyDescent="0.2">
      <c r="A1180" s="1473"/>
      <c r="B1180" s="950">
        <v>1026.17</v>
      </c>
      <c r="C1180" s="950">
        <v>1026.174</v>
      </c>
      <c r="D1180" s="886" t="s">
        <v>11</v>
      </c>
    </row>
    <row r="1181" spans="1:4" s="948" customFormat="1" ht="11.25" customHeight="1" x14ac:dyDescent="0.2">
      <c r="A1181" s="1471" t="s">
        <v>741</v>
      </c>
      <c r="B1181" s="947">
        <v>50</v>
      </c>
      <c r="C1181" s="947">
        <v>50</v>
      </c>
      <c r="D1181" s="880" t="s">
        <v>735</v>
      </c>
    </row>
    <row r="1182" spans="1:4" s="948" customFormat="1" ht="11.25" customHeight="1" x14ac:dyDescent="0.2">
      <c r="A1182" s="1471"/>
      <c r="B1182" s="947">
        <v>50</v>
      </c>
      <c r="C1182" s="947">
        <v>50</v>
      </c>
      <c r="D1182" s="880" t="s">
        <v>11</v>
      </c>
    </row>
    <row r="1183" spans="1:4" s="948" customFormat="1" ht="11.25" customHeight="1" x14ac:dyDescent="0.2">
      <c r="A1183" s="1472" t="s">
        <v>4799</v>
      </c>
      <c r="B1183" s="949">
        <v>250</v>
      </c>
      <c r="C1183" s="949">
        <v>250</v>
      </c>
      <c r="D1183" s="882" t="s">
        <v>2743</v>
      </c>
    </row>
    <row r="1184" spans="1:4" s="948" customFormat="1" ht="11.25" customHeight="1" x14ac:dyDescent="0.2">
      <c r="A1184" s="1473"/>
      <c r="B1184" s="950">
        <v>250</v>
      </c>
      <c r="C1184" s="950">
        <v>250</v>
      </c>
      <c r="D1184" s="886" t="s">
        <v>11</v>
      </c>
    </row>
    <row r="1185" spans="1:4" s="948" customFormat="1" ht="11.25" customHeight="1" x14ac:dyDescent="0.2">
      <c r="A1185" s="1471" t="s">
        <v>990</v>
      </c>
      <c r="B1185" s="947">
        <v>18.329999999999998</v>
      </c>
      <c r="C1185" s="947">
        <v>18.152000000000001</v>
      </c>
      <c r="D1185" s="880" t="s">
        <v>1319</v>
      </c>
    </row>
    <row r="1186" spans="1:4" s="948" customFormat="1" ht="11.25" customHeight="1" x14ac:dyDescent="0.2">
      <c r="A1186" s="1471"/>
      <c r="B1186" s="947">
        <v>50</v>
      </c>
      <c r="C1186" s="947">
        <v>50</v>
      </c>
      <c r="D1186" s="880" t="s">
        <v>978</v>
      </c>
    </row>
    <row r="1187" spans="1:4" s="948" customFormat="1" ht="11.25" customHeight="1" x14ac:dyDescent="0.2">
      <c r="A1187" s="1471"/>
      <c r="B1187" s="947">
        <v>20</v>
      </c>
      <c r="C1187" s="947">
        <v>20</v>
      </c>
      <c r="D1187" s="880" t="s">
        <v>1173</v>
      </c>
    </row>
    <row r="1188" spans="1:4" s="948" customFormat="1" ht="11.25" customHeight="1" x14ac:dyDescent="0.2">
      <c r="A1188" s="1471"/>
      <c r="B1188" s="947">
        <v>88.33</v>
      </c>
      <c r="C1188" s="947">
        <v>88.152000000000001</v>
      </c>
      <c r="D1188" s="880" t="s">
        <v>11</v>
      </c>
    </row>
    <row r="1189" spans="1:4" s="948" customFormat="1" ht="11.25" customHeight="1" x14ac:dyDescent="0.2">
      <c r="A1189" s="1472" t="s">
        <v>1231</v>
      </c>
      <c r="B1189" s="949">
        <v>50</v>
      </c>
      <c r="C1189" s="949">
        <v>50</v>
      </c>
      <c r="D1189" s="882" t="s">
        <v>3246</v>
      </c>
    </row>
    <row r="1190" spans="1:4" s="948" customFormat="1" ht="11.25" customHeight="1" x14ac:dyDescent="0.2">
      <c r="A1190" s="1473"/>
      <c r="B1190" s="950">
        <v>50</v>
      </c>
      <c r="C1190" s="950">
        <v>50</v>
      </c>
      <c r="D1190" s="886" t="s">
        <v>11</v>
      </c>
    </row>
    <row r="1191" spans="1:4" s="948" customFormat="1" ht="11.25" customHeight="1" x14ac:dyDescent="0.2">
      <c r="A1191" s="1471" t="s">
        <v>1142</v>
      </c>
      <c r="B1191" s="947">
        <v>10</v>
      </c>
      <c r="C1191" s="947">
        <v>10</v>
      </c>
      <c r="D1191" s="880" t="s">
        <v>1111</v>
      </c>
    </row>
    <row r="1192" spans="1:4" s="948" customFormat="1" ht="11.25" customHeight="1" x14ac:dyDescent="0.2">
      <c r="A1192" s="1471"/>
      <c r="B1192" s="947">
        <v>10</v>
      </c>
      <c r="C1192" s="947">
        <v>10</v>
      </c>
      <c r="D1192" s="880" t="s">
        <v>11</v>
      </c>
    </row>
    <row r="1193" spans="1:4" s="948" customFormat="1" ht="11.25" customHeight="1" x14ac:dyDescent="0.2">
      <c r="A1193" s="1472" t="s">
        <v>3247</v>
      </c>
      <c r="B1193" s="949">
        <v>850</v>
      </c>
      <c r="C1193" s="949">
        <v>850</v>
      </c>
      <c r="D1193" s="882" t="s">
        <v>2735</v>
      </c>
    </row>
    <row r="1194" spans="1:4" s="948" customFormat="1" ht="11.25" customHeight="1" x14ac:dyDescent="0.2">
      <c r="A1194" s="1473"/>
      <c r="B1194" s="950">
        <v>850</v>
      </c>
      <c r="C1194" s="950">
        <v>850</v>
      </c>
      <c r="D1194" s="886" t="s">
        <v>11</v>
      </c>
    </row>
    <row r="1195" spans="1:4" s="948" customFormat="1" ht="11.25" customHeight="1" x14ac:dyDescent="0.2">
      <c r="A1195" s="1471" t="s">
        <v>1226</v>
      </c>
      <c r="B1195" s="947">
        <v>150</v>
      </c>
      <c r="C1195" s="947">
        <v>150</v>
      </c>
      <c r="D1195" s="880" t="s">
        <v>1217</v>
      </c>
    </row>
    <row r="1196" spans="1:4" s="948" customFormat="1" ht="11.25" customHeight="1" x14ac:dyDescent="0.2">
      <c r="A1196" s="1471"/>
      <c r="B1196" s="947">
        <v>150</v>
      </c>
      <c r="C1196" s="947">
        <v>150</v>
      </c>
      <c r="D1196" s="880" t="s">
        <v>11</v>
      </c>
    </row>
    <row r="1197" spans="1:4" s="948" customFormat="1" ht="11.25" customHeight="1" x14ac:dyDescent="0.2">
      <c r="A1197" s="1472" t="s">
        <v>1167</v>
      </c>
      <c r="B1197" s="949">
        <v>10</v>
      </c>
      <c r="C1197" s="949">
        <v>0</v>
      </c>
      <c r="D1197" s="882" t="s">
        <v>1161</v>
      </c>
    </row>
    <row r="1198" spans="1:4" s="948" customFormat="1" ht="11.25" customHeight="1" x14ac:dyDescent="0.2">
      <c r="A1198" s="1473"/>
      <c r="B1198" s="950">
        <v>10</v>
      </c>
      <c r="C1198" s="950">
        <v>0</v>
      </c>
      <c r="D1198" s="886" t="s">
        <v>11</v>
      </c>
    </row>
    <row r="1199" spans="1:4" s="948" customFormat="1" ht="11.25" customHeight="1" x14ac:dyDescent="0.2">
      <c r="A1199" s="1471" t="s">
        <v>1143</v>
      </c>
      <c r="B1199" s="947">
        <v>500</v>
      </c>
      <c r="C1199" s="947">
        <v>500</v>
      </c>
      <c r="D1199" s="880" t="s">
        <v>1111</v>
      </c>
    </row>
    <row r="1200" spans="1:4" s="948" customFormat="1" ht="11.25" customHeight="1" x14ac:dyDescent="0.2">
      <c r="A1200" s="1471"/>
      <c r="B1200" s="947">
        <v>500</v>
      </c>
      <c r="C1200" s="947">
        <v>500</v>
      </c>
      <c r="D1200" s="880" t="s">
        <v>11</v>
      </c>
    </row>
    <row r="1201" spans="1:4" s="948" customFormat="1" ht="11.25" customHeight="1" x14ac:dyDescent="0.2">
      <c r="A1201" s="1472" t="s">
        <v>1182</v>
      </c>
      <c r="B1201" s="949">
        <v>40</v>
      </c>
      <c r="C1201" s="949">
        <v>40</v>
      </c>
      <c r="D1201" s="882" t="s">
        <v>1179</v>
      </c>
    </row>
    <row r="1202" spans="1:4" s="948" customFormat="1" ht="11.25" customHeight="1" x14ac:dyDescent="0.2">
      <c r="A1202" s="1473"/>
      <c r="B1202" s="950">
        <v>40</v>
      </c>
      <c r="C1202" s="950">
        <v>40</v>
      </c>
      <c r="D1202" s="886" t="s">
        <v>11</v>
      </c>
    </row>
    <row r="1203" spans="1:4" s="948" customFormat="1" ht="11.25" customHeight="1" x14ac:dyDescent="0.2">
      <c r="A1203" s="1471" t="s">
        <v>3248</v>
      </c>
      <c r="B1203" s="947">
        <v>70.36</v>
      </c>
      <c r="C1203" s="947">
        <v>67.632000000000005</v>
      </c>
      <c r="D1203" s="880" t="s">
        <v>2870</v>
      </c>
    </row>
    <row r="1204" spans="1:4" s="948" customFormat="1" ht="11.25" customHeight="1" x14ac:dyDescent="0.2">
      <c r="A1204" s="1471"/>
      <c r="B1204" s="947">
        <v>70.36</v>
      </c>
      <c r="C1204" s="947">
        <v>67.632000000000005</v>
      </c>
      <c r="D1204" s="880" t="s">
        <v>11</v>
      </c>
    </row>
    <row r="1205" spans="1:4" s="948" customFormat="1" ht="11.25" customHeight="1" x14ac:dyDescent="0.2">
      <c r="A1205" s="1472" t="s">
        <v>3249</v>
      </c>
      <c r="B1205" s="949">
        <v>349.5</v>
      </c>
      <c r="C1205" s="949">
        <v>249.5</v>
      </c>
      <c r="D1205" s="882" t="s">
        <v>2862</v>
      </c>
    </row>
    <row r="1206" spans="1:4" s="948" customFormat="1" ht="11.25" customHeight="1" x14ac:dyDescent="0.2">
      <c r="A1206" s="1473"/>
      <c r="B1206" s="950">
        <v>349.5</v>
      </c>
      <c r="C1206" s="950">
        <v>249.5</v>
      </c>
      <c r="D1206" s="886" t="s">
        <v>11</v>
      </c>
    </row>
    <row r="1207" spans="1:4" s="948" customFormat="1" ht="11.25" customHeight="1" x14ac:dyDescent="0.2">
      <c r="A1207" s="1471" t="s">
        <v>3250</v>
      </c>
      <c r="B1207" s="947">
        <v>450</v>
      </c>
      <c r="C1207" s="947">
        <v>75</v>
      </c>
      <c r="D1207" s="880" t="s">
        <v>2736</v>
      </c>
    </row>
    <row r="1208" spans="1:4" s="948" customFormat="1" ht="11.25" customHeight="1" x14ac:dyDescent="0.2">
      <c r="A1208" s="1471"/>
      <c r="B1208" s="947">
        <v>1354.56</v>
      </c>
      <c r="C1208" s="947">
        <v>1260.9816299999998</v>
      </c>
      <c r="D1208" s="880" t="s">
        <v>2618</v>
      </c>
    </row>
    <row r="1209" spans="1:4" s="948" customFormat="1" ht="11.25" customHeight="1" x14ac:dyDescent="0.2">
      <c r="A1209" s="1471"/>
      <c r="B1209" s="947">
        <v>1804.56</v>
      </c>
      <c r="C1209" s="947">
        <v>1335.9816299999998</v>
      </c>
      <c r="D1209" s="880" t="s">
        <v>11</v>
      </c>
    </row>
    <row r="1210" spans="1:4" s="948" customFormat="1" ht="11.25" customHeight="1" x14ac:dyDescent="0.2">
      <c r="A1210" s="1472" t="s">
        <v>1103</v>
      </c>
      <c r="B1210" s="949">
        <v>6.6</v>
      </c>
      <c r="C1210" s="949">
        <v>6.6</v>
      </c>
      <c r="D1210" s="882" t="s">
        <v>3251</v>
      </c>
    </row>
    <row r="1211" spans="1:4" s="948" customFormat="1" ht="11.25" customHeight="1" x14ac:dyDescent="0.2">
      <c r="A1211" s="1473"/>
      <c r="B1211" s="950">
        <v>6.6</v>
      </c>
      <c r="C1211" s="950">
        <v>6.6</v>
      </c>
      <c r="D1211" s="886" t="s">
        <v>11</v>
      </c>
    </row>
    <row r="1212" spans="1:4" s="948" customFormat="1" ht="11.25" customHeight="1" x14ac:dyDescent="0.2">
      <c r="A1212" s="1471" t="s">
        <v>1036</v>
      </c>
      <c r="B1212" s="947">
        <v>750</v>
      </c>
      <c r="C1212" s="947">
        <v>750</v>
      </c>
      <c r="D1212" s="880" t="s">
        <v>1030</v>
      </c>
    </row>
    <row r="1213" spans="1:4" s="948" customFormat="1" ht="11.25" customHeight="1" x14ac:dyDescent="0.2">
      <c r="A1213" s="1471"/>
      <c r="B1213" s="947">
        <v>750</v>
      </c>
      <c r="C1213" s="947">
        <v>750</v>
      </c>
      <c r="D1213" s="880" t="s">
        <v>11</v>
      </c>
    </row>
    <row r="1214" spans="1:4" s="948" customFormat="1" ht="11.25" customHeight="1" x14ac:dyDescent="0.2">
      <c r="A1214" s="1472" t="s">
        <v>4799</v>
      </c>
      <c r="B1214" s="949">
        <v>50</v>
      </c>
      <c r="C1214" s="949">
        <v>50</v>
      </c>
      <c r="D1214" s="882" t="s">
        <v>1006</v>
      </c>
    </row>
    <row r="1215" spans="1:4" s="948" customFormat="1" ht="11.25" customHeight="1" x14ac:dyDescent="0.2">
      <c r="A1215" s="1473"/>
      <c r="B1215" s="950">
        <v>50</v>
      </c>
      <c r="C1215" s="950">
        <v>50</v>
      </c>
      <c r="D1215" s="886" t="s">
        <v>11</v>
      </c>
    </row>
    <row r="1216" spans="1:4" s="948" customFormat="1" ht="11.25" customHeight="1" x14ac:dyDescent="0.2">
      <c r="A1216" s="1471" t="s">
        <v>3252</v>
      </c>
      <c r="B1216" s="947">
        <v>616</v>
      </c>
      <c r="C1216" s="947">
        <v>616</v>
      </c>
      <c r="D1216" s="880" t="s">
        <v>2735</v>
      </c>
    </row>
    <row r="1217" spans="1:4" s="948" customFormat="1" ht="11.25" customHeight="1" x14ac:dyDescent="0.2">
      <c r="A1217" s="1471"/>
      <c r="B1217" s="947">
        <v>616</v>
      </c>
      <c r="C1217" s="947">
        <v>616</v>
      </c>
      <c r="D1217" s="880" t="s">
        <v>11</v>
      </c>
    </row>
    <row r="1218" spans="1:4" s="948" customFormat="1" ht="11.25" customHeight="1" x14ac:dyDescent="0.2">
      <c r="A1218" s="1472" t="s">
        <v>3253</v>
      </c>
      <c r="B1218" s="949">
        <v>1537</v>
      </c>
      <c r="C1218" s="949">
        <v>1537</v>
      </c>
      <c r="D1218" s="882" t="s">
        <v>2735</v>
      </c>
    </row>
    <row r="1219" spans="1:4" s="948" customFormat="1" ht="11.25" customHeight="1" x14ac:dyDescent="0.2">
      <c r="A1219" s="1473"/>
      <c r="B1219" s="950">
        <v>1537</v>
      </c>
      <c r="C1219" s="950">
        <v>1537</v>
      </c>
      <c r="D1219" s="886" t="s">
        <v>11</v>
      </c>
    </row>
    <row r="1220" spans="1:4" s="948" customFormat="1" ht="11.25" customHeight="1" x14ac:dyDescent="0.2">
      <c r="A1220" s="1471" t="s">
        <v>3254</v>
      </c>
      <c r="B1220" s="947">
        <v>139.6</v>
      </c>
      <c r="C1220" s="947">
        <v>0</v>
      </c>
      <c r="D1220" s="880" t="s">
        <v>2862</v>
      </c>
    </row>
    <row r="1221" spans="1:4" s="948" customFormat="1" ht="11.25" customHeight="1" x14ac:dyDescent="0.2">
      <c r="A1221" s="1471"/>
      <c r="B1221" s="947">
        <v>139.6</v>
      </c>
      <c r="C1221" s="947">
        <v>0</v>
      </c>
      <c r="D1221" s="880" t="s">
        <v>11</v>
      </c>
    </row>
    <row r="1222" spans="1:4" s="948" customFormat="1" ht="11.25" customHeight="1" x14ac:dyDescent="0.2">
      <c r="A1222" s="1472" t="s">
        <v>3255</v>
      </c>
      <c r="B1222" s="949">
        <v>126.45</v>
      </c>
      <c r="C1222" s="949">
        <v>126.45</v>
      </c>
      <c r="D1222" s="882" t="s">
        <v>2862</v>
      </c>
    </row>
    <row r="1223" spans="1:4" s="948" customFormat="1" ht="11.25" customHeight="1" x14ac:dyDescent="0.2">
      <c r="A1223" s="1473"/>
      <c r="B1223" s="950">
        <v>126.45</v>
      </c>
      <c r="C1223" s="950">
        <v>126.45</v>
      </c>
      <c r="D1223" s="886" t="s">
        <v>11</v>
      </c>
    </row>
    <row r="1224" spans="1:4" s="948" customFormat="1" ht="11.25" customHeight="1" x14ac:dyDescent="0.2">
      <c r="A1224" s="1472" t="s">
        <v>3256</v>
      </c>
      <c r="B1224" s="949">
        <v>49.9</v>
      </c>
      <c r="C1224" s="949">
        <v>49.9</v>
      </c>
      <c r="D1224" s="882" t="s">
        <v>2956</v>
      </c>
    </row>
    <row r="1225" spans="1:4" s="948" customFormat="1" ht="11.25" customHeight="1" x14ac:dyDescent="0.2">
      <c r="A1225" s="1471"/>
      <c r="B1225" s="947">
        <v>1332</v>
      </c>
      <c r="C1225" s="947">
        <v>1332</v>
      </c>
      <c r="D1225" s="880" t="s">
        <v>2735</v>
      </c>
    </row>
    <row r="1226" spans="1:4" s="948" customFormat="1" ht="11.25" customHeight="1" x14ac:dyDescent="0.2">
      <c r="A1226" s="1473"/>
      <c r="B1226" s="950">
        <v>1381.9</v>
      </c>
      <c r="C1226" s="950">
        <v>1381.9</v>
      </c>
      <c r="D1226" s="886" t="s">
        <v>11</v>
      </c>
    </row>
    <row r="1227" spans="1:4" s="948" customFormat="1" ht="11.25" customHeight="1" x14ac:dyDescent="0.2">
      <c r="A1227" s="1471" t="s">
        <v>992</v>
      </c>
      <c r="B1227" s="947">
        <v>97.3</v>
      </c>
      <c r="C1227" s="947">
        <v>97.3</v>
      </c>
      <c r="D1227" s="880" t="s">
        <v>2744</v>
      </c>
    </row>
    <row r="1228" spans="1:4" s="948" customFormat="1" ht="11.25" customHeight="1" x14ac:dyDescent="0.2">
      <c r="A1228" s="1471"/>
      <c r="B1228" s="947">
        <v>44.7</v>
      </c>
      <c r="C1228" s="947">
        <v>44.7</v>
      </c>
      <c r="D1228" s="880" t="s">
        <v>2956</v>
      </c>
    </row>
    <row r="1229" spans="1:4" s="948" customFormat="1" ht="11.25" customHeight="1" x14ac:dyDescent="0.2">
      <c r="A1229" s="1471"/>
      <c r="B1229" s="947">
        <v>759</v>
      </c>
      <c r="C1229" s="947">
        <v>759</v>
      </c>
      <c r="D1229" s="880" t="s">
        <v>2735</v>
      </c>
    </row>
    <row r="1230" spans="1:4" s="948" customFormat="1" ht="21" x14ac:dyDescent="0.2">
      <c r="A1230" s="1471"/>
      <c r="B1230" s="947">
        <v>36.4</v>
      </c>
      <c r="C1230" s="947">
        <v>33.4</v>
      </c>
      <c r="D1230" s="880" t="s">
        <v>2750</v>
      </c>
    </row>
    <row r="1231" spans="1:4" s="948" customFormat="1" ht="11.25" customHeight="1" x14ac:dyDescent="0.2">
      <c r="A1231" s="1471"/>
      <c r="B1231" s="947">
        <v>317.10000000000002</v>
      </c>
      <c r="C1231" s="947">
        <v>317.10000000000002</v>
      </c>
      <c r="D1231" s="880" t="s">
        <v>2739</v>
      </c>
    </row>
    <row r="1232" spans="1:4" s="948" customFormat="1" ht="11.25" customHeight="1" x14ac:dyDescent="0.2">
      <c r="A1232" s="1471"/>
      <c r="B1232" s="947">
        <v>102.5</v>
      </c>
      <c r="C1232" s="947">
        <v>102.5</v>
      </c>
      <c r="D1232" s="880" t="s">
        <v>978</v>
      </c>
    </row>
    <row r="1233" spans="1:4" s="948" customFormat="1" ht="11.25" customHeight="1" x14ac:dyDescent="0.2">
      <c r="A1233" s="1471"/>
      <c r="B1233" s="947">
        <v>1357</v>
      </c>
      <c r="C1233" s="947">
        <v>1354</v>
      </c>
      <c r="D1233" s="880" t="s">
        <v>11</v>
      </c>
    </row>
    <row r="1234" spans="1:4" s="948" customFormat="1" ht="11.25" customHeight="1" x14ac:dyDescent="0.2">
      <c r="A1234" s="1472" t="s">
        <v>961</v>
      </c>
      <c r="B1234" s="949">
        <v>100</v>
      </c>
      <c r="C1234" s="949">
        <v>100</v>
      </c>
      <c r="D1234" s="882" t="s">
        <v>951</v>
      </c>
    </row>
    <row r="1235" spans="1:4" s="948" customFormat="1" ht="11.25" customHeight="1" x14ac:dyDescent="0.2">
      <c r="A1235" s="1471"/>
      <c r="B1235" s="947">
        <v>200</v>
      </c>
      <c r="C1235" s="947">
        <v>200</v>
      </c>
      <c r="D1235" s="880" t="s">
        <v>1098</v>
      </c>
    </row>
    <row r="1236" spans="1:4" s="948" customFormat="1" ht="11.25" customHeight="1" x14ac:dyDescent="0.2">
      <c r="A1236" s="1473"/>
      <c r="B1236" s="950">
        <v>300</v>
      </c>
      <c r="C1236" s="950">
        <v>300</v>
      </c>
      <c r="D1236" s="886" t="s">
        <v>11</v>
      </c>
    </row>
    <row r="1237" spans="1:4" s="948" customFormat="1" ht="11.25" customHeight="1" x14ac:dyDescent="0.2">
      <c r="A1237" s="1471" t="s">
        <v>3257</v>
      </c>
      <c r="B1237" s="947">
        <v>170</v>
      </c>
      <c r="C1237" s="947">
        <v>170</v>
      </c>
      <c r="D1237" s="880" t="s">
        <v>2735</v>
      </c>
    </row>
    <row r="1238" spans="1:4" s="948" customFormat="1" ht="11.25" customHeight="1" x14ac:dyDescent="0.2">
      <c r="A1238" s="1471"/>
      <c r="B1238" s="947">
        <v>170</v>
      </c>
      <c r="C1238" s="947">
        <v>170</v>
      </c>
      <c r="D1238" s="880" t="s">
        <v>11</v>
      </c>
    </row>
    <row r="1239" spans="1:4" s="948" customFormat="1" ht="11.25" customHeight="1" x14ac:dyDescent="0.2">
      <c r="A1239" s="1472" t="s">
        <v>1183</v>
      </c>
      <c r="B1239" s="949">
        <v>30</v>
      </c>
      <c r="C1239" s="949">
        <v>30</v>
      </c>
      <c r="D1239" s="882" t="s">
        <v>1179</v>
      </c>
    </row>
    <row r="1240" spans="1:4" s="948" customFormat="1" ht="11.25" customHeight="1" x14ac:dyDescent="0.2">
      <c r="A1240" s="1473"/>
      <c r="B1240" s="950">
        <v>30</v>
      </c>
      <c r="C1240" s="950">
        <v>30</v>
      </c>
      <c r="D1240" s="886" t="s">
        <v>11</v>
      </c>
    </row>
    <row r="1241" spans="1:4" s="948" customFormat="1" ht="11.25" customHeight="1" x14ac:dyDescent="0.2">
      <c r="A1241" s="1471" t="s">
        <v>3258</v>
      </c>
      <c r="B1241" s="947">
        <v>150</v>
      </c>
      <c r="C1241" s="947">
        <v>150</v>
      </c>
      <c r="D1241" s="880" t="s">
        <v>2738</v>
      </c>
    </row>
    <row r="1242" spans="1:4" s="948" customFormat="1" ht="11.25" customHeight="1" x14ac:dyDescent="0.2">
      <c r="A1242" s="1471"/>
      <c r="B1242" s="947">
        <v>150</v>
      </c>
      <c r="C1242" s="947">
        <v>150</v>
      </c>
      <c r="D1242" s="880" t="s">
        <v>11</v>
      </c>
    </row>
    <row r="1243" spans="1:4" s="948" customFormat="1" ht="11.25" customHeight="1" x14ac:dyDescent="0.2">
      <c r="A1243" s="1472" t="s">
        <v>3259</v>
      </c>
      <c r="B1243" s="949">
        <v>234.73</v>
      </c>
      <c r="C1243" s="949">
        <v>234.70830000000001</v>
      </c>
      <c r="D1243" s="882" t="s">
        <v>2618</v>
      </c>
    </row>
    <row r="1244" spans="1:4" s="948" customFormat="1" ht="11.25" customHeight="1" x14ac:dyDescent="0.2">
      <c r="A1244" s="1473"/>
      <c r="B1244" s="950">
        <v>234.73</v>
      </c>
      <c r="C1244" s="950">
        <v>234.70830000000001</v>
      </c>
      <c r="D1244" s="886" t="s">
        <v>11</v>
      </c>
    </row>
    <row r="1245" spans="1:4" s="948" customFormat="1" ht="11.25" customHeight="1" x14ac:dyDescent="0.2">
      <c r="A1245" s="1471" t="s">
        <v>3260</v>
      </c>
      <c r="B1245" s="947">
        <v>1999</v>
      </c>
      <c r="C1245" s="947">
        <v>1999</v>
      </c>
      <c r="D1245" s="880" t="s">
        <v>2735</v>
      </c>
    </row>
    <row r="1246" spans="1:4" s="948" customFormat="1" ht="11.25" customHeight="1" x14ac:dyDescent="0.2">
      <c r="A1246" s="1471"/>
      <c r="B1246" s="947">
        <v>2618.6</v>
      </c>
      <c r="C1246" s="947">
        <v>2318</v>
      </c>
      <c r="D1246" s="880" t="s">
        <v>2582</v>
      </c>
    </row>
    <row r="1247" spans="1:4" s="948" customFormat="1" ht="11.25" customHeight="1" x14ac:dyDescent="0.2">
      <c r="A1247" s="1471"/>
      <c r="B1247" s="947">
        <v>4617.6000000000004</v>
      </c>
      <c r="C1247" s="947">
        <v>4317</v>
      </c>
      <c r="D1247" s="880" t="s">
        <v>11</v>
      </c>
    </row>
    <row r="1248" spans="1:4" s="948" customFormat="1" ht="11.25" customHeight="1" x14ac:dyDescent="0.2">
      <c r="A1248" s="1472" t="s">
        <v>993</v>
      </c>
      <c r="B1248" s="949">
        <v>80</v>
      </c>
      <c r="C1248" s="949">
        <v>80</v>
      </c>
      <c r="D1248" s="882" t="s">
        <v>978</v>
      </c>
    </row>
    <row r="1249" spans="1:4" s="948" customFormat="1" ht="11.25" customHeight="1" x14ac:dyDescent="0.2">
      <c r="A1249" s="1473"/>
      <c r="B1249" s="950">
        <v>80</v>
      </c>
      <c r="C1249" s="950">
        <v>80</v>
      </c>
      <c r="D1249" s="886" t="s">
        <v>11</v>
      </c>
    </row>
    <row r="1250" spans="1:4" s="948" customFormat="1" ht="11.25" customHeight="1" x14ac:dyDescent="0.2">
      <c r="A1250" s="1471" t="s">
        <v>3261</v>
      </c>
      <c r="B1250" s="947">
        <v>495.79</v>
      </c>
      <c r="C1250" s="947">
        <v>495.7842</v>
      </c>
      <c r="D1250" s="880" t="s">
        <v>2618</v>
      </c>
    </row>
    <row r="1251" spans="1:4" s="948" customFormat="1" ht="11.25" customHeight="1" x14ac:dyDescent="0.2">
      <c r="A1251" s="1471"/>
      <c r="B1251" s="947">
        <v>495.79</v>
      </c>
      <c r="C1251" s="947">
        <v>495.7842</v>
      </c>
      <c r="D1251" s="880" t="s">
        <v>11</v>
      </c>
    </row>
    <row r="1252" spans="1:4" s="948" customFormat="1" ht="11.25" customHeight="1" x14ac:dyDescent="0.2">
      <c r="A1252" s="1472" t="s">
        <v>3262</v>
      </c>
      <c r="B1252" s="949">
        <v>150</v>
      </c>
      <c r="C1252" s="949">
        <v>150</v>
      </c>
      <c r="D1252" s="882" t="s">
        <v>2738</v>
      </c>
    </row>
    <row r="1253" spans="1:4" s="948" customFormat="1" ht="11.25" customHeight="1" x14ac:dyDescent="0.2">
      <c r="A1253" s="1473"/>
      <c r="B1253" s="950">
        <v>150</v>
      </c>
      <c r="C1253" s="950">
        <v>150</v>
      </c>
      <c r="D1253" s="886" t="s">
        <v>11</v>
      </c>
    </row>
    <row r="1254" spans="1:4" s="948" customFormat="1" ht="11.25" customHeight="1" x14ac:dyDescent="0.2">
      <c r="A1254" s="1471" t="s">
        <v>3263</v>
      </c>
      <c r="B1254" s="947">
        <v>150</v>
      </c>
      <c r="C1254" s="947">
        <v>150</v>
      </c>
      <c r="D1254" s="880" t="s">
        <v>2738</v>
      </c>
    </row>
    <row r="1255" spans="1:4" s="948" customFormat="1" ht="11.25" customHeight="1" x14ac:dyDescent="0.2">
      <c r="A1255" s="1471"/>
      <c r="B1255" s="947">
        <v>150</v>
      </c>
      <c r="C1255" s="947">
        <v>150</v>
      </c>
      <c r="D1255" s="880" t="s">
        <v>11</v>
      </c>
    </row>
    <row r="1256" spans="1:4" s="948" customFormat="1" ht="11.25" customHeight="1" x14ac:dyDescent="0.2">
      <c r="A1256" s="1472" t="s">
        <v>3264</v>
      </c>
      <c r="B1256" s="949">
        <v>106.8</v>
      </c>
      <c r="C1256" s="949">
        <v>106.8</v>
      </c>
      <c r="D1256" s="882" t="s">
        <v>2745</v>
      </c>
    </row>
    <row r="1257" spans="1:4" s="948" customFormat="1" ht="11.25" customHeight="1" x14ac:dyDescent="0.2">
      <c r="A1257" s="1473"/>
      <c r="B1257" s="950">
        <v>106.8</v>
      </c>
      <c r="C1257" s="950">
        <v>106.8</v>
      </c>
      <c r="D1257" s="886" t="s">
        <v>11</v>
      </c>
    </row>
    <row r="1258" spans="1:4" s="948" customFormat="1" ht="11.25" customHeight="1" x14ac:dyDescent="0.2">
      <c r="A1258" s="1471" t="s">
        <v>3265</v>
      </c>
      <c r="B1258" s="947">
        <v>179</v>
      </c>
      <c r="C1258" s="947">
        <v>179</v>
      </c>
      <c r="D1258" s="880" t="s">
        <v>2735</v>
      </c>
    </row>
    <row r="1259" spans="1:4" s="948" customFormat="1" ht="11.25" customHeight="1" x14ac:dyDescent="0.2">
      <c r="A1259" s="1471"/>
      <c r="B1259" s="947">
        <v>179</v>
      </c>
      <c r="C1259" s="947">
        <v>179</v>
      </c>
      <c r="D1259" s="880" t="s">
        <v>11</v>
      </c>
    </row>
    <row r="1260" spans="1:4" s="948" customFormat="1" ht="11.25" customHeight="1" x14ac:dyDescent="0.2">
      <c r="A1260" s="1472" t="s">
        <v>3266</v>
      </c>
      <c r="B1260" s="949">
        <v>557.15</v>
      </c>
      <c r="C1260" s="949">
        <v>557.06283999999994</v>
      </c>
      <c r="D1260" s="882" t="s">
        <v>2619</v>
      </c>
    </row>
    <row r="1261" spans="1:4" s="948" customFormat="1" ht="11.25" customHeight="1" x14ac:dyDescent="0.2">
      <c r="A1261" s="1473"/>
      <c r="B1261" s="950">
        <v>557.15</v>
      </c>
      <c r="C1261" s="950">
        <v>557.06283999999994</v>
      </c>
      <c r="D1261" s="886" t="s">
        <v>11</v>
      </c>
    </row>
    <row r="1262" spans="1:4" s="948" customFormat="1" ht="11.25" customHeight="1" x14ac:dyDescent="0.2">
      <c r="A1262" s="1471" t="s">
        <v>1189</v>
      </c>
      <c r="B1262" s="947">
        <v>188</v>
      </c>
      <c r="C1262" s="947">
        <v>188</v>
      </c>
      <c r="D1262" s="880" t="s">
        <v>3267</v>
      </c>
    </row>
    <row r="1263" spans="1:4" s="948" customFormat="1" ht="11.25" customHeight="1" x14ac:dyDescent="0.2">
      <c r="A1263" s="1471"/>
      <c r="B1263" s="947">
        <v>188</v>
      </c>
      <c r="C1263" s="947">
        <v>188</v>
      </c>
      <c r="D1263" s="880" t="s">
        <v>11</v>
      </c>
    </row>
    <row r="1264" spans="1:4" s="948" customFormat="1" ht="11.25" customHeight="1" x14ac:dyDescent="0.2">
      <c r="A1264" s="1472" t="s">
        <v>994</v>
      </c>
      <c r="B1264" s="949">
        <v>70.2</v>
      </c>
      <c r="C1264" s="949">
        <v>70.2</v>
      </c>
      <c r="D1264" s="882" t="s">
        <v>978</v>
      </c>
    </row>
    <row r="1265" spans="1:4" s="948" customFormat="1" ht="11.25" customHeight="1" x14ac:dyDescent="0.2">
      <c r="A1265" s="1473"/>
      <c r="B1265" s="950">
        <v>70.2</v>
      </c>
      <c r="C1265" s="950">
        <v>70.2</v>
      </c>
      <c r="D1265" s="886" t="s">
        <v>11</v>
      </c>
    </row>
    <row r="1266" spans="1:4" s="948" customFormat="1" ht="11.25" customHeight="1" x14ac:dyDescent="0.2">
      <c r="A1266" s="1471" t="s">
        <v>3268</v>
      </c>
      <c r="B1266" s="947">
        <v>57.3</v>
      </c>
      <c r="C1266" s="947">
        <v>57.3</v>
      </c>
      <c r="D1266" s="880" t="s">
        <v>2741</v>
      </c>
    </row>
    <row r="1267" spans="1:4" s="948" customFormat="1" ht="11.25" customHeight="1" x14ac:dyDescent="0.2">
      <c r="A1267" s="1471"/>
      <c r="B1267" s="947">
        <v>57.3</v>
      </c>
      <c r="C1267" s="947">
        <v>57.3</v>
      </c>
      <c r="D1267" s="880" t="s">
        <v>11</v>
      </c>
    </row>
    <row r="1268" spans="1:4" s="948" customFormat="1" ht="11.25" customHeight="1" x14ac:dyDescent="0.2">
      <c r="A1268" s="1472" t="s">
        <v>3269</v>
      </c>
      <c r="B1268" s="949">
        <v>4045.4900000000002</v>
      </c>
      <c r="C1268" s="949">
        <v>4045.491</v>
      </c>
      <c r="D1268" s="882" t="s">
        <v>1458</v>
      </c>
    </row>
    <row r="1269" spans="1:4" s="948" customFormat="1" ht="11.25" customHeight="1" x14ac:dyDescent="0.2">
      <c r="A1269" s="1471"/>
      <c r="B1269" s="947">
        <v>1.82</v>
      </c>
      <c r="C1269" s="947">
        <v>1.8149999999999999</v>
      </c>
      <c r="D1269" s="880" t="s">
        <v>1447</v>
      </c>
    </row>
    <row r="1270" spans="1:4" s="948" customFormat="1" ht="11.25" customHeight="1" x14ac:dyDescent="0.2">
      <c r="A1270" s="1471"/>
      <c r="B1270" s="947">
        <v>66.31</v>
      </c>
      <c r="C1270" s="947">
        <v>66.31</v>
      </c>
      <c r="D1270" s="880" t="s">
        <v>1454</v>
      </c>
    </row>
    <row r="1271" spans="1:4" s="948" customFormat="1" ht="11.25" customHeight="1" x14ac:dyDescent="0.2">
      <c r="A1271" s="1473"/>
      <c r="B1271" s="950">
        <v>4113.6200000000008</v>
      </c>
      <c r="C1271" s="950">
        <v>4113.616</v>
      </c>
      <c r="D1271" s="886" t="s">
        <v>11</v>
      </c>
    </row>
    <row r="1272" spans="1:4" s="948" customFormat="1" ht="11.25" customHeight="1" x14ac:dyDescent="0.2">
      <c r="A1272" s="1471" t="s">
        <v>3270</v>
      </c>
      <c r="B1272" s="947">
        <v>3085</v>
      </c>
      <c r="C1272" s="947">
        <v>3085</v>
      </c>
      <c r="D1272" s="880" t="s">
        <v>2735</v>
      </c>
    </row>
    <row r="1273" spans="1:4" s="948" customFormat="1" ht="11.25" customHeight="1" x14ac:dyDescent="0.2">
      <c r="A1273" s="1471"/>
      <c r="B1273" s="947">
        <v>3085</v>
      </c>
      <c r="C1273" s="947">
        <v>3085</v>
      </c>
      <c r="D1273" s="880" t="s">
        <v>11</v>
      </c>
    </row>
    <row r="1274" spans="1:4" s="948" customFormat="1" ht="11.25" customHeight="1" x14ac:dyDescent="0.2">
      <c r="A1274" s="1472" t="s">
        <v>748</v>
      </c>
      <c r="B1274" s="949">
        <v>30</v>
      </c>
      <c r="C1274" s="949">
        <v>30</v>
      </c>
      <c r="D1274" s="882" t="s">
        <v>3271</v>
      </c>
    </row>
    <row r="1275" spans="1:4" s="948" customFormat="1" ht="11.25" customHeight="1" x14ac:dyDescent="0.2">
      <c r="A1275" s="1471"/>
      <c r="B1275" s="947">
        <v>70</v>
      </c>
      <c r="C1275" s="947">
        <v>70</v>
      </c>
      <c r="D1275" s="880" t="s">
        <v>735</v>
      </c>
    </row>
    <row r="1276" spans="1:4" s="948" customFormat="1" ht="11.25" customHeight="1" x14ac:dyDescent="0.2">
      <c r="A1276" s="1473"/>
      <c r="B1276" s="950">
        <v>100</v>
      </c>
      <c r="C1276" s="950">
        <v>100</v>
      </c>
      <c r="D1276" s="886" t="s">
        <v>11</v>
      </c>
    </row>
    <row r="1277" spans="1:4" s="948" customFormat="1" ht="11.25" customHeight="1" x14ac:dyDescent="0.2">
      <c r="A1277" s="1471" t="s">
        <v>1038</v>
      </c>
      <c r="B1277" s="947">
        <v>30</v>
      </c>
      <c r="C1277" s="947">
        <v>30</v>
      </c>
      <c r="D1277" s="880" t="s">
        <v>3272</v>
      </c>
    </row>
    <row r="1278" spans="1:4" s="948" customFormat="1" ht="11.25" customHeight="1" x14ac:dyDescent="0.2">
      <c r="A1278" s="1471"/>
      <c r="B1278" s="947">
        <v>50</v>
      </c>
      <c r="C1278" s="947">
        <v>50</v>
      </c>
      <c r="D1278" s="880" t="s">
        <v>1030</v>
      </c>
    </row>
    <row r="1279" spans="1:4" s="948" customFormat="1" ht="11.25" customHeight="1" x14ac:dyDescent="0.2">
      <c r="A1279" s="1471"/>
      <c r="B1279" s="947">
        <v>150</v>
      </c>
      <c r="C1279" s="947">
        <v>150</v>
      </c>
      <c r="D1279" s="880" t="s">
        <v>1111</v>
      </c>
    </row>
    <row r="1280" spans="1:4" s="948" customFormat="1" ht="11.25" customHeight="1" x14ac:dyDescent="0.2">
      <c r="A1280" s="1471"/>
      <c r="B1280" s="947">
        <v>230</v>
      </c>
      <c r="C1280" s="947">
        <v>230</v>
      </c>
      <c r="D1280" s="880" t="s">
        <v>11</v>
      </c>
    </row>
    <row r="1281" spans="1:4" s="948" customFormat="1" ht="11.25" customHeight="1" x14ac:dyDescent="0.2">
      <c r="A1281" s="1472" t="s">
        <v>3273</v>
      </c>
      <c r="B1281" s="949">
        <v>38</v>
      </c>
      <c r="C1281" s="949">
        <v>38</v>
      </c>
      <c r="D1281" s="882" t="s">
        <v>2770</v>
      </c>
    </row>
    <row r="1282" spans="1:4" s="948" customFormat="1" ht="11.25" customHeight="1" x14ac:dyDescent="0.2">
      <c r="A1282" s="1473"/>
      <c r="B1282" s="950">
        <v>38</v>
      </c>
      <c r="C1282" s="950">
        <v>38</v>
      </c>
      <c r="D1282" s="886" t="s">
        <v>11</v>
      </c>
    </row>
    <row r="1283" spans="1:4" s="948" customFormat="1" ht="11.25" customHeight="1" x14ac:dyDescent="0.2">
      <c r="A1283" s="1471" t="s">
        <v>3274</v>
      </c>
      <c r="B1283" s="947">
        <v>110</v>
      </c>
      <c r="C1283" s="947">
        <v>0</v>
      </c>
      <c r="D1283" s="880" t="s">
        <v>2862</v>
      </c>
    </row>
    <row r="1284" spans="1:4" s="948" customFormat="1" ht="11.25" customHeight="1" x14ac:dyDescent="0.2">
      <c r="A1284" s="1471"/>
      <c r="B1284" s="947">
        <v>110</v>
      </c>
      <c r="C1284" s="947">
        <v>0</v>
      </c>
      <c r="D1284" s="880" t="s">
        <v>11</v>
      </c>
    </row>
    <row r="1285" spans="1:4" s="948" customFormat="1" ht="11.25" customHeight="1" x14ac:dyDescent="0.2">
      <c r="A1285" s="1472" t="s">
        <v>3275</v>
      </c>
      <c r="B1285" s="949">
        <v>251.59</v>
      </c>
      <c r="C1285" s="949">
        <v>251.58135999999999</v>
      </c>
      <c r="D1285" s="882" t="s">
        <v>2618</v>
      </c>
    </row>
    <row r="1286" spans="1:4" s="948" customFormat="1" ht="11.25" customHeight="1" x14ac:dyDescent="0.2">
      <c r="A1286" s="1473"/>
      <c r="B1286" s="950">
        <v>251.59</v>
      </c>
      <c r="C1286" s="950">
        <v>251.58135999999999</v>
      </c>
      <c r="D1286" s="886" t="s">
        <v>11</v>
      </c>
    </row>
    <row r="1287" spans="1:4" s="948" customFormat="1" ht="11.25" customHeight="1" x14ac:dyDescent="0.2">
      <c r="A1287" s="1471" t="s">
        <v>3276</v>
      </c>
      <c r="B1287" s="947">
        <v>70.3</v>
      </c>
      <c r="C1287" s="947">
        <v>70.216239999999999</v>
      </c>
      <c r="D1287" s="880" t="s">
        <v>2619</v>
      </c>
    </row>
    <row r="1288" spans="1:4" s="948" customFormat="1" ht="11.25" customHeight="1" x14ac:dyDescent="0.2">
      <c r="A1288" s="1471"/>
      <c r="B1288" s="947">
        <v>515.73</v>
      </c>
      <c r="C1288" s="947">
        <v>515.70672999999999</v>
      </c>
      <c r="D1288" s="880" t="s">
        <v>2618</v>
      </c>
    </row>
    <row r="1289" spans="1:4" s="948" customFormat="1" ht="11.25" customHeight="1" x14ac:dyDescent="0.2">
      <c r="A1289" s="1471"/>
      <c r="B1289" s="947">
        <v>125.92</v>
      </c>
      <c r="C1289" s="947">
        <v>125.91344999999998</v>
      </c>
      <c r="D1289" s="880" t="s">
        <v>2608</v>
      </c>
    </row>
    <row r="1290" spans="1:4" s="948" customFormat="1" ht="11.25" customHeight="1" x14ac:dyDescent="0.2">
      <c r="A1290" s="1471"/>
      <c r="B1290" s="947">
        <v>711.94999999999993</v>
      </c>
      <c r="C1290" s="947">
        <v>711.83641999999998</v>
      </c>
      <c r="D1290" s="880" t="s">
        <v>11</v>
      </c>
    </row>
    <row r="1291" spans="1:4" s="948" customFormat="1" ht="11.25" customHeight="1" x14ac:dyDescent="0.2">
      <c r="A1291" s="1472" t="s">
        <v>1144</v>
      </c>
      <c r="B1291" s="949">
        <v>20</v>
      </c>
      <c r="C1291" s="949">
        <v>20</v>
      </c>
      <c r="D1291" s="882" t="s">
        <v>1111</v>
      </c>
    </row>
    <row r="1292" spans="1:4" s="948" customFormat="1" ht="11.25" customHeight="1" x14ac:dyDescent="0.2">
      <c r="A1292" s="1473"/>
      <c r="B1292" s="950">
        <v>20</v>
      </c>
      <c r="C1292" s="950">
        <v>20</v>
      </c>
      <c r="D1292" s="886" t="s">
        <v>11</v>
      </c>
    </row>
    <row r="1293" spans="1:4" s="948" customFormat="1" ht="11.25" customHeight="1" x14ac:dyDescent="0.2">
      <c r="A1293" s="1471" t="s">
        <v>3277</v>
      </c>
      <c r="B1293" s="947">
        <v>20</v>
      </c>
      <c r="C1293" s="947">
        <v>20</v>
      </c>
      <c r="D1293" s="880" t="s">
        <v>2893</v>
      </c>
    </row>
    <row r="1294" spans="1:4" s="948" customFormat="1" ht="11.25" customHeight="1" x14ac:dyDescent="0.2">
      <c r="A1294" s="1471"/>
      <c r="B1294" s="947">
        <v>20</v>
      </c>
      <c r="C1294" s="947">
        <v>20</v>
      </c>
      <c r="D1294" s="880" t="s">
        <v>11</v>
      </c>
    </row>
    <row r="1295" spans="1:4" s="948" customFormat="1" ht="21" x14ac:dyDescent="0.2">
      <c r="A1295" s="1472" t="s">
        <v>3278</v>
      </c>
      <c r="B1295" s="949">
        <v>73.5</v>
      </c>
      <c r="C1295" s="949">
        <v>73.5</v>
      </c>
      <c r="D1295" s="882" t="s">
        <v>3003</v>
      </c>
    </row>
    <row r="1296" spans="1:4" s="948" customFormat="1" ht="11.25" customHeight="1" x14ac:dyDescent="0.2">
      <c r="A1296" s="1471"/>
      <c r="B1296" s="947">
        <v>50</v>
      </c>
      <c r="C1296" s="947">
        <v>49.32</v>
      </c>
      <c r="D1296" s="880" t="s">
        <v>2956</v>
      </c>
    </row>
    <row r="1297" spans="1:4" s="948" customFormat="1" ht="11.25" customHeight="1" x14ac:dyDescent="0.2">
      <c r="A1297" s="1471"/>
      <c r="B1297" s="947">
        <v>1518</v>
      </c>
      <c r="C1297" s="947">
        <v>1518</v>
      </c>
      <c r="D1297" s="880" t="s">
        <v>2735</v>
      </c>
    </row>
    <row r="1298" spans="1:4" s="948" customFormat="1" ht="11.25" customHeight="1" x14ac:dyDescent="0.2">
      <c r="A1298" s="1471"/>
      <c r="B1298" s="947">
        <v>150</v>
      </c>
      <c r="C1298" s="947">
        <v>150</v>
      </c>
      <c r="D1298" s="880" t="s">
        <v>2817</v>
      </c>
    </row>
    <row r="1299" spans="1:4" s="948" customFormat="1" ht="11.25" customHeight="1" x14ac:dyDescent="0.2">
      <c r="A1299" s="1471"/>
      <c r="B1299" s="947">
        <v>86.8</v>
      </c>
      <c r="C1299" s="947">
        <v>86.8</v>
      </c>
      <c r="D1299" s="880" t="s">
        <v>2739</v>
      </c>
    </row>
    <row r="1300" spans="1:4" s="948" customFormat="1" ht="11.25" customHeight="1" x14ac:dyDescent="0.2">
      <c r="A1300" s="1473"/>
      <c r="B1300" s="950">
        <v>1878.3</v>
      </c>
      <c r="C1300" s="950">
        <v>1877.62</v>
      </c>
      <c r="D1300" s="886" t="s">
        <v>11</v>
      </c>
    </row>
    <row r="1301" spans="1:4" s="948" customFormat="1" ht="11.25" customHeight="1" x14ac:dyDescent="0.2">
      <c r="A1301" s="1471" t="s">
        <v>3279</v>
      </c>
      <c r="B1301" s="947">
        <v>771.4</v>
      </c>
      <c r="C1301" s="947">
        <v>771.4</v>
      </c>
      <c r="D1301" s="880" t="s">
        <v>2582</v>
      </c>
    </row>
    <row r="1302" spans="1:4" s="948" customFormat="1" ht="11.25" customHeight="1" x14ac:dyDescent="0.2">
      <c r="A1302" s="1471"/>
      <c r="B1302" s="947">
        <v>771.4</v>
      </c>
      <c r="C1302" s="947">
        <v>771.4</v>
      </c>
      <c r="D1302" s="880" t="s">
        <v>11</v>
      </c>
    </row>
    <row r="1303" spans="1:4" s="948" customFormat="1" ht="11.25" customHeight="1" x14ac:dyDescent="0.2">
      <c r="A1303" s="1472" t="s">
        <v>1168</v>
      </c>
      <c r="B1303" s="949">
        <v>30</v>
      </c>
      <c r="C1303" s="949">
        <v>30</v>
      </c>
      <c r="D1303" s="882" t="s">
        <v>1161</v>
      </c>
    </row>
    <row r="1304" spans="1:4" s="948" customFormat="1" ht="11.25" customHeight="1" x14ac:dyDescent="0.2">
      <c r="A1304" s="1473"/>
      <c r="B1304" s="950">
        <v>30</v>
      </c>
      <c r="C1304" s="950">
        <v>30</v>
      </c>
      <c r="D1304" s="886" t="s">
        <v>11</v>
      </c>
    </row>
    <row r="1305" spans="1:4" s="948" customFormat="1" ht="11.25" customHeight="1" x14ac:dyDescent="0.2">
      <c r="A1305" s="1471" t="s">
        <v>3280</v>
      </c>
      <c r="B1305" s="947">
        <v>320</v>
      </c>
      <c r="C1305" s="947">
        <v>320</v>
      </c>
      <c r="D1305" s="880" t="s">
        <v>2745</v>
      </c>
    </row>
    <row r="1306" spans="1:4" s="948" customFormat="1" ht="11.25" customHeight="1" x14ac:dyDescent="0.2">
      <c r="A1306" s="1471"/>
      <c r="B1306" s="947">
        <v>320</v>
      </c>
      <c r="C1306" s="947">
        <v>320</v>
      </c>
      <c r="D1306" s="880" t="s">
        <v>11</v>
      </c>
    </row>
    <row r="1307" spans="1:4" s="948" customFormat="1" ht="11.25" customHeight="1" x14ac:dyDescent="0.2">
      <c r="A1307" s="1472" t="s">
        <v>3281</v>
      </c>
      <c r="B1307" s="949">
        <v>9789.35</v>
      </c>
      <c r="C1307" s="949">
        <v>9789.3520000000008</v>
      </c>
      <c r="D1307" s="882" t="s">
        <v>2901</v>
      </c>
    </row>
    <row r="1308" spans="1:4" s="948" customFormat="1" ht="11.25" customHeight="1" x14ac:dyDescent="0.2">
      <c r="A1308" s="1473"/>
      <c r="B1308" s="950">
        <v>9789.35</v>
      </c>
      <c r="C1308" s="950">
        <v>9789.3520000000008</v>
      </c>
      <c r="D1308" s="886" t="s">
        <v>11</v>
      </c>
    </row>
    <row r="1309" spans="1:4" s="948" customFormat="1" ht="11.25" customHeight="1" x14ac:dyDescent="0.2">
      <c r="A1309" s="1471" t="s">
        <v>1104</v>
      </c>
      <c r="B1309" s="947">
        <v>150</v>
      </c>
      <c r="C1309" s="947">
        <v>150</v>
      </c>
      <c r="D1309" s="880" t="s">
        <v>3282</v>
      </c>
    </row>
    <row r="1310" spans="1:4" s="948" customFormat="1" ht="11.25" customHeight="1" x14ac:dyDescent="0.2">
      <c r="A1310" s="1471"/>
      <c r="B1310" s="947">
        <v>150</v>
      </c>
      <c r="C1310" s="947">
        <v>150</v>
      </c>
      <c r="D1310" s="880" t="s">
        <v>11</v>
      </c>
    </row>
    <row r="1311" spans="1:4" s="948" customFormat="1" ht="21" x14ac:dyDescent="0.2">
      <c r="A1311" s="1472" t="s">
        <v>729</v>
      </c>
      <c r="B1311" s="949">
        <v>146.97999999999999</v>
      </c>
      <c r="C1311" s="949">
        <v>146.97521</v>
      </c>
      <c r="D1311" s="882" t="s">
        <v>3283</v>
      </c>
    </row>
    <row r="1312" spans="1:4" s="948" customFormat="1" ht="11.25" customHeight="1" x14ac:dyDescent="0.2">
      <c r="A1312" s="1473"/>
      <c r="B1312" s="950">
        <v>146.97999999999999</v>
      </c>
      <c r="C1312" s="950">
        <v>146.97521</v>
      </c>
      <c r="D1312" s="886" t="s">
        <v>11</v>
      </c>
    </row>
    <row r="1313" spans="1:4" s="948" customFormat="1" ht="11.25" customHeight="1" x14ac:dyDescent="0.2">
      <c r="A1313" s="1471" t="s">
        <v>3284</v>
      </c>
      <c r="B1313" s="947">
        <v>200</v>
      </c>
      <c r="C1313" s="947">
        <v>200</v>
      </c>
      <c r="D1313" s="880" t="s">
        <v>2745</v>
      </c>
    </row>
    <row r="1314" spans="1:4" s="948" customFormat="1" ht="11.25" customHeight="1" x14ac:dyDescent="0.2">
      <c r="A1314" s="1471"/>
      <c r="B1314" s="947">
        <v>200</v>
      </c>
      <c r="C1314" s="947">
        <v>200</v>
      </c>
      <c r="D1314" s="880" t="s">
        <v>11</v>
      </c>
    </row>
    <row r="1315" spans="1:4" s="948" customFormat="1" ht="11.25" customHeight="1" x14ac:dyDescent="0.2">
      <c r="A1315" s="1472" t="s">
        <v>3285</v>
      </c>
      <c r="B1315" s="949">
        <v>106</v>
      </c>
      <c r="C1315" s="949">
        <v>106</v>
      </c>
      <c r="D1315" s="882" t="s">
        <v>2745</v>
      </c>
    </row>
    <row r="1316" spans="1:4" s="948" customFormat="1" ht="11.25" customHeight="1" x14ac:dyDescent="0.2">
      <c r="A1316" s="1473"/>
      <c r="B1316" s="950">
        <v>106</v>
      </c>
      <c r="C1316" s="950">
        <v>106</v>
      </c>
      <c r="D1316" s="886" t="s">
        <v>11</v>
      </c>
    </row>
    <row r="1317" spans="1:4" s="948" customFormat="1" ht="11.25" customHeight="1" x14ac:dyDescent="0.2">
      <c r="A1317" s="1471" t="s">
        <v>3286</v>
      </c>
      <c r="B1317" s="947">
        <v>23.25</v>
      </c>
      <c r="C1317" s="947">
        <v>23.25</v>
      </c>
      <c r="D1317" s="880" t="s">
        <v>2770</v>
      </c>
    </row>
    <row r="1318" spans="1:4" s="948" customFormat="1" ht="11.25" customHeight="1" x14ac:dyDescent="0.2">
      <c r="A1318" s="1471"/>
      <c r="B1318" s="947">
        <v>23.25</v>
      </c>
      <c r="C1318" s="947">
        <v>23.25</v>
      </c>
      <c r="D1318" s="880" t="s">
        <v>11</v>
      </c>
    </row>
    <row r="1319" spans="1:4" s="948" customFormat="1" ht="11.25" customHeight="1" x14ac:dyDescent="0.2">
      <c r="A1319" s="1472" t="s">
        <v>3287</v>
      </c>
      <c r="B1319" s="949">
        <v>600</v>
      </c>
      <c r="C1319" s="949">
        <v>150</v>
      </c>
      <c r="D1319" s="882" t="s">
        <v>2862</v>
      </c>
    </row>
    <row r="1320" spans="1:4" s="948" customFormat="1" ht="11.25" customHeight="1" x14ac:dyDescent="0.2">
      <c r="A1320" s="1473"/>
      <c r="B1320" s="950">
        <v>600</v>
      </c>
      <c r="C1320" s="950">
        <v>150</v>
      </c>
      <c r="D1320" s="886" t="s">
        <v>11</v>
      </c>
    </row>
    <row r="1321" spans="1:4" s="948" customFormat="1" ht="21" x14ac:dyDescent="0.2">
      <c r="A1321" s="1471" t="s">
        <v>3288</v>
      </c>
      <c r="B1321" s="947">
        <v>100</v>
      </c>
      <c r="C1321" s="947">
        <v>100</v>
      </c>
      <c r="D1321" s="880" t="s">
        <v>2867</v>
      </c>
    </row>
    <row r="1322" spans="1:4" s="948" customFormat="1" ht="11.25" customHeight="1" x14ac:dyDescent="0.2">
      <c r="A1322" s="1471"/>
      <c r="B1322" s="947">
        <v>100</v>
      </c>
      <c r="C1322" s="947">
        <v>100</v>
      </c>
      <c r="D1322" s="880" t="s">
        <v>11</v>
      </c>
    </row>
    <row r="1323" spans="1:4" s="948" customFormat="1" ht="11.25" customHeight="1" x14ac:dyDescent="0.2">
      <c r="A1323" s="1472" t="s">
        <v>3289</v>
      </c>
      <c r="B1323" s="949">
        <v>160</v>
      </c>
      <c r="C1323" s="949">
        <v>160</v>
      </c>
      <c r="D1323" s="882" t="s">
        <v>2745</v>
      </c>
    </row>
    <row r="1324" spans="1:4" s="948" customFormat="1" ht="11.25" customHeight="1" x14ac:dyDescent="0.2">
      <c r="A1324" s="1473"/>
      <c r="B1324" s="950">
        <v>160</v>
      </c>
      <c r="C1324" s="950">
        <v>160</v>
      </c>
      <c r="D1324" s="886" t="s">
        <v>11</v>
      </c>
    </row>
    <row r="1325" spans="1:4" s="948" customFormat="1" ht="11.25" customHeight="1" x14ac:dyDescent="0.2">
      <c r="A1325" s="1472" t="s">
        <v>1028</v>
      </c>
      <c r="B1325" s="949">
        <v>7866.23</v>
      </c>
      <c r="C1325" s="949">
        <v>3866.8287700000001</v>
      </c>
      <c r="D1325" s="882" t="s">
        <v>2842</v>
      </c>
    </row>
    <row r="1326" spans="1:4" s="948" customFormat="1" ht="11.25" customHeight="1" x14ac:dyDescent="0.2">
      <c r="A1326" s="1471"/>
      <c r="B1326" s="947">
        <v>721.2</v>
      </c>
      <c r="C1326" s="947">
        <v>721.04601000000002</v>
      </c>
      <c r="D1326" s="880" t="s">
        <v>2619</v>
      </c>
    </row>
    <row r="1327" spans="1:4" s="948" customFormat="1" ht="11.25" customHeight="1" x14ac:dyDescent="0.2">
      <c r="A1327" s="1471"/>
      <c r="B1327" s="947">
        <v>190.5</v>
      </c>
      <c r="C1327" s="947">
        <v>190.48291</v>
      </c>
      <c r="D1327" s="880" t="s">
        <v>2618</v>
      </c>
    </row>
    <row r="1328" spans="1:4" s="948" customFormat="1" ht="11.25" customHeight="1" x14ac:dyDescent="0.2">
      <c r="A1328" s="1471"/>
      <c r="B1328" s="947">
        <v>771.23</v>
      </c>
      <c r="C1328" s="947">
        <v>771.20573999999999</v>
      </c>
      <c r="D1328" s="880" t="s">
        <v>2608</v>
      </c>
    </row>
    <row r="1329" spans="1:4" s="948" customFormat="1" ht="11.25" customHeight="1" x14ac:dyDescent="0.2">
      <c r="A1329" s="1471"/>
      <c r="B1329" s="947">
        <v>30</v>
      </c>
      <c r="C1329" s="947">
        <v>30</v>
      </c>
      <c r="D1329" s="880" t="s">
        <v>1179</v>
      </c>
    </row>
    <row r="1330" spans="1:4" s="948" customFormat="1" ht="11.25" customHeight="1" x14ac:dyDescent="0.2">
      <c r="A1330" s="1471"/>
      <c r="B1330" s="947">
        <v>2100</v>
      </c>
      <c r="C1330" s="947">
        <v>2100</v>
      </c>
      <c r="D1330" s="880" t="s">
        <v>1027</v>
      </c>
    </row>
    <row r="1331" spans="1:4" s="948" customFormat="1" ht="11.25" customHeight="1" x14ac:dyDescent="0.2">
      <c r="A1331" s="1473"/>
      <c r="B1331" s="950">
        <v>11679.16</v>
      </c>
      <c r="C1331" s="950">
        <v>7679.5634300000002</v>
      </c>
      <c r="D1331" s="886" t="s">
        <v>11</v>
      </c>
    </row>
    <row r="1332" spans="1:4" s="948" customFormat="1" ht="11.25" customHeight="1" x14ac:dyDescent="0.2">
      <c r="A1332" s="1472" t="s">
        <v>997</v>
      </c>
      <c r="B1332" s="949">
        <v>500</v>
      </c>
      <c r="C1332" s="949">
        <v>500</v>
      </c>
      <c r="D1332" s="882" t="s">
        <v>978</v>
      </c>
    </row>
    <row r="1333" spans="1:4" s="948" customFormat="1" ht="11.25" customHeight="1" x14ac:dyDescent="0.2">
      <c r="A1333" s="1473"/>
      <c r="B1333" s="950">
        <v>500</v>
      </c>
      <c r="C1333" s="950">
        <v>500</v>
      </c>
      <c r="D1333" s="886" t="s">
        <v>11</v>
      </c>
    </row>
    <row r="1334" spans="1:4" s="948" customFormat="1" ht="11.25" customHeight="1" x14ac:dyDescent="0.2">
      <c r="A1334" s="1471" t="s">
        <v>1177</v>
      </c>
      <c r="B1334" s="947">
        <v>20</v>
      </c>
      <c r="C1334" s="947">
        <v>0</v>
      </c>
      <c r="D1334" s="880" t="s">
        <v>1173</v>
      </c>
    </row>
    <row r="1335" spans="1:4" s="948" customFormat="1" ht="11.25" customHeight="1" x14ac:dyDescent="0.2">
      <c r="A1335" s="1471"/>
      <c r="B1335" s="947">
        <v>20</v>
      </c>
      <c r="C1335" s="947">
        <v>0</v>
      </c>
      <c r="D1335" s="880" t="s">
        <v>11</v>
      </c>
    </row>
    <row r="1336" spans="1:4" s="948" customFormat="1" ht="11.25" customHeight="1" x14ac:dyDescent="0.2">
      <c r="A1336" s="1472" t="s">
        <v>3290</v>
      </c>
      <c r="B1336" s="949">
        <v>61.62</v>
      </c>
      <c r="C1336" s="949">
        <v>61.62</v>
      </c>
      <c r="D1336" s="882" t="s">
        <v>2734</v>
      </c>
    </row>
    <row r="1337" spans="1:4" s="948" customFormat="1" ht="11.25" customHeight="1" x14ac:dyDescent="0.2">
      <c r="A1337" s="1473"/>
      <c r="B1337" s="950">
        <v>61.62</v>
      </c>
      <c r="C1337" s="950">
        <v>61.62</v>
      </c>
      <c r="D1337" s="886" t="s">
        <v>11</v>
      </c>
    </row>
    <row r="1338" spans="1:4" s="948" customFormat="1" ht="11.25" customHeight="1" x14ac:dyDescent="0.2">
      <c r="A1338" s="1471" t="s">
        <v>1145</v>
      </c>
      <c r="B1338" s="947">
        <v>198</v>
      </c>
      <c r="C1338" s="947">
        <v>198</v>
      </c>
      <c r="D1338" s="880" t="s">
        <v>1111</v>
      </c>
    </row>
    <row r="1339" spans="1:4" s="948" customFormat="1" ht="11.25" customHeight="1" x14ac:dyDescent="0.2">
      <c r="A1339" s="1471"/>
      <c r="B1339" s="947">
        <v>198</v>
      </c>
      <c r="C1339" s="947">
        <v>198</v>
      </c>
      <c r="D1339" s="880" t="s">
        <v>11</v>
      </c>
    </row>
    <row r="1340" spans="1:4" s="948" customFormat="1" ht="21" x14ac:dyDescent="0.2">
      <c r="A1340" s="1472" t="s">
        <v>1020</v>
      </c>
      <c r="B1340" s="949">
        <v>55</v>
      </c>
      <c r="C1340" s="949">
        <v>55</v>
      </c>
      <c r="D1340" s="882" t="s">
        <v>3291</v>
      </c>
    </row>
    <row r="1341" spans="1:4" s="948" customFormat="1" ht="11.25" customHeight="1" x14ac:dyDescent="0.2">
      <c r="A1341" s="1473"/>
      <c r="B1341" s="950">
        <v>55</v>
      </c>
      <c r="C1341" s="950">
        <v>55</v>
      </c>
      <c r="D1341" s="886" t="s">
        <v>11</v>
      </c>
    </row>
    <row r="1342" spans="1:4" s="948" customFormat="1" ht="11.25" customHeight="1" x14ac:dyDescent="0.2">
      <c r="A1342" s="1471" t="s">
        <v>3292</v>
      </c>
      <c r="B1342" s="947">
        <v>49.1</v>
      </c>
      <c r="C1342" s="947">
        <v>49.1</v>
      </c>
      <c r="D1342" s="880" t="s">
        <v>2956</v>
      </c>
    </row>
    <row r="1343" spans="1:4" s="948" customFormat="1" ht="11.25" customHeight="1" x14ac:dyDescent="0.2">
      <c r="A1343" s="1471"/>
      <c r="B1343" s="947">
        <v>49.1</v>
      </c>
      <c r="C1343" s="947">
        <v>49.1</v>
      </c>
      <c r="D1343" s="880" t="s">
        <v>11</v>
      </c>
    </row>
    <row r="1344" spans="1:4" s="948" customFormat="1" ht="11.25" customHeight="1" x14ac:dyDescent="0.2">
      <c r="A1344" s="1472" t="s">
        <v>1067</v>
      </c>
      <c r="B1344" s="949">
        <v>180</v>
      </c>
      <c r="C1344" s="949">
        <v>0</v>
      </c>
      <c r="D1344" s="882" t="s">
        <v>1056</v>
      </c>
    </row>
    <row r="1345" spans="1:4" s="948" customFormat="1" ht="11.25" customHeight="1" x14ac:dyDescent="0.2">
      <c r="A1345" s="1471"/>
      <c r="B1345" s="947">
        <v>200</v>
      </c>
      <c r="C1345" s="947">
        <v>200</v>
      </c>
      <c r="D1345" s="880" t="s">
        <v>1077</v>
      </c>
    </row>
    <row r="1346" spans="1:4" s="948" customFormat="1" ht="11.25" customHeight="1" x14ac:dyDescent="0.2">
      <c r="A1346" s="1473"/>
      <c r="B1346" s="950">
        <v>380</v>
      </c>
      <c r="C1346" s="950">
        <v>200</v>
      </c>
      <c r="D1346" s="886" t="s">
        <v>11</v>
      </c>
    </row>
    <row r="1347" spans="1:4" s="948" customFormat="1" ht="11.25" customHeight="1" x14ac:dyDescent="0.2">
      <c r="A1347" s="1471" t="s">
        <v>3293</v>
      </c>
      <c r="B1347" s="947">
        <v>99</v>
      </c>
      <c r="C1347" s="947">
        <v>99</v>
      </c>
      <c r="D1347" s="880" t="s">
        <v>1204</v>
      </c>
    </row>
    <row r="1348" spans="1:4" s="948" customFormat="1" ht="11.25" customHeight="1" x14ac:dyDescent="0.2">
      <c r="A1348" s="1471"/>
      <c r="B1348" s="947">
        <v>99</v>
      </c>
      <c r="C1348" s="947">
        <v>99</v>
      </c>
      <c r="D1348" s="880" t="s">
        <v>11</v>
      </c>
    </row>
    <row r="1349" spans="1:4" s="948" customFormat="1" ht="11.25" customHeight="1" x14ac:dyDescent="0.2">
      <c r="A1349" s="1472" t="s">
        <v>4799</v>
      </c>
      <c r="B1349" s="949">
        <v>27</v>
      </c>
      <c r="C1349" s="949">
        <v>27</v>
      </c>
      <c r="D1349" s="882" t="s">
        <v>1337</v>
      </c>
    </row>
    <row r="1350" spans="1:4" s="948" customFormat="1" ht="11.25" customHeight="1" x14ac:dyDescent="0.2">
      <c r="A1350" s="1473"/>
      <c r="B1350" s="950">
        <v>27</v>
      </c>
      <c r="C1350" s="950">
        <v>27</v>
      </c>
      <c r="D1350" s="886" t="s">
        <v>11</v>
      </c>
    </row>
    <row r="1351" spans="1:4" s="948" customFormat="1" ht="11.25" customHeight="1" x14ac:dyDescent="0.2">
      <c r="A1351" s="1471" t="s">
        <v>1068</v>
      </c>
      <c r="B1351" s="947">
        <v>95</v>
      </c>
      <c r="C1351" s="947">
        <v>85</v>
      </c>
      <c r="D1351" s="880" t="s">
        <v>1056</v>
      </c>
    </row>
    <row r="1352" spans="1:4" s="948" customFormat="1" ht="11.25" customHeight="1" x14ac:dyDescent="0.2">
      <c r="A1352" s="1471"/>
      <c r="B1352" s="947">
        <v>95</v>
      </c>
      <c r="C1352" s="947">
        <v>85</v>
      </c>
      <c r="D1352" s="880" t="s">
        <v>11</v>
      </c>
    </row>
    <row r="1353" spans="1:4" s="948" customFormat="1" ht="11.25" customHeight="1" x14ac:dyDescent="0.2">
      <c r="A1353" s="1472" t="s">
        <v>963</v>
      </c>
      <c r="B1353" s="949">
        <v>400</v>
      </c>
      <c r="C1353" s="949">
        <v>400</v>
      </c>
      <c r="D1353" s="882" t="s">
        <v>951</v>
      </c>
    </row>
    <row r="1354" spans="1:4" s="948" customFormat="1" ht="11.25" customHeight="1" x14ac:dyDescent="0.2">
      <c r="A1354" s="1473"/>
      <c r="B1354" s="950">
        <v>400</v>
      </c>
      <c r="C1354" s="950">
        <v>400</v>
      </c>
      <c r="D1354" s="886" t="s">
        <v>11</v>
      </c>
    </row>
    <row r="1355" spans="1:4" s="948" customFormat="1" ht="11.25" customHeight="1" x14ac:dyDescent="0.2">
      <c r="A1355" s="1471" t="s">
        <v>3294</v>
      </c>
      <c r="B1355" s="947">
        <v>370</v>
      </c>
      <c r="C1355" s="947">
        <v>370</v>
      </c>
      <c r="D1355" s="880" t="s">
        <v>2735</v>
      </c>
    </row>
    <row r="1356" spans="1:4" s="948" customFormat="1" ht="11.25" customHeight="1" x14ac:dyDescent="0.2">
      <c r="A1356" s="1471"/>
      <c r="B1356" s="947">
        <v>370</v>
      </c>
      <c r="C1356" s="947">
        <v>370</v>
      </c>
      <c r="D1356" s="880" t="s">
        <v>11</v>
      </c>
    </row>
    <row r="1357" spans="1:4" s="948" customFormat="1" ht="11.25" customHeight="1" x14ac:dyDescent="0.2">
      <c r="A1357" s="1472" t="s">
        <v>3295</v>
      </c>
      <c r="B1357" s="949">
        <v>225</v>
      </c>
      <c r="C1357" s="949">
        <v>225</v>
      </c>
      <c r="D1357" s="882" t="s">
        <v>2735</v>
      </c>
    </row>
    <row r="1358" spans="1:4" s="948" customFormat="1" ht="11.25" customHeight="1" x14ac:dyDescent="0.2">
      <c r="A1358" s="1473"/>
      <c r="B1358" s="950">
        <v>225</v>
      </c>
      <c r="C1358" s="950">
        <v>225</v>
      </c>
      <c r="D1358" s="886" t="s">
        <v>11</v>
      </c>
    </row>
    <row r="1359" spans="1:4" s="948" customFormat="1" ht="11.25" customHeight="1" x14ac:dyDescent="0.2">
      <c r="A1359" s="1471" t="s">
        <v>3296</v>
      </c>
      <c r="B1359" s="947">
        <v>720</v>
      </c>
      <c r="C1359" s="947">
        <v>720</v>
      </c>
      <c r="D1359" s="880" t="s">
        <v>2735</v>
      </c>
    </row>
    <row r="1360" spans="1:4" s="948" customFormat="1" ht="11.25" customHeight="1" x14ac:dyDescent="0.2">
      <c r="A1360" s="1471"/>
      <c r="B1360" s="947">
        <v>720</v>
      </c>
      <c r="C1360" s="947">
        <v>720</v>
      </c>
      <c r="D1360" s="880" t="s">
        <v>11</v>
      </c>
    </row>
    <row r="1361" spans="1:4" s="948" customFormat="1" ht="11.25" customHeight="1" x14ac:dyDescent="0.2">
      <c r="A1361" s="1472" t="s">
        <v>3297</v>
      </c>
      <c r="B1361" s="949">
        <v>66.900000000000006</v>
      </c>
      <c r="C1361" s="949">
        <v>66.900000000000006</v>
      </c>
      <c r="D1361" s="882" t="s">
        <v>2770</v>
      </c>
    </row>
    <row r="1362" spans="1:4" s="948" customFormat="1" ht="11.25" customHeight="1" x14ac:dyDescent="0.2">
      <c r="A1362" s="1473"/>
      <c r="B1362" s="950">
        <v>66.900000000000006</v>
      </c>
      <c r="C1362" s="950">
        <v>66.900000000000006</v>
      </c>
      <c r="D1362" s="886" t="s">
        <v>11</v>
      </c>
    </row>
    <row r="1363" spans="1:4" s="948" customFormat="1" ht="11.25" customHeight="1" x14ac:dyDescent="0.2">
      <c r="A1363" s="1471" t="s">
        <v>3298</v>
      </c>
      <c r="B1363" s="947">
        <v>149.94999999999999</v>
      </c>
      <c r="C1363" s="947">
        <v>149.94999999999999</v>
      </c>
      <c r="D1363" s="880" t="s">
        <v>2862</v>
      </c>
    </row>
    <row r="1364" spans="1:4" s="948" customFormat="1" ht="11.25" customHeight="1" x14ac:dyDescent="0.2">
      <c r="A1364" s="1471"/>
      <c r="B1364" s="947">
        <v>149.94999999999999</v>
      </c>
      <c r="C1364" s="947">
        <v>149.94999999999999</v>
      </c>
      <c r="D1364" s="880" t="s">
        <v>11</v>
      </c>
    </row>
    <row r="1365" spans="1:4" s="948" customFormat="1" ht="11.25" customHeight="1" x14ac:dyDescent="0.2">
      <c r="A1365" s="1472" t="s">
        <v>3299</v>
      </c>
      <c r="B1365" s="949">
        <v>150</v>
      </c>
      <c r="C1365" s="949">
        <v>150</v>
      </c>
      <c r="D1365" s="882" t="s">
        <v>2738</v>
      </c>
    </row>
    <row r="1366" spans="1:4" s="948" customFormat="1" ht="11.25" customHeight="1" x14ac:dyDescent="0.2">
      <c r="A1366" s="1473"/>
      <c r="B1366" s="950">
        <v>150</v>
      </c>
      <c r="C1366" s="950">
        <v>150</v>
      </c>
      <c r="D1366" s="886" t="s">
        <v>11</v>
      </c>
    </row>
    <row r="1367" spans="1:4" s="948" customFormat="1" ht="11.25" customHeight="1" x14ac:dyDescent="0.2">
      <c r="A1367" s="1471" t="s">
        <v>3300</v>
      </c>
      <c r="B1367" s="947">
        <v>60</v>
      </c>
      <c r="C1367" s="947">
        <v>60</v>
      </c>
      <c r="D1367" s="880" t="s">
        <v>2745</v>
      </c>
    </row>
    <row r="1368" spans="1:4" s="948" customFormat="1" ht="11.25" customHeight="1" x14ac:dyDescent="0.2">
      <c r="A1368" s="1471"/>
      <c r="B1368" s="947">
        <v>60</v>
      </c>
      <c r="C1368" s="947">
        <v>60</v>
      </c>
      <c r="D1368" s="880" t="s">
        <v>11</v>
      </c>
    </row>
    <row r="1369" spans="1:4" s="948" customFormat="1" ht="11.25" customHeight="1" x14ac:dyDescent="0.2">
      <c r="A1369" s="1472" t="s">
        <v>3301</v>
      </c>
      <c r="B1369" s="949">
        <v>8270</v>
      </c>
      <c r="C1369" s="949">
        <v>8270</v>
      </c>
      <c r="D1369" s="882" t="s">
        <v>2735</v>
      </c>
    </row>
    <row r="1370" spans="1:4" s="948" customFormat="1" ht="11.25" customHeight="1" x14ac:dyDescent="0.2">
      <c r="A1370" s="1473"/>
      <c r="B1370" s="950">
        <v>8270</v>
      </c>
      <c r="C1370" s="950">
        <v>8270</v>
      </c>
      <c r="D1370" s="886" t="s">
        <v>11</v>
      </c>
    </row>
    <row r="1371" spans="1:4" s="948" customFormat="1" ht="11.25" customHeight="1" x14ac:dyDescent="0.2">
      <c r="A1371" s="1471" t="s">
        <v>3302</v>
      </c>
      <c r="B1371" s="947">
        <v>862</v>
      </c>
      <c r="C1371" s="947">
        <v>862</v>
      </c>
      <c r="D1371" s="880" t="s">
        <v>2735</v>
      </c>
    </row>
    <row r="1372" spans="1:4" s="948" customFormat="1" ht="11.25" customHeight="1" x14ac:dyDescent="0.2">
      <c r="A1372" s="1471"/>
      <c r="B1372" s="947">
        <v>862</v>
      </c>
      <c r="C1372" s="947">
        <v>862</v>
      </c>
      <c r="D1372" s="880" t="s">
        <v>11</v>
      </c>
    </row>
    <row r="1373" spans="1:4" s="948" customFormat="1" ht="11.25" customHeight="1" x14ac:dyDescent="0.2">
      <c r="A1373" s="1472" t="s">
        <v>3303</v>
      </c>
      <c r="B1373" s="949">
        <v>1411.64</v>
      </c>
      <c r="C1373" s="949">
        <v>1411.6182600000002</v>
      </c>
      <c r="D1373" s="882" t="s">
        <v>2608</v>
      </c>
    </row>
    <row r="1374" spans="1:4" s="948" customFormat="1" ht="11.25" customHeight="1" x14ac:dyDescent="0.2">
      <c r="A1374" s="1473"/>
      <c r="B1374" s="950">
        <v>1411.64</v>
      </c>
      <c r="C1374" s="950">
        <v>1411.6182600000002</v>
      </c>
      <c r="D1374" s="886" t="s">
        <v>11</v>
      </c>
    </row>
    <row r="1375" spans="1:4" s="948" customFormat="1" ht="11.25" customHeight="1" x14ac:dyDescent="0.2">
      <c r="A1375" s="1471" t="s">
        <v>1146</v>
      </c>
      <c r="B1375" s="947">
        <v>150</v>
      </c>
      <c r="C1375" s="947">
        <v>150</v>
      </c>
      <c r="D1375" s="880" t="s">
        <v>1111</v>
      </c>
    </row>
    <row r="1376" spans="1:4" s="948" customFormat="1" ht="11.25" customHeight="1" x14ac:dyDescent="0.2">
      <c r="A1376" s="1471"/>
      <c r="B1376" s="947">
        <v>150</v>
      </c>
      <c r="C1376" s="947">
        <v>150</v>
      </c>
      <c r="D1376" s="880" t="s">
        <v>11</v>
      </c>
    </row>
    <row r="1377" spans="1:4" s="948" customFormat="1" ht="11.25" customHeight="1" x14ac:dyDescent="0.2">
      <c r="A1377" s="1472" t="s">
        <v>3304</v>
      </c>
      <c r="B1377" s="949">
        <v>70</v>
      </c>
      <c r="C1377" s="949">
        <v>70</v>
      </c>
      <c r="D1377" s="882" t="s">
        <v>2741</v>
      </c>
    </row>
    <row r="1378" spans="1:4" s="948" customFormat="1" ht="11.25" customHeight="1" x14ac:dyDescent="0.2">
      <c r="A1378" s="1473"/>
      <c r="B1378" s="950">
        <v>70</v>
      </c>
      <c r="C1378" s="950">
        <v>70</v>
      </c>
      <c r="D1378" s="886" t="s">
        <v>11</v>
      </c>
    </row>
    <row r="1379" spans="1:4" s="948" customFormat="1" ht="11.25" customHeight="1" x14ac:dyDescent="0.2">
      <c r="A1379" s="1471" t="s">
        <v>3305</v>
      </c>
      <c r="B1379" s="947">
        <v>1560</v>
      </c>
      <c r="C1379" s="947">
        <v>1525.15</v>
      </c>
      <c r="D1379" s="880" t="s">
        <v>2735</v>
      </c>
    </row>
    <row r="1380" spans="1:4" s="948" customFormat="1" ht="11.25" customHeight="1" x14ac:dyDescent="0.2">
      <c r="A1380" s="1471"/>
      <c r="B1380" s="947">
        <v>1560</v>
      </c>
      <c r="C1380" s="947">
        <v>1525.15</v>
      </c>
      <c r="D1380" s="880" t="s">
        <v>11</v>
      </c>
    </row>
    <row r="1381" spans="1:4" s="948" customFormat="1" ht="11.25" customHeight="1" x14ac:dyDescent="0.2">
      <c r="A1381" s="1472" t="s">
        <v>3306</v>
      </c>
      <c r="B1381" s="949">
        <v>150</v>
      </c>
      <c r="C1381" s="949">
        <v>150</v>
      </c>
      <c r="D1381" s="882" t="s">
        <v>2747</v>
      </c>
    </row>
    <row r="1382" spans="1:4" s="948" customFormat="1" ht="11.25" customHeight="1" x14ac:dyDescent="0.2">
      <c r="A1382" s="1473"/>
      <c r="B1382" s="950">
        <v>150</v>
      </c>
      <c r="C1382" s="950">
        <v>150</v>
      </c>
      <c r="D1382" s="886" t="s">
        <v>11</v>
      </c>
    </row>
    <row r="1383" spans="1:4" s="948" customFormat="1" ht="11.25" customHeight="1" x14ac:dyDescent="0.2">
      <c r="A1383" s="1471" t="s">
        <v>1097</v>
      </c>
      <c r="B1383" s="947">
        <v>200</v>
      </c>
      <c r="C1383" s="947">
        <v>152.08080999999999</v>
      </c>
      <c r="D1383" s="880" t="s">
        <v>1093</v>
      </c>
    </row>
    <row r="1384" spans="1:4" s="948" customFormat="1" ht="11.25" customHeight="1" x14ac:dyDescent="0.2">
      <c r="A1384" s="1471"/>
      <c r="B1384" s="947">
        <v>200</v>
      </c>
      <c r="C1384" s="947">
        <v>152.08080999999999</v>
      </c>
      <c r="D1384" s="880" t="s">
        <v>11</v>
      </c>
    </row>
    <row r="1385" spans="1:4" s="948" customFormat="1" ht="11.25" customHeight="1" x14ac:dyDescent="0.2">
      <c r="A1385" s="1472" t="s">
        <v>3307</v>
      </c>
      <c r="B1385" s="949">
        <v>3000</v>
      </c>
      <c r="C1385" s="949">
        <v>0</v>
      </c>
      <c r="D1385" s="882" t="s">
        <v>1202</v>
      </c>
    </row>
    <row r="1386" spans="1:4" s="948" customFormat="1" ht="11.25" customHeight="1" x14ac:dyDescent="0.2">
      <c r="A1386" s="1473"/>
      <c r="B1386" s="950">
        <v>3000</v>
      </c>
      <c r="C1386" s="950">
        <v>0</v>
      </c>
      <c r="D1386" s="886" t="s">
        <v>11</v>
      </c>
    </row>
    <row r="1387" spans="1:4" s="948" customFormat="1" ht="11.25" customHeight="1" x14ac:dyDescent="0.2">
      <c r="A1387" s="1471" t="s">
        <v>3308</v>
      </c>
      <c r="B1387" s="947">
        <v>55</v>
      </c>
      <c r="C1387" s="947">
        <v>55</v>
      </c>
      <c r="D1387" s="880" t="s">
        <v>2899</v>
      </c>
    </row>
    <row r="1388" spans="1:4" s="948" customFormat="1" ht="11.25" customHeight="1" x14ac:dyDescent="0.2">
      <c r="A1388" s="1471"/>
      <c r="B1388" s="947">
        <v>1334</v>
      </c>
      <c r="C1388" s="947">
        <v>1334</v>
      </c>
      <c r="D1388" s="880" t="s">
        <v>2735</v>
      </c>
    </row>
    <row r="1389" spans="1:4" s="948" customFormat="1" ht="11.25" customHeight="1" x14ac:dyDescent="0.2">
      <c r="A1389" s="1471"/>
      <c r="B1389" s="947">
        <v>883.05</v>
      </c>
      <c r="C1389" s="947">
        <v>832.65</v>
      </c>
      <c r="D1389" s="880" t="s">
        <v>2739</v>
      </c>
    </row>
    <row r="1390" spans="1:4" s="948" customFormat="1" ht="11.25" customHeight="1" x14ac:dyDescent="0.2">
      <c r="A1390" s="1471"/>
      <c r="B1390" s="947">
        <v>2272.0500000000002</v>
      </c>
      <c r="C1390" s="947">
        <v>2221.65</v>
      </c>
      <c r="D1390" s="880" t="s">
        <v>11</v>
      </c>
    </row>
    <row r="1391" spans="1:4" s="948" customFormat="1" ht="11.25" customHeight="1" x14ac:dyDescent="0.2">
      <c r="A1391" s="1472" t="s">
        <v>3309</v>
      </c>
      <c r="B1391" s="949">
        <v>5882.37</v>
      </c>
      <c r="C1391" s="949">
        <v>5882.366</v>
      </c>
      <c r="D1391" s="882" t="s">
        <v>1458</v>
      </c>
    </row>
    <row r="1392" spans="1:4" s="948" customFormat="1" ht="11.25" customHeight="1" x14ac:dyDescent="0.2">
      <c r="A1392" s="1471"/>
      <c r="B1392" s="947">
        <v>63.39</v>
      </c>
      <c r="C1392" s="947">
        <v>63.39</v>
      </c>
      <c r="D1392" s="880" t="s">
        <v>1454</v>
      </c>
    </row>
    <row r="1393" spans="1:4" s="948" customFormat="1" ht="11.25" customHeight="1" x14ac:dyDescent="0.2">
      <c r="A1393" s="1473"/>
      <c r="B1393" s="950">
        <v>5945.76</v>
      </c>
      <c r="C1393" s="950">
        <v>5945.7560000000003</v>
      </c>
      <c r="D1393" s="886" t="s">
        <v>11</v>
      </c>
    </row>
    <row r="1394" spans="1:4" s="948" customFormat="1" ht="11.25" customHeight="1" x14ac:dyDescent="0.2">
      <c r="A1394" s="1471" t="s">
        <v>3310</v>
      </c>
      <c r="B1394" s="947">
        <v>342.15999999999997</v>
      </c>
      <c r="C1394" s="947">
        <v>342.15284999999994</v>
      </c>
      <c r="D1394" s="880" t="s">
        <v>2618</v>
      </c>
    </row>
    <row r="1395" spans="1:4" s="948" customFormat="1" ht="11.25" customHeight="1" x14ac:dyDescent="0.2">
      <c r="A1395" s="1471"/>
      <c r="B1395" s="947">
        <v>342.15999999999997</v>
      </c>
      <c r="C1395" s="947">
        <v>342.15284999999994</v>
      </c>
      <c r="D1395" s="880" t="s">
        <v>11</v>
      </c>
    </row>
    <row r="1396" spans="1:4" s="948" customFormat="1" ht="11.25" customHeight="1" x14ac:dyDescent="0.2">
      <c r="A1396" s="1472" t="s">
        <v>3311</v>
      </c>
      <c r="B1396" s="949">
        <v>825.75</v>
      </c>
      <c r="C1396" s="949">
        <v>825.73214000000007</v>
      </c>
      <c r="D1396" s="882" t="s">
        <v>2618</v>
      </c>
    </row>
    <row r="1397" spans="1:4" s="948" customFormat="1" ht="11.25" customHeight="1" x14ac:dyDescent="0.2">
      <c r="A1397" s="1473"/>
      <c r="B1397" s="950">
        <v>825.75</v>
      </c>
      <c r="C1397" s="950">
        <v>825.73214000000007</v>
      </c>
      <c r="D1397" s="886" t="s">
        <v>11</v>
      </c>
    </row>
    <row r="1398" spans="1:4" s="948" customFormat="1" ht="21" x14ac:dyDescent="0.2">
      <c r="A1398" s="1471" t="s">
        <v>3312</v>
      </c>
      <c r="B1398" s="947">
        <v>73.2</v>
      </c>
      <c r="C1398" s="947">
        <v>72.338999999999999</v>
      </c>
      <c r="D1398" s="880" t="s">
        <v>2750</v>
      </c>
    </row>
    <row r="1399" spans="1:4" s="948" customFormat="1" ht="11.25" customHeight="1" x14ac:dyDescent="0.2">
      <c r="A1399" s="1471"/>
      <c r="B1399" s="947">
        <v>73.2</v>
      </c>
      <c r="C1399" s="947">
        <v>72.338999999999999</v>
      </c>
      <c r="D1399" s="880" t="s">
        <v>11</v>
      </c>
    </row>
    <row r="1400" spans="1:4" s="948" customFormat="1" ht="11.25" customHeight="1" x14ac:dyDescent="0.2">
      <c r="A1400" s="1472" t="s">
        <v>3313</v>
      </c>
      <c r="B1400" s="949">
        <v>272</v>
      </c>
      <c r="C1400" s="949">
        <v>272</v>
      </c>
      <c r="D1400" s="882" t="s">
        <v>2862</v>
      </c>
    </row>
    <row r="1401" spans="1:4" s="948" customFormat="1" ht="11.25" customHeight="1" x14ac:dyDescent="0.2">
      <c r="A1401" s="1473"/>
      <c r="B1401" s="950">
        <v>272</v>
      </c>
      <c r="C1401" s="950">
        <v>272</v>
      </c>
      <c r="D1401" s="886" t="s">
        <v>11</v>
      </c>
    </row>
    <row r="1402" spans="1:4" s="948" customFormat="1" ht="11.25" customHeight="1" x14ac:dyDescent="0.2">
      <c r="A1402" s="1471" t="s">
        <v>1004</v>
      </c>
      <c r="B1402" s="947">
        <v>30</v>
      </c>
      <c r="C1402" s="947">
        <v>30</v>
      </c>
      <c r="D1402" s="880" t="s">
        <v>3314</v>
      </c>
    </row>
    <row r="1403" spans="1:4" s="948" customFormat="1" ht="11.25" customHeight="1" x14ac:dyDescent="0.2">
      <c r="A1403" s="1471"/>
      <c r="B1403" s="947">
        <v>30</v>
      </c>
      <c r="C1403" s="947">
        <v>30</v>
      </c>
      <c r="D1403" s="880" t="s">
        <v>11</v>
      </c>
    </row>
    <row r="1404" spans="1:4" s="948" customFormat="1" ht="11.25" customHeight="1" x14ac:dyDescent="0.2">
      <c r="A1404" s="1472" t="s">
        <v>3315</v>
      </c>
      <c r="B1404" s="949">
        <v>78.83</v>
      </c>
      <c r="C1404" s="949">
        <v>78.83</v>
      </c>
      <c r="D1404" s="882" t="s">
        <v>2770</v>
      </c>
    </row>
    <row r="1405" spans="1:4" s="948" customFormat="1" ht="11.25" customHeight="1" x14ac:dyDescent="0.2">
      <c r="A1405" s="1473"/>
      <c r="B1405" s="950">
        <v>78.83</v>
      </c>
      <c r="C1405" s="950">
        <v>78.83</v>
      </c>
      <c r="D1405" s="886" t="s">
        <v>11</v>
      </c>
    </row>
    <row r="1406" spans="1:4" s="948" customFormat="1" ht="11.25" customHeight="1" x14ac:dyDescent="0.2">
      <c r="A1406" s="1471" t="s">
        <v>3316</v>
      </c>
      <c r="B1406" s="947">
        <v>10537.96</v>
      </c>
      <c r="C1406" s="947">
        <v>10537.114000000001</v>
      </c>
      <c r="D1406" s="880" t="s">
        <v>1458</v>
      </c>
    </row>
    <row r="1407" spans="1:4" s="948" customFormat="1" ht="11.25" customHeight="1" x14ac:dyDescent="0.2">
      <c r="A1407" s="1471"/>
      <c r="B1407" s="947">
        <v>96.72</v>
      </c>
      <c r="C1407" s="947">
        <v>96.724000000000004</v>
      </c>
      <c r="D1407" s="880" t="s">
        <v>1454</v>
      </c>
    </row>
    <row r="1408" spans="1:4" s="948" customFormat="1" ht="11.25" customHeight="1" x14ac:dyDescent="0.2">
      <c r="A1408" s="1471"/>
      <c r="B1408" s="947">
        <v>10634.679999999998</v>
      </c>
      <c r="C1408" s="947">
        <v>10633.838000000002</v>
      </c>
      <c r="D1408" s="880" t="s">
        <v>11</v>
      </c>
    </row>
    <row r="1409" spans="1:4" s="948" customFormat="1" ht="11.25" customHeight="1" x14ac:dyDescent="0.2">
      <c r="A1409" s="1472" t="s">
        <v>3317</v>
      </c>
      <c r="B1409" s="949">
        <v>33.25</v>
      </c>
      <c r="C1409" s="949">
        <v>29.925000000000001</v>
      </c>
      <c r="D1409" s="882" t="s">
        <v>2747</v>
      </c>
    </row>
    <row r="1410" spans="1:4" s="948" customFormat="1" ht="11.25" customHeight="1" x14ac:dyDescent="0.2">
      <c r="A1410" s="1473"/>
      <c r="B1410" s="950">
        <v>33.25</v>
      </c>
      <c r="C1410" s="950">
        <v>29.925000000000001</v>
      </c>
      <c r="D1410" s="886" t="s">
        <v>11</v>
      </c>
    </row>
    <row r="1411" spans="1:4" s="948" customFormat="1" ht="11.25" customHeight="1" x14ac:dyDescent="0.2">
      <c r="A1411" s="1471" t="s">
        <v>3318</v>
      </c>
      <c r="B1411" s="947">
        <v>113.6</v>
      </c>
      <c r="C1411" s="947">
        <v>18.933000000000003</v>
      </c>
      <c r="D1411" s="880" t="s">
        <v>1463</v>
      </c>
    </row>
    <row r="1412" spans="1:4" s="948" customFormat="1" ht="11.25" customHeight="1" x14ac:dyDescent="0.2">
      <c r="A1412" s="1471"/>
      <c r="B1412" s="947">
        <v>2924.05</v>
      </c>
      <c r="C1412" s="947">
        <v>2894.6240000000003</v>
      </c>
      <c r="D1412" s="880" t="s">
        <v>1458</v>
      </c>
    </row>
    <row r="1413" spans="1:4" s="948" customFormat="1" ht="11.25" customHeight="1" x14ac:dyDescent="0.2">
      <c r="A1413" s="1471"/>
      <c r="B1413" s="947">
        <v>10.82</v>
      </c>
      <c r="C1413" s="947">
        <v>10.821</v>
      </c>
      <c r="D1413" s="880" t="s">
        <v>1454</v>
      </c>
    </row>
    <row r="1414" spans="1:4" s="948" customFormat="1" ht="11.25" customHeight="1" x14ac:dyDescent="0.2">
      <c r="A1414" s="1471"/>
      <c r="B1414" s="947">
        <v>3048.4700000000003</v>
      </c>
      <c r="C1414" s="947">
        <v>2924.3780000000002</v>
      </c>
      <c r="D1414" s="880" t="s">
        <v>11</v>
      </c>
    </row>
    <row r="1415" spans="1:4" s="948" customFormat="1" ht="11.25" customHeight="1" x14ac:dyDescent="0.2">
      <c r="A1415" s="1472" t="s">
        <v>3319</v>
      </c>
      <c r="B1415" s="949">
        <v>277.2</v>
      </c>
      <c r="C1415" s="949">
        <v>0</v>
      </c>
      <c r="D1415" s="882" t="s">
        <v>2842</v>
      </c>
    </row>
    <row r="1416" spans="1:4" s="948" customFormat="1" ht="11.25" customHeight="1" x14ac:dyDescent="0.2">
      <c r="A1416" s="1473"/>
      <c r="B1416" s="950">
        <v>277.2</v>
      </c>
      <c r="C1416" s="950">
        <v>0</v>
      </c>
      <c r="D1416" s="886" t="s">
        <v>11</v>
      </c>
    </row>
    <row r="1417" spans="1:4" s="948" customFormat="1" ht="11.25" customHeight="1" x14ac:dyDescent="0.2">
      <c r="A1417" s="1471" t="s">
        <v>1079</v>
      </c>
      <c r="B1417" s="947">
        <v>257.03999999999996</v>
      </c>
      <c r="C1417" s="947">
        <v>257.03700000000003</v>
      </c>
      <c r="D1417" s="880" t="s">
        <v>2770</v>
      </c>
    </row>
    <row r="1418" spans="1:4" s="948" customFormat="1" ht="11.25" customHeight="1" x14ac:dyDescent="0.2">
      <c r="A1418" s="1471"/>
      <c r="B1418" s="947">
        <v>10</v>
      </c>
      <c r="C1418" s="947">
        <v>10</v>
      </c>
      <c r="D1418" s="880" t="s">
        <v>1077</v>
      </c>
    </row>
    <row r="1419" spans="1:4" s="948" customFormat="1" ht="11.25" customHeight="1" x14ac:dyDescent="0.2">
      <c r="A1419" s="1471"/>
      <c r="B1419" s="947">
        <v>267.03999999999996</v>
      </c>
      <c r="C1419" s="947">
        <v>267.03700000000003</v>
      </c>
      <c r="D1419" s="880" t="s">
        <v>11</v>
      </c>
    </row>
    <row r="1420" spans="1:4" s="948" customFormat="1" ht="11.25" customHeight="1" x14ac:dyDescent="0.2">
      <c r="A1420" s="1472" t="s">
        <v>1169</v>
      </c>
      <c r="B1420" s="949">
        <v>10</v>
      </c>
      <c r="C1420" s="949">
        <v>10</v>
      </c>
      <c r="D1420" s="882" t="s">
        <v>1161</v>
      </c>
    </row>
    <row r="1421" spans="1:4" s="948" customFormat="1" ht="11.25" customHeight="1" x14ac:dyDescent="0.2">
      <c r="A1421" s="1473"/>
      <c r="B1421" s="950">
        <v>10</v>
      </c>
      <c r="C1421" s="950">
        <v>10</v>
      </c>
      <c r="D1421" s="886" t="s">
        <v>11</v>
      </c>
    </row>
    <row r="1422" spans="1:4" s="948" customFormat="1" ht="11.25" customHeight="1" x14ac:dyDescent="0.2">
      <c r="A1422" s="1471" t="s">
        <v>3320</v>
      </c>
      <c r="B1422" s="947">
        <v>150</v>
      </c>
      <c r="C1422" s="947">
        <v>150</v>
      </c>
      <c r="D1422" s="880" t="s">
        <v>2862</v>
      </c>
    </row>
    <row r="1423" spans="1:4" s="948" customFormat="1" ht="11.25" customHeight="1" x14ac:dyDescent="0.2">
      <c r="A1423" s="1471"/>
      <c r="B1423" s="947">
        <v>150</v>
      </c>
      <c r="C1423" s="947">
        <v>150</v>
      </c>
      <c r="D1423" s="880" t="s">
        <v>11</v>
      </c>
    </row>
    <row r="1424" spans="1:4" s="948" customFormat="1" ht="11.25" customHeight="1" x14ac:dyDescent="0.2">
      <c r="A1424" s="1472" t="s">
        <v>3321</v>
      </c>
      <c r="B1424" s="949">
        <v>62</v>
      </c>
      <c r="C1424" s="949">
        <v>62</v>
      </c>
      <c r="D1424" s="882" t="s">
        <v>2741</v>
      </c>
    </row>
    <row r="1425" spans="1:4" s="948" customFormat="1" ht="11.25" customHeight="1" x14ac:dyDescent="0.2">
      <c r="A1425" s="1473"/>
      <c r="B1425" s="950">
        <v>62</v>
      </c>
      <c r="C1425" s="950">
        <v>62</v>
      </c>
      <c r="D1425" s="886" t="s">
        <v>11</v>
      </c>
    </row>
    <row r="1426" spans="1:4" s="948" customFormat="1" ht="21" x14ac:dyDescent="0.2">
      <c r="A1426" s="1471" t="s">
        <v>1178</v>
      </c>
      <c r="B1426" s="947">
        <v>70</v>
      </c>
      <c r="C1426" s="947">
        <v>70</v>
      </c>
      <c r="D1426" s="880" t="s">
        <v>2737</v>
      </c>
    </row>
    <row r="1427" spans="1:4" s="948" customFormat="1" ht="11.25" customHeight="1" x14ac:dyDescent="0.2">
      <c r="A1427" s="1471"/>
      <c r="B1427" s="947">
        <v>238.84</v>
      </c>
      <c r="C1427" s="947">
        <v>228.91399999999999</v>
      </c>
      <c r="D1427" s="880" t="s">
        <v>1337</v>
      </c>
    </row>
    <row r="1428" spans="1:4" s="948" customFormat="1" ht="11.25" customHeight="1" x14ac:dyDescent="0.2">
      <c r="A1428" s="1471"/>
      <c r="B1428" s="947">
        <v>100</v>
      </c>
      <c r="C1428" s="947">
        <v>100</v>
      </c>
      <c r="D1428" s="880" t="s">
        <v>1173</v>
      </c>
    </row>
    <row r="1429" spans="1:4" s="948" customFormat="1" ht="11.25" customHeight="1" x14ac:dyDescent="0.2">
      <c r="A1429" s="1471"/>
      <c r="B1429" s="947">
        <v>408.84000000000003</v>
      </c>
      <c r="C1429" s="947">
        <v>398.91399999999999</v>
      </c>
      <c r="D1429" s="880" t="s">
        <v>11</v>
      </c>
    </row>
    <row r="1430" spans="1:4" s="948" customFormat="1" ht="11.25" customHeight="1" x14ac:dyDescent="0.2">
      <c r="A1430" s="1472" t="s">
        <v>1170</v>
      </c>
      <c r="B1430" s="949">
        <v>20</v>
      </c>
      <c r="C1430" s="949">
        <v>20</v>
      </c>
      <c r="D1430" s="882" t="s">
        <v>1161</v>
      </c>
    </row>
    <row r="1431" spans="1:4" s="948" customFormat="1" ht="11.25" customHeight="1" x14ac:dyDescent="0.2">
      <c r="A1431" s="1473"/>
      <c r="B1431" s="950">
        <v>20</v>
      </c>
      <c r="C1431" s="950">
        <v>20</v>
      </c>
      <c r="D1431" s="886" t="s">
        <v>11</v>
      </c>
    </row>
    <row r="1432" spans="1:4" s="948" customFormat="1" ht="11.25" customHeight="1" x14ac:dyDescent="0.2">
      <c r="A1432" s="1471" t="s">
        <v>3322</v>
      </c>
      <c r="B1432" s="947">
        <v>150.5</v>
      </c>
      <c r="C1432" s="947">
        <v>115.15</v>
      </c>
      <c r="D1432" s="880" t="s">
        <v>2747</v>
      </c>
    </row>
    <row r="1433" spans="1:4" s="948" customFormat="1" ht="11.25" customHeight="1" x14ac:dyDescent="0.2">
      <c r="A1433" s="1471"/>
      <c r="B1433" s="947">
        <v>150.5</v>
      </c>
      <c r="C1433" s="947">
        <v>115.15</v>
      </c>
      <c r="D1433" s="880" t="s">
        <v>11</v>
      </c>
    </row>
    <row r="1434" spans="1:4" s="948" customFormat="1" ht="11.25" customHeight="1" x14ac:dyDescent="0.2">
      <c r="A1434" s="1472" t="s">
        <v>3323</v>
      </c>
      <c r="B1434" s="949">
        <v>13.8</v>
      </c>
      <c r="C1434" s="949">
        <v>13.8</v>
      </c>
      <c r="D1434" s="882" t="s">
        <v>2870</v>
      </c>
    </row>
    <row r="1435" spans="1:4" s="948" customFormat="1" ht="11.25" customHeight="1" x14ac:dyDescent="0.2">
      <c r="A1435" s="1473"/>
      <c r="B1435" s="950">
        <v>13.8</v>
      </c>
      <c r="C1435" s="950">
        <v>13.8</v>
      </c>
      <c r="D1435" s="886" t="s">
        <v>11</v>
      </c>
    </row>
    <row r="1436" spans="1:4" s="948" customFormat="1" ht="11.25" customHeight="1" x14ac:dyDescent="0.2">
      <c r="A1436" s="1471" t="s">
        <v>3324</v>
      </c>
      <c r="B1436" s="947">
        <v>244.75</v>
      </c>
      <c r="C1436" s="947">
        <v>244.75</v>
      </c>
      <c r="D1436" s="880" t="s">
        <v>2747</v>
      </c>
    </row>
    <row r="1437" spans="1:4" s="948" customFormat="1" ht="11.25" customHeight="1" x14ac:dyDescent="0.2">
      <c r="A1437" s="1471"/>
      <c r="B1437" s="947">
        <v>244.75</v>
      </c>
      <c r="C1437" s="947">
        <v>244.75</v>
      </c>
      <c r="D1437" s="880" t="s">
        <v>11</v>
      </c>
    </row>
    <row r="1438" spans="1:4" s="948" customFormat="1" ht="11.25" customHeight="1" x14ac:dyDescent="0.2">
      <c r="A1438" s="1472" t="s">
        <v>3325</v>
      </c>
      <c r="B1438" s="949">
        <v>148.1</v>
      </c>
      <c r="C1438" s="949">
        <v>0</v>
      </c>
      <c r="D1438" s="882" t="s">
        <v>2862</v>
      </c>
    </row>
    <row r="1439" spans="1:4" s="948" customFormat="1" ht="11.25" customHeight="1" x14ac:dyDescent="0.2">
      <c r="A1439" s="1473"/>
      <c r="B1439" s="950">
        <v>148.1</v>
      </c>
      <c r="C1439" s="950">
        <v>0</v>
      </c>
      <c r="D1439" s="886" t="s">
        <v>11</v>
      </c>
    </row>
    <row r="1440" spans="1:4" s="948" customFormat="1" ht="11.25" customHeight="1" x14ac:dyDescent="0.2">
      <c r="A1440" s="1471" t="s">
        <v>3326</v>
      </c>
      <c r="B1440" s="947">
        <v>10025.84</v>
      </c>
      <c r="C1440" s="947">
        <v>10025.834999999999</v>
      </c>
      <c r="D1440" s="880" t="s">
        <v>1458</v>
      </c>
    </row>
    <row r="1441" spans="1:4" s="948" customFormat="1" ht="11.25" customHeight="1" x14ac:dyDescent="0.2">
      <c r="A1441" s="1471"/>
      <c r="B1441" s="947">
        <v>84.03</v>
      </c>
      <c r="C1441" s="947">
        <v>84.034000000000006</v>
      </c>
      <c r="D1441" s="880" t="s">
        <v>1454</v>
      </c>
    </row>
    <row r="1442" spans="1:4" s="948" customFormat="1" ht="11.25" customHeight="1" x14ac:dyDescent="0.2">
      <c r="A1442" s="1471"/>
      <c r="B1442" s="947">
        <v>10109.870000000001</v>
      </c>
      <c r="C1442" s="947">
        <v>10109.868999999999</v>
      </c>
      <c r="D1442" s="880" t="s">
        <v>11</v>
      </c>
    </row>
    <row r="1443" spans="1:4" s="948" customFormat="1" ht="11.25" customHeight="1" x14ac:dyDescent="0.2">
      <c r="A1443" s="1472" t="s">
        <v>1039</v>
      </c>
      <c r="B1443" s="949">
        <v>200</v>
      </c>
      <c r="C1443" s="949">
        <v>200</v>
      </c>
      <c r="D1443" s="882" t="s">
        <v>1030</v>
      </c>
    </row>
    <row r="1444" spans="1:4" s="948" customFormat="1" ht="11.25" customHeight="1" x14ac:dyDescent="0.2">
      <c r="A1444" s="1473"/>
      <c r="B1444" s="950">
        <v>200</v>
      </c>
      <c r="C1444" s="950">
        <v>200</v>
      </c>
      <c r="D1444" s="886" t="s">
        <v>11</v>
      </c>
    </row>
    <row r="1445" spans="1:4" s="948" customFormat="1" ht="11.25" customHeight="1" x14ac:dyDescent="0.2">
      <c r="A1445" s="1471" t="s">
        <v>1216</v>
      </c>
      <c r="B1445" s="947">
        <v>449.15999999999997</v>
      </c>
      <c r="C1445" s="947">
        <v>449.13784999999996</v>
      </c>
      <c r="D1445" s="880" t="s">
        <v>2618</v>
      </c>
    </row>
    <row r="1446" spans="1:4" s="948" customFormat="1" ht="11.25" customHeight="1" x14ac:dyDescent="0.2">
      <c r="A1446" s="1471"/>
      <c r="B1446" s="947">
        <v>200</v>
      </c>
      <c r="C1446" s="947">
        <v>78.099000000000004</v>
      </c>
      <c r="D1446" s="880" t="s">
        <v>1214</v>
      </c>
    </row>
    <row r="1447" spans="1:4" s="948" customFormat="1" ht="11.25" customHeight="1" x14ac:dyDescent="0.2">
      <c r="A1447" s="1471"/>
      <c r="B1447" s="947">
        <v>649.16</v>
      </c>
      <c r="C1447" s="947">
        <v>527.23685</v>
      </c>
      <c r="D1447" s="880" t="s">
        <v>11</v>
      </c>
    </row>
    <row r="1448" spans="1:4" s="948" customFormat="1" ht="11.25" customHeight="1" x14ac:dyDescent="0.2">
      <c r="A1448" s="1472" t="s">
        <v>1227</v>
      </c>
      <c r="B1448" s="949">
        <v>50</v>
      </c>
      <c r="C1448" s="949">
        <v>50</v>
      </c>
      <c r="D1448" s="882" t="s">
        <v>1217</v>
      </c>
    </row>
    <row r="1449" spans="1:4" s="948" customFormat="1" ht="11.25" customHeight="1" x14ac:dyDescent="0.2">
      <c r="A1449" s="1473"/>
      <c r="B1449" s="950">
        <v>50</v>
      </c>
      <c r="C1449" s="950">
        <v>50</v>
      </c>
      <c r="D1449" s="886" t="s">
        <v>11</v>
      </c>
    </row>
    <row r="1450" spans="1:4" s="948" customFormat="1" ht="11.25" customHeight="1" x14ac:dyDescent="0.2">
      <c r="A1450" s="1471" t="s">
        <v>3327</v>
      </c>
      <c r="B1450" s="947">
        <v>232.78000000000003</v>
      </c>
      <c r="C1450" s="947">
        <v>232.77583000000001</v>
      </c>
      <c r="D1450" s="880" t="s">
        <v>2608</v>
      </c>
    </row>
    <row r="1451" spans="1:4" s="948" customFormat="1" ht="11.25" customHeight="1" x14ac:dyDescent="0.2">
      <c r="A1451" s="1471"/>
      <c r="B1451" s="947">
        <v>232.78000000000003</v>
      </c>
      <c r="C1451" s="947">
        <v>232.77583000000001</v>
      </c>
      <c r="D1451" s="880" t="s">
        <v>11</v>
      </c>
    </row>
    <row r="1452" spans="1:4" s="948" customFormat="1" ht="11.25" customHeight="1" x14ac:dyDescent="0.2">
      <c r="A1452" s="1472" t="s">
        <v>721</v>
      </c>
      <c r="B1452" s="949">
        <v>1091.0999999999999</v>
      </c>
      <c r="C1452" s="949">
        <v>445.55</v>
      </c>
      <c r="D1452" s="882" t="s">
        <v>2818</v>
      </c>
    </row>
    <row r="1453" spans="1:4" s="948" customFormat="1" ht="11.25" customHeight="1" x14ac:dyDescent="0.2">
      <c r="A1453" s="1471"/>
      <c r="B1453" s="947">
        <v>173</v>
      </c>
      <c r="C1453" s="947">
        <v>173</v>
      </c>
      <c r="D1453" s="880" t="s">
        <v>3328</v>
      </c>
    </row>
    <row r="1454" spans="1:4" s="948" customFormat="1" ht="11.25" customHeight="1" x14ac:dyDescent="0.2">
      <c r="A1454" s="1473"/>
      <c r="B1454" s="950">
        <v>1264.0999999999999</v>
      </c>
      <c r="C1454" s="950">
        <v>618.54999999999995</v>
      </c>
      <c r="D1454" s="886" t="s">
        <v>11</v>
      </c>
    </row>
    <row r="1455" spans="1:4" s="948" customFormat="1" ht="11.25" customHeight="1" x14ac:dyDescent="0.2">
      <c r="A1455" s="1471" t="s">
        <v>3329</v>
      </c>
      <c r="B1455" s="947">
        <v>65</v>
      </c>
      <c r="C1455" s="947">
        <v>65</v>
      </c>
      <c r="D1455" s="880" t="s">
        <v>2745</v>
      </c>
    </row>
    <row r="1456" spans="1:4" s="948" customFormat="1" ht="11.25" customHeight="1" x14ac:dyDescent="0.2">
      <c r="A1456" s="1471"/>
      <c r="B1456" s="947">
        <v>65</v>
      </c>
      <c r="C1456" s="947">
        <v>65</v>
      </c>
      <c r="D1456" s="880" t="s">
        <v>11</v>
      </c>
    </row>
    <row r="1457" spans="1:4" s="948" customFormat="1" ht="11.25" customHeight="1" x14ac:dyDescent="0.2">
      <c r="A1457" s="1472" t="s">
        <v>3330</v>
      </c>
      <c r="B1457" s="949">
        <v>786.37</v>
      </c>
      <c r="C1457" s="949">
        <v>786.36314000000004</v>
      </c>
      <c r="D1457" s="882" t="s">
        <v>2602</v>
      </c>
    </row>
    <row r="1458" spans="1:4" s="948" customFormat="1" ht="11.25" customHeight="1" x14ac:dyDescent="0.2">
      <c r="A1458" s="1473"/>
      <c r="B1458" s="950">
        <v>786.37</v>
      </c>
      <c r="C1458" s="950">
        <v>786.36314000000004</v>
      </c>
      <c r="D1458" s="886" t="s">
        <v>11</v>
      </c>
    </row>
    <row r="1459" spans="1:4" s="948" customFormat="1" ht="11.25" customHeight="1" x14ac:dyDescent="0.2">
      <c r="A1459" s="1471" t="s">
        <v>3331</v>
      </c>
      <c r="B1459" s="947">
        <v>248</v>
      </c>
      <c r="C1459" s="947">
        <v>248</v>
      </c>
      <c r="D1459" s="880" t="s">
        <v>2899</v>
      </c>
    </row>
    <row r="1460" spans="1:4" s="948" customFormat="1" ht="11.25" customHeight="1" x14ac:dyDescent="0.2">
      <c r="A1460" s="1471"/>
      <c r="B1460" s="947">
        <v>68</v>
      </c>
      <c r="C1460" s="947">
        <v>17.375</v>
      </c>
      <c r="D1460" s="880" t="s">
        <v>2956</v>
      </c>
    </row>
    <row r="1461" spans="1:4" s="948" customFormat="1" ht="11.25" customHeight="1" x14ac:dyDescent="0.2">
      <c r="A1461" s="1471"/>
      <c r="B1461" s="947">
        <v>1709</v>
      </c>
      <c r="C1461" s="947">
        <v>1693.15</v>
      </c>
      <c r="D1461" s="880" t="s">
        <v>2735</v>
      </c>
    </row>
    <row r="1462" spans="1:4" s="948" customFormat="1" ht="11.25" customHeight="1" x14ac:dyDescent="0.2">
      <c r="A1462" s="1471"/>
      <c r="B1462" s="947">
        <v>1772</v>
      </c>
      <c r="C1462" s="947">
        <v>1772</v>
      </c>
      <c r="D1462" s="880" t="s">
        <v>2817</v>
      </c>
    </row>
    <row r="1463" spans="1:4" s="948" customFormat="1" ht="11.25" customHeight="1" x14ac:dyDescent="0.2">
      <c r="A1463" s="1471"/>
      <c r="B1463" s="947">
        <v>3797</v>
      </c>
      <c r="C1463" s="947">
        <v>3730.5250000000001</v>
      </c>
      <c r="D1463" s="880" t="s">
        <v>11</v>
      </c>
    </row>
    <row r="1464" spans="1:4" s="948" customFormat="1" ht="11.25" customHeight="1" x14ac:dyDescent="0.2">
      <c r="A1464" s="1472" t="s">
        <v>3332</v>
      </c>
      <c r="B1464" s="949">
        <v>164.15</v>
      </c>
      <c r="C1464" s="949">
        <v>162.119</v>
      </c>
      <c r="D1464" s="882" t="s">
        <v>2747</v>
      </c>
    </row>
    <row r="1465" spans="1:4" s="948" customFormat="1" ht="11.25" customHeight="1" x14ac:dyDescent="0.2">
      <c r="A1465" s="1473"/>
      <c r="B1465" s="950">
        <v>164.15</v>
      </c>
      <c r="C1465" s="950">
        <v>162.119</v>
      </c>
      <c r="D1465" s="886" t="s">
        <v>11</v>
      </c>
    </row>
    <row r="1466" spans="1:4" s="948" customFormat="1" ht="11.25" customHeight="1" x14ac:dyDescent="0.2">
      <c r="A1466" s="1471" t="s">
        <v>1021</v>
      </c>
      <c r="B1466" s="947">
        <v>10</v>
      </c>
      <c r="C1466" s="947">
        <v>10</v>
      </c>
      <c r="D1466" s="882" t="s">
        <v>3333</v>
      </c>
    </row>
    <row r="1467" spans="1:4" s="948" customFormat="1" ht="11.25" customHeight="1" x14ac:dyDescent="0.2">
      <c r="A1467" s="1471"/>
      <c r="B1467" s="947">
        <v>10</v>
      </c>
      <c r="C1467" s="947">
        <v>10</v>
      </c>
      <c r="D1467" s="880" t="s">
        <v>11</v>
      </c>
    </row>
    <row r="1468" spans="1:4" s="948" customFormat="1" ht="11.25" customHeight="1" x14ac:dyDescent="0.2">
      <c r="A1468" s="1472" t="s">
        <v>1147</v>
      </c>
      <c r="B1468" s="949">
        <v>50</v>
      </c>
      <c r="C1468" s="949">
        <v>0</v>
      </c>
      <c r="D1468" s="882" t="s">
        <v>1111</v>
      </c>
    </row>
    <row r="1469" spans="1:4" s="948" customFormat="1" ht="11.25" customHeight="1" x14ac:dyDescent="0.2">
      <c r="A1469" s="1473"/>
      <c r="B1469" s="950">
        <v>50</v>
      </c>
      <c r="C1469" s="950">
        <v>0</v>
      </c>
      <c r="D1469" s="886" t="s">
        <v>11</v>
      </c>
    </row>
    <row r="1470" spans="1:4" s="948" customFormat="1" ht="11.25" customHeight="1" x14ac:dyDescent="0.2">
      <c r="A1470" s="1471" t="s">
        <v>3334</v>
      </c>
      <c r="B1470" s="947">
        <v>50</v>
      </c>
      <c r="C1470" s="947">
        <v>50</v>
      </c>
      <c r="D1470" s="880" t="s">
        <v>2956</v>
      </c>
    </row>
    <row r="1471" spans="1:4" s="948" customFormat="1" ht="21" x14ac:dyDescent="0.2">
      <c r="A1471" s="1471"/>
      <c r="B1471" s="947">
        <v>250</v>
      </c>
      <c r="C1471" s="947">
        <v>250</v>
      </c>
      <c r="D1471" s="880" t="s">
        <v>2750</v>
      </c>
    </row>
    <row r="1472" spans="1:4" s="948" customFormat="1" ht="11.25" customHeight="1" x14ac:dyDescent="0.2">
      <c r="A1472" s="1471"/>
      <c r="B1472" s="947">
        <v>300</v>
      </c>
      <c r="C1472" s="947">
        <v>300</v>
      </c>
      <c r="D1472" s="880" t="s">
        <v>11</v>
      </c>
    </row>
    <row r="1473" spans="1:4" s="948" customFormat="1" ht="21" x14ac:dyDescent="0.2">
      <c r="A1473" s="1472" t="s">
        <v>3335</v>
      </c>
      <c r="B1473" s="949">
        <v>80</v>
      </c>
      <c r="C1473" s="949">
        <v>80</v>
      </c>
      <c r="D1473" s="882" t="s">
        <v>2750</v>
      </c>
    </row>
    <row r="1474" spans="1:4" s="948" customFormat="1" ht="11.25" customHeight="1" x14ac:dyDescent="0.2">
      <c r="A1474" s="1473"/>
      <c r="B1474" s="950">
        <v>80</v>
      </c>
      <c r="C1474" s="950">
        <v>80</v>
      </c>
      <c r="D1474" s="886" t="s">
        <v>11</v>
      </c>
    </row>
    <row r="1475" spans="1:4" s="948" customFormat="1" ht="11.25" customHeight="1" x14ac:dyDescent="0.2">
      <c r="A1475" s="1472" t="s">
        <v>4799</v>
      </c>
      <c r="B1475" s="947">
        <v>36</v>
      </c>
      <c r="C1475" s="947">
        <v>36</v>
      </c>
      <c r="D1475" s="880" t="s">
        <v>1337</v>
      </c>
    </row>
    <row r="1476" spans="1:4" s="948" customFormat="1" ht="11.25" customHeight="1" x14ac:dyDescent="0.2">
      <c r="A1476" s="1473"/>
      <c r="B1476" s="947">
        <v>36</v>
      </c>
      <c r="C1476" s="947">
        <v>36</v>
      </c>
      <c r="D1476" s="880" t="s">
        <v>11</v>
      </c>
    </row>
    <row r="1477" spans="1:4" s="948" customFormat="1" ht="11.25" customHeight="1" x14ac:dyDescent="0.2">
      <c r="A1477" s="1472" t="s">
        <v>3336</v>
      </c>
      <c r="B1477" s="949">
        <v>1323</v>
      </c>
      <c r="C1477" s="949">
        <v>1323</v>
      </c>
      <c r="D1477" s="882" t="s">
        <v>2735</v>
      </c>
    </row>
    <row r="1478" spans="1:4" s="948" customFormat="1" ht="11.25" customHeight="1" x14ac:dyDescent="0.2">
      <c r="A1478" s="1473"/>
      <c r="B1478" s="950">
        <v>1323</v>
      </c>
      <c r="C1478" s="950">
        <v>1323</v>
      </c>
      <c r="D1478" s="886" t="s">
        <v>11</v>
      </c>
    </row>
    <row r="1479" spans="1:4" s="948" customFormat="1" ht="11.25" customHeight="1" x14ac:dyDescent="0.2">
      <c r="A1479" s="1471" t="s">
        <v>3337</v>
      </c>
      <c r="B1479" s="947">
        <v>45</v>
      </c>
      <c r="C1479" s="947">
        <v>45</v>
      </c>
      <c r="D1479" s="880" t="s">
        <v>2893</v>
      </c>
    </row>
    <row r="1480" spans="1:4" s="948" customFormat="1" ht="11.25" customHeight="1" x14ac:dyDescent="0.2">
      <c r="A1480" s="1471"/>
      <c r="B1480" s="947">
        <v>45</v>
      </c>
      <c r="C1480" s="947">
        <v>45</v>
      </c>
      <c r="D1480" s="880" t="s">
        <v>11</v>
      </c>
    </row>
    <row r="1481" spans="1:4" s="948" customFormat="1" ht="11.25" customHeight="1" x14ac:dyDescent="0.2">
      <c r="A1481" s="1472" t="s">
        <v>3338</v>
      </c>
      <c r="B1481" s="949">
        <v>522</v>
      </c>
      <c r="C1481" s="949">
        <v>522</v>
      </c>
      <c r="D1481" s="882" t="s">
        <v>2735</v>
      </c>
    </row>
    <row r="1482" spans="1:4" s="948" customFormat="1" ht="11.25" customHeight="1" x14ac:dyDescent="0.2">
      <c r="A1482" s="1473"/>
      <c r="B1482" s="950">
        <v>522</v>
      </c>
      <c r="C1482" s="950">
        <v>522</v>
      </c>
      <c r="D1482" s="886" t="s">
        <v>11</v>
      </c>
    </row>
    <row r="1483" spans="1:4" s="948" customFormat="1" ht="11.25" customHeight="1" x14ac:dyDescent="0.2">
      <c r="A1483" s="1471" t="s">
        <v>3339</v>
      </c>
      <c r="B1483" s="947">
        <v>300</v>
      </c>
      <c r="C1483" s="947">
        <v>0</v>
      </c>
      <c r="D1483" s="880" t="s">
        <v>3176</v>
      </c>
    </row>
    <row r="1484" spans="1:4" s="948" customFormat="1" ht="11.25" customHeight="1" x14ac:dyDescent="0.2">
      <c r="A1484" s="1471"/>
      <c r="B1484" s="947">
        <v>300</v>
      </c>
      <c r="C1484" s="947">
        <v>0</v>
      </c>
      <c r="D1484" s="880" t="s">
        <v>11</v>
      </c>
    </row>
    <row r="1485" spans="1:4" s="948" customFormat="1" ht="11.25" customHeight="1" x14ac:dyDescent="0.2">
      <c r="A1485" s="1472" t="s">
        <v>3340</v>
      </c>
      <c r="B1485" s="949">
        <v>431.84000000000003</v>
      </c>
      <c r="C1485" s="949">
        <v>431.83091000000002</v>
      </c>
      <c r="D1485" s="882" t="s">
        <v>2618</v>
      </c>
    </row>
    <row r="1486" spans="1:4" s="948" customFormat="1" ht="21" x14ac:dyDescent="0.2">
      <c r="A1486" s="1471"/>
      <c r="B1486" s="947">
        <v>615.43999999999994</v>
      </c>
      <c r="C1486" s="947">
        <v>614.79840000000002</v>
      </c>
      <c r="D1486" s="880" t="s">
        <v>1276</v>
      </c>
    </row>
    <row r="1487" spans="1:4" s="948" customFormat="1" ht="11.25" customHeight="1" x14ac:dyDescent="0.2">
      <c r="A1487" s="1473"/>
      <c r="B1487" s="950">
        <v>1047.28</v>
      </c>
      <c r="C1487" s="950">
        <v>1046.62931</v>
      </c>
      <c r="D1487" s="886" t="s">
        <v>11</v>
      </c>
    </row>
    <row r="1488" spans="1:4" s="948" customFormat="1" ht="11.25" customHeight="1" x14ac:dyDescent="0.2">
      <c r="A1488" s="1471" t="s">
        <v>3341</v>
      </c>
      <c r="B1488" s="947">
        <v>53.78</v>
      </c>
      <c r="C1488" s="947">
        <v>53.777999999999999</v>
      </c>
      <c r="D1488" s="880" t="s">
        <v>2870</v>
      </c>
    </row>
    <row r="1489" spans="1:4" s="948" customFormat="1" ht="11.25" customHeight="1" x14ac:dyDescent="0.2">
      <c r="A1489" s="1471"/>
      <c r="B1489" s="947">
        <v>53.78</v>
      </c>
      <c r="C1489" s="947">
        <v>53.777999999999999</v>
      </c>
      <c r="D1489" s="880" t="s">
        <v>11</v>
      </c>
    </row>
    <row r="1490" spans="1:4" s="948" customFormat="1" ht="11.25" customHeight="1" x14ac:dyDescent="0.2">
      <c r="A1490" s="1472" t="s">
        <v>3342</v>
      </c>
      <c r="B1490" s="949">
        <v>129</v>
      </c>
      <c r="C1490" s="949">
        <v>129</v>
      </c>
      <c r="D1490" s="882" t="s">
        <v>2862</v>
      </c>
    </row>
    <row r="1491" spans="1:4" s="948" customFormat="1" ht="11.25" customHeight="1" x14ac:dyDescent="0.2">
      <c r="A1491" s="1473"/>
      <c r="B1491" s="950">
        <v>129</v>
      </c>
      <c r="C1491" s="950">
        <v>129</v>
      </c>
      <c r="D1491" s="886" t="s">
        <v>11</v>
      </c>
    </row>
    <row r="1492" spans="1:4" s="948" customFormat="1" ht="11.25" customHeight="1" x14ac:dyDescent="0.2">
      <c r="A1492" s="1472" t="s">
        <v>4799</v>
      </c>
      <c r="B1492" s="947">
        <v>10</v>
      </c>
      <c r="C1492" s="947">
        <v>10</v>
      </c>
      <c r="D1492" s="880" t="s">
        <v>1337</v>
      </c>
    </row>
    <row r="1493" spans="1:4" s="948" customFormat="1" ht="11.25" customHeight="1" x14ac:dyDescent="0.2">
      <c r="A1493" s="1473"/>
      <c r="B1493" s="947">
        <v>10</v>
      </c>
      <c r="C1493" s="947">
        <v>10</v>
      </c>
      <c r="D1493" s="880" t="s">
        <v>11</v>
      </c>
    </row>
    <row r="1494" spans="1:4" s="948" customFormat="1" ht="11.25" customHeight="1" x14ac:dyDescent="0.2">
      <c r="A1494" s="1472" t="s">
        <v>964</v>
      </c>
      <c r="B1494" s="949">
        <v>199</v>
      </c>
      <c r="C1494" s="949">
        <v>199</v>
      </c>
      <c r="D1494" s="882" t="s">
        <v>951</v>
      </c>
    </row>
    <row r="1495" spans="1:4" s="948" customFormat="1" ht="11.25" customHeight="1" x14ac:dyDescent="0.2">
      <c r="A1495" s="1471"/>
      <c r="B1495" s="947">
        <v>100</v>
      </c>
      <c r="C1495" s="947">
        <v>100</v>
      </c>
      <c r="D1495" s="880" t="s">
        <v>1030</v>
      </c>
    </row>
    <row r="1496" spans="1:4" s="948" customFormat="1" ht="11.25" customHeight="1" x14ac:dyDescent="0.2">
      <c r="A1496" s="1473"/>
      <c r="B1496" s="950">
        <v>299</v>
      </c>
      <c r="C1496" s="950">
        <v>299</v>
      </c>
      <c r="D1496" s="886" t="s">
        <v>11</v>
      </c>
    </row>
    <row r="1497" spans="1:4" s="948" customFormat="1" ht="11.25" customHeight="1" x14ac:dyDescent="0.2">
      <c r="A1497" s="1471" t="s">
        <v>1148</v>
      </c>
      <c r="B1497" s="947">
        <v>200</v>
      </c>
      <c r="C1497" s="947">
        <v>200</v>
      </c>
      <c r="D1497" s="880" t="s">
        <v>1111</v>
      </c>
    </row>
    <row r="1498" spans="1:4" s="948" customFormat="1" ht="11.25" customHeight="1" x14ac:dyDescent="0.2">
      <c r="A1498" s="1471"/>
      <c r="B1498" s="947">
        <v>200</v>
      </c>
      <c r="C1498" s="947">
        <v>200</v>
      </c>
      <c r="D1498" s="880" t="s">
        <v>11</v>
      </c>
    </row>
    <row r="1499" spans="1:4" s="948" customFormat="1" ht="11.25" customHeight="1" x14ac:dyDescent="0.2">
      <c r="A1499" s="1472" t="s">
        <v>3343</v>
      </c>
      <c r="B1499" s="949">
        <v>300</v>
      </c>
      <c r="C1499" s="949">
        <v>0</v>
      </c>
      <c r="D1499" s="882" t="s">
        <v>3176</v>
      </c>
    </row>
    <row r="1500" spans="1:4" s="948" customFormat="1" ht="11.25" customHeight="1" x14ac:dyDescent="0.2">
      <c r="A1500" s="1473"/>
      <c r="B1500" s="950">
        <v>300</v>
      </c>
      <c r="C1500" s="950">
        <v>0</v>
      </c>
      <c r="D1500" s="886" t="s">
        <v>11</v>
      </c>
    </row>
    <row r="1501" spans="1:4" s="948" customFormat="1" ht="11.25" customHeight="1" x14ac:dyDescent="0.2">
      <c r="A1501" s="1471" t="s">
        <v>3344</v>
      </c>
      <c r="B1501" s="947">
        <v>70</v>
      </c>
      <c r="C1501" s="947">
        <v>70</v>
      </c>
      <c r="D1501" s="880" t="s">
        <v>2741</v>
      </c>
    </row>
    <row r="1502" spans="1:4" s="948" customFormat="1" ht="11.25" customHeight="1" x14ac:dyDescent="0.2">
      <c r="A1502" s="1471"/>
      <c r="B1502" s="947">
        <v>70</v>
      </c>
      <c r="C1502" s="947">
        <v>70</v>
      </c>
      <c r="D1502" s="880" t="s">
        <v>11</v>
      </c>
    </row>
    <row r="1503" spans="1:4" s="948" customFormat="1" ht="11.25" customHeight="1" x14ac:dyDescent="0.2">
      <c r="A1503" s="1472" t="s">
        <v>3345</v>
      </c>
      <c r="B1503" s="949">
        <v>69</v>
      </c>
      <c r="C1503" s="949">
        <v>61.454000000000001</v>
      </c>
      <c r="D1503" s="882" t="s">
        <v>2741</v>
      </c>
    </row>
    <row r="1504" spans="1:4" s="948" customFormat="1" ht="11.25" customHeight="1" x14ac:dyDescent="0.2">
      <c r="A1504" s="1473"/>
      <c r="B1504" s="950">
        <v>69</v>
      </c>
      <c r="C1504" s="950">
        <v>61.454000000000001</v>
      </c>
      <c r="D1504" s="886" t="s">
        <v>11</v>
      </c>
    </row>
    <row r="1505" spans="1:4" s="948" customFormat="1" ht="11.25" customHeight="1" x14ac:dyDescent="0.2">
      <c r="A1505" s="1471" t="s">
        <v>971</v>
      </c>
      <c r="B1505" s="947">
        <v>120</v>
      </c>
      <c r="C1505" s="947">
        <v>120</v>
      </c>
      <c r="D1505" s="880" t="s">
        <v>970</v>
      </c>
    </row>
    <row r="1506" spans="1:4" s="948" customFormat="1" ht="11.25" customHeight="1" x14ac:dyDescent="0.2">
      <c r="A1506" s="1471"/>
      <c r="B1506" s="947">
        <v>120</v>
      </c>
      <c r="C1506" s="947">
        <v>120</v>
      </c>
      <c r="D1506" s="880" t="s">
        <v>11</v>
      </c>
    </row>
    <row r="1507" spans="1:4" s="948" customFormat="1" ht="11.25" customHeight="1" x14ac:dyDescent="0.2">
      <c r="A1507" s="1472" t="s">
        <v>3346</v>
      </c>
      <c r="B1507" s="949">
        <v>320</v>
      </c>
      <c r="C1507" s="949">
        <v>320</v>
      </c>
      <c r="D1507" s="882" t="s">
        <v>2743</v>
      </c>
    </row>
    <row r="1508" spans="1:4" s="948" customFormat="1" ht="11.25" customHeight="1" x14ac:dyDescent="0.2">
      <c r="A1508" s="1473"/>
      <c r="B1508" s="950">
        <v>320</v>
      </c>
      <c r="C1508" s="950">
        <v>320</v>
      </c>
      <c r="D1508" s="886" t="s">
        <v>11</v>
      </c>
    </row>
    <row r="1509" spans="1:4" s="948" customFormat="1" ht="11.25" customHeight="1" x14ac:dyDescent="0.2">
      <c r="A1509" s="1471" t="s">
        <v>3347</v>
      </c>
      <c r="B1509" s="947">
        <v>350</v>
      </c>
      <c r="C1509" s="947">
        <v>350</v>
      </c>
      <c r="D1509" s="880" t="s">
        <v>2743</v>
      </c>
    </row>
    <row r="1510" spans="1:4" s="948" customFormat="1" ht="11.25" customHeight="1" x14ac:dyDescent="0.2">
      <c r="A1510" s="1471"/>
      <c r="B1510" s="947">
        <v>350</v>
      </c>
      <c r="C1510" s="947">
        <v>350</v>
      </c>
      <c r="D1510" s="880" t="s">
        <v>11</v>
      </c>
    </row>
    <row r="1511" spans="1:4" s="948" customFormat="1" ht="11.25" customHeight="1" x14ac:dyDescent="0.2">
      <c r="A1511" s="1472" t="s">
        <v>3348</v>
      </c>
      <c r="B1511" s="949">
        <v>350</v>
      </c>
      <c r="C1511" s="949">
        <v>350</v>
      </c>
      <c r="D1511" s="882" t="s">
        <v>2743</v>
      </c>
    </row>
    <row r="1512" spans="1:4" s="948" customFormat="1" ht="11.25" customHeight="1" x14ac:dyDescent="0.2">
      <c r="A1512" s="1473"/>
      <c r="B1512" s="950">
        <v>350</v>
      </c>
      <c r="C1512" s="950">
        <v>350</v>
      </c>
      <c r="D1512" s="886" t="s">
        <v>11</v>
      </c>
    </row>
    <row r="1513" spans="1:4" s="948" customFormat="1" ht="11.25" customHeight="1" x14ac:dyDescent="0.2">
      <c r="A1513" s="1472" t="s">
        <v>3349</v>
      </c>
      <c r="B1513" s="949">
        <v>350</v>
      </c>
      <c r="C1513" s="949">
        <v>350</v>
      </c>
      <c r="D1513" s="882" t="s">
        <v>2743</v>
      </c>
    </row>
    <row r="1514" spans="1:4" s="948" customFormat="1" ht="11.25" customHeight="1" x14ac:dyDescent="0.2">
      <c r="A1514" s="1473"/>
      <c r="B1514" s="950">
        <v>350</v>
      </c>
      <c r="C1514" s="950">
        <v>350</v>
      </c>
      <c r="D1514" s="886" t="s">
        <v>11</v>
      </c>
    </row>
    <row r="1515" spans="1:4" s="948" customFormat="1" ht="11.25" customHeight="1" x14ac:dyDescent="0.2">
      <c r="A1515" s="1472" t="s">
        <v>3350</v>
      </c>
      <c r="B1515" s="949">
        <v>250</v>
      </c>
      <c r="C1515" s="949">
        <v>250</v>
      </c>
      <c r="D1515" s="882" t="s">
        <v>2743</v>
      </c>
    </row>
    <row r="1516" spans="1:4" s="948" customFormat="1" ht="11.25" customHeight="1" x14ac:dyDescent="0.2">
      <c r="A1516" s="1473"/>
      <c r="B1516" s="950">
        <v>250</v>
      </c>
      <c r="C1516" s="950">
        <v>250</v>
      </c>
      <c r="D1516" s="886" t="s">
        <v>11</v>
      </c>
    </row>
    <row r="1517" spans="1:4" s="948" customFormat="1" ht="11.25" customHeight="1" x14ac:dyDescent="0.2">
      <c r="A1517" s="1471" t="s">
        <v>3351</v>
      </c>
      <c r="B1517" s="947">
        <v>226.75</v>
      </c>
      <c r="C1517" s="947">
        <v>226.75</v>
      </c>
      <c r="D1517" s="880" t="s">
        <v>2743</v>
      </c>
    </row>
    <row r="1518" spans="1:4" s="948" customFormat="1" ht="11.25" customHeight="1" x14ac:dyDescent="0.2">
      <c r="A1518" s="1471"/>
      <c r="B1518" s="947">
        <v>226.75</v>
      </c>
      <c r="C1518" s="947">
        <v>226.75</v>
      </c>
      <c r="D1518" s="880" t="s">
        <v>11</v>
      </c>
    </row>
    <row r="1519" spans="1:4" s="948" customFormat="1" ht="21" x14ac:dyDescent="0.2">
      <c r="A1519" s="1472" t="s">
        <v>3352</v>
      </c>
      <c r="B1519" s="949">
        <v>240</v>
      </c>
      <c r="C1519" s="949">
        <v>240</v>
      </c>
      <c r="D1519" s="882" t="s">
        <v>2750</v>
      </c>
    </row>
    <row r="1520" spans="1:4" s="948" customFormat="1" ht="11.25" customHeight="1" x14ac:dyDescent="0.2">
      <c r="A1520" s="1473"/>
      <c r="B1520" s="950">
        <v>240</v>
      </c>
      <c r="C1520" s="950">
        <v>240</v>
      </c>
      <c r="D1520" s="886" t="s">
        <v>11</v>
      </c>
    </row>
    <row r="1521" spans="1:4" s="948" customFormat="1" ht="11.25" customHeight="1" x14ac:dyDescent="0.2">
      <c r="A1521" s="1471" t="s">
        <v>3353</v>
      </c>
      <c r="B1521" s="947">
        <v>1161</v>
      </c>
      <c r="C1521" s="947">
        <v>1161</v>
      </c>
      <c r="D1521" s="880" t="s">
        <v>2735</v>
      </c>
    </row>
    <row r="1522" spans="1:4" s="948" customFormat="1" ht="11.25" customHeight="1" x14ac:dyDescent="0.2">
      <c r="A1522" s="1471"/>
      <c r="B1522" s="947">
        <v>50</v>
      </c>
      <c r="C1522" s="947">
        <v>27.36</v>
      </c>
      <c r="D1522" s="880" t="s">
        <v>2582</v>
      </c>
    </row>
    <row r="1523" spans="1:4" s="948" customFormat="1" ht="11.25" customHeight="1" x14ac:dyDescent="0.2">
      <c r="A1523" s="1471"/>
      <c r="B1523" s="947">
        <v>1211</v>
      </c>
      <c r="C1523" s="947">
        <v>1188.3599999999999</v>
      </c>
      <c r="D1523" s="880" t="s">
        <v>11</v>
      </c>
    </row>
    <row r="1524" spans="1:4" s="948" customFormat="1" ht="21" x14ac:dyDescent="0.2">
      <c r="A1524" s="1472" t="s">
        <v>3354</v>
      </c>
      <c r="B1524" s="949">
        <v>79.8</v>
      </c>
      <c r="C1524" s="949">
        <v>79.8</v>
      </c>
      <c r="D1524" s="882" t="s">
        <v>2737</v>
      </c>
    </row>
    <row r="1525" spans="1:4" s="948" customFormat="1" ht="11.25" customHeight="1" x14ac:dyDescent="0.2">
      <c r="A1525" s="1473"/>
      <c r="B1525" s="950">
        <v>79.8</v>
      </c>
      <c r="C1525" s="950">
        <v>79.8</v>
      </c>
      <c r="D1525" s="886" t="s">
        <v>11</v>
      </c>
    </row>
    <row r="1526" spans="1:4" s="948" customFormat="1" ht="11.25" customHeight="1" x14ac:dyDescent="0.2">
      <c r="A1526" s="1471" t="s">
        <v>3355</v>
      </c>
      <c r="B1526" s="947">
        <v>30</v>
      </c>
      <c r="C1526" s="947">
        <v>30</v>
      </c>
      <c r="D1526" s="880" t="s">
        <v>1179</v>
      </c>
    </row>
    <row r="1527" spans="1:4" s="948" customFormat="1" ht="11.25" customHeight="1" x14ac:dyDescent="0.2">
      <c r="A1527" s="1471"/>
      <c r="B1527" s="947">
        <v>1493.24</v>
      </c>
      <c r="C1527" s="947">
        <v>1493.2349999999999</v>
      </c>
      <c r="D1527" s="880" t="s">
        <v>3356</v>
      </c>
    </row>
    <row r="1528" spans="1:4" s="948" customFormat="1" ht="11.25" customHeight="1" x14ac:dyDescent="0.2">
      <c r="A1528" s="1471"/>
      <c r="B1528" s="947">
        <v>1523.24</v>
      </c>
      <c r="C1528" s="947">
        <v>1523.2349999999999</v>
      </c>
      <c r="D1528" s="880" t="s">
        <v>11</v>
      </c>
    </row>
    <row r="1529" spans="1:4" s="948" customFormat="1" ht="11.25" customHeight="1" x14ac:dyDescent="0.2">
      <c r="A1529" s="1472" t="s">
        <v>1040</v>
      </c>
      <c r="B1529" s="949">
        <v>70</v>
      </c>
      <c r="C1529" s="949">
        <v>69.23</v>
      </c>
      <c r="D1529" s="882" t="s">
        <v>1030</v>
      </c>
    </row>
    <row r="1530" spans="1:4" s="948" customFormat="1" ht="11.25" customHeight="1" x14ac:dyDescent="0.2">
      <c r="A1530" s="1473"/>
      <c r="B1530" s="950">
        <v>70</v>
      </c>
      <c r="C1530" s="950">
        <v>69.23</v>
      </c>
      <c r="D1530" s="886" t="s">
        <v>11</v>
      </c>
    </row>
    <row r="1531" spans="1:4" s="948" customFormat="1" ht="11.25" customHeight="1" x14ac:dyDescent="0.2">
      <c r="A1531" s="1471" t="s">
        <v>3357</v>
      </c>
      <c r="B1531" s="947">
        <v>42.5</v>
      </c>
      <c r="C1531" s="947">
        <v>42.5</v>
      </c>
      <c r="D1531" s="880" t="s">
        <v>2956</v>
      </c>
    </row>
    <row r="1532" spans="1:4" s="948" customFormat="1" ht="11.25" customHeight="1" x14ac:dyDescent="0.2">
      <c r="A1532" s="1471"/>
      <c r="B1532" s="947">
        <v>42.5</v>
      </c>
      <c r="C1532" s="947">
        <v>42.5</v>
      </c>
      <c r="D1532" s="880" t="s">
        <v>11</v>
      </c>
    </row>
    <row r="1533" spans="1:4" s="948" customFormat="1" ht="11.25" customHeight="1" x14ac:dyDescent="0.2">
      <c r="A1533" s="1472" t="s">
        <v>946</v>
      </c>
      <c r="B1533" s="949">
        <v>20</v>
      </c>
      <c r="C1533" s="949">
        <v>20</v>
      </c>
      <c r="D1533" s="882" t="s">
        <v>3358</v>
      </c>
    </row>
    <row r="1534" spans="1:4" s="948" customFormat="1" ht="11.25" customHeight="1" x14ac:dyDescent="0.2">
      <c r="A1534" s="1473"/>
      <c r="B1534" s="950">
        <v>20</v>
      </c>
      <c r="C1534" s="950">
        <v>20</v>
      </c>
      <c r="D1534" s="886" t="s">
        <v>11</v>
      </c>
    </row>
    <row r="1535" spans="1:4" s="948" customFormat="1" ht="11.25" customHeight="1" x14ac:dyDescent="0.2">
      <c r="A1535" s="1471" t="s">
        <v>1069</v>
      </c>
      <c r="B1535" s="947">
        <v>80</v>
      </c>
      <c r="C1535" s="947">
        <v>80</v>
      </c>
      <c r="D1535" s="880" t="s">
        <v>1056</v>
      </c>
    </row>
    <row r="1536" spans="1:4" s="948" customFormat="1" ht="11.25" customHeight="1" x14ac:dyDescent="0.2">
      <c r="A1536" s="1471"/>
      <c r="B1536" s="947">
        <v>80</v>
      </c>
      <c r="C1536" s="947">
        <v>80</v>
      </c>
      <c r="D1536" s="880" t="s">
        <v>11</v>
      </c>
    </row>
    <row r="1537" spans="1:4" s="948" customFormat="1" ht="11.25" customHeight="1" x14ac:dyDescent="0.2">
      <c r="A1537" s="1472" t="s">
        <v>947</v>
      </c>
      <c r="B1537" s="949">
        <v>50</v>
      </c>
      <c r="C1537" s="949">
        <v>50</v>
      </c>
      <c r="D1537" s="882" t="s">
        <v>3359</v>
      </c>
    </row>
    <row r="1538" spans="1:4" s="948" customFormat="1" ht="11.25" customHeight="1" x14ac:dyDescent="0.2">
      <c r="A1538" s="1473"/>
      <c r="B1538" s="950">
        <v>50</v>
      </c>
      <c r="C1538" s="950">
        <v>50</v>
      </c>
      <c r="D1538" s="886" t="s">
        <v>11</v>
      </c>
    </row>
    <row r="1539" spans="1:4" s="948" customFormat="1" ht="11.25" customHeight="1" x14ac:dyDescent="0.2">
      <c r="A1539" s="1471" t="s">
        <v>1041</v>
      </c>
      <c r="B1539" s="947">
        <v>30</v>
      </c>
      <c r="C1539" s="947">
        <v>30</v>
      </c>
      <c r="D1539" s="880" t="s">
        <v>1030</v>
      </c>
    </row>
    <row r="1540" spans="1:4" s="948" customFormat="1" ht="11.25" customHeight="1" x14ac:dyDescent="0.2">
      <c r="A1540" s="1471"/>
      <c r="B1540" s="947">
        <v>30</v>
      </c>
      <c r="C1540" s="947">
        <v>30</v>
      </c>
      <c r="D1540" s="880" t="s">
        <v>11</v>
      </c>
    </row>
    <row r="1541" spans="1:4" s="948" customFormat="1" ht="11.25" customHeight="1" x14ac:dyDescent="0.2">
      <c r="A1541" s="1472" t="s">
        <v>1022</v>
      </c>
      <c r="B1541" s="949">
        <v>50</v>
      </c>
      <c r="C1541" s="949">
        <v>50</v>
      </c>
      <c r="D1541" s="882" t="s">
        <v>3360</v>
      </c>
    </row>
    <row r="1542" spans="1:4" s="948" customFormat="1" ht="11.25" customHeight="1" x14ac:dyDescent="0.2">
      <c r="A1542" s="1473"/>
      <c r="B1542" s="950">
        <v>50</v>
      </c>
      <c r="C1542" s="950">
        <v>50</v>
      </c>
      <c r="D1542" s="886" t="s">
        <v>11</v>
      </c>
    </row>
    <row r="1543" spans="1:4" s="948" customFormat="1" ht="11.25" customHeight="1" x14ac:dyDescent="0.2">
      <c r="A1543" s="1471" t="s">
        <v>948</v>
      </c>
      <c r="B1543" s="947">
        <v>50</v>
      </c>
      <c r="C1543" s="947">
        <v>50</v>
      </c>
      <c r="D1543" s="880" t="s">
        <v>3361</v>
      </c>
    </row>
    <row r="1544" spans="1:4" s="948" customFormat="1" ht="11.25" customHeight="1" x14ac:dyDescent="0.2">
      <c r="A1544" s="1471"/>
      <c r="B1544" s="947">
        <v>50</v>
      </c>
      <c r="C1544" s="947">
        <v>50</v>
      </c>
      <c r="D1544" s="880" t="s">
        <v>11</v>
      </c>
    </row>
    <row r="1545" spans="1:4" s="948" customFormat="1" ht="11.25" customHeight="1" x14ac:dyDescent="0.2">
      <c r="A1545" s="1472" t="s">
        <v>3362</v>
      </c>
      <c r="B1545" s="949">
        <v>80</v>
      </c>
      <c r="C1545" s="949">
        <v>80</v>
      </c>
      <c r="D1545" s="882" t="s">
        <v>2745</v>
      </c>
    </row>
    <row r="1546" spans="1:4" s="948" customFormat="1" ht="11.25" customHeight="1" x14ac:dyDescent="0.2">
      <c r="A1546" s="1473"/>
      <c r="B1546" s="950">
        <v>80</v>
      </c>
      <c r="C1546" s="950">
        <v>80</v>
      </c>
      <c r="D1546" s="886" t="s">
        <v>11</v>
      </c>
    </row>
    <row r="1547" spans="1:4" s="948" customFormat="1" ht="11.25" customHeight="1" x14ac:dyDescent="0.2">
      <c r="A1547" s="1471" t="s">
        <v>3363</v>
      </c>
      <c r="B1547" s="947">
        <v>99.8</v>
      </c>
      <c r="C1547" s="947">
        <v>99.793500000000009</v>
      </c>
      <c r="D1547" s="880" t="s">
        <v>2602</v>
      </c>
    </row>
    <row r="1548" spans="1:4" s="948" customFormat="1" ht="11.25" customHeight="1" x14ac:dyDescent="0.2">
      <c r="A1548" s="1471"/>
      <c r="B1548" s="947">
        <v>99.8</v>
      </c>
      <c r="C1548" s="947">
        <v>99.793500000000009</v>
      </c>
      <c r="D1548" s="880" t="s">
        <v>11</v>
      </c>
    </row>
    <row r="1549" spans="1:4" s="948" customFormat="1" ht="11.25" customHeight="1" x14ac:dyDescent="0.2">
      <c r="A1549" s="1472" t="s">
        <v>1011</v>
      </c>
      <c r="B1549" s="949">
        <v>15</v>
      </c>
      <c r="C1549" s="949">
        <v>15</v>
      </c>
      <c r="D1549" s="882" t="s">
        <v>1007</v>
      </c>
    </row>
    <row r="1550" spans="1:4" s="948" customFormat="1" ht="11.25" customHeight="1" x14ac:dyDescent="0.2">
      <c r="A1550" s="1473"/>
      <c r="B1550" s="950">
        <v>15</v>
      </c>
      <c r="C1550" s="950">
        <v>15</v>
      </c>
      <c r="D1550" s="886" t="s">
        <v>11</v>
      </c>
    </row>
    <row r="1551" spans="1:4" s="948" customFormat="1" ht="11.25" customHeight="1" x14ac:dyDescent="0.2">
      <c r="A1551" s="1471" t="s">
        <v>1023</v>
      </c>
      <c r="B1551" s="947">
        <v>10</v>
      </c>
      <c r="C1551" s="947">
        <v>10</v>
      </c>
      <c r="D1551" s="882" t="s">
        <v>3364</v>
      </c>
    </row>
    <row r="1552" spans="1:4" s="948" customFormat="1" ht="11.25" customHeight="1" x14ac:dyDescent="0.2">
      <c r="A1552" s="1471"/>
      <c r="B1552" s="947">
        <v>10</v>
      </c>
      <c r="C1552" s="947">
        <v>10</v>
      </c>
      <c r="D1552" s="880" t="s">
        <v>11</v>
      </c>
    </row>
    <row r="1553" spans="1:4" s="948" customFormat="1" ht="11.25" customHeight="1" x14ac:dyDescent="0.2">
      <c r="A1553" s="1472" t="s">
        <v>3365</v>
      </c>
      <c r="B1553" s="949">
        <v>179.86999999999998</v>
      </c>
      <c r="C1553" s="949">
        <v>179.86542</v>
      </c>
      <c r="D1553" s="882" t="s">
        <v>2618</v>
      </c>
    </row>
    <row r="1554" spans="1:4" s="948" customFormat="1" ht="11.25" customHeight="1" x14ac:dyDescent="0.2">
      <c r="A1554" s="1471"/>
      <c r="B1554" s="947">
        <v>645.85</v>
      </c>
      <c r="C1554" s="947">
        <v>645.83284000000003</v>
      </c>
      <c r="D1554" s="880" t="s">
        <v>2608</v>
      </c>
    </row>
    <row r="1555" spans="1:4" s="948" customFormat="1" ht="11.25" customHeight="1" x14ac:dyDescent="0.2">
      <c r="A1555" s="1473"/>
      <c r="B1555" s="950">
        <v>825.72</v>
      </c>
      <c r="C1555" s="950">
        <v>825.69826</v>
      </c>
      <c r="D1555" s="886" t="s">
        <v>11</v>
      </c>
    </row>
    <row r="1556" spans="1:4" s="948" customFormat="1" ht="21" x14ac:dyDescent="0.2">
      <c r="A1556" s="1472" t="s">
        <v>3366</v>
      </c>
      <c r="B1556" s="949">
        <v>40</v>
      </c>
      <c r="C1556" s="949">
        <v>40</v>
      </c>
      <c r="D1556" s="882" t="s">
        <v>2737</v>
      </c>
    </row>
    <row r="1557" spans="1:4" s="948" customFormat="1" ht="11.25" customHeight="1" x14ac:dyDescent="0.2">
      <c r="A1557" s="1473"/>
      <c r="B1557" s="950">
        <v>40</v>
      </c>
      <c r="C1557" s="950">
        <v>40</v>
      </c>
      <c r="D1557" s="886" t="s">
        <v>11</v>
      </c>
    </row>
    <row r="1558" spans="1:4" s="948" customFormat="1" ht="11.25" customHeight="1" x14ac:dyDescent="0.2">
      <c r="A1558" s="1472" t="s">
        <v>1043</v>
      </c>
      <c r="B1558" s="949">
        <v>49.7</v>
      </c>
      <c r="C1558" s="949">
        <v>49.7</v>
      </c>
      <c r="D1558" s="882" t="s">
        <v>2956</v>
      </c>
    </row>
    <row r="1559" spans="1:4" s="948" customFormat="1" ht="11.25" customHeight="1" x14ac:dyDescent="0.2">
      <c r="A1559" s="1471"/>
      <c r="B1559" s="947">
        <v>50</v>
      </c>
      <c r="C1559" s="947">
        <v>50</v>
      </c>
      <c r="D1559" s="880" t="s">
        <v>1030</v>
      </c>
    </row>
    <row r="1560" spans="1:4" s="948" customFormat="1" ht="11.25" customHeight="1" x14ac:dyDescent="0.2">
      <c r="A1560" s="1473"/>
      <c r="B1560" s="950">
        <v>99.7</v>
      </c>
      <c r="C1560" s="950">
        <v>99.7</v>
      </c>
      <c r="D1560" s="886" t="s">
        <v>11</v>
      </c>
    </row>
    <row r="1561" spans="1:4" s="948" customFormat="1" ht="11.25" customHeight="1" x14ac:dyDescent="0.2">
      <c r="A1561" s="1471" t="s">
        <v>998</v>
      </c>
      <c r="B1561" s="947">
        <v>200</v>
      </c>
      <c r="C1561" s="947">
        <v>0</v>
      </c>
      <c r="D1561" s="880" t="s">
        <v>978</v>
      </c>
    </row>
    <row r="1562" spans="1:4" s="948" customFormat="1" ht="11.25" customHeight="1" x14ac:dyDescent="0.2">
      <c r="A1562" s="1471"/>
      <c r="B1562" s="947">
        <v>150</v>
      </c>
      <c r="C1562" s="947">
        <v>150</v>
      </c>
      <c r="D1562" s="880" t="s">
        <v>1173</v>
      </c>
    </row>
    <row r="1563" spans="1:4" s="948" customFormat="1" ht="11.25" customHeight="1" x14ac:dyDescent="0.2">
      <c r="A1563" s="1471"/>
      <c r="B1563" s="947">
        <v>350</v>
      </c>
      <c r="C1563" s="947">
        <v>150</v>
      </c>
      <c r="D1563" s="880" t="s">
        <v>11</v>
      </c>
    </row>
    <row r="1564" spans="1:4" s="948" customFormat="1" ht="11.25" customHeight="1" x14ac:dyDescent="0.2">
      <c r="A1564" s="1472" t="s">
        <v>3367</v>
      </c>
      <c r="B1564" s="949">
        <v>70</v>
      </c>
      <c r="C1564" s="949">
        <v>70</v>
      </c>
      <c r="D1564" s="882" t="s">
        <v>2741</v>
      </c>
    </row>
    <row r="1565" spans="1:4" s="948" customFormat="1" ht="11.25" customHeight="1" x14ac:dyDescent="0.2">
      <c r="A1565" s="1473"/>
      <c r="B1565" s="950">
        <v>70</v>
      </c>
      <c r="C1565" s="950">
        <v>70</v>
      </c>
      <c r="D1565" s="886" t="s">
        <v>11</v>
      </c>
    </row>
    <row r="1566" spans="1:4" s="948" customFormat="1" ht="11.25" customHeight="1" x14ac:dyDescent="0.2">
      <c r="A1566" s="1471" t="s">
        <v>1228</v>
      </c>
      <c r="B1566" s="947">
        <v>200</v>
      </c>
      <c r="C1566" s="947">
        <v>189.71600000000001</v>
      </c>
      <c r="D1566" s="880" t="s">
        <v>719</v>
      </c>
    </row>
    <row r="1567" spans="1:4" s="948" customFormat="1" ht="11.25" customHeight="1" x14ac:dyDescent="0.2">
      <c r="A1567" s="1471"/>
      <c r="B1567" s="947">
        <v>4401.46</v>
      </c>
      <c r="C1567" s="947">
        <v>4041.8070500000003</v>
      </c>
      <c r="D1567" s="880" t="s">
        <v>1277</v>
      </c>
    </row>
    <row r="1568" spans="1:4" s="948" customFormat="1" ht="11.25" customHeight="1" x14ac:dyDescent="0.2">
      <c r="A1568" s="1471"/>
      <c r="B1568" s="947">
        <v>50</v>
      </c>
      <c r="C1568" s="947">
        <v>50</v>
      </c>
      <c r="D1568" s="880" t="s">
        <v>1030</v>
      </c>
    </row>
    <row r="1569" spans="1:4" s="948" customFormat="1" ht="11.25" customHeight="1" x14ac:dyDescent="0.2">
      <c r="A1569" s="1471"/>
      <c r="B1569" s="947">
        <v>90</v>
      </c>
      <c r="C1569" s="947">
        <v>85.038399999999996</v>
      </c>
      <c r="D1569" s="880" t="s">
        <v>1217</v>
      </c>
    </row>
    <row r="1570" spans="1:4" s="948" customFormat="1" ht="11.25" customHeight="1" x14ac:dyDescent="0.2">
      <c r="A1570" s="1471"/>
      <c r="B1570" s="947">
        <v>4741.46</v>
      </c>
      <c r="C1570" s="947">
        <v>4366.5614500000011</v>
      </c>
      <c r="D1570" s="880" t="s">
        <v>11</v>
      </c>
    </row>
    <row r="1571" spans="1:4" s="948" customFormat="1" ht="11.25" customHeight="1" x14ac:dyDescent="0.2">
      <c r="A1571" s="1472" t="s">
        <v>3368</v>
      </c>
      <c r="B1571" s="949">
        <v>40</v>
      </c>
      <c r="C1571" s="949">
        <v>40</v>
      </c>
      <c r="D1571" s="882" t="s">
        <v>2741</v>
      </c>
    </row>
    <row r="1572" spans="1:4" s="948" customFormat="1" ht="11.25" customHeight="1" x14ac:dyDescent="0.2">
      <c r="A1572" s="1473"/>
      <c r="B1572" s="950">
        <v>40</v>
      </c>
      <c r="C1572" s="950">
        <v>40</v>
      </c>
      <c r="D1572" s="886" t="s">
        <v>11</v>
      </c>
    </row>
    <row r="1573" spans="1:4" s="948" customFormat="1" ht="11.25" customHeight="1" x14ac:dyDescent="0.2">
      <c r="A1573" s="1471" t="s">
        <v>1044</v>
      </c>
      <c r="B1573" s="947">
        <v>200</v>
      </c>
      <c r="C1573" s="947">
        <v>200</v>
      </c>
      <c r="D1573" s="880" t="s">
        <v>1030</v>
      </c>
    </row>
    <row r="1574" spans="1:4" s="948" customFormat="1" ht="11.25" customHeight="1" x14ac:dyDescent="0.2">
      <c r="A1574" s="1471"/>
      <c r="B1574" s="947">
        <v>200</v>
      </c>
      <c r="C1574" s="947">
        <v>200</v>
      </c>
      <c r="D1574" s="880" t="s">
        <v>11</v>
      </c>
    </row>
    <row r="1575" spans="1:4" s="948" customFormat="1" ht="11.25" customHeight="1" x14ac:dyDescent="0.2">
      <c r="A1575" s="1472" t="s">
        <v>3369</v>
      </c>
      <c r="B1575" s="949">
        <v>811</v>
      </c>
      <c r="C1575" s="949">
        <v>791.87363000000005</v>
      </c>
      <c r="D1575" s="882" t="s">
        <v>2735</v>
      </c>
    </row>
    <row r="1576" spans="1:4" s="948" customFormat="1" ht="11.25" customHeight="1" x14ac:dyDescent="0.2">
      <c r="A1576" s="1473"/>
      <c r="B1576" s="950">
        <v>811</v>
      </c>
      <c r="C1576" s="950">
        <v>791.87363000000005</v>
      </c>
      <c r="D1576" s="886" t="s">
        <v>11</v>
      </c>
    </row>
    <row r="1577" spans="1:4" s="948" customFormat="1" ht="11.25" customHeight="1" x14ac:dyDescent="0.2">
      <c r="A1577" s="1471" t="s">
        <v>1149</v>
      </c>
      <c r="B1577" s="947">
        <v>320</v>
      </c>
      <c r="C1577" s="947">
        <v>320</v>
      </c>
      <c r="D1577" s="880" t="s">
        <v>2745</v>
      </c>
    </row>
    <row r="1578" spans="1:4" s="948" customFormat="1" ht="11.25" customHeight="1" x14ac:dyDescent="0.2">
      <c r="A1578" s="1471"/>
      <c r="B1578" s="947">
        <v>5000</v>
      </c>
      <c r="C1578" s="947">
        <v>5000</v>
      </c>
      <c r="D1578" s="880" t="s">
        <v>1111</v>
      </c>
    </row>
    <row r="1579" spans="1:4" s="948" customFormat="1" ht="11.25" customHeight="1" x14ac:dyDescent="0.2">
      <c r="A1579" s="1471"/>
      <c r="B1579" s="947">
        <v>5320</v>
      </c>
      <c r="C1579" s="947">
        <v>5320</v>
      </c>
      <c r="D1579" s="880" t="s">
        <v>11</v>
      </c>
    </row>
    <row r="1580" spans="1:4" s="948" customFormat="1" ht="11.25" customHeight="1" x14ac:dyDescent="0.2">
      <c r="A1580" s="1472" t="s">
        <v>3370</v>
      </c>
      <c r="B1580" s="949">
        <v>53.9</v>
      </c>
      <c r="C1580" s="949">
        <v>53.9</v>
      </c>
      <c r="D1580" s="882" t="s">
        <v>2745</v>
      </c>
    </row>
    <row r="1581" spans="1:4" s="948" customFormat="1" ht="11.25" customHeight="1" x14ac:dyDescent="0.2">
      <c r="A1581" s="1473"/>
      <c r="B1581" s="950">
        <v>53.9</v>
      </c>
      <c r="C1581" s="950">
        <v>53.9</v>
      </c>
      <c r="D1581" s="886" t="s">
        <v>11</v>
      </c>
    </row>
    <row r="1582" spans="1:4" s="948" customFormat="1" ht="11.25" customHeight="1" x14ac:dyDescent="0.2">
      <c r="A1582" s="1471" t="s">
        <v>1089</v>
      </c>
      <c r="B1582" s="947">
        <v>100</v>
      </c>
      <c r="C1582" s="947">
        <v>0</v>
      </c>
      <c r="D1582" s="880" t="s">
        <v>3371</v>
      </c>
    </row>
    <row r="1583" spans="1:4" s="948" customFormat="1" ht="11.25" customHeight="1" x14ac:dyDescent="0.2">
      <c r="A1583" s="1471"/>
      <c r="B1583" s="947">
        <v>100</v>
      </c>
      <c r="C1583" s="947">
        <v>0</v>
      </c>
      <c r="D1583" s="880" t="s">
        <v>11</v>
      </c>
    </row>
    <row r="1584" spans="1:4" s="948" customFormat="1" ht="11.25" customHeight="1" x14ac:dyDescent="0.2">
      <c r="A1584" s="1472" t="s">
        <v>3372</v>
      </c>
      <c r="B1584" s="949">
        <v>975</v>
      </c>
      <c r="C1584" s="949">
        <v>975</v>
      </c>
      <c r="D1584" s="882" t="s">
        <v>2735</v>
      </c>
    </row>
    <row r="1585" spans="1:4" s="948" customFormat="1" ht="11.25" customHeight="1" x14ac:dyDescent="0.2">
      <c r="A1585" s="1473"/>
      <c r="B1585" s="950">
        <v>975</v>
      </c>
      <c r="C1585" s="950">
        <v>975</v>
      </c>
      <c r="D1585" s="886" t="s">
        <v>11</v>
      </c>
    </row>
    <row r="1586" spans="1:4" s="948" customFormat="1" ht="11.25" customHeight="1" x14ac:dyDescent="0.2">
      <c r="A1586" s="1471" t="s">
        <v>1070</v>
      </c>
      <c r="B1586" s="947">
        <v>30</v>
      </c>
      <c r="C1586" s="947">
        <v>30</v>
      </c>
      <c r="D1586" s="880" t="s">
        <v>1056</v>
      </c>
    </row>
    <row r="1587" spans="1:4" s="948" customFormat="1" ht="11.25" customHeight="1" x14ac:dyDescent="0.2">
      <c r="A1587" s="1471"/>
      <c r="B1587" s="947">
        <v>30</v>
      </c>
      <c r="C1587" s="947">
        <v>30</v>
      </c>
      <c r="D1587" s="880" t="s">
        <v>11</v>
      </c>
    </row>
    <row r="1588" spans="1:4" s="948" customFormat="1" ht="11.25" customHeight="1" x14ac:dyDescent="0.2">
      <c r="A1588" s="1472" t="s">
        <v>1071</v>
      </c>
      <c r="B1588" s="949">
        <v>300</v>
      </c>
      <c r="C1588" s="949">
        <v>150</v>
      </c>
      <c r="D1588" s="882" t="s">
        <v>1056</v>
      </c>
    </row>
    <row r="1589" spans="1:4" s="948" customFormat="1" ht="11.25" customHeight="1" x14ac:dyDescent="0.2">
      <c r="A1589" s="1473"/>
      <c r="B1589" s="950">
        <v>300</v>
      </c>
      <c r="C1589" s="950">
        <v>150</v>
      </c>
      <c r="D1589" s="886" t="s">
        <v>11</v>
      </c>
    </row>
    <row r="1590" spans="1:4" s="948" customFormat="1" ht="11.25" customHeight="1" x14ac:dyDescent="0.2">
      <c r="A1590" s="1471" t="s">
        <v>1150</v>
      </c>
      <c r="B1590" s="947">
        <v>100</v>
      </c>
      <c r="C1590" s="947">
        <v>100</v>
      </c>
      <c r="D1590" s="880" t="s">
        <v>2745</v>
      </c>
    </row>
    <row r="1591" spans="1:4" s="948" customFormat="1" ht="11.25" customHeight="1" x14ac:dyDescent="0.2">
      <c r="A1591" s="1471"/>
      <c r="B1591" s="947">
        <v>10</v>
      </c>
      <c r="C1591" s="947">
        <v>10</v>
      </c>
      <c r="D1591" s="880" t="s">
        <v>1111</v>
      </c>
    </row>
    <row r="1592" spans="1:4" s="948" customFormat="1" ht="11.25" customHeight="1" x14ac:dyDescent="0.2">
      <c r="A1592" s="1471"/>
      <c r="B1592" s="947">
        <v>110</v>
      </c>
      <c r="C1592" s="947">
        <v>110</v>
      </c>
      <c r="D1592" s="880" t="s">
        <v>11</v>
      </c>
    </row>
    <row r="1593" spans="1:4" s="948" customFormat="1" ht="11.25" customHeight="1" x14ac:dyDescent="0.2">
      <c r="A1593" s="1472" t="s">
        <v>3373</v>
      </c>
      <c r="B1593" s="949">
        <v>136.5</v>
      </c>
      <c r="C1593" s="949">
        <v>136.5</v>
      </c>
      <c r="D1593" s="882" t="s">
        <v>2862</v>
      </c>
    </row>
    <row r="1594" spans="1:4" s="948" customFormat="1" ht="11.25" customHeight="1" x14ac:dyDescent="0.2">
      <c r="A1594" s="1471"/>
      <c r="B1594" s="947">
        <v>199.5</v>
      </c>
      <c r="C1594" s="947">
        <v>0</v>
      </c>
      <c r="D1594" s="880" t="s">
        <v>2842</v>
      </c>
    </row>
    <row r="1595" spans="1:4" s="948" customFormat="1" ht="11.25" customHeight="1" x14ac:dyDescent="0.2">
      <c r="A1595" s="1473"/>
      <c r="B1595" s="950">
        <v>336</v>
      </c>
      <c r="C1595" s="950">
        <v>136.5</v>
      </c>
      <c r="D1595" s="886" t="s">
        <v>11</v>
      </c>
    </row>
    <row r="1596" spans="1:4" s="948" customFormat="1" ht="11.25" customHeight="1" x14ac:dyDescent="0.2">
      <c r="A1596" s="1471" t="s">
        <v>732</v>
      </c>
      <c r="B1596" s="947">
        <v>1500</v>
      </c>
      <c r="C1596" s="947">
        <v>1500</v>
      </c>
      <c r="D1596" s="880" t="s">
        <v>731</v>
      </c>
    </row>
    <row r="1597" spans="1:4" s="948" customFormat="1" ht="11.25" customHeight="1" x14ac:dyDescent="0.2">
      <c r="A1597" s="1471"/>
      <c r="B1597" s="947">
        <v>1500</v>
      </c>
      <c r="C1597" s="947">
        <v>1500</v>
      </c>
      <c r="D1597" s="880" t="s">
        <v>11</v>
      </c>
    </row>
    <row r="1598" spans="1:4" s="948" customFormat="1" ht="11.25" customHeight="1" x14ac:dyDescent="0.2">
      <c r="A1598" s="1472" t="s">
        <v>3374</v>
      </c>
      <c r="B1598" s="949">
        <v>300</v>
      </c>
      <c r="C1598" s="949">
        <v>150</v>
      </c>
      <c r="D1598" s="882" t="s">
        <v>2862</v>
      </c>
    </row>
    <row r="1599" spans="1:4" s="948" customFormat="1" ht="11.25" customHeight="1" x14ac:dyDescent="0.2">
      <c r="A1599" s="1473"/>
      <c r="B1599" s="950">
        <v>300</v>
      </c>
      <c r="C1599" s="950">
        <v>150</v>
      </c>
      <c r="D1599" s="886" t="s">
        <v>11</v>
      </c>
    </row>
    <row r="1600" spans="1:4" s="948" customFormat="1" ht="21" x14ac:dyDescent="0.2">
      <c r="A1600" s="1471" t="s">
        <v>3375</v>
      </c>
      <c r="B1600" s="947">
        <v>50</v>
      </c>
      <c r="C1600" s="947">
        <v>50</v>
      </c>
      <c r="D1600" s="880" t="s">
        <v>2737</v>
      </c>
    </row>
    <row r="1601" spans="1:4" s="948" customFormat="1" ht="11.25" customHeight="1" x14ac:dyDescent="0.2">
      <c r="A1601" s="1471"/>
      <c r="B1601" s="947">
        <v>50</v>
      </c>
      <c r="C1601" s="947">
        <v>50</v>
      </c>
      <c r="D1601" s="880" t="s">
        <v>11</v>
      </c>
    </row>
    <row r="1602" spans="1:4" s="948" customFormat="1" ht="11.25" customHeight="1" x14ac:dyDescent="0.2">
      <c r="A1602" s="1472" t="s">
        <v>3376</v>
      </c>
      <c r="B1602" s="949">
        <v>370</v>
      </c>
      <c r="C1602" s="949">
        <v>370</v>
      </c>
      <c r="D1602" s="882" t="s">
        <v>2745</v>
      </c>
    </row>
    <row r="1603" spans="1:4" s="948" customFormat="1" ht="11.25" customHeight="1" x14ac:dyDescent="0.2">
      <c r="A1603" s="1473"/>
      <c r="B1603" s="950">
        <v>370</v>
      </c>
      <c r="C1603" s="950">
        <v>370</v>
      </c>
      <c r="D1603" s="886" t="s">
        <v>11</v>
      </c>
    </row>
    <row r="1604" spans="1:4" s="948" customFormat="1" ht="11.25" customHeight="1" x14ac:dyDescent="0.2">
      <c r="A1604" s="1471" t="s">
        <v>3377</v>
      </c>
      <c r="B1604" s="947">
        <v>145.44999999999999</v>
      </c>
      <c r="C1604" s="947">
        <v>145.44999999999999</v>
      </c>
      <c r="D1604" s="880" t="s">
        <v>2770</v>
      </c>
    </row>
    <row r="1605" spans="1:4" s="948" customFormat="1" ht="11.25" customHeight="1" x14ac:dyDescent="0.2">
      <c r="A1605" s="1471"/>
      <c r="B1605" s="947">
        <v>145.44999999999999</v>
      </c>
      <c r="C1605" s="947">
        <v>145.44999999999999</v>
      </c>
      <c r="D1605" s="880" t="s">
        <v>11</v>
      </c>
    </row>
    <row r="1606" spans="1:4" s="948" customFormat="1" ht="11.25" customHeight="1" x14ac:dyDescent="0.2">
      <c r="A1606" s="1472" t="s">
        <v>1080</v>
      </c>
      <c r="B1606" s="949">
        <v>57.5</v>
      </c>
      <c r="C1606" s="949">
        <v>57.5</v>
      </c>
      <c r="D1606" s="882" t="s">
        <v>2770</v>
      </c>
    </row>
    <row r="1607" spans="1:4" s="948" customFormat="1" ht="11.25" customHeight="1" x14ac:dyDescent="0.2">
      <c r="A1607" s="1471"/>
      <c r="B1607" s="947">
        <v>10</v>
      </c>
      <c r="C1607" s="947">
        <v>10</v>
      </c>
      <c r="D1607" s="880" t="s">
        <v>1077</v>
      </c>
    </row>
    <row r="1608" spans="1:4" s="948" customFormat="1" ht="11.25" customHeight="1" x14ac:dyDescent="0.2">
      <c r="A1608" s="1473"/>
      <c r="B1608" s="950">
        <v>67.5</v>
      </c>
      <c r="C1608" s="950">
        <v>67.5</v>
      </c>
      <c r="D1608" s="886" t="s">
        <v>11</v>
      </c>
    </row>
    <row r="1609" spans="1:4" s="948" customFormat="1" ht="11.25" customHeight="1" x14ac:dyDescent="0.2">
      <c r="A1609" s="1471" t="s">
        <v>1081</v>
      </c>
      <c r="B1609" s="947">
        <v>162.5</v>
      </c>
      <c r="C1609" s="947">
        <v>162.5</v>
      </c>
      <c r="D1609" s="880" t="s">
        <v>2745</v>
      </c>
    </row>
    <row r="1610" spans="1:4" s="948" customFormat="1" ht="11.25" customHeight="1" x14ac:dyDescent="0.2">
      <c r="A1610" s="1471"/>
      <c r="B1610" s="947">
        <v>10</v>
      </c>
      <c r="C1610" s="947">
        <v>10</v>
      </c>
      <c r="D1610" s="880" t="s">
        <v>1077</v>
      </c>
    </row>
    <row r="1611" spans="1:4" s="948" customFormat="1" ht="11.25" customHeight="1" x14ac:dyDescent="0.2">
      <c r="A1611" s="1471"/>
      <c r="B1611" s="947">
        <v>172.5</v>
      </c>
      <c r="C1611" s="947">
        <v>172.5</v>
      </c>
      <c r="D1611" s="880" t="s">
        <v>11</v>
      </c>
    </row>
    <row r="1612" spans="1:4" s="948" customFormat="1" ht="11.25" customHeight="1" x14ac:dyDescent="0.2">
      <c r="A1612" s="1472" t="s">
        <v>3378</v>
      </c>
      <c r="B1612" s="949">
        <v>320</v>
      </c>
      <c r="C1612" s="949">
        <v>320</v>
      </c>
      <c r="D1612" s="882" t="s">
        <v>2745</v>
      </c>
    </row>
    <row r="1613" spans="1:4" s="948" customFormat="1" ht="11.25" customHeight="1" x14ac:dyDescent="0.2">
      <c r="A1613" s="1473"/>
      <c r="B1613" s="950">
        <v>320</v>
      </c>
      <c r="C1613" s="950">
        <v>320</v>
      </c>
      <c r="D1613" s="886" t="s">
        <v>11</v>
      </c>
    </row>
    <row r="1614" spans="1:4" s="948" customFormat="1" ht="11.25" customHeight="1" x14ac:dyDescent="0.2">
      <c r="A1614" s="1471" t="s">
        <v>3379</v>
      </c>
      <c r="B1614" s="947">
        <v>142.4</v>
      </c>
      <c r="C1614" s="947">
        <v>0</v>
      </c>
      <c r="D1614" s="880" t="s">
        <v>2862</v>
      </c>
    </row>
    <row r="1615" spans="1:4" s="948" customFormat="1" ht="11.25" customHeight="1" x14ac:dyDescent="0.2">
      <c r="A1615" s="1471"/>
      <c r="B1615" s="947">
        <v>142.4</v>
      </c>
      <c r="C1615" s="947">
        <v>0</v>
      </c>
      <c r="D1615" s="880" t="s">
        <v>11</v>
      </c>
    </row>
    <row r="1616" spans="1:4" s="948" customFormat="1" ht="11.25" customHeight="1" x14ac:dyDescent="0.2">
      <c r="A1616" s="1472" t="s">
        <v>1048</v>
      </c>
      <c r="B1616" s="949">
        <v>72</v>
      </c>
      <c r="C1616" s="949">
        <v>72</v>
      </c>
      <c r="D1616" s="882" t="s">
        <v>2899</v>
      </c>
    </row>
    <row r="1617" spans="1:4" s="948" customFormat="1" ht="21" x14ac:dyDescent="0.2">
      <c r="A1617" s="1471"/>
      <c r="B1617" s="947">
        <v>160</v>
      </c>
      <c r="C1617" s="947">
        <v>160</v>
      </c>
      <c r="D1617" s="880" t="s">
        <v>3003</v>
      </c>
    </row>
    <row r="1618" spans="1:4" s="948" customFormat="1" ht="11.25" customHeight="1" x14ac:dyDescent="0.2">
      <c r="A1618" s="1471"/>
      <c r="B1618" s="947">
        <v>46</v>
      </c>
      <c r="C1618" s="947">
        <v>46</v>
      </c>
      <c r="D1618" s="880" t="s">
        <v>2956</v>
      </c>
    </row>
    <row r="1619" spans="1:4" s="948" customFormat="1" ht="11.25" customHeight="1" x14ac:dyDescent="0.2">
      <c r="A1619" s="1471"/>
      <c r="B1619" s="947">
        <v>121135</v>
      </c>
      <c r="C1619" s="947">
        <v>119920.57</v>
      </c>
      <c r="D1619" s="880" t="s">
        <v>2735</v>
      </c>
    </row>
    <row r="1620" spans="1:4" s="948" customFormat="1" ht="11.25" customHeight="1" x14ac:dyDescent="0.2">
      <c r="A1620" s="1471"/>
      <c r="B1620" s="947">
        <v>60</v>
      </c>
      <c r="C1620" s="947">
        <v>60</v>
      </c>
      <c r="D1620" s="880" t="s">
        <v>2893</v>
      </c>
    </row>
    <row r="1621" spans="1:4" s="948" customFormat="1" ht="11.25" customHeight="1" x14ac:dyDescent="0.2">
      <c r="A1621" s="1471"/>
      <c r="B1621" s="947">
        <v>467</v>
      </c>
      <c r="C1621" s="947">
        <v>458</v>
      </c>
      <c r="D1621" s="880" t="s">
        <v>2886</v>
      </c>
    </row>
    <row r="1622" spans="1:4" s="948" customFormat="1" ht="21" x14ac:dyDescent="0.2">
      <c r="A1622" s="1471"/>
      <c r="B1622" s="947">
        <v>471</v>
      </c>
      <c r="C1622" s="947">
        <v>471</v>
      </c>
      <c r="D1622" s="880" t="s">
        <v>2867</v>
      </c>
    </row>
    <row r="1623" spans="1:4" s="948" customFormat="1" ht="21" x14ac:dyDescent="0.2">
      <c r="A1623" s="1471"/>
      <c r="B1623" s="947">
        <v>688</v>
      </c>
      <c r="C1623" s="947">
        <v>683.65099999999995</v>
      </c>
      <c r="D1623" s="880" t="s">
        <v>2750</v>
      </c>
    </row>
    <row r="1624" spans="1:4" s="948" customFormat="1" ht="11.25" customHeight="1" x14ac:dyDescent="0.2">
      <c r="A1624" s="1471"/>
      <c r="B1624" s="947">
        <v>15262.41</v>
      </c>
      <c r="C1624" s="947">
        <v>13879.151999999998</v>
      </c>
      <c r="D1624" s="880" t="s">
        <v>2739</v>
      </c>
    </row>
    <row r="1625" spans="1:4" s="948" customFormat="1" ht="11.25" customHeight="1" x14ac:dyDescent="0.2">
      <c r="A1625" s="1471"/>
      <c r="B1625" s="947">
        <v>1500</v>
      </c>
      <c r="C1625" s="947">
        <v>1500</v>
      </c>
      <c r="D1625" s="880" t="s">
        <v>3380</v>
      </c>
    </row>
    <row r="1626" spans="1:4" s="948" customFormat="1" ht="11.25" customHeight="1" x14ac:dyDescent="0.2">
      <c r="A1626" s="1471"/>
      <c r="B1626" s="947">
        <v>3650</v>
      </c>
      <c r="C1626" s="947">
        <v>3650</v>
      </c>
      <c r="D1626" s="880" t="s">
        <v>475</v>
      </c>
    </row>
    <row r="1627" spans="1:4" s="948" customFormat="1" ht="11.25" customHeight="1" x14ac:dyDescent="0.2">
      <c r="A1627" s="1471"/>
      <c r="B1627" s="947">
        <v>750</v>
      </c>
      <c r="C1627" s="947">
        <v>642.96</v>
      </c>
      <c r="D1627" s="880" t="s">
        <v>2582</v>
      </c>
    </row>
    <row r="1628" spans="1:4" s="948" customFormat="1" ht="11.25" customHeight="1" x14ac:dyDescent="0.2">
      <c r="A1628" s="1473"/>
      <c r="B1628" s="950">
        <v>144261.41</v>
      </c>
      <c r="C1628" s="950">
        <v>141543.33300000001</v>
      </c>
      <c r="D1628" s="886" t="s">
        <v>11</v>
      </c>
    </row>
    <row r="1629" spans="1:4" s="948" customFormat="1" ht="11.25" customHeight="1" x14ac:dyDescent="0.2">
      <c r="A1629" s="1471" t="s">
        <v>3381</v>
      </c>
      <c r="B1629" s="947">
        <v>13185</v>
      </c>
      <c r="C1629" s="947">
        <v>13185</v>
      </c>
      <c r="D1629" s="880" t="s">
        <v>2735</v>
      </c>
    </row>
    <row r="1630" spans="1:4" s="948" customFormat="1" ht="11.25" customHeight="1" x14ac:dyDescent="0.2">
      <c r="A1630" s="1471"/>
      <c r="B1630" s="947">
        <v>13185</v>
      </c>
      <c r="C1630" s="947">
        <v>13185</v>
      </c>
      <c r="D1630" s="880" t="s">
        <v>11</v>
      </c>
    </row>
    <row r="1631" spans="1:4" s="948" customFormat="1" ht="11.25" customHeight="1" x14ac:dyDescent="0.2">
      <c r="A1631" s="1472" t="s">
        <v>3382</v>
      </c>
      <c r="B1631" s="949">
        <v>2399.13</v>
      </c>
      <c r="C1631" s="949">
        <v>1565.1637900000001</v>
      </c>
      <c r="D1631" s="882" t="s">
        <v>2842</v>
      </c>
    </row>
    <row r="1632" spans="1:4" s="948" customFormat="1" ht="11.25" customHeight="1" x14ac:dyDescent="0.2">
      <c r="A1632" s="1471"/>
      <c r="B1632" s="947">
        <v>231.62</v>
      </c>
      <c r="C1632" s="947">
        <v>231.60660999999999</v>
      </c>
      <c r="D1632" s="880" t="s">
        <v>2602</v>
      </c>
    </row>
    <row r="1633" spans="1:4" s="948" customFormat="1" ht="11.25" customHeight="1" x14ac:dyDescent="0.2">
      <c r="A1633" s="1473"/>
      <c r="B1633" s="950">
        <v>2630.75</v>
      </c>
      <c r="C1633" s="950">
        <v>1796.7704000000001</v>
      </c>
      <c r="D1633" s="886" t="s">
        <v>11</v>
      </c>
    </row>
    <row r="1634" spans="1:4" s="948" customFormat="1" ht="11.25" customHeight="1" x14ac:dyDescent="0.2">
      <c r="A1634" s="1471" t="s">
        <v>1090</v>
      </c>
      <c r="B1634" s="947">
        <v>321.71999999999997</v>
      </c>
      <c r="C1634" s="947">
        <v>319.95699999999999</v>
      </c>
      <c r="D1634" s="880" t="s">
        <v>2749</v>
      </c>
    </row>
    <row r="1635" spans="1:4" s="948" customFormat="1" ht="11.25" customHeight="1" x14ac:dyDescent="0.2">
      <c r="A1635" s="1471"/>
      <c r="B1635" s="947">
        <v>659</v>
      </c>
      <c r="C1635" s="947">
        <v>659</v>
      </c>
      <c r="D1635" s="880" t="s">
        <v>3383</v>
      </c>
    </row>
    <row r="1636" spans="1:4" s="948" customFormat="1" ht="11.25" customHeight="1" x14ac:dyDescent="0.2">
      <c r="A1636" s="1471"/>
      <c r="B1636" s="947">
        <v>980.72</v>
      </c>
      <c r="C1636" s="947">
        <v>978.95699999999999</v>
      </c>
      <c r="D1636" s="880" t="s">
        <v>11</v>
      </c>
    </row>
    <row r="1637" spans="1:4" s="948" customFormat="1" ht="11.25" customHeight="1" x14ac:dyDescent="0.2">
      <c r="A1637" s="1472" t="s">
        <v>3384</v>
      </c>
      <c r="B1637" s="949">
        <v>27</v>
      </c>
      <c r="C1637" s="949">
        <v>27</v>
      </c>
      <c r="D1637" s="882" t="s">
        <v>2893</v>
      </c>
    </row>
    <row r="1638" spans="1:4" s="948" customFormat="1" ht="11.25" customHeight="1" x14ac:dyDescent="0.2">
      <c r="A1638" s="1473"/>
      <c r="B1638" s="950">
        <v>27</v>
      </c>
      <c r="C1638" s="950">
        <v>27</v>
      </c>
      <c r="D1638" s="886" t="s">
        <v>11</v>
      </c>
    </row>
    <row r="1639" spans="1:4" s="948" customFormat="1" ht="11.25" customHeight="1" x14ac:dyDescent="0.2">
      <c r="A1639" s="1471" t="s">
        <v>3385</v>
      </c>
      <c r="B1639" s="947">
        <v>100</v>
      </c>
      <c r="C1639" s="947">
        <v>100</v>
      </c>
      <c r="D1639" s="880" t="s">
        <v>2738</v>
      </c>
    </row>
    <row r="1640" spans="1:4" s="948" customFormat="1" ht="11.25" customHeight="1" x14ac:dyDescent="0.2">
      <c r="A1640" s="1471"/>
      <c r="B1640" s="947">
        <v>100</v>
      </c>
      <c r="C1640" s="947">
        <v>100</v>
      </c>
      <c r="D1640" s="880" t="s">
        <v>11</v>
      </c>
    </row>
    <row r="1641" spans="1:4" s="948" customFormat="1" ht="11.25" customHeight="1" x14ac:dyDescent="0.2">
      <c r="A1641" s="1472" t="s">
        <v>3386</v>
      </c>
      <c r="B1641" s="949">
        <v>70</v>
      </c>
      <c r="C1641" s="949">
        <v>70</v>
      </c>
      <c r="D1641" s="882" t="s">
        <v>2893</v>
      </c>
    </row>
    <row r="1642" spans="1:4" s="948" customFormat="1" ht="11.25" customHeight="1" x14ac:dyDescent="0.2">
      <c r="A1642" s="1473"/>
      <c r="B1642" s="950">
        <v>70</v>
      </c>
      <c r="C1642" s="950">
        <v>70</v>
      </c>
      <c r="D1642" s="886" t="s">
        <v>11</v>
      </c>
    </row>
    <row r="1643" spans="1:4" s="948" customFormat="1" ht="11.25" customHeight="1" x14ac:dyDescent="0.2">
      <c r="A1643" s="1471" t="s">
        <v>3387</v>
      </c>
      <c r="B1643" s="947">
        <v>939</v>
      </c>
      <c r="C1643" s="947">
        <v>939</v>
      </c>
      <c r="D1643" s="880" t="s">
        <v>2735</v>
      </c>
    </row>
    <row r="1644" spans="1:4" s="948" customFormat="1" ht="11.25" customHeight="1" x14ac:dyDescent="0.2">
      <c r="A1644" s="1471"/>
      <c r="B1644" s="947">
        <v>939</v>
      </c>
      <c r="C1644" s="947">
        <v>939</v>
      </c>
      <c r="D1644" s="880" t="s">
        <v>11</v>
      </c>
    </row>
    <row r="1645" spans="1:4" s="948" customFormat="1" ht="11.25" customHeight="1" x14ac:dyDescent="0.2">
      <c r="A1645" s="1472" t="s">
        <v>4799</v>
      </c>
      <c r="B1645" s="949">
        <v>23</v>
      </c>
      <c r="C1645" s="949">
        <v>23</v>
      </c>
      <c r="D1645" s="882" t="s">
        <v>1111</v>
      </c>
    </row>
    <row r="1646" spans="1:4" s="948" customFormat="1" ht="11.25" customHeight="1" x14ac:dyDescent="0.2">
      <c r="A1646" s="1473"/>
      <c r="B1646" s="950">
        <v>23</v>
      </c>
      <c r="C1646" s="950">
        <v>23</v>
      </c>
      <c r="D1646" s="886" t="s">
        <v>11</v>
      </c>
    </row>
    <row r="1647" spans="1:4" s="948" customFormat="1" ht="11.25" customHeight="1" x14ac:dyDescent="0.2">
      <c r="A1647" s="1472" t="s">
        <v>3388</v>
      </c>
      <c r="B1647" s="949">
        <v>104</v>
      </c>
      <c r="C1647" s="949">
        <v>104</v>
      </c>
      <c r="D1647" s="882" t="s">
        <v>2745</v>
      </c>
    </row>
    <row r="1648" spans="1:4" s="948" customFormat="1" ht="11.25" customHeight="1" x14ac:dyDescent="0.2">
      <c r="A1648" s="1473"/>
      <c r="B1648" s="950">
        <v>104</v>
      </c>
      <c r="C1648" s="950">
        <v>104</v>
      </c>
      <c r="D1648" s="886" t="s">
        <v>11</v>
      </c>
    </row>
    <row r="1649" spans="1:4" s="948" customFormat="1" ht="11.25" customHeight="1" x14ac:dyDescent="0.2">
      <c r="A1649" s="1472" t="s">
        <v>3389</v>
      </c>
      <c r="B1649" s="949">
        <v>27.54</v>
      </c>
      <c r="C1649" s="949">
        <v>27.531459999999999</v>
      </c>
      <c r="D1649" s="882" t="s">
        <v>2618</v>
      </c>
    </row>
    <row r="1650" spans="1:4" s="948" customFormat="1" ht="11.25" customHeight="1" x14ac:dyDescent="0.2">
      <c r="A1650" s="1473"/>
      <c r="B1650" s="950">
        <v>27.54</v>
      </c>
      <c r="C1650" s="950">
        <v>27.531459999999999</v>
      </c>
      <c r="D1650" s="886" t="s">
        <v>11</v>
      </c>
    </row>
    <row r="1651" spans="1:4" s="948" customFormat="1" ht="11.25" customHeight="1" x14ac:dyDescent="0.2">
      <c r="A1651" s="1471" t="s">
        <v>3390</v>
      </c>
      <c r="B1651" s="947">
        <v>300</v>
      </c>
      <c r="C1651" s="947">
        <v>0</v>
      </c>
      <c r="D1651" s="880" t="s">
        <v>2862</v>
      </c>
    </row>
    <row r="1652" spans="1:4" s="948" customFormat="1" ht="11.25" customHeight="1" x14ac:dyDescent="0.2">
      <c r="A1652" s="1471"/>
      <c r="B1652" s="947">
        <v>300</v>
      </c>
      <c r="C1652" s="947">
        <v>0</v>
      </c>
      <c r="D1652" s="880" t="s">
        <v>11</v>
      </c>
    </row>
    <row r="1653" spans="1:4" s="948" customFormat="1" ht="11.25" customHeight="1" x14ac:dyDescent="0.2">
      <c r="A1653" s="1472" t="s">
        <v>965</v>
      </c>
      <c r="B1653" s="949">
        <v>150</v>
      </c>
      <c r="C1653" s="949">
        <v>150</v>
      </c>
      <c r="D1653" s="882" t="s">
        <v>951</v>
      </c>
    </row>
    <row r="1654" spans="1:4" s="948" customFormat="1" ht="11.25" customHeight="1" x14ac:dyDescent="0.2">
      <c r="A1654" s="1473"/>
      <c r="B1654" s="950">
        <v>150</v>
      </c>
      <c r="C1654" s="950">
        <v>150</v>
      </c>
      <c r="D1654" s="886" t="s">
        <v>11</v>
      </c>
    </row>
    <row r="1655" spans="1:4" s="948" customFormat="1" ht="11.25" customHeight="1" x14ac:dyDescent="0.2">
      <c r="A1655" s="1471" t="s">
        <v>3391</v>
      </c>
      <c r="B1655" s="947">
        <v>2018.7</v>
      </c>
      <c r="C1655" s="947">
        <v>2018.7</v>
      </c>
      <c r="D1655" s="880" t="s">
        <v>1458</v>
      </c>
    </row>
    <row r="1656" spans="1:4" s="948" customFormat="1" ht="11.25" customHeight="1" x14ac:dyDescent="0.2">
      <c r="A1656" s="1471"/>
      <c r="B1656" s="947">
        <v>28.46</v>
      </c>
      <c r="C1656" s="947">
        <v>28.463999999999999</v>
      </c>
      <c r="D1656" s="880" t="s">
        <v>1454</v>
      </c>
    </row>
    <row r="1657" spans="1:4" s="948" customFormat="1" ht="11.25" customHeight="1" x14ac:dyDescent="0.2">
      <c r="A1657" s="1471"/>
      <c r="B1657" s="947">
        <v>2047.16</v>
      </c>
      <c r="C1657" s="947">
        <v>2047.164</v>
      </c>
      <c r="D1657" s="880" t="s">
        <v>11</v>
      </c>
    </row>
    <row r="1658" spans="1:4" s="948" customFormat="1" ht="11.25" customHeight="1" x14ac:dyDescent="0.2">
      <c r="A1658" s="1472" t="s">
        <v>3392</v>
      </c>
      <c r="B1658" s="949">
        <v>1499.06</v>
      </c>
      <c r="C1658" s="949">
        <v>1499.0619999999999</v>
      </c>
      <c r="D1658" s="882" t="s">
        <v>1458</v>
      </c>
    </row>
    <row r="1659" spans="1:4" s="948" customFormat="1" ht="11.25" customHeight="1" x14ac:dyDescent="0.2">
      <c r="A1659" s="1471"/>
      <c r="B1659" s="947">
        <v>21</v>
      </c>
      <c r="C1659" s="947">
        <v>21.004000000000001</v>
      </c>
      <c r="D1659" s="880" t="s">
        <v>1454</v>
      </c>
    </row>
    <row r="1660" spans="1:4" s="948" customFormat="1" ht="11.25" customHeight="1" x14ac:dyDescent="0.2">
      <c r="A1660" s="1473"/>
      <c r="B1660" s="950">
        <v>1520.07</v>
      </c>
      <c r="C1660" s="950">
        <v>1520.0659999999998</v>
      </c>
      <c r="D1660" s="886" t="s">
        <v>11</v>
      </c>
    </row>
    <row r="1661" spans="1:4" s="948" customFormat="1" ht="11.25" customHeight="1" x14ac:dyDescent="0.2">
      <c r="A1661" s="1471" t="s">
        <v>3393</v>
      </c>
      <c r="B1661" s="947">
        <v>194.5</v>
      </c>
      <c r="C1661" s="947">
        <v>194.50300000000001</v>
      </c>
      <c r="D1661" s="880" t="s">
        <v>1458</v>
      </c>
    </row>
    <row r="1662" spans="1:4" s="948" customFormat="1" ht="11.25" customHeight="1" x14ac:dyDescent="0.2">
      <c r="A1662" s="1471"/>
      <c r="B1662" s="947">
        <v>4.46</v>
      </c>
      <c r="C1662" s="947">
        <v>4.4580000000000002</v>
      </c>
      <c r="D1662" s="880" t="s">
        <v>1454</v>
      </c>
    </row>
    <row r="1663" spans="1:4" s="948" customFormat="1" ht="11.25" customHeight="1" x14ac:dyDescent="0.2">
      <c r="A1663" s="1471"/>
      <c r="B1663" s="947">
        <v>198.96</v>
      </c>
      <c r="C1663" s="947">
        <v>198.96100000000001</v>
      </c>
      <c r="D1663" s="880" t="s">
        <v>11</v>
      </c>
    </row>
    <row r="1664" spans="1:4" s="948" customFormat="1" ht="11.25" customHeight="1" x14ac:dyDescent="0.2">
      <c r="A1664" s="1472" t="s">
        <v>3394</v>
      </c>
      <c r="B1664" s="949">
        <v>4747.5600000000004</v>
      </c>
      <c r="C1664" s="949">
        <v>4727.7560000000003</v>
      </c>
      <c r="D1664" s="882" t="s">
        <v>1458</v>
      </c>
    </row>
    <row r="1665" spans="1:4" s="948" customFormat="1" ht="11.25" customHeight="1" x14ac:dyDescent="0.2">
      <c r="A1665" s="1471"/>
      <c r="B1665" s="947">
        <v>45.07</v>
      </c>
      <c r="C1665" s="947">
        <v>45.073999999999998</v>
      </c>
      <c r="D1665" s="880" t="s">
        <v>1454</v>
      </c>
    </row>
    <row r="1666" spans="1:4" s="948" customFormat="1" ht="11.25" customHeight="1" x14ac:dyDescent="0.2">
      <c r="A1666" s="1473"/>
      <c r="B1666" s="950">
        <v>4792.63</v>
      </c>
      <c r="C1666" s="950">
        <v>4772.83</v>
      </c>
      <c r="D1666" s="886" t="s">
        <v>11</v>
      </c>
    </row>
    <row r="1667" spans="1:4" s="948" customFormat="1" ht="11.25" customHeight="1" x14ac:dyDescent="0.2">
      <c r="A1667" s="1471" t="s">
        <v>3395</v>
      </c>
      <c r="B1667" s="947">
        <v>4682.1499999999996</v>
      </c>
      <c r="C1667" s="947">
        <v>4682.1530000000002</v>
      </c>
      <c r="D1667" s="880" t="s">
        <v>1458</v>
      </c>
    </row>
    <row r="1668" spans="1:4" s="948" customFormat="1" ht="11.25" customHeight="1" x14ac:dyDescent="0.2">
      <c r="A1668" s="1471"/>
      <c r="B1668" s="947">
        <v>60.35</v>
      </c>
      <c r="C1668" s="947">
        <v>60.351999999999997</v>
      </c>
      <c r="D1668" s="880" t="s">
        <v>1454</v>
      </c>
    </row>
    <row r="1669" spans="1:4" s="948" customFormat="1" ht="11.25" customHeight="1" x14ac:dyDescent="0.2">
      <c r="A1669" s="1471"/>
      <c r="B1669" s="947">
        <v>4742.51</v>
      </c>
      <c r="C1669" s="947">
        <v>4742.5050000000001</v>
      </c>
      <c r="D1669" s="880" t="s">
        <v>11</v>
      </c>
    </row>
    <row r="1670" spans="1:4" s="948" customFormat="1" ht="11.25" customHeight="1" x14ac:dyDescent="0.2">
      <c r="A1670" s="1472" t="s">
        <v>3396</v>
      </c>
      <c r="B1670" s="949">
        <v>5759.8600000000006</v>
      </c>
      <c r="C1670" s="949">
        <v>5755.0059999999994</v>
      </c>
      <c r="D1670" s="882" t="s">
        <v>1458</v>
      </c>
    </row>
    <row r="1671" spans="1:4" s="948" customFormat="1" ht="11.25" customHeight="1" x14ac:dyDescent="0.2">
      <c r="A1671" s="1471"/>
      <c r="B1671" s="947">
        <v>69.69</v>
      </c>
      <c r="C1671" s="947">
        <v>69.688999999999993</v>
      </c>
      <c r="D1671" s="880" t="s">
        <v>1454</v>
      </c>
    </row>
    <row r="1672" spans="1:4" s="948" customFormat="1" ht="11.25" customHeight="1" x14ac:dyDescent="0.2">
      <c r="A1672" s="1473"/>
      <c r="B1672" s="950">
        <v>5829.55</v>
      </c>
      <c r="C1672" s="950">
        <v>5824.6949999999997</v>
      </c>
      <c r="D1672" s="886" t="s">
        <v>11</v>
      </c>
    </row>
    <row r="1673" spans="1:4" s="948" customFormat="1" ht="11.25" customHeight="1" x14ac:dyDescent="0.2">
      <c r="A1673" s="1471" t="s">
        <v>3397</v>
      </c>
      <c r="B1673" s="947">
        <v>5136.6899999999996</v>
      </c>
      <c r="C1673" s="947">
        <v>5136.6900000000005</v>
      </c>
      <c r="D1673" s="880" t="s">
        <v>1458</v>
      </c>
    </row>
    <row r="1674" spans="1:4" s="948" customFormat="1" ht="11.25" customHeight="1" x14ac:dyDescent="0.2">
      <c r="A1674" s="1471"/>
      <c r="B1674" s="947">
        <v>62.8</v>
      </c>
      <c r="C1674" s="947">
        <v>62.8</v>
      </c>
      <c r="D1674" s="880" t="s">
        <v>1454</v>
      </c>
    </row>
    <row r="1675" spans="1:4" s="948" customFormat="1" ht="11.25" customHeight="1" x14ac:dyDescent="0.2">
      <c r="A1675" s="1471"/>
      <c r="B1675" s="947">
        <v>5199.49</v>
      </c>
      <c r="C1675" s="947">
        <v>5199.4900000000007</v>
      </c>
      <c r="D1675" s="880" t="s">
        <v>11</v>
      </c>
    </row>
    <row r="1676" spans="1:4" s="948" customFormat="1" ht="11.25" customHeight="1" x14ac:dyDescent="0.2">
      <c r="A1676" s="1472" t="s">
        <v>3398</v>
      </c>
      <c r="B1676" s="949">
        <v>10268.84</v>
      </c>
      <c r="C1676" s="949">
        <v>10262.241</v>
      </c>
      <c r="D1676" s="882" t="s">
        <v>1458</v>
      </c>
    </row>
    <row r="1677" spans="1:4" s="948" customFormat="1" ht="11.25" customHeight="1" x14ac:dyDescent="0.2">
      <c r="A1677" s="1471"/>
      <c r="B1677" s="947">
        <v>127.87</v>
      </c>
      <c r="C1677" s="947">
        <v>127.871</v>
      </c>
      <c r="D1677" s="880" t="s">
        <v>1451</v>
      </c>
    </row>
    <row r="1678" spans="1:4" s="948" customFormat="1" ht="11.25" customHeight="1" x14ac:dyDescent="0.2">
      <c r="A1678" s="1471"/>
      <c r="B1678" s="947">
        <v>128.47999999999999</v>
      </c>
      <c r="C1678" s="947">
        <v>128.47800000000001</v>
      </c>
      <c r="D1678" s="880" t="s">
        <v>1454</v>
      </c>
    </row>
    <row r="1679" spans="1:4" s="948" customFormat="1" ht="11.25" customHeight="1" x14ac:dyDescent="0.2">
      <c r="A1679" s="1473"/>
      <c r="B1679" s="950">
        <v>10525.19</v>
      </c>
      <c r="C1679" s="950">
        <v>10518.589999999998</v>
      </c>
      <c r="D1679" s="886" t="s">
        <v>11</v>
      </c>
    </row>
    <row r="1680" spans="1:4" s="948" customFormat="1" ht="11.25" customHeight="1" x14ac:dyDescent="0.2">
      <c r="A1680" s="1471" t="s">
        <v>3399</v>
      </c>
      <c r="B1680" s="947">
        <v>5471.59</v>
      </c>
      <c r="C1680" s="947">
        <v>5471.5860000000002</v>
      </c>
      <c r="D1680" s="880" t="s">
        <v>1458</v>
      </c>
    </row>
    <row r="1681" spans="1:4" s="948" customFormat="1" ht="11.25" customHeight="1" x14ac:dyDescent="0.2">
      <c r="A1681" s="1471"/>
      <c r="B1681" s="947">
        <v>62.45</v>
      </c>
      <c r="C1681" s="947">
        <v>62.453000000000003</v>
      </c>
      <c r="D1681" s="880" t="s">
        <v>1454</v>
      </c>
    </row>
    <row r="1682" spans="1:4" s="948" customFormat="1" ht="11.25" customHeight="1" x14ac:dyDescent="0.2">
      <c r="A1682" s="1471"/>
      <c r="B1682" s="947">
        <v>5534.04</v>
      </c>
      <c r="C1682" s="947">
        <v>5534.0390000000007</v>
      </c>
      <c r="D1682" s="880" t="s">
        <v>11</v>
      </c>
    </row>
    <row r="1683" spans="1:4" s="948" customFormat="1" ht="11.25" customHeight="1" x14ac:dyDescent="0.2">
      <c r="A1683" s="1472" t="s">
        <v>3400</v>
      </c>
      <c r="B1683" s="949">
        <v>3728.65</v>
      </c>
      <c r="C1683" s="949">
        <v>3728.6480000000001</v>
      </c>
      <c r="D1683" s="882" t="s">
        <v>1458</v>
      </c>
    </row>
    <row r="1684" spans="1:4" s="948" customFormat="1" ht="11.25" customHeight="1" x14ac:dyDescent="0.2">
      <c r="A1684" s="1471"/>
      <c r="B1684" s="947">
        <v>15.09</v>
      </c>
      <c r="C1684" s="947">
        <v>15.087999999999999</v>
      </c>
      <c r="D1684" s="880" t="s">
        <v>1454</v>
      </c>
    </row>
    <row r="1685" spans="1:4" s="948" customFormat="1" ht="11.25" customHeight="1" x14ac:dyDescent="0.2">
      <c r="A1685" s="1473"/>
      <c r="B1685" s="950">
        <v>3743.7400000000002</v>
      </c>
      <c r="C1685" s="950">
        <v>3743.7360000000003</v>
      </c>
      <c r="D1685" s="886" t="s">
        <v>11</v>
      </c>
    </row>
    <row r="1686" spans="1:4" s="948" customFormat="1" ht="11.25" customHeight="1" x14ac:dyDescent="0.2">
      <c r="A1686" s="1471" t="s">
        <v>3401</v>
      </c>
      <c r="B1686" s="947">
        <v>9228.9</v>
      </c>
      <c r="C1686" s="947">
        <v>9228.89</v>
      </c>
      <c r="D1686" s="880" t="s">
        <v>1458</v>
      </c>
    </row>
    <row r="1687" spans="1:4" s="948" customFormat="1" ht="11.25" customHeight="1" x14ac:dyDescent="0.2">
      <c r="A1687" s="1471"/>
      <c r="B1687" s="947">
        <v>80.7</v>
      </c>
      <c r="C1687" s="947">
        <v>80.703999999999994</v>
      </c>
      <c r="D1687" s="880" t="s">
        <v>1454</v>
      </c>
    </row>
    <row r="1688" spans="1:4" s="948" customFormat="1" ht="11.25" customHeight="1" x14ac:dyDescent="0.2">
      <c r="A1688" s="1471"/>
      <c r="B1688" s="947">
        <v>9309.6</v>
      </c>
      <c r="C1688" s="947">
        <v>9309.5939999999991</v>
      </c>
      <c r="D1688" s="880" t="s">
        <v>11</v>
      </c>
    </row>
    <row r="1689" spans="1:4" s="948" customFormat="1" ht="11.25" customHeight="1" x14ac:dyDescent="0.2">
      <c r="A1689" s="1472" t="s">
        <v>3402</v>
      </c>
      <c r="B1689" s="949">
        <v>1535.87</v>
      </c>
      <c r="C1689" s="949">
        <v>1535.8729999999998</v>
      </c>
      <c r="D1689" s="882" t="s">
        <v>1458</v>
      </c>
    </row>
    <row r="1690" spans="1:4" s="948" customFormat="1" ht="11.25" customHeight="1" x14ac:dyDescent="0.2">
      <c r="A1690" s="1471"/>
      <c r="B1690" s="947">
        <v>14.4</v>
      </c>
      <c r="C1690" s="947">
        <v>14.4</v>
      </c>
      <c r="D1690" s="880" t="s">
        <v>1454</v>
      </c>
    </row>
    <row r="1691" spans="1:4" s="948" customFormat="1" ht="11.25" customHeight="1" x14ac:dyDescent="0.2">
      <c r="A1691" s="1473"/>
      <c r="B1691" s="950">
        <v>1550.27</v>
      </c>
      <c r="C1691" s="950">
        <v>1550.2729999999999</v>
      </c>
      <c r="D1691" s="886" t="s">
        <v>11</v>
      </c>
    </row>
    <row r="1692" spans="1:4" s="948" customFormat="1" ht="11.25" customHeight="1" x14ac:dyDescent="0.2">
      <c r="A1692" s="1472" t="s">
        <v>3403</v>
      </c>
      <c r="B1692" s="949">
        <v>8885.42</v>
      </c>
      <c r="C1692" s="949">
        <v>8885.4130000000005</v>
      </c>
      <c r="D1692" s="882" t="s">
        <v>1458</v>
      </c>
    </row>
    <row r="1693" spans="1:4" s="948" customFormat="1" ht="11.25" customHeight="1" x14ac:dyDescent="0.2">
      <c r="A1693" s="1471"/>
      <c r="B1693" s="947">
        <v>365.95</v>
      </c>
      <c r="C1693" s="947">
        <v>365.93310000000002</v>
      </c>
      <c r="D1693" s="880" t="s">
        <v>2602</v>
      </c>
    </row>
    <row r="1694" spans="1:4" s="948" customFormat="1" ht="11.25" customHeight="1" x14ac:dyDescent="0.2">
      <c r="A1694" s="1471"/>
      <c r="B1694" s="947">
        <v>89.41</v>
      </c>
      <c r="C1694" s="947">
        <v>89.412000000000006</v>
      </c>
      <c r="D1694" s="880" t="s">
        <v>1454</v>
      </c>
    </row>
    <row r="1695" spans="1:4" s="948" customFormat="1" ht="11.25" customHeight="1" x14ac:dyDescent="0.2">
      <c r="A1695" s="1473"/>
      <c r="B1695" s="950">
        <v>9340.7800000000007</v>
      </c>
      <c r="C1695" s="950">
        <v>9340.7581000000009</v>
      </c>
      <c r="D1695" s="886" t="s">
        <v>11</v>
      </c>
    </row>
    <row r="1696" spans="1:4" s="948" customFormat="1" ht="11.25" customHeight="1" x14ac:dyDescent="0.2">
      <c r="A1696" s="1472" t="s">
        <v>3404</v>
      </c>
      <c r="B1696" s="949">
        <v>227.2</v>
      </c>
      <c r="C1696" s="949">
        <v>227.2</v>
      </c>
      <c r="D1696" s="882" t="s">
        <v>1463</v>
      </c>
    </row>
    <row r="1697" spans="1:4" s="948" customFormat="1" ht="11.25" customHeight="1" x14ac:dyDescent="0.2">
      <c r="A1697" s="1471"/>
      <c r="B1697" s="947">
        <v>8311.35</v>
      </c>
      <c r="C1697" s="947">
        <v>8311.3490000000002</v>
      </c>
      <c r="D1697" s="880" t="s">
        <v>1458</v>
      </c>
    </row>
    <row r="1698" spans="1:4" s="948" customFormat="1" ht="11.25" customHeight="1" x14ac:dyDescent="0.2">
      <c r="A1698" s="1471"/>
      <c r="B1698" s="947">
        <v>82.29</v>
      </c>
      <c r="C1698" s="947">
        <v>82.287999999999997</v>
      </c>
      <c r="D1698" s="880" t="s">
        <v>1454</v>
      </c>
    </row>
    <row r="1699" spans="1:4" s="948" customFormat="1" ht="11.25" customHeight="1" x14ac:dyDescent="0.2">
      <c r="A1699" s="1473"/>
      <c r="B1699" s="950">
        <v>8620.840000000002</v>
      </c>
      <c r="C1699" s="950">
        <v>8620.8370000000014</v>
      </c>
      <c r="D1699" s="886" t="s">
        <v>11</v>
      </c>
    </row>
    <row r="1700" spans="1:4" s="948" customFormat="1" ht="11.25" customHeight="1" x14ac:dyDescent="0.2">
      <c r="A1700" s="1471" t="s">
        <v>3405</v>
      </c>
      <c r="B1700" s="947">
        <v>4243.8</v>
      </c>
      <c r="C1700" s="947">
        <v>4235.482</v>
      </c>
      <c r="D1700" s="880" t="s">
        <v>1458</v>
      </c>
    </row>
    <row r="1701" spans="1:4" s="948" customFormat="1" ht="11.25" customHeight="1" x14ac:dyDescent="0.2">
      <c r="A1701" s="1471"/>
      <c r="B1701" s="947">
        <v>28.8</v>
      </c>
      <c r="C1701" s="947">
        <v>28.8</v>
      </c>
      <c r="D1701" s="880" t="s">
        <v>1454</v>
      </c>
    </row>
    <row r="1702" spans="1:4" s="948" customFormat="1" ht="11.25" customHeight="1" x14ac:dyDescent="0.2">
      <c r="A1702" s="1471"/>
      <c r="B1702" s="947">
        <v>4272.6000000000004</v>
      </c>
      <c r="C1702" s="947">
        <v>4264.2820000000002</v>
      </c>
      <c r="D1702" s="880" t="s">
        <v>11</v>
      </c>
    </row>
    <row r="1703" spans="1:4" s="948" customFormat="1" ht="11.25" customHeight="1" x14ac:dyDescent="0.2">
      <c r="A1703" s="1472" t="s">
        <v>3406</v>
      </c>
      <c r="B1703" s="949">
        <v>6752.88</v>
      </c>
      <c r="C1703" s="949">
        <v>6752.8819999999996</v>
      </c>
      <c r="D1703" s="882" t="s">
        <v>1458</v>
      </c>
    </row>
    <row r="1704" spans="1:4" s="948" customFormat="1" ht="11.25" customHeight="1" x14ac:dyDescent="0.2">
      <c r="A1704" s="1471"/>
      <c r="B1704" s="947">
        <v>63.55</v>
      </c>
      <c r="C1704" s="947">
        <v>63.554000000000002</v>
      </c>
      <c r="D1704" s="880" t="s">
        <v>1454</v>
      </c>
    </row>
    <row r="1705" spans="1:4" s="948" customFormat="1" ht="11.25" customHeight="1" x14ac:dyDescent="0.2">
      <c r="A1705" s="1473"/>
      <c r="B1705" s="950">
        <v>6816.44</v>
      </c>
      <c r="C1705" s="950">
        <v>6816.4359999999997</v>
      </c>
      <c r="D1705" s="886" t="s">
        <v>11</v>
      </c>
    </row>
    <row r="1706" spans="1:4" s="948" customFormat="1" ht="11.25" customHeight="1" x14ac:dyDescent="0.2">
      <c r="A1706" s="1471" t="s">
        <v>3407</v>
      </c>
      <c r="B1706" s="947">
        <v>3653.1099999999997</v>
      </c>
      <c r="C1706" s="947">
        <v>3638.768</v>
      </c>
      <c r="D1706" s="880" t="s">
        <v>1458</v>
      </c>
    </row>
    <row r="1707" spans="1:4" s="948" customFormat="1" ht="11.25" customHeight="1" x14ac:dyDescent="0.2">
      <c r="A1707" s="1471"/>
      <c r="B1707" s="947">
        <v>31.2</v>
      </c>
      <c r="C1707" s="947">
        <v>31.2</v>
      </c>
      <c r="D1707" s="880" t="s">
        <v>1454</v>
      </c>
    </row>
    <row r="1708" spans="1:4" s="948" customFormat="1" ht="11.25" customHeight="1" x14ac:dyDescent="0.2">
      <c r="A1708" s="1471"/>
      <c r="B1708" s="947">
        <v>3684.3099999999995</v>
      </c>
      <c r="C1708" s="947">
        <v>3669.9679999999998</v>
      </c>
      <c r="D1708" s="880" t="s">
        <v>11</v>
      </c>
    </row>
    <row r="1709" spans="1:4" s="948" customFormat="1" ht="11.25" customHeight="1" x14ac:dyDescent="0.2">
      <c r="A1709" s="1472" t="s">
        <v>3408</v>
      </c>
      <c r="B1709" s="949">
        <v>392.52000000000004</v>
      </c>
      <c r="C1709" s="949">
        <v>392.50752999999997</v>
      </c>
      <c r="D1709" s="882" t="s">
        <v>2602</v>
      </c>
    </row>
    <row r="1710" spans="1:4" s="948" customFormat="1" ht="11.25" customHeight="1" x14ac:dyDescent="0.2">
      <c r="A1710" s="1473"/>
      <c r="B1710" s="950">
        <v>392.52000000000004</v>
      </c>
      <c r="C1710" s="950">
        <v>392.50752999999997</v>
      </c>
      <c r="D1710" s="886" t="s">
        <v>11</v>
      </c>
    </row>
    <row r="1711" spans="1:4" s="948" customFormat="1" ht="11.25" customHeight="1" x14ac:dyDescent="0.2">
      <c r="A1711" s="1471" t="s">
        <v>3409</v>
      </c>
      <c r="B1711" s="947">
        <v>143.65</v>
      </c>
      <c r="C1711" s="947">
        <v>143.65</v>
      </c>
      <c r="D1711" s="880" t="s">
        <v>2862</v>
      </c>
    </row>
    <row r="1712" spans="1:4" s="948" customFormat="1" ht="11.25" customHeight="1" x14ac:dyDescent="0.2">
      <c r="A1712" s="1471"/>
      <c r="B1712" s="947">
        <v>143.65</v>
      </c>
      <c r="C1712" s="947">
        <v>143.65</v>
      </c>
      <c r="D1712" s="880" t="s">
        <v>11</v>
      </c>
    </row>
    <row r="1713" spans="1:4" s="948" customFormat="1" ht="11.25" customHeight="1" x14ac:dyDescent="0.2">
      <c r="A1713" s="1472" t="s">
        <v>3410</v>
      </c>
      <c r="B1713" s="949">
        <v>759</v>
      </c>
      <c r="C1713" s="949">
        <v>759</v>
      </c>
      <c r="D1713" s="882" t="s">
        <v>2735</v>
      </c>
    </row>
    <row r="1714" spans="1:4" s="948" customFormat="1" ht="21" x14ac:dyDescent="0.2">
      <c r="A1714" s="1471"/>
      <c r="B1714" s="947">
        <v>123.3</v>
      </c>
      <c r="C1714" s="947">
        <v>97.69</v>
      </c>
      <c r="D1714" s="880" t="s">
        <v>2867</v>
      </c>
    </row>
    <row r="1715" spans="1:4" s="948" customFormat="1" ht="11.25" customHeight="1" x14ac:dyDescent="0.2">
      <c r="A1715" s="1471"/>
      <c r="B1715" s="947">
        <v>1554</v>
      </c>
      <c r="C1715" s="947">
        <v>1554</v>
      </c>
      <c r="D1715" s="880" t="s">
        <v>2739</v>
      </c>
    </row>
    <row r="1716" spans="1:4" s="948" customFormat="1" ht="11.25" customHeight="1" x14ac:dyDescent="0.2">
      <c r="A1716" s="1473"/>
      <c r="B1716" s="950">
        <v>2436.3000000000002</v>
      </c>
      <c r="C1716" s="950">
        <v>2410.69</v>
      </c>
      <c r="D1716" s="886" t="s">
        <v>11</v>
      </c>
    </row>
    <row r="1717" spans="1:4" s="948" customFormat="1" ht="21" x14ac:dyDescent="0.2">
      <c r="A1717" s="1471" t="s">
        <v>3411</v>
      </c>
      <c r="B1717" s="947">
        <v>68.8</v>
      </c>
      <c r="C1717" s="947">
        <v>68.8</v>
      </c>
      <c r="D1717" s="880" t="s">
        <v>3003</v>
      </c>
    </row>
    <row r="1718" spans="1:4" s="948" customFormat="1" ht="11.25" customHeight="1" x14ac:dyDescent="0.2">
      <c r="A1718" s="1471"/>
      <c r="B1718" s="947">
        <v>50</v>
      </c>
      <c r="C1718" s="947">
        <v>50</v>
      </c>
      <c r="D1718" s="880" t="s">
        <v>2956</v>
      </c>
    </row>
    <row r="1719" spans="1:4" s="948" customFormat="1" ht="11.25" customHeight="1" x14ac:dyDescent="0.2">
      <c r="A1719" s="1471"/>
      <c r="B1719" s="947">
        <v>508</v>
      </c>
      <c r="C1719" s="947">
        <v>508</v>
      </c>
      <c r="D1719" s="880" t="s">
        <v>2735</v>
      </c>
    </row>
    <row r="1720" spans="1:4" s="948" customFormat="1" ht="11.25" customHeight="1" x14ac:dyDescent="0.2">
      <c r="A1720" s="1471"/>
      <c r="B1720" s="947">
        <v>626.79999999999995</v>
      </c>
      <c r="C1720" s="947">
        <v>626.79999999999995</v>
      </c>
      <c r="D1720" s="880" t="s">
        <v>11</v>
      </c>
    </row>
    <row r="1721" spans="1:4" s="948" customFormat="1" ht="11.25" customHeight="1" x14ac:dyDescent="0.2">
      <c r="A1721" s="1472" t="s">
        <v>3412</v>
      </c>
      <c r="B1721" s="949">
        <v>111</v>
      </c>
      <c r="C1721" s="949">
        <v>111</v>
      </c>
      <c r="D1721" s="882" t="s">
        <v>2899</v>
      </c>
    </row>
    <row r="1722" spans="1:4" s="948" customFormat="1" ht="11.25" customHeight="1" x14ac:dyDescent="0.2">
      <c r="A1722" s="1471"/>
      <c r="B1722" s="947">
        <v>50</v>
      </c>
      <c r="C1722" s="947">
        <v>47.52</v>
      </c>
      <c r="D1722" s="880" t="s">
        <v>2956</v>
      </c>
    </row>
    <row r="1723" spans="1:4" s="948" customFormat="1" ht="11.25" customHeight="1" x14ac:dyDescent="0.2">
      <c r="A1723" s="1471"/>
      <c r="B1723" s="947">
        <v>2709</v>
      </c>
      <c r="C1723" s="947">
        <v>2614.913</v>
      </c>
      <c r="D1723" s="880" t="s">
        <v>2735</v>
      </c>
    </row>
    <row r="1724" spans="1:4" s="948" customFormat="1" ht="11.25" customHeight="1" x14ac:dyDescent="0.2">
      <c r="A1724" s="1471"/>
      <c r="B1724" s="947">
        <v>70</v>
      </c>
      <c r="C1724" s="947">
        <v>70</v>
      </c>
      <c r="D1724" s="880" t="s">
        <v>2886</v>
      </c>
    </row>
    <row r="1725" spans="1:4" s="948" customFormat="1" ht="11.25" customHeight="1" x14ac:dyDescent="0.2">
      <c r="A1725" s="1473"/>
      <c r="B1725" s="950">
        <v>2940</v>
      </c>
      <c r="C1725" s="950">
        <v>2843.433</v>
      </c>
      <c r="D1725" s="886" t="s">
        <v>11</v>
      </c>
    </row>
    <row r="1726" spans="1:4" s="948" customFormat="1" ht="11.25" customHeight="1" x14ac:dyDescent="0.2">
      <c r="A1726" s="1471" t="s">
        <v>999</v>
      </c>
      <c r="B1726" s="947">
        <v>150</v>
      </c>
      <c r="C1726" s="947">
        <v>150</v>
      </c>
      <c r="D1726" s="880" t="s">
        <v>978</v>
      </c>
    </row>
    <row r="1727" spans="1:4" s="948" customFormat="1" ht="11.25" customHeight="1" x14ac:dyDescent="0.2">
      <c r="A1727" s="1471"/>
      <c r="B1727" s="947">
        <v>150</v>
      </c>
      <c r="C1727" s="947">
        <v>150</v>
      </c>
      <c r="D1727" s="880" t="s">
        <v>11</v>
      </c>
    </row>
    <row r="1728" spans="1:4" s="948" customFormat="1" ht="11.25" customHeight="1" x14ac:dyDescent="0.2">
      <c r="A1728" s="1472" t="s">
        <v>1000</v>
      </c>
      <c r="B1728" s="949">
        <v>50</v>
      </c>
      <c r="C1728" s="949">
        <v>50</v>
      </c>
      <c r="D1728" s="882" t="s">
        <v>978</v>
      </c>
    </row>
    <row r="1729" spans="1:4" s="948" customFormat="1" ht="11.25" customHeight="1" x14ac:dyDescent="0.2">
      <c r="A1729" s="1473"/>
      <c r="B1729" s="950">
        <v>50</v>
      </c>
      <c r="C1729" s="950">
        <v>50</v>
      </c>
      <c r="D1729" s="886" t="s">
        <v>11</v>
      </c>
    </row>
    <row r="1730" spans="1:4" s="948" customFormat="1" ht="11.25" customHeight="1" x14ac:dyDescent="0.2">
      <c r="A1730" s="1472" t="s">
        <v>3413</v>
      </c>
      <c r="B1730" s="949">
        <v>397</v>
      </c>
      <c r="C1730" s="949">
        <v>397</v>
      </c>
      <c r="D1730" s="882" t="s">
        <v>2735</v>
      </c>
    </row>
    <row r="1731" spans="1:4" s="948" customFormat="1" ht="11.25" customHeight="1" x14ac:dyDescent="0.2">
      <c r="A1731" s="1473"/>
      <c r="B1731" s="950">
        <v>397</v>
      </c>
      <c r="C1731" s="950">
        <v>397</v>
      </c>
      <c r="D1731" s="886" t="s">
        <v>11</v>
      </c>
    </row>
    <row r="1732" spans="1:4" s="948" customFormat="1" ht="17.25" customHeight="1" x14ac:dyDescent="0.2">
      <c r="A1732" s="1471" t="s">
        <v>1151</v>
      </c>
      <c r="B1732" s="947">
        <v>200</v>
      </c>
      <c r="C1732" s="947">
        <v>200</v>
      </c>
      <c r="D1732" s="880" t="s">
        <v>1111</v>
      </c>
    </row>
    <row r="1733" spans="1:4" s="948" customFormat="1" ht="17.25" customHeight="1" x14ac:dyDescent="0.2">
      <c r="A1733" s="1471"/>
      <c r="B1733" s="947">
        <v>200</v>
      </c>
      <c r="C1733" s="947">
        <v>200</v>
      </c>
      <c r="D1733" s="880" t="s">
        <v>11</v>
      </c>
    </row>
    <row r="1734" spans="1:4" s="948" customFormat="1" ht="11.25" customHeight="1" x14ac:dyDescent="0.2">
      <c r="A1734" s="1472" t="s">
        <v>1001</v>
      </c>
      <c r="B1734" s="949">
        <v>20</v>
      </c>
      <c r="C1734" s="949">
        <v>20</v>
      </c>
      <c r="D1734" s="882" t="s">
        <v>978</v>
      </c>
    </row>
    <row r="1735" spans="1:4" s="948" customFormat="1" ht="11.25" customHeight="1" x14ac:dyDescent="0.2">
      <c r="A1735" s="1473"/>
      <c r="B1735" s="950">
        <v>20</v>
      </c>
      <c r="C1735" s="950">
        <v>20</v>
      </c>
      <c r="D1735" s="886" t="s">
        <v>11</v>
      </c>
    </row>
    <row r="1736" spans="1:4" s="948" customFormat="1" ht="11.25" customHeight="1" x14ac:dyDescent="0.2">
      <c r="A1736" s="1471" t="s">
        <v>1045</v>
      </c>
      <c r="B1736" s="947">
        <v>50</v>
      </c>
      <c r="C1736" s="947">
        <v>50</v>
      </c>
      <c r="D1736" s="880" t="s">
        <v>1030</v>
      </c>
    </row>
    <row r="1737" spans="1:4" s="948" customFormat="1" ht="11.25" customHeight="1" x14ac:dyDescent="0.2">
      <c r="A1737" s="1471"/>
      <c r="B1737" s="947">
        <v>50</v>
      </c>
      <c r="C1737" s="947">
        <v>50</v>
      </c>
      <c r="D1737" s="880" t="s">
        <v>11</v>
      </c>
    </row>
    <row r="1738" spans="1:4" s="948" customFormat="1" ht="11.25" customHeight="1" x14ac:dyDescent="0.2">
      <c r="A1738" s="1472" t="s">
        <v>1072</v>
      </c>
      <c r="B1738" s="949">
        <v>100</v>
      </c>
      <c r="C1738" s="949">
        <v>100</v>
      </c>
      <c r="D1738" s="882" t="s">
        <v>1056</v>
      </c>
    </row>
    <row r="1739" spans="1:4" s="948" customFormat="1" ht="11.25" customHeight="1" x14ac:dyDescent="0.2">
      <c r="A1739" s="1473"/>
      <c r="B1739" s="950">
        <v>100</v>
      </c>
      <c r="C1739" s="950">
        <v>100</v>
      </c>
      <c r="D1739" s="886" t="s">
        <v>11</v>
      </c>
    </row>
    <row r="1740" spans="1:4" s="948" customFormat="1" ht="11.25" customHeight="1" x14ac:dyDescent="0.2">
      <c r="A1740" s="1472" t="s">
        <v>3414</v>
      </c>
      <c r="B1740" s="949">
        <v>41</v>
      </c>
      <c r="C1740" s="949">
        <v>40.786000000000001</v>
      </c>
      <c r="D1740" s="882" t="s">
        <v>2735</v>
      </c>
    </row>
    <row r="1741" spans="1:4" s="948" customFormat="1" ht="11.25" customHeight="1" x14ac:dyDescent="0.2">
      <c r="A1741" s="1473"/>
      <c r="B1741" s="950">
        <v>41</v>
      </c>
      <c r="C1741" s="950">
        <v>40.786000000000001</v>
      </c>
      <c r="D1741" s="886" t="s">
        <v>11</v>
      </c>
    </row>
    <row r="1742" spans="1:4" s="948" customFormat="1" ht="11.25" customHeight="1" x14ac:dyDescent="0.2">
      <c r="A1742" s="1471" t="s">
        <v>3415</v>
      </c>
      <c r="B1742" s="947">
        <v>876</v>
      </c>
      <c r="C1742" s="947">
        <v>871.803</v>
      </c>
      <c r="D1742" s="880" t="s">
        <v>2735</v>
      </c>
    </row>
    <row r="1743" spans="1:4" s="948" customFormat="1" ht="11.25" customHeight="1" x14ac:dyDescent="0.2">
      <c r="A1743" s="1471"/>
      <c r="B1743" s="947">
        <v>876</v>
      </c>
      <c r="C1743" s="947">
        <v>871.803</v>
      </c>
      <c r="D1743" s="880" t="s">
        <v>11</v>
      </c>
    </row>
    <row r="1744" spans="1:4" s="948" customFormat="1" ht="11.25" customHeight="1" x14ac:dyDescent="0.2">
      <c r="A1744" s="1472" t="s">
        <v>3416</v>
      </c>
      <c r="B1744" s="949">
        <v>50</v>
      </c>
      <c r="C1744" s="949">
        <v>50</v>
      </c>
      <c r="D1744" s="882" t="s">
        <v>2745</v>
      </c>
    </row>
    <row r="1745" spans="1:4" s="948" customFormat="1" ht="11.25" customHeight="1" x14ac:dyDescent="0.2">
      <c r="A1745" s="1473"/>
      <c r="B1745" s="950">
        <v>50</v>
      </c>
      <c r="C1745" s="950">
        <v>50</v>
      </c>
      <c r="D1745" s="886" t="s">
        <v>11</v>
      </c>
    </row>
    <row r="1746" spans="1:4" s="948" customFormat="1" ht="11.25" customHeight="1" x14ac:dyDescent="0.2">
      <c r="A1746" s="1471" t="s">
        <v>1152</v>
      </c>
      <c r="B1746" s="947">
        <v>400</v>
      </c>
      <c r="C1746" s="947">
        <v>400</v>
      </c>
      <c r="D1746" s="880" t="s">
        <v>2745</v>
      </c>
    </row>
    <row r="1747" spans="1:4" s="948" customFormat="1" ht="11.25" customHeight="1" x14ac:dyDescent="0.2">
      <c r="A1747" s="1471"/>
      <c r="B1747" s="947">
        <v>49</v>
      </c>
      <c r="C1747" s="947">
        <v>49</v>
      </c>
      <c r="D1747" s="880" t="s">
        <v>1111</v>
      </c>
    </row>
    <row r="1748" spans="1:4" s="948" customFormat="1" ht="11.25" customHeight="1" x14ac:dyDescent="0.2">
      <c r="A1748" s="1471"/>
      <c r="B1748" s="947">
        <v>449</v>
      </c>
      <c r="C1748" s="947">
        <v>449</v>
      </c>
      <c r="D1748" s="880" t="s">
        <v>11</v>
      </c>
    </row>
    <row r="1749" spans="1:4" s="948" customFormat="1" ht="11.25" customHeight="1" x14ac:dyDescent="0.2">
      <c r="A1749" s="1472" t="s">
        <v>1153</v>
      </c>
      <c r="B1749" s="949">
        <v>150</v>
      </c>
      <c r="C1749" s="949">
        <v>150</v>
      </c>
      <c r="D1749" s="882" t="s">
        <v>1111</v>
      </c>
    </row>
    <row r="1750" spans="1:4" s="948" customFormat="1" ht="11.25" customHeight="1" x14ac:dyDescent="0.2">
      <c r="A1750" s="1473"/>
      <c r="B1750" s="950">
        <v>150</v>
      </c>
      <c r="C1750" s="950">
        <v>150</v>
      </c>
      <c r="D1750" s="886" t="s">
        <v>11</v>
      </c>
    </row>
    <row r="1751" spans="1:4" s="948" customFormat="1" ht="11.25" customHeight="1" x14ac:dyDescent="0.2">
      <c r="A1751" s="1471" t="s">
        <v>3417</v>
      </c>
      <c r="B1751" s="947">
        <v>316.8</v>
      </c>
      <c r="C1751" s="947">
        <v>316.8</v>
      </c>
      <c r="D1751" s="880" t="s">
        <v>2745</v>
      </c>
    </row>
    <row r="1752" spans="1:4" s="948" customFormat="1" ht="11.25" customHeight="1" x14ac:dyDescent="0.2">
      <c r="A1752" s="1471"/>
      <c r="B1752" s="947">
        <v>316.8</v>
      </c>
      <c r="C1752" s="947">
        <v>316.8</v>
      </c>
      <c r="D1752" s="880" t="s">
        <v>11</v>
      </c>
    </row>
    <row r="1753" spans="1:4" s="948" customFormat="1" ht="11.25" customHeight="1" x14ac:dyDescent="0.2">
      <c r="A1753" s="1472" t="s">
        <v>949</v>
      </c>
      <c r="B1753" s="949">
        <v>160</v>
      </c>
      <c r="C1753" s="949">
        <v>160</v>
      </c>
      <c r="D1753" s="882" t="s">
        <v>3418</v>
      </c>
    </row>
    <row r="1754" spans="1:4" s="948" customFormat="1" ht="11.25" customHeight="1" x14ac:dyDescent="0.2">
      <c r="A1754" s="1473"/>
      <c r="B1754" s="950">
        <v>160</v>
      </c>
      <c r="C1754" s="950">
        <v>160</v>
      </c>
      <c r="D1754" s="886" t="s">
        <v>11</v>
      </c>
    </row>
    <row r="1755" spans="1:4" s="948" customFormat="1" ht="11.25" customHeight="1" x14ac:dyDescent="0.2">
      <c r="A1755" s="1471" t="s">
        <v>3419</v>
      </c>
      <c r="B1755" s="947">
        <v>50</v>
      </c>
      <c r="C1755" s="947">
        <v>50</v>
      </c>
      <c r="D1755" s="880" t="s">
        <v>2745</v>
      </c>
    </row>
    <row r="1756" spans="1:4" s="948" customFormat="1" ht="11.25" customHeight="1" x14ac:dyDescent="0.2">
      <c r="A1756" s="1471"/>
      <c r="B1756" s="947">
        <v>50</v>
      </c>
      <c r="C1756" s="947">
        <v>50</v>
      </c>
      <c r="D1756" s="880" t="s">
        <v>11</v>
      </c>
    </row>
    <row r="1757" spans="1:4" s="948" customFormat="1" ht="21" x14ac:dyDescent="0.2">
      <c r="A1757" s="1472" t="s">
        <v>3420</v>
      </c>
      <c r="B1757" s="949">
        <v>38.5</v>
      </c>
      <c r="C1757" s="949">
        <v>38.5</v>
      </c>
      <c r="D1757" s="882" t="s">
        <v>2737</v>
      </c>
    </row>
    <row r="1758" spans="1:4" s="948" customFormat="1" ht="11.25" customHeight="1" x14ac:dyDescent="0.2">
      <c r="A1758" s="1473"/>
      <c r="B1758" s="950">
        <v>38.5</v>
      </c>
      <c r="C1758" s="950">
        <v>38.5</v>
      </c>
      <c r="D1758" s="886" t="s">
        <v>11</v>
      </c>
    </row>
    <row r="1759" spans="1:4" s="948" customFormat="1" ht="11.25" customHeight="1" x14ac:dyDescent="0.2">
      <c r="A1759" s="1471" t="s">
        <v>1154</v>
      </c>
      <c r="B1759" s="947">
        <v>150</v>
      </c>
      <c r="C1759" s="947">
        <v>0</v>
      </c>
      <c r="D1759" s="880" t="s">
        <v>1111</v>
      </c>
    </row>
    <row r="1760" spans="1:4" s="948" customFormat="1" ht="11.25" customHeight="1" x14ac:dyDescent="0.2">
      <c r="A1760" s="1471"/>
      <c r="B1760" s="947">
        <v>150</v>
      </c>
      <c r="C1760" s="947">
        <v>0</v>
      </c>
      <c r="D1760" s="880" t="s">
        <v>11</v>
      </c>
    </row>
    <row r="1761" spans="1:4" s="948" customFormat="1" ht="11.25" customHeight="1" x14ac:dyDescent="0.2">
      <c r="A1761" s="1472" t="s">
        <v>3421</v>
      </c>
      <c r="B1761" s="949">
        <v>160</v>
      </c>
      <c r="C1761" s="949">
        <v>160</v>
      </c>
      <c r="D1761" s="882" t="s">
        <v>2745</v>
      </c>
    </row>
    <row r="1762" spans="1:4" s="948" customFormat="1" ht="11.25" customHeight="1" x14ac:dyDescent="0.2">
      <c r="A1762" s="1473"/>
      <c r="B1762" s="950">
        <v>160</v>
      </c>
      <c r="C1762" s="950">
        <v>160</v>
      </c>
      <c r="D1762" s="886" t="s">
        <v>11</v>
      </c>
    </row>
    <row r="1763" spans="1:4" s="948" customFormat="1" ht="11.25" customHeight="1" x14ac:dyDescent="0.2">
      <c r="A1763" s="1471" t="s">
        <v>3422</v>
      </c>
      <c r="B1763" s="947">
        <v>52.7</v>
      </c>
      <c r="C1763" s="947">
        <v>52.7</v>
      </c>
      <c r="D1763" s="880" t="s">
        <v>2770</v>
      </c>
    </row>
    <row r="1764" spans="1:4" s="948" customFormat="1" ht="11.25" customHeight="1" x14ac:dyDescent="0.2">
      <c r="A1764" s="1471"/>
      <c r="B1764" s="947">
        <v>52.7</v>
      </c>
      <c r="C1764" s="947">
        <v>52.7</v>
      </c>
      <c r="D1764" s="880" t="s">
        <v>11</v>
      </c>
    </row>
    <row r="1765" spans="1:4" s="948" customFormat="1" ht="11.25" customHeight="1" x14ac:dyDescent="0.2">
      <c r="A1765" s="1472" t="s">
        <v>1002</v>
      </c>
      <c r="B1765" s="949">
        <v>100</v>
      </c>
      <c r="C1765" s="949">
        <v>100</v>
      </c>
      <c r="D1765" s="882" t="s">
        <v>978</v>
      </c>
    </row>
    <row r="1766" spans="1:4" s="948" customFormat="1" ht="11.25" customHeight="1" x14ac:dyDescent="0.2">
      <c r="A1766" s="1473"/>
      <c r="B1766" s="950">
        <v>100</v>
      </c>
      <c r="C1766" s="950">
        <v>100</v>
      </c>
      <c r="D1766" s="886" t="s">
        <v>11</v>
      </c>
    </row>
    <row r="1767" spans="1:4" s="948" customFormat="1" ht="21" x14ac:dyDescent="0.2">
      <c r="A1767" s="1471" t="s">
        <v>3423</v>
      </c>
      <c r="B1767" s="947">
        <v>70</v>
      </c>
      <c r="C1767" s="947">
        <v>70</v>
      </c>
      <c r="D1767" s="880" t="s">
        <v>2737</v>
      </c>
    </row>
    <row r="1768" spans="1:4" s="948" customFormat="1" ht="11.25" customHeight="1" x14ac:dyDescent="0.2">
      <c r="A1768" s="1471"/>
      <c r="B1768" s="947">
        <v>35.9</v>
      </c>
      <c r="C1768" s="947">
        <v>35.9</v>
      </c>
      <c r="D1768" s="880" t="s">
        <v>2745</v>
      </c>
    </row>
    <row r="1769" spans="1:4" s="948" customFormat="1" ht="11.25" customHeight="1" x14ac:dyDescent="0.2">
      <c r="A1769" s="1471"/>
      <c r="B1769" s="947">
        <v>87</v>
      </c>
      <c r="C1769" s="947">
        <v>87</v>
      </c>
      <c r="D1769" s="880" t="s">
        <v>2770</v>
      </c>
    </row>
    <row r="1770" spans="1:4" s="948" customFormat="1" ht="11.25" customHeight="1" x14ac:dyDescent="0.2">
      <c r="A1770" s="1471"/>
      <c r="B1770" s="947">
        <v>192.9</v>
      </c>
      <c r="C1770" s="947">
        <v>192.9</v>
      </c>
      <c r="D1770" s="880" t="s">
        <v>11</v>
      </c>
    </row>
    <row r="1771" spans="1:4" s="948" customFormat="1" ht="11.25" customHeight="1" x14ac:dyDescent="0.2">
      <c r="A1771" s="1472" t="s">
        <v>3424</v>
      </c>
      <c r="B1771" s="949">
        <v>66</v>
      </c>
      <c r="C1771" s="949">
        <v>66</v>
      </c>
      <c r="D1771" s="882" t="s">
        <v>2745</v>
      </c>
    </row>
    <row r="1772" spans="1:4" s="948" customFormat="1" ht="11.25" customHeight="1" x14ac:dyDescent="0.2">
      <c r="A1772" s="1473"/>
      <c r="B1772" s="950">
        <v>66</v>
      </c>
      <c r="C1772" s="950">
        <v>66</v>
      </c>
      <c r="D1772" s="886" t="s">
        <v>11</v>
      </c>
    </row>
    <row r="1773" spans="1:4" s="948" customFormat="1" ht="11.25" customHeight="1" x14ac:dyDescent="0.2">
      <c r="A1773" s="1471" t="s">
        <v>3425</v>
      </c>
      <c r="B1773" s="947">
        <v>83.2</v>
      </c>
      <c r="C1773" s="947">
        <v>83.2</v>
      </c>
      <c r="D1773" s="880" t="s">
        <v>2745</v>
      </c>
    </row>
    <row r="1774" spans="1:4" s="948" customFormat="1" ht="11.25" customHeight="1" x14ac:dyDescent="0.2">
      <c r="A1774" s="1471"/>
      <c r="B1774" s="947">
        <v>83.2</v>
      </c>
      <c r="C1774" s="947">
        <v>83.2</v>
      </c>
      <c r="D1774" s="880" t="s">
        <v>11</v>
      </c>
    </row>
    <row r="1775" spans="1:4" s="948" customFormat="1" ht="11.25" customHeight="1" x14ac:dyDescent="0.2">
      <c r="A1775" s="1472" t="s">
        <v>1155</v>
      </c>
      <c r="B1775" s="949">
        <v>30</v>
      </c>
      <c r="C1775" s="949">
        <v>30</v>
      </c>
      <c r="D1775" s="882" t="s">
        <v>1111</v>
      </c>
    </row>
    <row r="1776" spans="1:4" s="948" customFormat="1" ht="11.25" customHeight="1" x14ac:dyDescent="0.2">
      <c r="A1776" s="1473"/>
      <c r="B1776" s="950">
        <v>30</v>
      </c>
      <c r="C1776" s="950">
        <v>30</v>
      </c>
      <c r="D1776" s="886" t="s">
        <v>11</v>
      </c>
    </row>
    <row r="1777" spans="1:4" s="948" customFormat="1" ht="11.25" customHeight="1" x14ac:dyDescent="0.2">
      <c r="A1777" s="1471" t="s">
        <v>3426</v>
      </c>
      <c r="B1777" s="947">
        <v>218</v>
      </c>
      <c r="C1777" s="947">
        <v>218</v>
      </c>
      <c r="D1777" s="880" t="s">
        <v>2745</v>
      </c>
    </row>
    <row r="1778" spans="1:4" s="948" customFormat="1" ht="11.25" customHeight="1" x14ac:dyDescent="0.2">
      <c r="A1778" s="1471"/>
      <c r="B1778" s="947">
        <v>218</v>
      </c>
      <c r="C1778" s="947">
        <v>218</v>
      </c>
      <c r="D1778" s="880" t="s">
        <v>11</v>
      </c>
    </row>
    <row r="1779" spans="1:4" s="948" customFormat="1" ht="11.25" customHeight="1" x14ac:dyDescent="0.2">
      <c r="A1779" s="1472" t="s">
        <v>3427</v>
      </c>
      <c r="B1779" s="949">
        <v>104</v>
      </c>
      <c r="C1779" s="949">
        <v>104</v>
      </c>
      <c r="D1779" s="882" t="s">
        <v>2745</v>
      </c>
    </row>
    <row r="1780" spans="1:4" s="948" customFormat="1" ht="11.25" customHeight="1" x14ac:dyDescent="0.2">
      <c r="A1780" s="1473"/>
      <c r="B1780" s="950">
        <v>104</v>
      </c>
      <c r="C1780" s="950">
        <v>104</v>
      </c>
      <c r="D1780" s="886" t="s">
        <v>11</v>
      </c>
    </row>
    <row r="1781" spans="1:4" s="948" customFormat="1" ht="11.25" customHeight="1" x14ac:dyDescent="0.2">
      <c r="A1781" s="1471" t="s">
        <v>3428</v>
      </c>
      <c r="B1781" s="947">
        <v>47.5</v>
      </c>
      <c r="C1781" s="947">
        <v>47.5</v>
      </c>
      <c r="D1781" s="880" t="s">
        <v>2745</v>
      </c>
    </row>
    <row r="1782" spans="1:4" s="948" customFormat="1" ht="11.25" customHeight="1" x14ac:dyDescent="0.2">
      <c r="A1782" s="1471"/>
      <c r="B1782" s="947">
        <v>47.5</v>
      </c>
      <c r="C1782" s="947">
        <v>47.5</v>
      </c>
      <c r="D1782" s="880" t="s">
        <v>11</v>
      </c>
    </row>
    <row r="1783" spans="1:4" s="948" customFormat="1" ht="11.25" customHeight="1" x14ac:dyDescent="0.2">
      <c r="A1783" s="1472" t="s">
        <v>3429</v>
      </c>
      <c r="B1783" s="949">
        <v>50</v>
      </c>
      <c r="C1783" s="949">
        <v>50</v>
      </c>
      <c r="D1783" s="882" t="s">
        <v>2745</v>
      </c>
    </row>
    <row r="1784" spans="1:4" s="948" customFormat="1" ht="11.25" customHeight="1" x14ac:dyDescent="0.2">
      <c r="A1784" s="1473"/>
      <c r="B1784" s="950">
        <v>50</v>
      </c>
      <c r="C1784" s="950">
        <v>50</v>
      </c>
      <c r="D1784" s="886" t="s">
        <v>11</v>
      </c>
    </row>
    <row r="1785" spans="1:4" s="948" customFormat="1" ht="11.25" customHeight="1" x14ac:dyDescent="0.2">
      <c r="A1785" s="1471" t="s">
        <v>3430</v>
      </c>
      <c r="B1785" s="947">
        <v>300</v>
      </c>
      <c r="C1785" s="947">
        <v>0</v>
      </c>
      <c r="D1785" s="880" t="s">
        <v>2862</v>
      </c>
    </row>
    <row r="1786" spans="1:4" s="948" customFormat="1" ht="11.25" customHeight="1" x14ac:dyDescent="0.2">
      <c r="A1786" s="1471"/>
      <c r="B1786" s="947">
        <v>300</v>
      </c>
      <c r="C1786" s="947">
        <v>0</v>
      </c>
      <c r="D1786" s="880" t="s">
        <v>11</v>
      </c>
    </row>
    <row r="1787" spans="1:4" s="948" customFormat="1" ht="11.25" customHeight="1" x14ac:dyDescent="0.2">
      <c r="A1787" s="1472" t="s">
        <v>3431</v>
      </c>
      <c r="B1787" s="949">
        <v>233.4</v>
      </c>
      <c r="C1787" s="949">
        <v>0</v>
      </c>
      <c r="D1787" s="882" t="s">
        <v>2747</v>
      </c>
    </row>
    <row r="1788" spans="1:4" s="948" customFormat="1" ht="11.25" customHeight="1" x14ac:dyDescent="0.2">
      <c r="A1788" s="1473"/>
      <c r="B1788" s="950">
        <v>233.4</v>
      </c>
      <c r="C1788" s="950">
        <v>0</v>
      </c>
      <c r="D1788" s="886" t="s">
        <v>11</v>
      </c>
    </row>
    <row r="1789" spans="1:4" s="948" customFormat="1" ht="11.25" customHeight="1" x14ac:dyDescent="0.2">
      <c r="A1789" s="1471" t="s">
        <v>3432</v>
      </c>
      <c r="B1789" s="947">
        <v>1550</v>
      </c>
      <c r="C1789" s="947">
        <v>1550</v>
      </c>
      <c r="D1789" s="880" t="s">
        <v>2735</v>
      </c>
    </row>
    <row r="1790" spans="1:4" s="948" customFormat="1" ht="11.25" customHeight="1" x14ac:dyDescent="0.2">
      <c r="A1790" s="1471"/>
      <c r="B1790" s="947">
        <v>1550</v>
      </c>
      <c r="C1790" s="947">
        <v>1550</v>
      </c>
      <c r="D1790" s="880" t="s">
        <v>11</v>
      </c>
    </row>
    <row r="1791" spans="1:4" s="948" customFormat="1" ht="11.25" customHeight="1" x14ac:dyDescent="0.2">
      <c r="A1791" s="1472" t="s">
        <v>3433</v>
      </c>
      <c r="B1791" s="949">
        <v>2411</v>
      </c>
      <c r="C1791" s="949">
        <v>2411</v>
      </c>
      <c r="D1791" s="882" t="s">
        <v>2735</v>
      </c>
    </row>
    <row r="1792" spans="1:4" s="948" customFormat="1" ht="11.25" customHeight="1" x14ac:dyDescent="0.2">
      <c r="A1792" s="1473"/>
      <c r="B1792" s="950">
        <v>2411</v>
      </c>
      <c r="C1792" s="950">
        <v>2411</v>
      </c>
      <c r="D1792" s="886" t="s">
        <v>11</v>
      </c>
    </row>
    <row r="1793" spans="1:4" s="948" customFormat="1" ht="11.25" customHeight="1" x14ac:dyDescent="0.2">
      <c r="A1793" s="1471" t="s">
        <v>3434</v>
      </c>
      <c r="B1793" s="947">
        <v>38883.740000000005</v>
      </c>
      <c r="C1793" s="947">
        <v>38883.736000000004</v>
      </c>
      <c r="D1793" s="880" t="s">
        <v>1458</v>
      </c>
    </row>
    <row r="1794" spans="1:4" s="948" customFormat="1" ht="11.25" customHeight="1" x14ac:dyDescent="0.2">
      <c r="A1794" s="1471"/>
      <c r="B1794" s="947">
        <v>945.85</v>
      </c>
      <c r="C1794" s="947">
        <v>945.84900000000005</v>
      </c>
      <c r="D1794" s="880" t="s">
        <v>1451</v>
      </c>
    </row>
    <row r="1795" spans="1:4" s="948" customFormat="1" ht="11.25" customHeight="1" x14ac:dyDescent="0.2">
      <c r="A1795" s="1471"/>
      <c r="B1795" s="947">
        <v>405.01</v>
      </c>
      <c r="C1795" s="947">
        <v>405.00599999999997</v>
      </c>
      <c r="D1795" s="880" t="s">
        <v>1454</v>
      </c>
    </row>
    <row r="1796" spans="1:4" s="948" customFormat="1" ht="11.25" customHeight="1" x14ac:dyDescent="0.2">
      <c r="A1796" s="1471"/>
      <c r="B1796" s="947">
        <v>40234.600000000006</v>
      </c>
      <c r="C1796" s="947">
        <v>40234.591000000008</v>
      </c>
      <c r="D1796" s="880" t="s">
        <v>11</v>
      </c>
    </row>
    <row r="1797" spans="1:4" s="948" customFormat="1" ht="11.25" customHeight="1" x14ac:dyDescent="0.2">
      <c r="A1797" s="1472" t="s">
        <v>3435</v>
      </c>
      <c r="B1797" s="949">
        <v>4420.59</v>
      </c>
      <c r="C1797" s="949">
        <v>4413.558</v>
      </c>
      <c r="D1797" s="882" t="s">
        <v>1458</v>
      </c>
    </row>
    <row r="1798" spans="1:4" s="948" customFormat="1" ht="11.25" customHeight="1" x14ac:dyDescent="0.2">
      <c r="A1798" s="1471"/>
      <c r="B1798" s="947">
        <v>47.35</v>
      </c>
      <c r="C1798" s="947">
        <v>47.353000000000002</v>
      </c>
      <c r="D1798" s="880" t="s">
        <v>1454</v>
      </c>
    </row>
    <row r="1799" spans="1:4" s="948" customFormat="1" ht="11.25" customHeight="1" x14ac:dyDescent="0.2">
      <c r="A1799" s="1473"/>
      <c r="B1799" s="950">
        <v>4467.9400000000005</v>
      </c>
      <c r="C1799" s="950">
        <v>4460.9110000000001</v>
      </c>
      <c r="D1799" s="886" t="s">
        <v>11</v>
      </c>
    </row>
    <row r="1800" spans="1:4" s="948" customFormat="1" ht="11.25" customHeight="1" x14ac:dyDescent="0.2">
      <c r="A1800" s="1471" t="s">
        <v>3436</v>
      </c>
      <c r="B1800" s="947">
        <v>9587.65</v>
      </c>
      <c r="C1800" s="947">
        <v>9580.869999999999</v>
      </c>
      <c r="D1800" s="880" t="s">
        <v>1458</v>
      </c>
    </row>
    <row r="1801" spans="1:4" s="948" customFormat="1" ht="11.25" customHeight="1" x14ac:dyDescent="0.2">
      <c r="A1801" s="1471"/>
      <c r="B1801" s="947">
        <v>92.45</v>
      </c>
      <c r="C1801" s="947">
        <v>92.447999999999993</v>
      </c>
      <c r="D1801" s="880" t="s">
        <v>1454</v>
      </c>
    </row>
    <row r="1802" spans="1:4" s="948" customFormat="1" ht="11.25" customHeight="1" x14ac:dyDescent="0.2">
      <c r="A1802" s="1471"/>
      <c r="B1802" s="947">
        <v>9680.1</v>
      </c>
      <c r="C1802" s="947">
        <v>9673.3179999999993</v>
      </c>
      <c r="D1802" s="880" t="s">
        <v>11</v>
      </c>
    </row>
    <row r="1803" spans="1:4" s="948" customFormat="1" ht="11.25" customHeight="1" x14ac:dyDescent="0.2">
      <c r="A1803" s="1472" t="s">
        <v>3437</v>
      </c>
      <c r="B1803" s="949">
        <v>8412.41</v>
      </c>
      <c r="C1803" s="949">
        <v>8412.4060000000009</v>
      </c>
      <c r="D1803" s="882" t="s">
        <v>1458</v>
      </c>
    </row>
    <row r="1804" spans="1:4" s="948" customFormat="1" ht="11.25" customHeight="1" x14ac:dyDescent="0.2">
      <c r="A1804" s="1471"/>
      <c r="B1804" s="947">
        <v>58.36</v>
      </c>
      <c r="C1804" s="947">
        <v>58.36</v>
      </c>
      <c r="D1804" s="880" t="s">
        <v>1454</v>
      </c>
    </row>
    <row r="1805" spans="1:4" s="948" customFormat="1" ht="11.25" customHeight="1" x14ac:dyDescent="0.2">
      <c r="A1805" s="1473"/>
      <c r="B1805" s="950">
        <v>8470.77</v>
      </c>
      <c r="C1805" s="950">
        <v>8470.7660000000014</v>
      </c>
      <c r="D1805" s="886" t="s">
        <v>11</v>
      </c>
    </row>
    <row r="1806" spans="1:4" s="948" customFormat="1" ht="11.25" customHeight="1" x14ac:dyDescent="0.2">
      <c r="A1806" s="1471" t="s">
        <v>3438</v>
      </c>
      <c r="B1806" s="947">
        <v>27623.22</v>
      </c>
      <c r="C1806" s="947">
        <v>27623.217000000001</v>
      </c>
      <c r="D1806" s="880" t="s">
        <v>1458</v>
      </c>
    </row>
    <row r="1807" spans="1:4" s="948" customFormat="1" ht="11.25" customHeight="1" x14ac:dyDescent="0.2">
      <c r="A1807" s="1471"/>
      <c r="B1807" s="947">
        <v>107.79</v>
      </c>
      <c r="C1807" s="947">
        <v>107.78574</v>
      </c>
      <c r="D1807" s="880" t="s">
        <v>2618</v>
      </c>
    </row>
    <row r="1808" spans="1:4" s="948" customFormat="1" ht="11.25" customHeight="1" x14ac:dyDescent="0.2">
      <c r="A1808" s="1471"/>
      <c r="B1808" s="947">
        <v>571.70000000000005</v>
      </c>
      <c r="C1808" s="947">
        <v>571.702</v>
      </c>
      <c r="D1808" s="880" t="s">
        <v>1451</v>
      </c>
    </row>
    <row r="1809" spans="1:4" s="948" customFormat="1" ht="11.25" customHeight="1" x14ac:dyDescent="0.2">
      <c r="A1809" s="1471"/>
      <c r="B1809" s="947">
        <v>179.86</v>
      </c>
      <c r="C1809" s="947">
        <v>179.863</v>
      </c>
      <c r="D1809" s="880" t="s">
        <v>1454</v>
      </c>
    </row>
    <row r="1810" spans="1:4" s="948" customFormat="1" ht="11.25" customHeight="1" x14ac:dyDescent="0.2">
      <c r="A1810" s="1471"/>
      <c r="B1810" s="947">
        <v>28482.570000000003</v>
      </c>
      <c r="C1810" s="947">
        <v>28482.567740000002</v>
      </c>
      <c r="D1810" s="880" t="s">
        <v>11</v>
      </c>
    </row>
    <row r="1811" spans="1:4" s="948" customFormat="1" ht="11.25" customHeight="1" x14ac:dyDescent="0.2">
      <c r="A1811" s="1472" t="s">
        <v>3439</v>
      </c>
      <c r="B1811" s="949">
        <v>3480.2300000000005</v>
      </c>
      <c r="C1811" s="949">
        <v>3476.5680000000002</v>
      </c>
      <c r="D1811" s="882" t="s">
        <v>1458</v>
      </c>
    </row>
    <row r="1812" spans="1:4" s="948" customFormat="1" ht="11.25" customHeight="1" x14ac:dyDescent="0.2">
      <c r="A1812" s="1471"/>
      <c r="B1812" s="947">
        <v>142.99</v>
      </c>
      <c r="C1812" s="947">
        <v>142.98151999999999</v>
      </c>
      <c r="D1812" s="880" t="s">
        <v>2618</v>
      </c>
    </row>
    <row r="1813" spans="1:4" s="948" customFormat="1" ht="11.25" customHeight="1" x14ac:dyDescent="0.2">
      <c r="A1813" s="1471"/>
      <c r="B1813" s="947">
        <v>53.1</v>
      </c>
      <c r="C1813" s="947">
        <v>53.095999999999997</v>
      </c>
      <c r="D1813" s="880" t="s">
        <v>1454</v>
      </c>
    </row>
    <row r="1814" spans="1:4" s="948" customFormat="1" ht="11.25" customHeight="1" x14ac:dyDescent="0.2">
      <c r="A1814" s="1473"/>
      <c r="B1814" s="950">
        <v>3676.32</v>
      </c>
      <c r="C1814" s="950">
        <v>3672.64552</v>
      </c>
      <c r="D1814" s="886" t="s">
        <v>11</v>
      </c>
    </row>
    <row r="1815" spans="1:4" s="948" customFormat="1" ht="11.25" customHeight="1" x14ac:dyDescent="0.2">
      <c r="A1815" s="1471" t="s">
        <v>3440</v>
      </c>
      <c r="B1815" s="947">
        <v>22456.52</v>
      </c>
      <c r="C1815" s="947">
        <v>22456.512999999999</v>
      </c>
      <c r="D1815" s="880" t="s">
        <v>1458</v>
      </c>
    </row>
    <row r="1816" spans="1:4" s="948" customFormat="1" ht="11.25" customHeight="1" x14ac:dyDescent="0.2">
      <c r="A1816" s="1471"/>
      <c r="B1816" s="947">
        <v>248.44</v>
      </c>
      <c r="C1816" s="947">
        <v>248.441</v>
      </c>
      <c r="D1816" s="880" t="s">
        <v>1454</v>
      </c>
    </row>
    <row r="1817" spans="1:4" s="948" customFormat="1" ht="11.25" customHeight="1" x14ac:dyDescent="0.2">
      <c r="A1817" s="1471"/>
      <c r="B1817" s="947">
        <v>22704.959999999999</v>
      </c>
      <c r="C1817" s="947">
        <v>22704.953999999998</v>
      </c>
      <c r="D1817" s="880" t="s">
        <v>11</v>
      </c>
    </row>
    <row r="1818" spans="1:4" s="948" customFormat="1" ht="11.25" customHeight="1" x14ac:dyDescent="0.2">
      <c r="A1818" s="1472" t="s">
        <v>3441</v>
      </c>
      <c r="B1818" s="949">
        <v>15774.01</v>
      </c>
      <c r="C1818" s="949">
        <v>15748.45</v>
      </c>
      <c r="D1818" s="882" t="s">
        <v>1458</v>
      </c>
    </row>
    <row r="1819" spans="1:4" s="948" customFormat="1" ht="11.25" customHeight="1" x14ac:dyDescent="0.2">
      <c r="A1819" s="1471"/>
      <c r="B1819" s="947">
        <v>116.79</v>
      </c>
      <c r="C1819" s="947">
        <v>116.786</v>
      </c>
      <c r="D1819" s="880" t="s">
        <v>1454</v>
      </c>
    </row>
    <row r="1820" spans="1:4" s="948" customFormat="1" ht="11.25" customHeight="1" x14ac:dyDescent="0.2">
      <c r="A1820" s="1473"/>
      <c r="B1820" s="950">
        <v>15890.800000000001</v>
      </c>
      <c r="C1820" s="950">
        <v>15865.236000000001</v>
      </c>
      <c r="D1820" s="886" t="s">
        <v>11</v>
      </c>
    </row>
    <row r="1821" spans="1:4" s="948" customFormat="1" ht="11.25" customHeight="1" x14ac:dyDescent="0.2">
      <c r="A1821" s="1471" t="s">
        <v>3442</v>
      </c>
      <c r="B1821" s="947">
        <v>1222.03</v>
      </c>
      <c r="C1821" s="947">
        <v>1197.8899999999999</v>
      </c>
      <c r="D1821" s="880" t="s">
        <v>1458</v>
      </c>
    </row>
    <row r="1822" spans="1:4" s="948" customFormat="1" ht="11.25" customHeight="1" x14ac:dyDescent="0.2">
      <c r="A1822" s="1471"/>
      <c r="B1822" s="947">
        <v>6</v>
      </c>
      <c r="C1822" s="947">
        <v>6</v>
      </c>
      <c r="D1822" s="880" t="s">
        <v>1454</v>
      </c>
    </row>
    <row r="1823" spans="1:4" s="948" customFormat="1" ht="11.25" customHeight="1" x14ac:dyDescent="0.2">
      <c r="A1823" s="1471"/>
      <c r="B1823" s="947">
        <v>1228.03</v>
      </c>
      <c r="C1823" s="947">
        <v>1203.8899999999999</v>
      </c>
      <c r="D1823" s="880" t="s">
        <v>11</v>
      </c>
    </row>
    <row r="1824" spans="1:4" s="948" customFormat="1" ht="11.25" customHeight="1" x14ac:dyDescent="0.2">
      <c r="A1824" s="1472" t="s">
        <v>3443</v>
      </c>
      <c r="B1824" s="949">
        <v>11991.72</v>
      </c>
      <c r="C1824" s="949">
        <v>11979.664999999999</v>
      </c>
      <c r="D1824" s="882" t="s">
        <v>1458</v>
      </c>
    </row>
    <row r="1825" spans="1:4" s="948" customFormat="1" ht="11.25" customHeight="1" x14ac:dyDescent="0.2">
      <c r="A1825" s="1471"/>
      <c r="B1825" s="947">
        <v>28.98</v>
      </c>
      <c r="C1825" s="947">
        <v>28.98</v>
      </c>
      <c r="D1825" s="880" t="s">
        <v>1454</v>
      </c>
    </row>
    <row r="1826" spans="1:4" s="948" customFormat="1" ht="11.25" customHeight="1" x14ac:dyDescent="0.2">
      <c r="A1826" s="1473"/>
      <c r="B1826" s="950">
        <v>12020.699999999999</v>
      </c>
      <c r="C1826" s="950">
        <v>12008.644999999999</v>
      </c>
      <c r="D1826" s="886" t="s">
        <v>11</v>
      </c>
    </row>
    <row r="1827" spans="1:4" s="948" customFormat="1" ht="11.25" customHeight="1" x14ac:dyDescent="0.2">
      <c r="A1827" s="1472" t="s">
        <v>3444</v>
      </c>
      <c r="B1827" s="949">
        <v>28.4</v>
      </c>
      <c r="C1827" s="949">
        <v>24.140999999999998</v>
      </c>
      <c r="D1827" s="882" t="s">
        <v>1463</v>
      </c>
    </row>
    <row r="1828" spans="1:4" s="948" customFormat="1" ht="11.25" customHeight="1" x14ac:dyDescent="0.2">
      <c r="A1828" s="1471"/>
      <c r="B1828" s="947">
        <v>2028.5</v>
      </c>
      <c r="C1828" s="947">
        <v>2028.4970000000001</v>
      </c>
      <c r="D1828" s="880" t="s">
        <v>1458</v>
      </c>
    </row>
    <row r="1829" spans="1:4" s="948" customFormat="1" ht="11.25" customHeight="1" x14ac:dyDescent="0.2">
      <c r="A1829" s="1471"/>
      <c r="B1829" s="947">
        <v>9.8800000000000008</v>
      </c>
      <c r="C1829" s="947">
        <v>9.8840000000000003</v>
      </c>
      <c r="D1829" s="880" t="s">
        <v>1454</v>
      </c>
    </row>
    <row r="1830" spans="1:4" s="948" customFormat="1" ht="11.25" customHeight="1" x14ac:dyDescent="0.2">
      <c r="A1830" s="1473"/>
      <c r="B1830" s="950">
        <v>2066.7800000000002</v>
      </c>
      <c r="C1830" s="950">
        <v>2062.5219999999999</v>
      </c>
      <c r="D1830" s="886" t="s">
        <v>11</v>
      </c>
    </row>
    <row r="1831" spans="1:4" s="948" customFormat="1" ht="11.25" customHeight="1" x14ac:dyDescent="0.2">
      <c r="A1831" s="1472" t="s">
        <v>3445</v>
      </c>
      <c r="B1831" s="949">
        <v>7971.06</v>
      </c>
      <c r="C1831" s="949">
        <v>7959.0070000000005</v>
      </c>
      <c r="D1831" s="882" t="s">
        <v>1458</v>
      </c>
    </row>
    <row r="1832" spans="1:4" s="948" customFormat="1" ht="11.25" customHeight="1" x14ac:dyDescent="0.2">
      <c r="A1832" s="1471"/>
      <c r="B1832" s="947">
        <v>66.22</v>
      </c>
      <c r="C1832" s="947">
        <v>66.224000000000004</v>
      </c>
      <c r="D1832" s="880" t="s">
        <v>1454</v>
      </c>
    </row>
    <row r="1833" spans="1:4" s="948" customFormat="1" ht="11.25" customHeight="1" x14ac:dyDescent="0.2">
      <c r="A1833" s="1473"/>
      <c r="B1833" s="950">
        <v>8037.2800000000007</v>
      </c>
      <c r="C1833" s="950">
        <v>8025.2310000000007</v>
      </c>
      <c r="D1833" s="886" t="s">
        <v>11</v>
      </c>
    </row>
    <row r="1834" spans="1:4" s="948" customFormat="1" ht="11.25" customHeight="1" x14ac:dyDescent="0.2">
      <c r="A1834" s="1471" t="s">
        <v>1171</v>
      </c>
      <c r="B1834" s="947">
        <v>10</v>
      </c>
      <c r="C1834" s="947">
        <v>10</v>
      </c>
      <c r="D1834" s="880" t="s">
        <v>1161</v>
      </c>
    </row>
    <row r="1835" spans="1:4" s="948" customFormat="1" ht="11.25" customHeight="1" x14ac:dyDescent="0.2">
      <c r="A1835" s="1471"/>
      <c r="B1835" s="947">
        <v>10</v>
      </c>
      <c r="C1835" s="947">
        <v>10</v>
      </c>
      <c r="D1835" s="880" t="s">
        <v>11</v>
      </c>
    </row>
    <row r="1836" spans="1:4" s="948" customFormat="1" ht="11.25" customHeight="1" x14ac:dyDescent="0.2">
      <c r="A1836" s="1472" t="s">
        <v>4799</v>
      </c>
      <c r="B1836" s="949">
        <v>100</v>
      </c>
      <c r="C1836" s="949">
        <v>100</v>
      </c>
      <c r="D1836" s="882" t="s">
        <v>1111</v>
      </c>
    </row>
    <row r="1837" spans="1:4" s="948" customFormat="1" ht="11.25" customHeight="1" x14ac:dyDescent="0.2">
      <c r="A1837" s="1473"/>
      <c r="B1837" s="950">
        <v>100</v>
      </c>
      <c r="C1837" s="950">
        <v>100</v>
      </c>
      <c r="D1837" s="886" t="s">
        <v>11</v>
      </c>
    </row>
    <row r="1838" spans="1:4" s="948" customFormat="1" ht="11.25" customHeight="1" x14ac:dyDescent="0.2">
      <c r="A1838" s="1472" t="s">
        <v>4799</v>
      </c>
      <c r="B1838" s="947">
        <v>20</v>
      </c>
      <c r="C1838" s="947">
        <v>20</v>
      </c>
      <c r="D1838" s="880" t="s">
        <v>1337</v>
      </c>
    </row>
    <row r="1839" spans="1:4" s="948" customFormat="1" ht="11.25" customHeight="1" x14ac:dyDescent="0.2">
      <c r="A1839" s="1473"/>
      <c r="B1839" s="947">
        <v>20</v>
      </c>
      <c r="C1839" s="947">
        <v>20</v>
      </c>
      <c r="D1839" s="880" t="s">
        <v>11</v>
      </c>
    </row>
    <row r="1840" spans="1:4" s="948" customFormat="1" ht="11.25" customHeight="1" x14ac:dyDescent="0.2">
      <c r="A1840" s="1472" t="s">
        <v>3446</v>
      </c>
      <c r="B1840" s="949">
        <v>598.09</v>
      </c>
      <c r="C1840" s="949">
        <v>598.03932000000009</v>
      </c>
      <c r="D1840" s="882" t="s">
        <v>2618</v>
      </c>
    </row>
    <row r="1841" spans="1:4" s="948" customFormat="1" ht="11.25" customHeight="1" x14ac:dyDescent="0.2">
      <c r="A1841" s="1473"/>
      <c r="B1841" s="950">
        <v>598.09</v>
      </c>
      <c r="C1841" s="950">
        <v>598.03932000000009</v>
      </c>
      <c r="D1841" s="886" t="s">
        <v>11</v>
      </c>
    </row>
    <row r="1842" spans="1:4" s="948" customFormat="1" ht="11.25" customHeight="1" x14ac:dyDescent="0.2">
      <c r="A1842" s="1471" t="s">
        <v>3447</v>
      </c>
      <c r="B1842" s="947">
        <v>600</v>
      </c>
      <c r="C1842" s="947">
        <v>600</v>
      </c>
      <c r="D1842" s="880" t="s">
        <v>951</v>
      </c>
    </row>
    <row r="1843" spans="1:4" s="948" customFormat="1" ht="11.25" customHeight="1" x14ac:dyDescent="0.2">
      <c r="A1843" s="1471"/>
      <c r="B1843" s="947">
        <v>150</v>
      </c>
      <c r="C1843" s="947">
        <v>150</v>
      </c>
      <c r="D1843" s="880" t="s">
        <v>978</v>
      </c>
    </row>
    <row r="1844" spans="1:4" s="948" customFormat="1" ht="11.25" customHeight="1" x14ac:dyDescent="0.2">
      <c r="A1844" s="1471"/>
      <c r="B1844" s="947">
        <v>750</v>
      </c>
      <c r="C1844" s="947">
        <v>750</v>
      </c>
      <c r="D1844" s="880" t="s">
        <v>11</v>
      </c>
    </row>
    <row r="1845" spans="1:4" s="948" customFormat="1" ht="11.25" customHeight="1" x14ac:dyDescent="0.2">
      <c r="A1845" s="1472" t="s">
        <v>3448</v>
      </c>
      <c r="B1845" s="949">
        <v>21.8</v>
      </c>
      <c r="C1845" s="949">
        <v>21.8</v>
      </c>
      <c r="D1845" s="882" t="s">
        <v>2893</v>
      </c>
    </row>
    <row r="1846" spans="1:4" s="948" customFormat="1" ht="11.25" customHeight="1" x14ac:dyDescent="0.2">
      <c r="A1846" s="1473"/>
      <c r="B1846" s="950">
        <v>21.8</v>
      </c>
      <c r="C1846" s="950">
        <v>21.8</v>
      </c>
      <c r="D1846" s="886" t="s">
        <v>11</v>
      </c>
    </row>
    <row r="1847" spans="1:4" s="948" customFormat="1" ht="11.25" customHeight="1" x14ac:dyDescent="0.2">
      <c r="A1847" s="1471" t="s">
        <v>3449</v>
      </c>
      <c r="B1847" s="947">
        <v>70</v>
      </c>
      <c r="C1847" s="947">
        <v>70</v>
      </c>
      <c r="D1847" s="880" t="s">
        <v>2741</v>
      </c>
    </row>
    <row r="1848" spans="1:4" s="948" customFormat="1" ht="11.25" customHeight="1" x14ac:dyDescent="0.2">
      <c r="A1848" s="1471"/>
      <c r="B1848" s="947">
        <v>70</v>
      </c>
      <c r="C1848" s="947">
        <v>70</v>
      </c>
      <c r="D1848" s="880" t="s">
        <v>11</v>
      </c>
    </row>
    <row r="1849" spans="1:4" s="948" customFormat="1" ht="11.25" customHeight="1" x14ac:dyDescent="0.2">
      <c r="A1849" s="1472" t="s">
        <v>1012</v>
      </c>
      <c r="B1849" s="949">
        <v>50</v>
      </c>
      <c r="C1849" s="949">
        <v>50</v>
      </c>
      <c r="D1849" s="882" t="s">
        <v>1007</v>
      </c>
    </row>
    <row r="1850" spans="1:4" s="948" customFormat="1" ht="11.25" customHeight="1" x14ac:dyDescent="0.2">
      <c r="A1850" s="1473"/>
      <c r="B1850" s="950">
        <v>50</v>
      </c>
      <c r="C1850" s="950">
        <v>50</v>
      </c>
      <c r="D1850" s="886" t="s">
        <v>11</v>
      </c>
    </row>
    <row r="1851" spans="1:4" s="948" customFormat="1" ht="11.25" customHeight="1" x14ac:dyDescent="0.2">
      <c r="A1851" s="1471" t="s">
        <v>3450</v>
      </c>
      <c r="B1851" s="947">
        <v>20</v>
      </c>
      <c r="C1851" s="947">
        <v>20</v>
      </c>
      <c r="D1851" s="880" t="s">
        <v>2893</v>
      </c>
    </row>
    <row r="1852" spans="1:4" s="948" customFormat="1" ht="11.25" customHeight="1" x14ac:dyDescent="0.2">
      <c r="A1852" s="1471"/>
      <c r="B1852" s="947">
        <v>20</v>
      </c>
      <c r="C1852" s="947">
        <v>20</v>
      </c>
      <c r="D1852" s="880" t="s">
        <v>11</v>
      </c>
    </row>
    <row r="1853" spans="1:4" s="948" customFormat="1" ht="17.25" customHeight="1" x14ac:dyDescent="0.2">
      <c r="A1853" s="1472" t="s">
        <v>1105</v>
      </c>
      <c r="B1853" s="949">
        <v>12.2</v>
      </c>
      <c r="C1853" s="949">
        <v>9.7850000000000001</v>
      </c>
      <c r="D1853" s="882" t="s">
        <v>3451</v>
      </c>
    </row>
    <row r="1854" spans="1:4" s="948" customFormat="1" ht="17.25" customHeight="1" x14ac:dyDescent="0.2">
      <c r="A1854" s="1473"/>
      <c r="B1854" s="950">
        <v>12.2</v>
      </c>
      <c r="C1854" s="950">
        <v>9.7850000000000001</v>
      </c>
      <c r="D1854" s="886" t="s">
        <v>11</v>
      </c>
    </row>
    <row r="1855" spans="1:4" s="948" customFormat="1" ht="11.25" customHeight="1" x14ac:dyDescent="0.2">
      <c r="A1855" s="1471" t="s">
        <v>3452</v>
      </c>
      <c r="B1855" s="947">
        <v>395.46</v>
      </c>
      <c r="C1855" s="947">
        <v>395.45241999999996</v>
      </c>
      <c r="D1855" s="880" t="s">
        <v>2618</v>
      </c>
    </row>
    <row r="1856" spans="1:4" s="948" customFormat="1" ht="11.25" customHeight="1" x14ac:dyDescent="0.2">
      <c r="A1856" s="1471"/>
      <c r="B1856" s="947">
        <v>395.46</v>
      </c>
      <c r="C1856" s="947">
        <v>395.45241999999996</v>
      </c>
      <c r="D1856" s="880" t="s">
        <v>11</v>
      </c>
    </row>
    <row r="1857" spans="1:4" s="948" customFormat="1" ht="11.25" customHeight="1" x14ac:dyDescent="0.2">
      <c r="A1857" s="1472" t="s">
        <v>3453</v>
      </c>
      <c r="B1857" s="949">
        <v>69</v>
      </c>
      <c r="C1857" s="949">
        <v>69</v>
      </c>
      <c r="D1857" s="882" t="s">
        <v>2745</v>
      </c>
    </row>
    <row r="1858" spans="1:4" s="948" customFormat="1" ht="11.25" customHeight="1" x14ac:dyDescent="0.2">
      <c r="A1858" s="1473"/>
      <c r="B1858" s="950">
        <v>69</v>
      </c>
      <c r="C1858" s="950">
        <v>69</v>
      </c>
      <c r="D1858" s="886" t="s">
        <v>11</v>
      </c>
    </row>
    <row r="1859" spans="1:4" s="948" customFormat="1" ht="11.25" customHeight="1" x14ac:dyDescent="0.2">
      <c r="A1859" s="1472" t="s">
        <v>4799</v>
      </c>
      <c r="B1859" s="947">
        <v>20</v>
      </c>
      <c r="C1859" s="947">
        <v>20</v>
      </c>
      <c r="D1859" s="880" t="s">
        <v>1337</v>
      </c>
    </row>
    <row r="1860" spans="1:4" s="948" customFormat="1" ht="11.25" customHeight="1" x14ac:dyDescent="0.2">
      <c r="A1860" s="1473"/>
      <c r="B1860" s="947">
        <v>20</v>
      </c>
      <c r="C1860" s="947">
        <v>20</v>
      </c>
      <c r="D1860" s="880" t="s">
        <v>11</v>
      </c>
    </row>
    <row r="1861" spans="1:4" s="948" customFormat="1" ht="11.25" customHeight="1" x14ac:dyDescent="0.2">
      <c r="A1861" s="1472" t="s">
        <v>3454</v>
      </c>
      <c r="B1861" s="949">
        <v>564.12</v>
      </c>
      <c r="C1861" s="949">
        <v>564.08754999999996</v>
      </c>
      <c r="D1861" s="882" t="s">
        <v>2618</v>
      </c>
    </row>
    <row r="1862" spans="1:4" s="948" customFormat="1" ht="11.25" customHeight="1" x14ac:dyDescent="0.2">
      <c r="A1862" s="1471"/>
      <c r="B1862" s="947">
        <v>74.710000000000008</v>
      </c>
      <c r="C1862" s="947">
        <v>74.696879999999993</v>
      </c>
      <c r="D1862" s="880" t="s">
        <v>2602</v>
      </c>
    </row>
    <row r="1863" spans="1:4" s="948" customFormat="1" ht="11.25" customHeight="1" x14ac:dyDescent="0.2">
      <c r="A1863" s="1473"/>
      <c r="B1863" s="950">
        <v>638.83000000000004</v>
      </c>
      <c r="C1863" s="950">
        <v>638.78442999999993</v>
      </c>
      <c r="D1863" s="886" t="s">
        <v>11</v>
      </c>
    </row>
    <row r="1864" spans="1:4" s="948" customFormat="1" ht="11.25" customHeight="1" x14ac:dyDescent="0.2">
      <c r="A1864" s="1471" t="s">
        <v>3455</v>
      </c>
      <c r="B1864" s="947">
        <v>695</v>
      </c>
      <c r="C1864" s="947">
        <v>695</v>
      </c>
      <c r="D1864" s="880" t="s">
        <v>2735</v>
      </c>
    </row>
    <row r="1865" spans="1:4" s="948" customFormat="1" ht="11.25" customHeight="1" x14ac:dyDescent="0.2">
      <c r="A1865" s="1471"/>
      <c r="B1865" s="947">
        <v>695</v>
      </c>
      <c r="C1865" s="947">
        <v>695</v>
      </c>
      <c r="D1865" s="880" t="s">
        <v>11</v>
      </c>
    </row>
    <row r="1866" spans="1:4" s="948" customFormat="1" ht="11.25" customHeight="1" x14ac:dyDescent="0.2">
      <c r="A1866" s="1472" t="s">
        <v>3456</v>
      </c>
      <c r="B1866" s="949">
        <v>96</v>
      </c>
      <c r="C1866" s="949">
        <v>96</v>
      </c>
      <c r="D1866" s="882" t="s">
        <v>2745</v>
      </c>
    </row>
    <row r="1867" spans="1:4" s="948" customFormat="1" ht="11.25" customHeight="1" x14ac:dyDescent="0.2">
      <c r="A1867" s="1473"/>
      <c r="B1867" s="950">
        <v>96</v>
      </c>
      <c r="C1867" s="950">
        <v>96</v>
      </c>
      <c r="D1867" s="886" t="s">
        <v>11</v>
      </c>
    </row>
    <row r="1868" spans="1:4" s="948" customFormat="1" ht="11.25" customHeight="1" x14ac:dyDescent="0.2">
      <c r="A1868" s="1471" t="s">
        <v>3457</v>
      </c>
      <c r="B1868" s="947">
        <v>160</v>
      </c>
      <c r="C1868" s="947">
        <v>160</v>
      </c>
      <c r="D1868" s="880" t="s">
        <v>2745</v>
      </c>
    </row>
    <row r="1869" spans="1:4" s="948" customFormat="1" ht="11.25" customHeight="1" x14ac:dyDescent="0.2">
      <c r="A1869" s="1471"/>
      <c r="B1869" s="947">
        <v>160</v>
      </c>
      <c r="C1869" s="947">
        <v>160</v>
      </c>
      <c r="D1869" s="880" t="s">
        <v>11</v>
      </c>
    </row>
    <row r="1870" spans="1:4" s="948" customFormat="1" ht="11.25" customHeight="1" x14ac:dyDescent="0.2">
      <c r="A1870" s="1472" t="s">
        <v>3458</v>
      </c>
      <c r="B1870" s="949">
        <v>263.2</v>
      </c>
      <c r="C1870" s="949">
        <v>263.2</v>
      </c>
      <c r="D1870" s="882" t="s">
        <v>2745</v>
      </c>
    </row>
    <row r="1871" spans="1:4" s="948" customFormat="1" ht="11.25" customHeight="1" x14ac:dyDescent="0.2">
      <c r="A1871" s="1473"/>
      <c r="B1871" s="950">
        <v>263.2</v>
      </c>
      <c r="C1871" s="950">
        <v>263.2</v>
      </c>
      <c r="D1871" s="886" t="s">
        <v>11</v>
      </c>
    </row>
    <row r="1872" spans="1:4" s="948" customFormat="1" ht="11.25" customHeight="1" x14ac:dyDescent="0.2">
      <c r="A1872" s="1471" t="s">
        <v>3459</v>
      </c>
      <c r="B1872" s="947">
        <v>474.8</v>
      </c>
      <c r="C1872" s="947">
        <v>474.8</v>
      </c>
      <c r="D1872" s="880" t="s">
        <v>2745</v>
      </c>
    </row>
    <row r="1873" spans="1:4" s="948" customFormat="1" ht="11.25" customHeight="1" x14ac:dyDescent="0.2">
      <c r="A1873" s="1471"/>
      <c r="B1873" s="947">
        <v>474.8</v>
      </c>
      <c r="C1873" s="947">
        <v>474.8</v>
      </c>
      <c r="D1873" s="880" t="s">
        <v>11</v>
      </c>
    </row>
    <row r="1874" spans="1:4" s="948" customFormat="1" ht="21" x14ac:dyDescent="0.2">
      <c r="A1874" s="1472" t="s">
        <v>3460</v>
      </c>
      <c r="B1874" s="949">
        <v>100</v>
      </c>
      <c r="C1874" s="949">
        <v>100</v>
      </c>
      <c r="D1874" s="882" t="s">
        <v>2737</v>
      </c>
    </row>
    <row r="1875" spans="1:4" s="948" customFormat="1" ht="11.25" customHeight="1" x14ac:dyDescent="0.2">
      <c r="A1875" s="1473"/>
      <c r="B1875" s="950">
        <v>100</v>
      </c>
      <c r="C1875" s="950">
        <v>100</v>
      </c>
      <c r="D1875" s="886" t="s">
        <v>11</v>
      </c>
    </row>
    <row r="1876" spans="1:4" s="948" customFormat="1" ht="11.25" customHeight="1" x14ac:dyDescent="0.2">
      <c r="A1876" s="1471" t="s">
        <v>1156</v>
      </c>
      <c r="B1876" s="947">
        <v>100</v>
      </c>
      <c r="C1876" s="947">
        <v>100</v>
      </c>
      <c r="D1876" s="880" t="s">
        <v>1111</v>
      </c>
    </row>
    <row r="1877" spans="1:4" s="948" customFormat="1" ht="11.25" customHeight="1" x14ac:dyDescent="0.2">
      <c r="A1877" s="1471"/>
      <c r="B1877" s="947">
        <v>100</v>
      </c>
      <c r="C1877" s="947">
        <v>100</v>
      </c>
      <c r="D1877" s="880" t="s">
        <v>11</v>
      </c>
    </row>
    <row r="1878" spans="1:4" s="948" customFormat="1" ht="11.25" customHeight="1" x14ac:dyDescent="0.2">
      <c r="A1878" s="1472" t="s">
        <v>1046</v>
      </c>
      <c r="B1878" s="949">
        <v>310</v>
      </c>
      <c r="C1878" s="949">
        <v>310</v>
      </c>
      <c r="D1878" s="882" t="s">
        <v>1030</v>
      </c>
    </row>
    <row r="1879" spans="1:4" s="948" customFormat="1" ht="11.25" customHeight="1" x14ac:dyDescent="0.2">
      <c r="A1879" s="1473"/>
      <c r="B1879" s="950">
        <v>310</v>
      </c>
      <c r="C1879" s="950">
        <v>310</v>
      </c>
      <c r="D1879" s="886" t="s">
        <v>11</v>
      </c>
    </row>
    <row r="1880" spans="1:4" s="948" customFormat="1" ht="11.25" customHeight="1" x14ac:dyDescent="0.2">
      <c r="A1880" s="1471" t="s">
        <v>3461</v>
      </c>
      <c r="B1880" s="947">
        <v>320</v>
      </c>
      <c r="C1880" s="947">
        <v>320</v>
      </c>
      <c r="D1880" s="880" t="s">
        <v>2745</v>
      </c>
    </row>
    <row r="1881" spans="1:4" s="948" customFormat="1" ht="11.25" customHeight="1" x14ac:dyDescent="0.2">
      <c r="A1881" s="1471"/>
      <c r="B1881" s="947">
        <v>320</v>
      </c>
      <c r="C1881" s="947">
        <v>320</v>
      </c>
      <c r="D1881" s="880" t="s">
        <v>11</v>
      </c>
    </row>
    <row r="1882" spans="1:4" s="948" customFormat="1" ht="11.25" customHeight="1" x14ac:dyDescent="0.2">
      <c r="A1882" s="1472" t="s">
        <v>1024</v>
      </c>
      <c r="B1882" s="949">
        <v>10</v>
      </c>
      <c r="C1882" s="949">
        <v>10</v>
      </c>
      <c r="D1882" s="882" t="s">
        <v>3462</v>
      </c>
    </row>
    <row r="1883" spans="1:4" s="948" customFormat="1" ht="11.25" customHeight="1" x14ac:dyDescent="0.2">
      <c r="A1883" s="1473"/>
      <c r="B1883" s="950">
        <v>10</v>
      </c>
      <c r="C1883" s="950">
        <v>10</v>
      </c>
      <c r="D1883" s="886" t="s">
        <v>11</v>
      </c>
    </row>
    <row r="1884" spans="1:4" s="948" customFormat="1" ht="11.25" customHeight="1" x14ac:dyDescent="0.2">
      <c r="A1884" s="1471" t="s">
        <v>3463</v>
      </c>
      <c r="B1884" s="947">
        <v>57.5</v>
      </c>
      <c r="C1884" s="947">
        <v>57.5</v>
      </c>
      <c r="D1884" s="880" t="s">
        <v>2745</v>
      </c>
    </row>
    <row r="1885" spans="1:4" s="948" customFormat="1" ht="11.25" customHeight="1" x14ac:dyDescent="0.2">
      <c r="A1885" s="1471"/>
      <c r="B1885" s="947">
        <v>57.5</v>
      </c>
      <c r="C1885" s="947">
        <v>57.5</v>
      </c>
      <c r="D1885" s="880" t="s">
        <v>11</v>
      </c>
    </row>
    <row r="1886" spans="1:4" s="948" customFormat="1" ht="11.25" customHeight="1" x14ac:dyDescent="0.2">
      <c r="A1886" s="1472" t="s">
        <v>1157</v>
      </c>
      <c r="B1886" s="949">
        <v>160</v>
      </c>
      <c r="C1886" s="949">
        <v>160</v>
      </c>
      <c r="D1886" s="882" t="s">
        <v>2745</v>
      </c>
    </row>
    <row r="1887" spans="1:4" s="948" customFormat="1" ht="11.25" customHeight="1" x14ac:dyDescent="0.2">
      <c r="A1887" s="1471"/>
      <c r="B1887" s="947">
        <v>30</v>
      </c>
      <c r="C1887" s="947">
        <v>30</v>
      </c>
      <c r="D1887" s="880" t="s">
        <v>1111</v>
      </c>
    </row>
    <row r="1888" spans="1:4" s="948" customFormat="1" ht="11.25" customHeight="1" x14ac:dyDescent="0.2">
      <c r="A1888" s="1473"/>
      <c r="B1888" s="950">
        <v>190</v>
      </c>
      <c r="C1888" s="950">
        <v>190</v>
      </c>
      <c r="D1888" s="886" t="s">
        <v>11</v>
      </c>
    </row>
    <row r="1889" spans="1:4" s="948" customFormat="1" ht="11.25" customHeight="1" x14ac:dyDescent="0.2">
      <c r="A1889" s="1471" t="s">
        <v>3464</v>
      </c>
      <c r="B1889" s="947">
        <v>80</v>
      </c>
      <c r="C1889" s="947">
        <v>80</v>
      </c>
      <c r="D1889" s="880" t="s">
        <v>2745</v>
      </c>
    </row>
    <row r="1890" spans="1:4" s="948" customFormat="1" ht="11.25" customHeight="1" x14ac:dyDescent="0.2">
      <c r="A1890" s="1471"/>
      <c r="B1890" s="947">
        <v>80</v>
      </c>
      <c r="C1890" s="947">
        <v>80</v>
      </c>
      <c r="D1890" s="880" t="s">
        <v>11</v>
      </c>
    </row>
    <row r="1891" spans="1:4" s="948" customFormat="1" ht="11.25" customHeight="1" x14ac:dyDescent="0.2">
      <c r="A1891" s="1472" t="s">
        <v>3465</v>
      </c>
      <c r="B1891" s="949">
        <v>160</v>
      </c>
      <c r="C1891" s="949">
        <v>160</v>
      </c>
      <c r="D1891" s="882" t="s">
        <v>2745</v>
      </c>
    </row>
    <row r="1892" spans="1:4" s="948" customFormat="1" ht="11.25" customHeight="1" x14ac:dyDescent="0.2">
      <c r="A1892" s="1473"/>
      <c r="B1892" s="950">
        <v>160</v>
      </c>
      <c r="C1892" s="950">
        <v>160</v>
      </c>
      <c r="D1892" s="886" t="s">
        <v>11</v>
      </c>
    </row>
    <row r="1893" spans="1:4" s="948" customFormat="1" ht="11.25" customHeight="1" x14ac:dyDescent="0.2">
      <c r="A1893" s="1471" t="s">
        <v>3466</v>
      </c>
      <c r="B1893" s="947">
        <v>160</v>
      </c>
      <c r="C1893" s="947">
        <v>160</v>
      </c>
      <c r="D1893" s="880" t="s">
        <v>2745</v>
      </c>
    </row>
    <row r="1894" spans="1:4" s="948" customFormat="1" ht="11.25" customHeight="1" x14ac:dyDescent="0.2">
      <c r="A1894" s="1471"/>
      <c r="B1894" s="947">
        <v>160</v>
      </c>
      <c r="C1894" s="947">
        <v>160</v>
      </c>
      <c r="D1894" s="880" t="s">
        <v>11</v>
      </c>
    </row>
    <row r="1895" spans="1:4" s="948" customFormat="1" ht="11.25" customHeight="1" x14ac:dyDescent="0.2">
      <c r="A1895" s="1472" t="s">
        <v>3467</v>
      </c>
      <c r="B1895" s="949">
        <v>55</v>
      </c>
      <c r="C1895" s="949">
        <v>55</v>
      </c>
      <c r="D1895" s="882" t="s">
        <v>2745</v>
      </c>
    </row>
    <row r="1896" spans="1:4" s="948" customFormat="1" ht="11.25" customHeight="1" x14ac:dyDescent="0.2">
      <c r="A1896" s="1473"/>
      <c r="B1896" s="950">
        <v>55</v>
      </c>
      <c r="C1896" s="950">
        <v>55</v>
      </c>
      <c r="D1896" s="886" t="s">
        <v>11</v>
      </c>
    </row>
    <row r="1897" spans="1:4" s="948" customFormat="1" ht="11.25" customHeight="1" x14ac:dyDescent="0.2">
      <c r="A1897" s="1471" t="s">
        <v>3468</v>
      </c>
      <c r="B1897" s="947">
        <v>103.11</v>
      </c>
      <c r="C1897" s="947">
        <v>103.101</v>
      </c>
      <c r="D1897" s="880" t="s">
        <v>2745</v>
      </c>
    </row>
    <row r="1898" spans="1:4" s="948" customFormat="1" ht="11.25" customHeight="1" x14ac:dyDescent="0.2">
      <c r="A1898" s="1471"/>
      <c r="B1898" s="947">
        <v>103.11</v>
      </c>
      <c r="C1898" s="947">
        <v>103.101</v>
      </c>
      <c r="D1898" s="880" t="s">
        <v>11</v>
      </c>
    </row>
    <row r="1899" spans="1:4" s="948" customFormat="1" ht="11.25" customHeight="1" x14ac:dyDescent="0.2">
      <c r="A1899" s="1472" t="s">
        <v>3469</v>
      </c>
      <c r="B1899" s="949">
        <v>480</v>
      </c>
      <c r="C1899" s="949">
        <v>480</v>
      </c>
      <c r="D1899" s="882" t="s">
        <v>2745</v>
      </c>
    </row>
    <row r="1900" spans="1:4" s="948" customFormat="1" ht="11.25" customHeight="1" x14ac:dyDescent="0.2">
      <c r="A1900" s="1473"/>
      <c r="B1900" s="950">
        <v>480</v>
      </c>
      <c r="C1900" s="950">
        <v>480</v>
      </c>
      <c r="D1900" s="886" t="s">
        <v>11</v>
      </c>
    </row>
    <row r="1901" spans="1:4" s="948" customFormat="1" ht="11.25" customHeight="1" x14ac:dyDescent="0.2">
      <c r="A1901" s="1471" t="s">
        <v>3470</v>
      </c>
      <c r="B1901" s="947">
        <v>80</v>
      </c>
      <c r="C1901" s="947">
        <v>80</v>
      </c>
      <c r="D1901" s="880" t="s">
        <v>2745</v>
      </c>
    </row>
    <row r="1902" spans="1:4" s="948" customFormat="1" ht="11.25" customHeight="1" x14ac:dyDescent="0.2">
      <c r="A1902" s="1471"/>
      <c r="B1902" s="947">
        <v>80</v>
      </c>
      <c r="C1902" s="947">
        <v>80</v>
      </c>
      <c r="D1902" s="880" t="s">
        <v>11</v>
      </c>
    </row>
    <row r="1903" spans="1:4" s="948" customFormat="1" ht="11.25" customHeight="1" x14ac:dyDescent="0.2">
      <c r="A1903" s="1472" t="s">
        <v>3471</v>
      </c>
      <c r="B1903" s="949">
        <v>120</v>
      </c>
      <c r="C1903" s="949">
        <v>120</v>
      </c>
      <c r="D1903" s="882" t="s">
        <v>2745</v>
      </c>
    </row>
    <row r="1904" spans="1:4" s="948" customFormat="1" ht="11.25" customHeight="1" x14ac:dyDescent="0.2">
      <c r="A1904" s="1473"/>
      <c r="B1904" s="950">
        <v>120</v>
      </c>
      <c r="C1904" s="950">
        <v>120</v>
      </c>
      <c r="D1904" s="886" t="s">
        <v>11</v>
      </c>
    </row>
    <row r="1905" spans="1:4" s="948" customFormat="1" ht="11.25" customHeight="1" x14ac:dyDescent="0.2">
      <c r="A1905" s="1471" t="s">
        <v>3472</v>
      </c>
      <c r="B1905" s="947">
        <v>160</v>
      </c>
      <c r="C1905" s="947">
        <v>160</v>
      </c>
      <c r="D1905" s="880" t="s">
        <v>2745</v>
      </c>
    </row>
    <row r="1906" spans="1:4" s="948" customFormat="1" ht="11.25" customHeight="1" x14ac:dyDescent="0.2">
      <c r="A1906" s="1471"/>
      <c r="B1906" s="947">
        <v>160</v>
      </c>
      <c r="C1906" s="947">
        <v>160</v>
      </c>
      <c r="D1906" s="880" t="s">
        <v>11</v>
      </c>
    </row>
    <row r="1907" spans="1:4" s="948" customFormat="1" ht="11.25" customHeight="1" x14ac:dyDescent="0.2">
      <c r="A1907" s="1472" t="s">
        <v>3473</v>
      </c>
      <c r="B1907" s="949">
        <v>160</v>
      </c>
      <c r="C1907" s="949">
        <v>160</v>
      </c>
      <c r="D1907" s="882" t="s">
        <v>2745</v>
      </c>
    </row>
    <row r="1908" spans="1:4" s="948" customFormat="1" ht="11.25" customHeight="1" x14ac:dyDescent="0.2">
      <c r="A1908" s="1473"/>
      <c r="B1908" s="950">
        <v>160</v>
      </c>
      <c r="C1908" s="950">
        <v>160</v>
      </c>
      <c r="D1908" s="886" t="s">
        <v>11</v>
      </c>
    </row>
    <row r="1909" spans="1:4" s="948" customFormat="1" ht="11.25" customHeight="1" x14ac:dyDescent="0.2">
      <c r="A1909" s="1471" t="s">
        <v>3474</v>
      </c>
      <c r="B1909" s="947">
        <v>193.63000000000002</v>
      </c>
      <c r="C1909" s="947">
        <v>193.60085000000001</v>
      </c>
      <c r="D1909" s="880" t="s">
        <v>2618</v>
      </c>
    </row>
    <row r="1910" spans="1:4" s="948" customFormat="1" ht="11.25" customHeight="1" x14ac:dyDescent="0.2">
      <c r="A1910" s="1471"/>
      <c r="B1910" s="947">
        <v>193.63000000000002</v>
      </c>
      <c r="C1910" s="947">
        <v>193.60085000000001</v>
      </c>
      <c r="D1910" s="880" t="s">
        <v>11</v>
      </c>
    </row>
    <row r="1911" spans="1:4" s="948" customFormat="1" ht="11.25" customHeight="1" x14ac:dyDescent="0.2">
      <c r="A1911" s="1472" t="s">
        <v>3475</v>
      </c>
      <c r="B1911" s="949">
        <v>82.5</v>
      </c>
      <c r="C1911" s="949">
        <v>82.5</v>
      </c>
      <c r="D1911" s="882" t="s">
        <v>2862</v>
      </c>
    </row>
    <row r="1912" spans="1:4" s="948" customFormat="1" ht="11.25" customHeight="1" x14ac:dyDescent="0.2">
      <c r="A1912" s="1473"/>
      <c r="B1912" s="950">
        <v>82.5</v>
      </c>
      <c r="C1912" s="950">
        <v>82.5</v>
      </c>
      <c r="D1912" s="886" t="s">
        <v>11</v>
      </c>
    </row>
    <row r="1913" spans="1:4" s="948" customFormat="1" ht="11.25" customHeight="1" x14ac:dyDescent="0.2">
      <c r="A1913" s="1471" t="s">
        <v>3476</v>
      </c>
      <c r="B1913" s="947">
        <v>297.10000000000002</v>
      </c>
      <c r="C1913" s="947">
        <v>296.90147000000002</v>
      </c>
      <c r="D1913" s="880" t="s">
        <v>2619</v>
      </c>
    </row>
    <row r="1914" spans="1:4" s="948" customFormat="1" ht="11.25" customHeight="1" x14ac:dyDescent="0.2">
      <c r="A1914" s="1471"/>
      <c r="B1914" s="947">
        <v>297.10000000000002</v>
      </c>
      <c r="C1914" s="947">
        <v>296.90147000000002</v>
      </c>
      <c r="D1914" s="880" t="s">
        <v>11</v>
      </c>
    </row>
    <row r="1915" spans="1:4" s="948" customFormat="1" ht="11.25" customHeight="1" x14ac:dyDescent="0.2">
      <c r="A1915" s="1472" t="s">
        <v>3477</v>
      </c>
      <c r="B1915" s="949">
        <v>273</v>
      </c>
      <c r="C1915" s="949">
        <v>136.5</v>
      </c>
      <c r="D1915" s="882" t="s">
        <v>2862</v>
      </c>
    </row>
    <row r="1916" spans="1:4" s="948" customFormat="1" ht="11.25" customHeight="1" x14ac:dyDescent="0.2">
      <c r="A1916" s="1473"/>
      <c r="B1916" s="950">
        <v>273</v>
      </c>
      <c r="C1916" s="950">
        <v>136.5</v>
      </c>
      <c r="D1916" s="886" t="s">
        <v>11</v>
      </c>
    </row>
    <row r="1917" spans="1:4" s="948" customFormat="1" ht="11.25" customHeight="1" x14ac:dyDescent="0.2">
      <c r="A1917" s="1471" t="s">
        <v>3478</v>
      </c>
      <c r="B1917" s="947">
        <v>88</v>
      </c>
      <c r="C1917" s="947">
        <v>88</v>
      </c>
      <c r="D1917" s="880" t="s">
        <v>2745</v>
      </c>
    </row>
    <row r="1918" spans="1:4" s="948" customFormat="1" ht="11.25" customHeight="1" x14ac:dyDescent="0.2">
      <c r="A1918" s="1471"/>
      <c r="B1918" s="947">
        <v>88</v>
      </c>
      <c r="C1918" s="947">
        <v>88</v>
      </c>
      <c r="D1918" s="880" t="s">
        <v>11</v>
      </c>
    </row>
    <row r="1919" spans="1:4" s="948" customFormat="1" ht="11.25" customHeight="1" x14ac:dyDescent="0.2">
      <c r="A1919" s="1472" t="s">
        <v>3479</v>
      </c>
      <c r="B1919" s="949">
        <v>50</v>
      </c>
      <c r="C1919" s="949">
        <v>50</v>
      </c>
      <c r="D1919" s="882" t="s">
        <v>2745</v>
      </c>
    </row>
    <row r="1920" spans="1:4" s="948" customFormat="1" ht="11.25" customHeight="1" x14ac:dyDescent="0.2">
      <c r="A1920" s="1473"/>
      <c r="B1920" s="950">
        <v>50</v>
      </c>
      <c r="C1920" s="950">
        <v>50</v>
      </c>
      <c r="D1920" s="886" t="s">
        <v>11</v>
      </c>
    </row>
    <row r="1921" spans="1:4" s="948" customFormat="1" ht="11.25" customHeight="1" x14ac:dyDescent="0.2">
      <c r="A1921" s="1472" t="s">
        <v>3480</v>
      </c>
      <c r="B1921" s="949">
        <v>40</v>
      </c>
      <c r="C1921" s="949">
        <v>38.218000000000004</v>
      </c>
      <c r="D1921" s="882" t="s">
        <v>2745</v>
      </c>
    </row>
    <row r="1922" spans="1:4" s="948" customFormat="1" ht="11.25" customHeight="1" x14ac:dyDescent="0.2">
      <c r="A1922" s="1473"/>
      <c r="B1922" s="950">
        <v>40</v>
      </c>
      <c r="C1922" s="950">
        <v>38.218000000000004</v>
      </c>
      <c r="D1922" s="886" t="s">
        <v>11</v>
      </c>
    </row>
    <row r="1923" spans="1:4" s="948" customFormat="1" ht="11.25" customHeight="1" x14ac:dyDescent="0.2">
      <c r="A1923" s="1472" t="s">
        <v>3481</v>
      </c>
      <c r="B1923" s="949">
        <v>29.4</v>
      </c>
      <c r="C1923" s="949">
        <v>26.529</v>
      </c>
      <c r="D1923" s="882" t="s">
        <v>2745</v>
      </c>
    </row>
    <row r="1924" spans="1:4" s="948" customFormat="1" ht="11.25" customHeight="1" x14ac:dyDescent="0.2">
      <c r="A1924" s="1473"/>
      <c r="B1924" s="950">
        <v>29.4</v>
      </c>
      <c r="C1924" s="950">
        <v>26.529</v>
      </c>
      <c r="D1924" s="886" t="s">
        <v>11</v>
      </c>
    </row>
    <row r="1925" spans="1:4" s="948" customFormat="1" ht="11.25" customHeight="1" x14ac:dyDescent="0.2">
      <c r="A1925" s="1471" t="s">
        <v>1047</v>
      </c>
      <c r="B1925" s="947">
        <v>60</v>
      </c>
      <c r="C1925" s="947">
        <v>60</v>
      </c>
      <c r="D1925" s="880" t="s">
        <v>1030</v>
      </c>
    </row>
    <row r="1926" spans="1:4" s="948" customFormat="1" ht="11.25" customHeight="1" x14ac:dyDescent="0.2">
      <c r="A1926" s="1471"/>
      <c r="B1926" s="947">
        <v>60</v>
      </c>
      <c r="C1926" s="947">
        <v>60</v>
      </c>
      <c r="D1926" s="880" t="s">
        <v>11</v>
      </c>
    </row>
    <row r="1927" spans="1:4" s="948" customFormat="1" ht="11.25" customHeight="1" x14ac:dyDescent="0.2">
      <c r="A1927" s="1472" t="s">
        <v>3482</v>
      </c>
      <c r="B1927" s="949">
        <v>39.799999999999997</v>
      </c>
      <c r="C1927" s="949">
        <v>39.799999999999997</v>
      </c>
      <c r="D1927" s="882" t="s">
        <v>2745</v>
      </c>
    </row>
    <row r="1928" spans="1:4" s="948" customFormat="1" ht="11.25" customHeight="1" x14ac:dyDescent="0.2">
      <c r="A1928" s="1473"/>
      <c r="B1928" s="950">
        <v>39.799999999999997</v>
      </c>
      <c r="C1928" s="950">
        <v>39.799999999999997</v>
      </c>
      <c r="D1928" s="886" t="s">
        <v>11</v>
      </c>
    </row>
    <row r="1929" spans="1:4" s="948" customFormat="1" ht="11.25" customHeight="1" x14ac:dyDescent="0.2">
      <c r="A1929" s="1471" t="s">
        <v>1073</v>
      </c>
      <c r="B1929" s="947">
        <v>30</v>
      </c>
      <c r="C1929" s="947">
        <v>0</v>
      </c>
      <c r="D1929" s="880" t="s">
        <v>1056</v>
      </c>
    </row>
    <row r="1930" spans="1:4" s="948" customFormat="1" ht="11.25" customHeight="1" x14ac:dyDescent="0.2">
      <c r="A1930" s="1471"/>
      <c r="B1930" s="947">
        <v>30</v>
      </c>
      <c r="C1930" s="947">
        <v>0</v>
      </c>
      <c r="D1930" s="880" t="s">
        <v>11</v>
      </c>
    </row>
    <row r="1931" spans="1:4" s="948" customFormat="1" ht="11.25" customHeight="1" x14ac:dyDescent="0.2">
      <c r="A1931" s="1472" t="s">
        <v>3483</v>
      </c>
      <c r="B1931" s="949">
        <v>42.9</v>
      </c>
      <c r="C1931" s="949">
        <v>34.295999999999999</v>
      </c>
      <c r="D1931" s="882" t="s">
        <v>2745</v>
      </c>
    </row>
    <row r="1932" spans="1:4" s="948" customFormat="1" ht="11.25" customHeight="1" x14ac:dyDescent="0.2">
      <c r="A1932" s="1473"/>
      <c r="B1932" s="950">
        <v>42.9</v>
      </c>
      <c r="C1932" s="950">
        <v>34.295999999999999</v>
      </c>
      <c r="D1932" s="886" t="s">
        <v>11</v>
      </c>
    </row>
    <row r="1933" spans="1:4" s="948" customFormat="1" ht="11.25" customHeight="1" x14ac:dyDescent="0.2">
      <c r="A1933" s="1471" t="s">
        <v>3484</v>
      </c>
      <c r="B1933" s="947">
        <v>31.5</v>
      </c>
      <c r="C1933" s="947">
        <v>31.5</v>
      </c>
      <c r="D1933" s="880" t="s">
        <v>2738</v>
      </c>
    </row>
    <row r="1934" spans="1:4" s="948" customFormat="1" ht="11.25" customHeight="1" x14ac:dyDescent="0.2">
      <c r="A1934" s="1471"/>
      <c r="B1934" s="947">
        <v>31.5</v>
      </c>
      <c r="C1934" s="947">
        <v>31.5</v>
      </c>
      <c r="D1934" s="880" t="s">
        <v>11</v>
      </c>
    </row>
    <row r="1935" spans="1:4" s="948" customFormat="1" ht="11.25" customHeight="1" x14ac:dyDescent="0.2">
      <c r="A1935" s="1472" t="s">
        <v>1158</v>
      </c>
      <c r="B1935" s="949">
        <v>2000</v>
      </c>
      <c r="C1935" s="949">
        <v>2000</v>
      </c>
      <c r="D1935" s="882" t="s">
        <v>1111</v>
      </c>
    </row>
    <row r="1936" spans="1:4" s="948" customFormat="1" ht="11.25" customHeight="1" x14ac:dyDescent="0.2">
      <c r="A1936" s="1473"/>
      <c r="B1936" s="950">
        <v>2000</v>
      </c>
      <c r="C1936" s="950">
        <v>2000</v>
      </c>
      <c r="D1936" s="886" t="s">
        <v>11</v>
      </c>
    </row>
    <row r="1937" spans="1:4" s="948" customFormat="1" ht="11.25" customHeight="1" x14ac:dyDescent="0.2">
      <c r="A1937" s="1471" t="s">
        <v>967</v>
      </c>
      <c r="B1937" s="947">
        <v>350</v>
      </c>
      <c r="C1937" s="947">
        <v>350</v>
      </c>
      <c r="D1937" s="880" t="s">
        <v>951</v>
      </c>
    </row>
    <row r="1938" spans="1:4" s="948" customFormat="1" ht="11.25" customHeight="1" x14ac:dyDescent="0.2">
      <c r="A1938" s="1471"/>
      <c r="B1938" s="947">
        <v>350</v>
      </c>
      <c r="C1938" s="947">
        <v>350</v>
      </c>
      <c r="D1938" s="880" t="s">
        <v>11</v>
      </c>
    </row>
    <row r="1939" spans="1:4" s="948" customFormat="1" ht="11.25" customHeight="1" x14ac:dyDescent="0.2">
      <c r="A1939" s="1472" t="s">
        <v>3485</v>
      </c>
      <c r="B1939" s="949">
        <v>499.8</v>
      </c>
      <c r="C1939" s="949">
        <v>249.9</v>
      </c>
      <c r="D1939" s="882" t="s">
        <v>2747</v>
      </c>
    </row>
    <row r="1940" spans="1:4" s="948" customFormat="1" ht="11.25" customHeight="1" x14ac:dyDescent="0.2">
      <c r="A1940" s="1473"/>
      <c r="B1940" s="950">
        <v>499.8</v>
      </c>
      <c r="C1940" s="950">
        <v>249.9</v>
      </c>
      <c r="D1940" s="886" t="s">
        <v>11</v>
      </c>
    </row>
    <row r="1941" spans="1:4" s="948" customFormat="1" ht="11.25" customHeight="1" x14ac:dyDescent="0.2">
      <c r="A1941" s="1472" t="s">
        <v>4799</v>
      </c>
      <c r="B1941" s="947">
        <v>42</v>
      </c>
      <c r="C1941" s="947">
        <v>41.957999999999998</v>
      </c>
      <c r="D1941" s="880" t="s">
        <v>1337</v>
      </c>
    </row>
    <row r="1942" spans="1:4" s="948" customFormat="1" ht="11.25" customHeight="1" x14ac:dyDescent="0.2">
      <c r="A1942" s="1473"/>
      <c r="B1942" s="947">
        <v>42</v>
      </c>
      <c r="C1942" s="947">
        <v>41.957999999999998</v>
      </c>
      <c r="D1942" s="880" t="s">
        <v>11</v>
      </c>
    </row>
    <row r="1943" spans="1:4" s="948" customFormat="1" ht="11.25" customHeight="1" x14ac:dyDescent="0.2">
      <c r="A1943" s="1472" t="s">
        <v>1074</v>
      </c>
      <c r="B1943" s="949">
        <v>30</v>
      </c>
      <c r="C1943" s="949">
        <v>30</v>
      </c>
      <c r="D1943" s="882" t="s">
        <v>1056</v>
      </c>
    </row>
    <row r="1944" spans="1:4" s="948" customFormat="1" ht="11.25" customHeight="1" x14ac:dyDescent="0.2">
      <c r="A1944" s="1473"/>
      <c r="B1944" s="950">
        <v>30</v>
      </c>
      <c r="C1944" s="950">
        <v>30</v>
      </c>
      <c r="D1944" s="886" t="s">
        <v>11</v>
      </c>
    </row>
    <row r="1945" spans="1:4" s="948" customFormat="1" ht="11.25" customHeight="1" x14ac:dyDescent="0.2">
      <c r="A1945" s="1471" t="s">
        <v>3486</v>
      </c>
      <c r="B1945" s="947">
        <v>104</v>
      </c>
      <c r="C1945" s="947">
        <v>104</v>
      </c>
      <c r="D1945" s="880" t="s">
        <v>2862</v>
      </c>
    </row>
    <row r="1946" spans="1:4" s="948" customFormat="1" ht="11.25" customHeight="1" x14ac:dyDescent="0.2">
      <c r="A1946" s="1471"/>
      <c r="B1946" s="947">
        <v>17.75</v>
      </c>
      <c r="C1946" s="947">
        <v>17.75</v>
      </c>
      <c r="D1946" s="880" t="s">
        <v>2870</v>
      </c>
    </row>
    <row r="1947" spans="1:4" s="948" customFormat="1" ht="11.25" customHeight="1" x14ac:dyDescent="0.2">
      <c r="A1947" s="1471"/>
      <c r="B1947" s="947">
        <v>121.75</v>
      </c>
      <c r="C1947" s="947">
        <v>121.75</v>
      </c>
      <c r="D1947" s="880" t="s">
        <v>11</v>
      </c>
    </row>
    <row r="1948" spans="1:4" s="948" customFormat="1" ht="11.25" customHeight="1" x14ac:dyDescent="0.2">
      <c r="A1948" s="1472" t="s">
        <v>3487</v>
      </c>
      <c r="B1948" s="949">
        <v>85050</v>
      </c>
      <c r="C1948" s="949">
        <v>85050</v>
      </c>
      <c r="D1948" s="882" t="s">
        <v>2901</v>
      </c>
    </row>
    <row r="1949" spans="1:4" s="948" customFormat="1" ht="11.25" customHeight="1" x14ac:dyDescent="0.2">
      <c r="A1949" s="1473"/>
      <c r="B1949" s="950">
        <v>85050</v>
      </c>
      <c r="C1949" s="950">
        <v>85050</v>
      </c>
      <c r="D1949" s="886" t="s">
        <v>11</v>
      </c>
    </row>
    <row r="1950" spans="1:4" s="948" customFormat="1" ht="11.25" customHeight="1" x14ac:dyDescent="0.2">
      <c r="A1950" s="1471" t="s">
        <v>3488</v>
      </c>
      <c r="B1950" s="947">
        <v>203.9</v>
      </c>
      <c r="C1950" s="947">
        <v>0</v>
      </c>
      <c r="D1950" s="880" t="s">
        <v>2862</v>
      </c>
    </row>
    <row r="1951" spans="1:4" s="948" customFormat="1" ht="11.25" customHeight="1" x14ac:dyDescent="0.2">
      <c r="A1951" s="1471"/>
      <c r="B1951" s="947">
        <v>203.9</v>
      </c>
      <c r="C1951" s="947">
        <v>0</v>
      </c>
      <c r="D1951" s="880" t="s">
        <v>11</v>
      </c>
    </row>
    <row r="1952" spans="1:4" s="948" customFormat="1" ht="11.25" customHeight="1" x14ac:dyDescent="0.2">
      <c r="A1952" s="1472" t="s">
        <v>3489</v>
      </c>
      <c r="B1952" s="949">
        <v>50.2</v>
      </c>
      <c r="C1952" s="949">
        <v>50.2</v>
      </c>
      <c r="D1952" s="882" t="s">
        <v>2738</v>
      </c>
    </row>
    <row r="1953" spans="1:4" s="948" customFormat="1" ht="11.25" customHeight="1" x14ac:dyDescent="0.2">
      <c r="A1953" s="1473"/>
      <c r="B1953" s="950">
        <v>50.2</v>
      </c>
      <c r="C1953" s="950">
        <v>50.2</v>
      </c>
      <c r="D1953" s="886" t="s">
        <v>11</v>
      </c>
    </row>
    <row r="1954" spans="1:4" s="948" customFormat="1" ht="11.25" customHeight="1" x14ac:dyDescent="0.2">
      <c r="A1954" s="1472" t="s">
        <v>1106</v>
      </c>
      <c r="B1954" s="949">
        <v>200</v>
      </c>
      <c r="C1954" s="949">
        <v>0</v>
      </c>
      <c r="D1954" s="882" t="s">
        <v>3490</v>
      </c>
    </row>
    <row r="1955" spans="1:4" s="948" customFormat="1" ht="11.25" customHeight="1" x14ac:dyDescent="0.2">
      <c r="A1955" s="1473"/>
      <c r="B1955" s="950">
        <v>200</v>
      </c>
      <c r="C1955" s="950">
        <v>0</v>
      </c>
      <c r="D1955" s="886" t="s">
        <v>11</v>
      </c>
    </row>
    <row r="1956" spans="1:4" s="948" customFormat="1" ht="11.25" customHeight="1" x14ac:dyDescent="0.2">
      <c r="A1956" s="1471" t="s">
        <v>3491</v>
      </c>
      <c r="B1956" s="947">
        <v>1098.29</v>
      </c>
      <c r="C1956" s="947">
        <v>1095.7114300000001</v>
      </c>
      <c r="D1956" s="880" t="s">
        <v>2618</v>
      </c>
    </row>
    <row r="1957" spans="1:4" s="948" customFormat="1" ht="11.25" customHeight="1" x14ac:dyDescent="0.2">
      <c r="A1957" s="1471"/>
      <c r="B1957" s="947">
        <v>1098.29</v>
      </c>
      <c r="C1957" s="947">
        <v>1095.7114300000001</v>
      </c>
      <c r="D1957" s="880" t="s">
        <v>11</v>
      </c>
    </row>
    <row r="1958" spans="1:4" s="948" customFormat="1" ht="11.25" customHeight="1" x14ac:dyDescent="0.2">
      <c r="A1958" s="1472" t="s">
        <v>3492</v>
      </c>
      <c r="B1958" s="949">
        <v>116.09</v>
      </c>
      <c r="C1958" s="949">
        <v>116.07756999999998</v>
      </c>
      <c r="D1958" s="882" t="s">
        <v>2618</v>
      </c>
    </row>
    <row r="1959" spans="1:4" s="948" customFormat="1" ht="11.25" customHeight="1" x14ac:dyDescent="0.2">
      <c r="A1959" s="1473"/>
      <c r="B1959" s="950">
        <v>116.09</v>
      </c>
      <c r="C1959" s="950">
        <v>116.07756999999998</v>
      </c>
      <c r="D1959" s="886" t="s">
        <v>11</v>
      </c>
    </row>
    <row r="1960" spans="1:4" s="948" customFormat="1" ht="11.25" customHeight="1" x14ac:dyDescent="0.2">
      <c r="A1960" s="1471" t="s">
        <v>3493</v>
      </c>
      <c r="B1960" s="947">
        <v>296.5</v>
      </c>
      <c r="C1960" s="947">
        <v>148.25</v>
      </c>
      <c r="D1960" s="880" t="s">
        <v>2862</v>
      </c>
    </row>
    <row r="1961" spans="1:4" s="948" customFormat="1" ht="11.25" customHeight="1" x14ac:dyDescent="0.2">
      <c r="A1961" s="1471"/>
      <c r="B1961" s="947">
        <v>296.5</v>
      </c>
      <c r="C1961" s="947">
        <v>148.25</v>
      </c>
      <c r="D1961" s="880" t="s">
        <v>11</v>
      </c>
    </row>
    <row r="1962" spans="1:4" s="948" customFormat="1" ht="11.25" customHeight="1" x14ac:dyDescent="0.2">
      <c r="A1962" s="1472" t="s">
        <v>3494</v>
      </c>
      <c r="B1962" s="949">
        <v>646.15000000000009</v>
      </c>
      <c r="C1962" s="949">
        <v>646.12234999999998</v>
      </c>
      <c r="D1962" s="882" t="s">
        <v>2618</v>
      </c>
    </row>
    <row r="1963" spans="1:4" s="948" customFormat="1" ht="11.25" customHeight="1" x14ac:dyDescent="0.2">
      <c r="A1963" s="1473"/>
      <c r="B1963" s="950">
        <v>646.15000000000009</v>
      </c>
      <c r="C1963" s="950">
        <v>646.12234999999998</v>
      </c>
      <c r="D1963" s="886" t="s">
        <v>11</v>
      </c>
    </row>
    <row r="1964" spans="1:4" s="948" customFormat="1" ht="11.25" customHeight="1" x14ac:dyDescent="0.2">
      <c r="A1964" s="1471" t="s">
        <v>1159</v>
      </c>
      <c r="B1964" s="947">
        <v>500</v>
      </c>
      <c r="C1964" s="947">
        <v>500</v>
      </c>
      <c r="D1964" s="880" t="s">
        <v>1111</v>
      </c>
    </row>
    <row r="1965" spans="1:4" s="948" customFormat="1" ht="11.25" customHeight="1" x14ac:dyDescent="0.2">
      <c r="A1965" s="1471"/>
      <c r="B1965" s="947">
        <v>500</v>
      </c>
      <c r="C1965" s="947">
        <v>500</v>
      </c>
      <c r="D1965" s="880" t="s">
        <v>11</v>
      </c>
    </row>
    <row r="1966" spans="1:4" s="948" customFormat="1" ht="11.25" customHeight="1" x14ac:dyDescent="0.2">
      <c r="A1966" s="1472" t="s">
        <v>3495</v>
      </c>
      <c r="B1966" s="949">
        <v>1905.57</v>
      </c>
      <c r="C1966" s="949">
        <v>1905.5610000000001</v>
      </c>
      <c r="D1966" s="882" t="s">
        <v>1458</v>
      </c>
    </row>
    <row r="1967" spans="1:4" s="948" customFormat="1" ht="11.25" customHeight="1" x14ac:dyDescent="0.2">
      <c r="A1967" s="1471"/>
      <c r="B1967" s="947">
        <v>5.83</v>
      </c>
      <c r="C1967" s="947">
        <v>5.8289999999999997</v>
      </c>
      <c r="D1967" s="880" t="s">
        <v>1454</v>
      </c>
    </row>
    <row r="1968" spans="1:4" s="948" customFormat="1" ht="11.25" customHeight="1" x14ac:dyDescent="0.2">
      <c r="A1968" s="1473"/>
      <c r="B1968" s="950">
        <v>1911.3999999999999</v>
      </c>
      <c r="C1968" s="950">
        <v>1911.39</v>
      </c>
      <c r="D1968" s="886" t="s">
        <v>11</v>
      </c>
    </row>
    <row r="1969" spans="1:4" s="948" customFormat="1" ht="21" x14ac:dyDescent="0.2">
      <c r="A1969" s="1471" t="s">
        <v>3496</v>
      </c>
      <c r="B1969" s="947">
        <v>40.200000000000003</v>
      </c>
      <c r="C1969" s="947">
        <v>40.200000000000003</v>
      </c>
      <c r="D1969" s="880" t="s">
        <v>2737</v>
      </c>
    </row>
    <row r="1970" spans="1:4" s="948" customFormat="1" ht="11.25" customHeight="1" x14ac:dyDescent="0.2">
      <c r="A1970" s="1471"/>
      <c r="B1970" s="947">
        <v>40.200000000000003</v>
      </c>
      <c r="C1970" s="947">
        <v>40.200000000000003</v>
      </c>
      <c r="D1970" s="880" t="s">
        <v>11</v>
      </c>
    </row>
    <row r="1971" spans="1:4" s="948" customFormat="1" ht="21" x14ac:dyDescent="0.2">
      <c r="A1971" s="1472" t="s">
        <v>3497</v>
      </c>
      <c r="B1971" s="949">
        <v>30</v>
      </c>
      <c r="C1971" s="949">
        <v>30</v>
      </c>
      <c r="D1971" s="882" t="s">
        <v>2737</v>
      </c>
    </row>
    <row r="1972" spans="1:4" s="948" customFormat="1" ht="11.25" customHeight="1" x14ac:dyDescent="0.2">
      <c r="A1972" s="1473"/>
      <c r="B1972" s="950">
        <v>30</v>
      </c>
      <c r="C1972" s="950">
        <v>30</v>
      </c>
      <c r="D1972" s="886" t="s">
        <v>11</v>
      </c>
    </row>
    <row r="1973" spans="1:4" s="948" customFormat="1" ht="11.25" customHeight="1" x14ac:dyDescent="0.2">
      <c r="A1973" s="1471" t="s">
        <v>3498</v>
      </c>
      <c r="B1973" s="947">
        <v>1114</v>
      </c>
      <c r="C1973" s="947">
        <v>1114</v>
      </c>
      <c r="D1973" s="880" t="s">
        <v>2735</v>
      </c>
    </row>
    <row r="1974" spans="1:4" s="948" customFormat="1" ht="11.25" customHeight="1" x14ac:dyDescent="0.2">
      <c r="A1974" s="1471"/>
      <c r="B1974" s="947">
        <v>38.5</v>
      </c>
      <c r="C1974" s="947">
        <v>38.5</v>
      </c>
      <c r="D1974" s="880" t="s">
        <v>2886</v>
      </c>
    </row>
    <row r="1975" spans="1:4" s="948" customFormat="1" ht="11.25" customHeight="1" x14ac:dyDescent="0.2">
      <c r="A1975" s="1471"/>
      <c r="B1975" s="947">
        <v>1152.5</v>
      </c>
      <c r="C1975" s="947">
        <v>1152.5</v>
      </c>
      <c r="D1975" s="880" t="s">
        <v>11</v>
      </c>
    </row>
    <row r="1976" spans="1:4" s="948" customFormat="1" ht="11.25" customHeight="1" x14ac:dyDescent="0.2">
      <c r="A1976" s="1472" t="s">
        <v>3499</v>
      </c>
      <c r="B1976" s="949">
        <v>849</v>
      </c>
      <c r="C1976" s="949">
        <v>849</v>
      </c>
      <c r="D1976" s="882" t="s">
        <v>2735</v>
      </c>
    </row>
    <row r="1977" spans="1:4" s="948" customFormat="1" ht="11.25" customHeight="1" x14ac:dyDescent="0.2">
      <c r="A1977" s="1471"/>
      <c r="B1977" s="947">
        <v>62.9</v>
      </c>
      <c r="C1977" s="947">
        <v>62.9</v>
      </c>
      <c r="D1977" s="880" t="s">
        <v>2886</v>
      </c>
    </row>
    <row r="1978" spans="1:4" s="948" customFormat="1" ht="11.25" customHeight="1" x14ac:dyDescent="0.2">
      <c r="A1978" s="1473"/>
      <c r="B1978" s="950">
        <v>911.9</v>
      </c>
      <c r="C1978" s="950">
        <v>911.9</v>
      </c>
      <c r="D1978" s="886" t="s">
        <v>11</v>
      </c>
    </row>
    <row r="1979" spans="1:4" s="948" customFormat="1" ht="11.25" customHeight="1" x14ac:dyDescent="0.2">
      <c r="A1979" s="1471" t="s">
        <v>3500</v>
      </c>
      <c r="B1979" s="947">
        <v>1587</v>
      </c>
      <c r="C1979" s="947">
        <v>1587</v>
      </c>
      <c r="D1979" s="880" t="s">
        <v>2735</v>
      </c>
    </row>
    <row r="1980" spans="1:4" s="948" customFormat="1" ht="11.25" customHeight="1" x14ac:dyDescent="0.2">
      <c r="A1980" s="1471"/>
      <c r="B1980" s="947">
        <v>326.60000000000002</v>
      </c>
      <c r="C1980" s="947">
        <v>326.60000000000002</v>
      </c>
      <c r="D1980" s="880" t="s">
        <v>2886</v>
      </c>
    </row>
    <row r="1981" spans="1:4" s="948" customFormat="1" ht="21" x14ac:dyDescent="0.2">
      <c r="A1981" s="1471"/>
      <c r="B1981" s="947">
        <v>78.400000000000006</v>
      </c>
      <c r="C1981" s="947">
        <v>78.400000000000006</v>
      </c>
      <c r="D1981" s="880" t="s">
        <v>2867</v>
      </c>
    </row>
    <row r="1982" spans="1:4" s="948" customFormat="1" ht="11.25" customHeight="1" x14ac:dyDescent="0.2">
      <c r="A1982" s="1471"/>
      <c r="B1982" s="947">
        <v>1992</v>
      </c>
      <c r="C1982" s="947">
        <v>1992</v>
      </c>
      <c r="D1982" s="880" t="s">
        <v>11</v>
      </c>
    </row>
    <row r="1983" spans="1:4" s="948" customFormat="1" ht="11.25" customHeight="1" x14ac:dyDescent="0.2">
      <c r="A1983" s="1472" t="s">
        <v>3501</v>
      </c>
      <c r="B1983" s="949">
        <v>2018.08</v>
      </c>
      <c r="C1983" s="949">
        <v>2018.079</v>
      </c>
      <c r="D1983" s="882" t="s">
        <v>1458</v>
      </c>
    </row>
    <row r="1984" spans="1:4" s="948" customFormat="1" ht="11.25" customHeight="1" x14ac:dyDescent="0.2">
      <c r="A1984" s="1471"/>
      <c r="B1984" s="947">
        <v>33.26</v>
      </c>
      <c r="C1984" s="947">
        <v>33.264000000000003</v>
      </c>
      <c r="D1984" s="880" t="s">
        <v>1454</v>
      </c>
    </row>
    <row r="1985" spans="1:4" s="948" customFormat="1" ht="11.25" customHeight="1" x14ac:dyDescent="0.2">
      <c r="A1985" s="1473"/>
      <c r="B1985" s="950">
        <v>2051.34</v>
      </c>
      <c r="C1985" s="950">
        <v>2051.3429999999998</v>
      </c>
      <c r="D1985" s="886" t="s">
        <v>11</v>
      </c>
    </row>
    <row r="1986" spans="1:4" s="948" customFormat="1" ht="11.25" customHeight="1" x14ac:dyDescent="0.2">
      <c r="A1986" s="1472" t="s">
        <v>4799</v>
      </c>
      <c r="B1986" s="947">
        <v>17.510000000000002</v>
      </c>
      <c r="C1986" s="947">
        <v>17.5</v>
      </c>
      <c r="D1986" s="880" t="s">
        <v>1337</v>
      </c>
    </row>
    <row r="1987" spans="1:4" s="948" customFormat="1" ht="11.25" customHeight="1" x14ac:dyDescent="0.2">
      <c r="A1987" s="1473"/>
      <c r="B1987" s="947">
        <v>17.510000000000002</v>
      </c>
      <c r="C1987" s="947">
        <v>17.5</v>
      </c>
      <c r="D1987" s="880" t="s">
        <v>11</v>
      </c>
    </row>
    <row r="1988" spans="1:4" s="948" customFormat="1" ht="11.25" customHeight="1" x14ac:dyDescent="0.2">
      <c r="A1988" s="1472" t="s">
        <v>3502</v>
      </c>
      <c r="B1988" s="949">
        <v>631.35</v>
      </c>
      <c r="C1988" s="949">
        <v>255.03669000000002</v>
      </c>
      <c r="D1988" s="882" t="s">
        <v>2842</v>
      </c>
    </row>
    <row r="1989" spans="1:4" s="948" customFormat="1" ht="11.25" customHeight="1" x14ac:dyDescent="0.2">
      <c r="A1989" s="1473"/>
      <c r="B1989" s="950">
        <v>631.35</v>
      </c>
      <c r="C1989" s="950">
        <v>255.03669000000002</v>
      </c>
      <c r="D1989" s="886" t="s">
        <v>11</v>
      </c>
    </row>
    <row r="1990" spans="1:4" s="948" customFormat="1" ht="11.25" customHeight="1" x14ac:dyDescent="0.2">
      <c r="A1990" s="1471" t="s">
        <v>1229</v>
      </c>
      <c r="B1990" s="947">
        <v>100</v>
      </c>
      <c r="C1990" s="947">
        <v>100</v>
      </c>
      <c r="D1990" s="880" t="s">
        <v>1217</v>
      </c>
    </row>
    <row r="1991" spans="1:4" s="948" customFormat="1" ht="11.25" customHeight="1" x14ac:dyDescent="0.2">
      <c r="A1991" s="1471"/>
      <c r="B1991" s="947">
        <v>100</v>
      </c>
      <c r="C1991" s="947">
        <v>100</v>
      </c>
      <c r="D1991" s="880" t="s">
        <v>11</v>
      </c>
    </row>
    <row r="1992" spans="1:4" s="948" customFormat="1" ht="11.25" customHeight="1" x14ac:dyDescent="0.2">
      <c r="A1992" s="1472" t="s">
        <v>3503</v>
      </c>
      <c r="B1992" s="949">
        <v>299.59999999999997</v>
      </c>
      <c r="C1992" s="949">
        <v>294</v>
      </c>
      <c r="D1992" s="882" t="s">
        <v>2749</v>
      </c>
    </row>
    <row r="1993" spans="1:4" s="948" customFormat="1" ht="11.25" customHeight="1" x14ac:dyDescent="0.2">
      <c r="A1993" s="1473"/>
      <c r="B1993" s="950">
        <v>299.59999999999997</v>
      </c>
      <c r="C1993" s="950">
        <v>294</v>
      </c>
      <c r="D1993" s="886" t="s">
        <v>11</v>
      </c>
    </row>
    <row r="1994" spans="1:4" s="948" customFormat="1" ht="11.25" customHeight="1" x14ac:dyDescent="0.2">
      <c r="A1994" s="1471" t="s">
        <v>3504</v>
      </c>
      <c r="B1994" s="947">
        <v>280</v>
      </c>
      <c r="C1994" s="947">
        <v>0</v>
      </c>
      <c r="D1994" s="880" t="s">
        <v>2862</v>
      </c>
    </row>
    <row r="1995" spans="1:4" s="948" customFormat="1" ht="11.25" customHeight="1" x14ac:dyDescent="0.2">
      <c r="A1995" s="1471"/>
      <c r="B1995" s="947">
        <v>280</v>
      </c>
      <c r="C1995" s="947">
        <v>0</v>
      </c>
      <c r="D1995" s="880" t="s">
        <v>11</v>
      </c>
    </row>
    <row r="1996" spans="1:4" s="948" customFormat="1" ht="11.25" customHeight="1" x14ac:dyDescent="0.2">
      <c r="A1996" s="1472" t="s">
        <v>968</v>
      </c>
      <c r="B1996" s="949">
        <v>140</v>
      </c>
      <c r="C1996" s="949">
        <v>140</v>
      </c>
      <c r="D1996" s="882" t="s">
        <v>951</v>
      </c>
    </row>
    <row r="1997" spans="1:4" s="948" customFormat="1" ht="11.25" customHeight="1" x14ac:dyDescent="0.2">
      <c r="A1997" s="1473"/>
      <c r="B1997" s="950">
        <v>140</v>
      </c>
      <c r="C1997" s="950">
        <v>140</v>
      </c>
      <c r="D1997" s="886" t="s">
        <v>11</v>
      </c>
    </row>
    <row r="1998" spans="1:4" s="948" customFormat="1" ht="11.25" customHeight="1" x14ac:dyDescent="0.2">
      <c r="A1998" s="1471" t="s">
        <v>3505</v>
      </c>
      <c r="B1998" s="947">
        <v>69.7</v>
      </c>
      <c r="C1998" s="947">
        <v>69.7</v>
      </c>
      <c r="D1998" s="880" t="s">
        <v>2770</v>
      </c>
    </row>
    <row r="1999" spans="1:4" s="948" customFormat="1" ht="11.25" customHeight="1" x14ac:dyDescent="0.2">
      <c r="A1999" s="1471"/>
      <c r="B1999" s="947">
        <v>69.7</v>
      </c>
      <c r="C1999" s="947">
        <v>69.7</v>
      </c>
      <c r="D1999" s="880" t="s">
        <v>11</v>
      </c>
    </row>
    <row r="2000" spans="1:4" s="948" customFormat="1" ht="11.25" customHeight="1" x14ac:dyDescent="0.2">
      <c r="A2000" s="1472" t="s">
        <v>4799</v>
      </c>
      <c r="B2000" s="949">
        <v>16.350000000000001</v>
      </c>
      <c r="C2000" s="949">
        <v>16.34</v>
      </c>
      <c r="D2000" s="882" t="s">
        <v>1337</v>
      </c>
    </row>
    <row r="2001" spans="1:4" s="948" customFormat="1" ht="11.25" customHeight="1" x14ac:dyDescent="0.2">
      <c r="A2001" s="1473"/>
      <c r="B2001" s="950">
        <v>16.350000000000001</v>
      </c>
      <c r="C2001" s="950">
        <v>16.34</v>
      </c>
      <c r="D2001" s="886" t="s">
        <v>11</v>
      </c>
    </row>
    <row r="2002" spans="1:4" s="948" customFormat="1" ht="11.25" customHeight="1" x14ac:dyDescent="0.2">
      <c r="A2002" s="1471" t="s">
        <v>3506</v>
      </c>
      <c r="B2002" s="947">
        <v>1506.26</v>
      </c>
      <c r="C2002" s="947">
        <v>1506.23912</v>
      </c>
      <c r="D2002" s="880" t="s">
        <v>2618</v>
      </c>
    </row>
    <row r="2003" spans="1:4" s="948" customFormat="1" ht="11.25" customHeight="1" x14ac:dyDescent="0.2">
      <c r="A2003" s="1471"/>
      <c r="B2003" s="947">
        <v>1506.26</v>
      </c>
      <c r="C2003" s="947">
        <v>1506.23912</v>
      </c>
      <c r="D2003" s="880" t="s">
        <v>11</v>
      </c>
    </row>
    <row r="2004" spans="1:4" s="948" customFormat="1" ht="11.25" customHeight="1" x14ac:dyDescent="0.2">
      <c r="A2004" s="1472" t="s">
        <v>1025</v>
      </c>
      <c r="B2004" s="949">
        <v>50</v>
      </c>
      <c r="C2004" s="949">
        <v>50</v>
      </c>
      <c r="D2004" s="882" t="s">
        <v>3507</v>
      </c>
    </row>
    <row r="2005" spans="1:4" s="948" customFormat="1" ht="11.25" customHeight="1" x14ac:dyDescent="0.2">
      <c r="A2005" s="1473"/>
      <c r="B2005" s="950">
        <v>50</v>
      </c>
      <c r="C2005" s="950">
        <v>50</v>
      </c>
      <c r="D2005" s="886" t="s">
        <v>11</v>
      </c>
    </row>
    <row r="2006" spans="1:4" s="948" customFormat="1" ht="11.25" customHeight="1" x14ac:dyDescent="0.2">
      <c r="A2006" s="1471" t="s">
        <v>3508</v>
      </c>
      <c r="B2006" s="947">
        <v>70</v>
      </c>
      <c r="C2006" s="947">
        <v>70</v>
      </c>
      <c r="D2006" s="880" t="s">
        <v>2744</v>
      </c>
    </row>
    <row r="2007" spans="1:4" s="948" customFormat="1" ht="11.25" customHeight="1" x14ac:dyDescent="0.2">
      <c r="A2007" s="1471"/>
      <c r="B2007" s="947">
        <v>70</v>
      </c>
      <c r="C2007" s="947">
        <v>70</v>
      </c>
      <c r="D2007" s="880" t="s">
        <v>11</v>
      </c>
    </row>
    <row r="2008" spans="1:4" s="948" customFormat="1" ht="11.25" customHeight="1" x14ac:dyDescent="0.2">
      <c r="A2008" s="1472" t="s">
        <v>3509</v>
      </c>
      <c r="B2008" s="949">
        <v>1916</v>
      </c>
      <c r="C2008" s="949">
        <v>1916</v>
      </c>
      <c r="D2008" s="882" t="s">
        <v>2735</v>
      </c>
    </row>
    <row r="2009" spans="1:4" s="948" customFormat="1" ht="11.25" customHeight="1" x14ac:dyDescent="0.2">
      <c r="A2009" s="1473"/>
      <c r="B2009" s="950">
        <v>1916</v>
      </c>
      <c r="C2009" s="950">
        <v>1916</v>
      </c>
      <c r="D2009" s="886" t="s">
        <v>11</v>
      </c>
    </row>
    <row r="2010" spans="1:4" s="948" customFormat="1" ht="11.25" customHeight="1" x14ac:dyDescent="0.2">
      <c r="A2010" s="1471" t="s">
        <v>3510</v>
      </c>
      <c r="B2010" s="947">
        <v>299.89999999999998</v>
      </c>
      <c r="C2010" s="947">
        <v>149.94999999999999</v>
      </c>
      <c r="D2010" s="880" t="s">
        <v>2862</v>
      </c>
    </row>
    <row r="2011" spans="1:4" s="948" customFormat="1" ht="11.25" customHeight="1" x14ac:dyDescent="0.2">
      <c r="A2011" s="1471"/>
      <c r="B2011" s="947">
        <v>299.89999999999998</v>
      </c>
      <c r="C2011" s="947">
        <v>149.94999999999999</v>
      </c>
      <c r="D2011" s="880" t="s">
        <v>11</v>
      </c>
    </row>
    <row r="2012" spans="1:4" s="948" customFormat="1" ht="11.25" customHeight="1" x14ac:dyDescent="0.2">
      <c r="A2012" s="1472" t="s">
        <v>3511</v>
      </c>
      <c r="B2012" s="949">
        <v>999.90000000000009</v>
      </c>
      <c r="C2012" s="949">
        <v>0</v>
      </c>
      <c r="D2012" s="882" t="s">
        <v>2842</v>
      </c>
    </row>
    <row r="2013" spans="1:4" s="948" customFormat="1" ht="11.25" customHeight="1" x14ac:dyDescent="0.2">
      <c r="A2013" s="1473"/>
      <c r="B2013" s="950">
        <v>999.90000000000009</v>
      </c>
      <c r="C2013" s="950">
        <v>0</v>
      </c>
      <c r="D2013" s="886" t="s">
        <v>11</v>
      </c>
    </row>
    <row r="2014" spans="1:4" s="948" customFormat="1" ht="11.25" customHeight="1" x14ac:dyDescent="0.2">
      <c r="A2014" s="1471" t="s">
        <v>3512</v>
      </c>
      <c r="B2014" s="947">
        <v>66725.990000000005</v>
      </c>
      <c r="C2014" s="947">
        <v>66725.194000000003</v>
      </c>
      <c r="D2014" s="880" t="s">
        <v>1458</v>
      </c>
    </row>
    <row r="2015" spans="1:4" s="948" customFormat="1" ht="11.25" customHeight="1" x14ac:dyDescent="0.2">
      <c r="A2015" s="1471"/>
      <c r="B2015" s="947">
        <v>1370</v>
      </c>
      <c r="C2015" s="947">
        <v>1370</v>
      </c>
      <c r="D2015" s="880" t="s">
        <v>1451</v>
      </c>
    </row>
    <row r="2016" spans="1:4" s="948" customFormat="1" ht="11.25" customHeight="1" x14ac:dyDescent="0.2">
      <c r="A2016" s="1471"/>
      <c r="B2016" s="947">
        <v>389.42</v>
      </c>
      <c r="C2016" s="947">
        <v>389.41552000000001</v>
      </c>
      <c r="D2016" s="880" t="s">
        <v>1339</v>
      </c>
    </row>
    <row r="2017" spans="1:4" s="948" customFormat="1" ht="11.25" customHeight="1" x14ac:dyDescent="0.2">
      <c r="A2017" s="1471"/>
      <c r="B2017" s="947">
        <v>632.44000000000005</v>
      </c>
      <c r="C2017" s="947">
        <v>632.43799999999999</v>
      </c>
      <c r="D2017" s="880" t="s">
        <v>1454</v>
      </c>
    </row>
    <row r="2018" spans="1:4" s="948" customFormat="1" ht="11.25" customHeight="1" x14ac:dyDescent="0.2">
      <c r="A2018" s="1471"/>
      <c r="B2018" s="947">
        <v>69117.850000000006</v>
      </c>
      <c r="C2018" s="947">
        <v>69117.047519999993</v>
      </c>
      <c r="D2018" s="880" t="s">
        <v>11</v>
      </c>
    </row>
    <row r="2019" spans="1:4" s="948" customFormat="1" ht="11.25" customHeight="1" x14ac:dyDescent="0.2">
      <c r="A2019" s="1472" t="s">
        <v>3513</v>
      </c>
      <c r="B2019" s="949">
        <v>240</v>
      </c>
      <c r="C2019" s="949">
        <v>240</v>
      </c>
      <c r="D2019" s="882" t="s">
        <v>2745</v>
      </c>
    </row>
    <row r="2020" spans="1:4" s="948" customFormat="1" ht="11.25" customHeight="1" x14ac:dyDescent="0.2">
      <c r="A2020" s="1471"/>
      <c r="B2020" s="947">
        <v>100</v>
      </c>
      <c r="C2020" s="947">
        <v>0</v>
      </c>
      <c r="D2020" s="880" t="s">
        <v>1111</v>
      </c>
    </row>
    <row r="2021" spans="1:4" s="948" customFormat="1" ht="11.25" customHeight="1" x14ac:dyDescent="0.2">
      <c r="A2021" s="1473"/>
      <c r="B2021" s="950">
        <v>340</v>
      </c>
      <c r="C2021" s="950">
        <v>240</v>
      </c>
      <c r="D2021" s="886" t="s">
        <v>11</v>
      </c>
    </row>
    <row r="2022" spans="1:4" s="948" customFormat="1" ht="11.25" customHeight="1" x14ac:dyDescent="0.2">
      <c r="A2022" s="1471" t="s">
        <v>3514</v>
      </c>
      <c r="B2022" s="947">
        <v>85.5</v>
      </c>
      <c r="C2022" s="947">
        <v>85.5</v>
      </c>
      <c r="D2022" s="880" t="s">
        <v>2870</v>
      </c>
    </row>
    <row r="2023" spans="1:4" s="948" customFormat="1" ht="11.25" customHeight="1" x14ac:dyDescent="0.2">
      <c r="A2023" s="1471"/>
      <c r="B2023" s="947">
        <v>85.5</v>
      </c>
      <c r="C2023" s="947">
        <v>85.5</v>
      </c>
      <c r="D2023" s="880" t="s">
        <v>11</v>
      </c>
    </row>
    <row r="2024" spans="1:4" s="948" customFormat="1" ht="11.25" customHeight="1" x14ac:dyDescent="0.2">
      <c r="A2024" s="1472" t="s">
        <v>3515</v>
      </c>
      <c r="B2024" s="949">
        <v>1000</v>
      </c>
      <c r="C2024" s="949">
        <v>0</v>
      </c>
      <c r="D2024" s="882" t="s">
        <v>2842</v>
      </c>
    </row>
    <row r="2025" spans="1:4" s="948" customFormat="1" ht="11.25" customHeight="1" x14ac:dyDescent="0.2">
      <c r="A2025" s="1473"/>
      <c r="B2025" s="950">
        <v>1000</v>
      </c>
      <c r="C2025" s="950">
        <v>0</v>
      </c>
      <c r="D2025" s="886" t="s">
        <v>11</v>
      </c>
    </row>
    <row r="2026" spans="1:4" s="948" customFormat="1" ht="11.25" customHeight="1" x14ac:dyDescent="0.2">
      <c r="A2026" s="1471" t="s">
        <v>1029</v>
      </c>
      <c r="B2026" s="947">
        <v>9749.02</v>
      </c>
      <c r="C2026" s="947">
        <v>4725.9679599999999</v>
      </c>
      <c r="D2026" s="880" t="s">
        <v>2842</v>
      </c>
    </row>
    <row r="2027" spans="1:4" s="948" customFormat="1" ht="11.25" customHeight="1" x14ac:dyDescent="0.2">
      <c r="A2027" s="1471"/>
      <c r="B2027" s="947">
        <v>287.5</v>
      </c>
      <c r="C2027" s="947">
        <v>277.48900000000003</v>
      </c>
      <c r="D2027" s="880" t="s">
        <v>2736</v>
      </c>
    </row>
    <row r="2028" spans="1:4" s="948" customFormat="1" ht="11.25" customHeight="1" x14ac:dyDescent="0.2">
      <c r="A2028" s="1471"/>
      <c r="B2028" s="947">
        <v>4121.5</v>
      </c>
      <c r="C2028" s="947">
        <v>4120.2336400000004</v>
      </c>
      <c r="D2028" s="880" t="s">
        <v>2619</v>
      </c>
    </row>
    <row r="2029" spans="1:4" s="948" customFormat="1" ht="11.25" customHeight="1" x14ac:dyDescent="0.2">
      <c r="A2029" s="1471"/>
      <c r="B2029" s="947">
        <v>373.84999999999997</v>
      </c>
      <c r="C2029" s="947">
        <v>373.83875</v>
      </c>
      <c r="D2029" s="880" t="s">
        <v>2618</v>
      </c>
    </row>
    <row r="2030" spans="1:4" s="948" customFormat="1" ht="11.25" customHeight="1" x14ac:dyDescent="0.2">
      <c r="A2030" s="1471"/>
      <c r="B2030" s="947">
        <v>693.85</v>
      </c>
      <c r="C2030" s="947">
        <v>693.82842000000005</v>
      </c>
      <c r="D2030" s="880" t="s">
        <v>2608</v>
      </c>
    </row>
    <row r="2031" spans="1:4" s="948" customFormat="1" ht="11.25" customHeight="1" x14ac:dyDescent="0.2">
      <c r="A2031" s="1471"/>
      <c r="B2031" s="947">
        <v>3900</v>
      </c>
      <c r="C2031" s="947">
        <v>3900</v>
      </c>
      <c r="D2031" s="880" t="s">
        <v>1027</v>
      </c>
    </row>
    <row r="2032" spans="1:4" s="948" customFormat="1" ht="11.25" customHeight="1" x14ac:dyDescent="0.2">
      <c r="A2032" s="1471"/>
      <c r="B2032" s="947">
        <v>705</v>
      </c>
      <c r="C2032" s="947">
        <v>175</v>
      </c>
      <c r="D2032" s="880" t="s">
        <v>1030</v>
      </c>
    </row>
    <row r="2033" spans="1:4" s="948" customFormat="1" ht="11.25" customHeight="1" x14ac:dyDescent="0.2">
      <c r="A2033" s="1471"/>
      <c r="B2033" s="947">
        <v>19830.72</v>
      </c>
      <c r="C2033" s="947">
        <v>14266.357770000001</v>
      </c>
      <c r="D2033" s="880" t="s">
        <v>11</v>
      </c>
    </row>
    <row r="2034" spans="1:4" s="948" customFormat="1" ht="11.25" customHeight="1" x14ac:dyDescent="0.2">
      <c r="A2034" s="1472" t="s">
        <v>3516</v>
      </c>
      <c r="B2034" s="949">
        <v>197.75</v>
      </c>
      <c r="C2034" s="949">
        <v>197.70159999999998</v>
      </c>
      <c r="D2034" s="882" t="s">
        <v>2842</v>
      </c>
    </row>
    <row r="2035" spans="1:4" s="948" customFormat="1" ht="11.25" customHeight="1" x14ac:dyDescent="0.2">
      <c r="A2035" s="1473"/>
      <c r="B2035" s="950">
        <v>197.75</v>
      </c>
      <c r="C2035" s="950">
        <v>197.70159999999998</v>
      </c>
      <c r="D2035" s="886" t="s">
        <v>11</v>
      </c>
    </row>
    <row r="2036" spans="1:4" s="948" customFormat="1" ht="11.25" customHeight="1" x14ac:dyDescent="0.2">
      <c r="A2036" s="1471" t="s">
        <v>3517</v>
      </c>
      <c r="B2036" s="947">
        <v>71.75</v>
      </c>
      <c r="C2036" s="947">
        <v>71.75</v>
      </c>
      <c r="D2036" s="880" t="s">
        <v>2842</v>
      </c>
    </row>
    <row r="2037" spans="1:4" s="948" customFormat="1" ht="11.25" customHeight="1" x14ac:dyDescent="0.2">
      <c r="A2037" s="1471"/>
      <c r="B2037" s="947">
        <v>314.06</v>
      </c>
      <c r="C2037" s="947">
        <v>314.05204000000003</v>
      </c>
      <c r="D2037" s="880" t="s">
        <v>2618</v>
      </c>
    </row>
    <row r="2038" spans="1:4" s="948" customFormat="1" ht="11.25" customHeight="1" x14ac:dyDescent="0.2">
      <c r="A2038" s="1471"/>
      <c r="B2038" s="947">
        <v>385.81</v>
      </c>
      <c r="C2038" s="947">
        <v>385.80204000000003</v>
      </c>
      <c r="D2038" s="880" t="s">
        <v>11</v>
      </c>
    </row>
    <row r="2039" spans="1:4" s="948" customFormat="1" ht="11.25" customHeight="1" x14ac:dyDescent="0.2">
      <c r="A2039" s="1472" t="s">
        <v>3518</v>
      </c>
      <c r="B2039" s="949">
        <v>10940.22</v>
      </c>
      <c r="C2039" s="949">
        <v>10940.218999999999</v>
      </c>
      <c r="D2039" s="882" t="s">
        <v>1458</v>
      </c>
    </row>
    <row r="2040" spans="1:4" s="948" customFormat="1" ht="11.25" customHeight="1" x14ac:dyDescent="0.2">
      <c r="A2040" s="1471"/>
      <c r="B2040" s="947">
        <v>30.33</v>
      </c>
      <c r="C2040" s="947">
        <v>30.327999999999999</v>
      </c>
      <c r="D2040" s="880" t="s">
        <v>1454</v>
      </c>
    </row>
    <row r="2041" spans="1:4" s="948" customFormat="1" ht="11.25" customHeight="1" x14ac:dyDescent="0.2">
      <c r="A2041" s="1473"/>
      <c r="B2041" s="950">
        <v>10970.55</v>
      </c>
      <c r="C2041" s="950">
        <v>10970.546999999999</v>
      </c>
      <c r="D2041" s="886" t="s">
        <v>11</v>
      </c>
    </row>
    <row r="2042" spans="1:4" s="948" customFormat="1" ht="11.25" customHeight="1" x14ac:dyDescent="0.2">
      <c r="A2042" s="1471" t="s">
        <v>3519</v>
      </c>
      <c r="B2042" s="947">
        <v>22493.24</v>
      </c>
      <c r="C2042" s="947">
        <v>22493.234</v>
      </c>
      <c r="D2042" s="880" t="s">
        <v>1458</v>
      </c>
    </row>
    <row r="2043" spans="1:4" s="948" customFormat="1" ht="11.25" customHeight="1" x14ac:dyDescent="0.2">
      <c r="A2043" s="1471"/>
      <c r="B2043" s="947">
        <v>88.46</v>
      </c>
      <c r="C2043" s="947">
        <v>88.462999999999994</v>
      </c>
      <c r="D2043" s="880" t="s">
        <v>1451</v>
      </c>
    </row>
    <row r="2044" spans="1:4" s="948" customFormat="1" ht="11.25" customHeight="1" x14ac:dyDescent="0.2">
      <c r="A2044" s="1471"/>
      <c r="B2044" s="947">
        <v>194.88</v>
      </c>
      <c r="C2044" s="947">
        <v>194.87799999999999</v>
      </c>
      <c r="D2044" s="880" t="s">
        <v>1454</v>
      </c>
    </row>
    <row r="2045" spans="1:4" s="948" customFormat="1" ht="11.25" customHeight="1" x14ac:dyDescent="0.2">
      <c r="A2045" s="1471"/>
      <c r="B2045" s="947">
        <v>22776.58</v>
      </c>
      <c r="C2045" s="947">
        <v>22776.575000000001</v>
      </c>
      <c r="D2045" s="880" t="s">
        <v>11</v>
      </c>
    </row>
    <row r="2046" spans="1:4" s="948" customFormat="1" ht="11.25" customHeight="1" x14ac:dyDescent="0.2">
      <c r="A2046" s="1472" t="s">
        <v>3520</v>
      </c>
      <c r="B2046" s="949">
        <v>3583.32</v>
      </c>
      <c r="C2046" s="949">
        <v>3583.3159999999998</v>
      </c>
      <c r="D2046" s="882" t="s">
        <v>1458</v>
      </c>
    </row>
    <row r="2047" spans="1:4" s="948" customFormat="1" ht="11.25" customHeight="1" x14ac:dyDescent="0.2">
      <c r="A2047" s="1471"/>
      <c r="B2047" s="947">
        <v>17.68</v>
      </c>
      <c r="C2047" s="947">
        <v>17.684000000000001</v>
      </c>
      <c r="D2047" s="880" t="s">
        <v>1454</v>
      </c>
    </row>
    <row r="2048" spans="1:4" s="948" customFormat="1" ht="11.25" customHeight="1" x14ac:dyDescent="0.2">
      <c r="A2048" s="1473"/>
      <c r="B2048" s="950">
        <v>3601</v>
      </c>
      <c r="C2048" s="950">
        <v>3601</v>
      </c>
      <c r="D2048" s="886" t="s">
        <v>11</v>
      </c>
    </row>
    <row r="2049" spans="1:4" s="948" customFormat="1" ht="11.25" customHeight="1" x14ac:dyDescent="0.2">
      <c r="A2049" s="1471" t="s">
        <v>3521</v>
      </c>
      <c r="B2049" s="947">
        <v>1386.31</v>
      </c>
      <c r="C2049" s="947">
        <v>1386.306</v>
      </c>
      <c r="D2049" s="880" t="s">
        <v>1458</v>
      </c>
    </row>
    <row r="2050" spans="1:4" s="948" customFormat="1" ht="11.25" customHeight="1" x14ac:dyDescent="0.2">
      <c r="A2050" s="1471"/>
      <c r="B2050" s="947">
        <v>5.92</v>
      </c>
      <c r="C2050" s="947">
        <v>3.6</v>
      </c>
      <c r="D2050" s="880" t="s">
        <v>1454</v>
      </c>
    </row>
    <row r="2051" spans="1:4" s="948" customFormat="1" ht="11.25" customHeight="1" x14ac:dyDescent="0.2">
      <c r="A2051" s="1471"/>
      <c r="B2051" s="947">
        <v>1392.23</v>
      </c>
      <c r="C2051" s="947">
        <v>1389.9059999999999</v>
      </c>
      <c r="D2051" s="880" t="s">
        <v>11</v>
      </c>
    </row>
    <row r="2052" spans="1:4" s="948" customFormat="1" ht="21" x14ac:dyDescent="0.2">
      <c r="A2052" s="1472" t="s">
        <v>3522</v>
      </c>
      <c r="B2052" s="949">
        <v>80</v>
      </c>
      <c r="C2052" s="949">
        <v>80</v>
      </c>
      <c r="D2052" s="882" t="s">
        <v>3003</v>
      </c>
    </row>
    <row r="2053" spans="1:4" s="948" customFormat="1" ht="11.25" customHeight="1" x14ac:dyDescent="0.2">
      <c r="A2053" s="1471"/>
      <c r="B2053" s="947">
        <v>49</v>
      </c>
      <c r="C2053" s="947">
        <v>49</v>
      </c>
      <c r="D2053" s="880" t="s">
        <v>2956</v>
      </c>
    </row>
    <row r="2054" spans="1:4" s="948" customFormat="1" ht="11.25" customHeight="1" x14ac:dyDescent="0.2">
      <c r="A2054" s="1471"/>
      <c r="B2054" s="947">
        <v>8771</v>
      </c>
      <c r="C2054" s="947">
        <v>8771</v>
      </c>
      <c r="D2054" s="880" t="s">
        <v>2735</v>
      </c>
    </row>
    <row r="2055" spans="1:4" s="948" customFormat="1" ht="21" x14ac:dyDescent="0.2">
      <c r="A2055" s="1471"/>
      <c r="B2055" s="947">
        <v>80</v>
      </c>
      <c r="C2055" s="947">
        <v>80</v>
      </c>
      <c r="D2055" s="880" t="s">
        <v>2750</v>
      </c>
    </row>
    <row r="2056" spans="1:4" s="948" customFormat="1" ht="11.25" customHeight="1" x14ac:dyDescent="0.2">
      <c r="A2056" s="1473"/>
      <c r="B2056" s="950">
        <v>8980</v>
      </c>
      <c r="C2056" s="950">
        <v>8980</v>
      </c>
      <c r="D2056" s="886" t="s">
        <v>11</v>
      </c>
    </row>
    <row r="2057" spans="1:4" s="948" customFormat="1" ht="11.25" customHeight="1" x14ac:dyDescent="0.2">
      <c r="A2057" s="1472" t="s">
        <v>3523</v>
      </c>
      <c r="B2057" s="949">
        <v>236</v>
      </c>
      <c r="C2057" s="949">
        <v>235.90836999999999</v>
      </c>
      <c r="D2057" s="882" t="s">
        <v>2619</v>
      </c>
    </row>
    <row r="2058" spans="1:4" s="948" customFormat="1" ht="11.25" customHeight="1" x14ac:dyDescent="0.2">
      <c r="A2058" s="1473"/>
      <c r="B2058" s="950">
        <v>236</v>
      </c>
      <c r="C2058" s="950">
        <v>235.90836999999999</v>
      </c>
      <c r="D2058" s="886" t="s">
        <v>11</v>
      </c>
    </row>
    <row r="2059" spans="1:4" s="948" customFormat="1" ht="11.25" customHeight="1" x14ac:dyDescent="0.2">
      <c r="A2059" s="1472" t="s">
        <v>3524</v>
      </c>
      <c r="B2059" s="949">
        <v>760.25</v>
      </c>
      <c r="C2059" s="949">
        <v>760.12650000000008</v>
      </c>
      <c r="D2059" s="882" t="s">
        <v>2619</v>
      </c>
    </row>
    <row r="2060" spans="1:4" s="948" customFormat="1" ht="11.25" customHeight="1" x14ac:dyDescent="0.2">
      <c r="A2060" s="1473"/>
      <c r="B2060" s="950">
        <v>760.25</v>
      </c>
      <c r="C2060" s="950">
        <v>760.12650000000008</v>
      </c>
      <c r="D2060" s="886" t="s">
        <v>11</v>
      </c>
    </row>
    <row r="2061" spans="1:4" s="948" customFormat="1" ht="11.25" customHeight="1" x14ac:dyDescent="0.2">
      <c r="A2061" s="1471" t="s">
        <v>3525</v>
      </c>
      <c r="B2061" s="947">
        <v>119.6</v>
      </c>
      <c r="C2061" s="947">
        <v>119.59961</v>
      </c>
      <c r="D2061" s="880" t="s">
        <v>2870</v>
      </c>
    </row>
    <row r="2062" spans="1:4" s="948" customFormat="1" ht="11.25" customHeight="1" x14ac:dyDescent="0.2">
      <c r="A2062" s="1471"/>
      <c r="B2062" s="947">
        <v>119.6</v>
      </c>
      <c r="C2062" s="947">
        <v>119.59961</v>
      </c>
      <c r="D2062" s="880" t="s">
        <v>11</v>
      </c>
    </row>
    <row r="2063" spans="1:4" s="948" customFormat="1" ht="11.25" customHeight="1" x14ac:dyDescent="0.2">
      <c r="A2063" s="1472" t="s">
        <v>3526</v>
      </c>
      <c r="B2063" s="949">
        <v>296.10000000000002</v>
      </c>
      <c r="C2063" s="949">
        <v>148.05000000000001</v>
      </c>
      <c r="D2063" s="882" t="s">
        <v>2862</v>
      </c>
    </row>
    <row r="2064" spans="1:4" s="948" customFormat="1" ht="11.25" customHeight="1" x14ac:dyDescent="0.2">
      <c r="A2064" s="1471"/>
      <c r="B2064" s="947">
        <v>1000</v>
      </c>
      <c r="C2064" s="947">
        <v>0</v>
      </c>
      <c r="D2064" s="880" t="s">
        <v>2842</v>
      </c>
    </row>
    <row r="2065" spans="1:4" s="948" customFormat="1" ht="11.25" customHeight="1" x14ac:dyDescent="0.2">
      <c r="A2065" s="1473"/>
      <c r="B2065" s="950">
        <v>1296.0999999999999</v>
      </c>
      <c r="C2065" s="950">
        <v>148.05000000000001</v>
      </c>
      <c r="D2065" s="886" t="s">
        <v>11</v>
      </c>
    </row>
    <row r="2066" spans="1:4" s="948" customFormat="1" ht="21" x14ac:dyDescent="0.2">
      <c r="A2066" s="1471" t="s">
        <v>3527</v>
      </c>
      <c r="B2066" s="947">
        <v>100</v>
      </c>
      <c r="C2066" s="947">
        <v>100</v>
      </c>
      <c r="D2066" s="880" t="s">
        <v>2737</v>
      </c>
    </row>
    <row r="2067" spans="1:4" s="948" customFormat="1" ht="11.25" customHeight="1" x14ac:dyDescent="0.2">
      <c r="A2067" s="1471"/>
      <c r="B2067" s="947">
        <v>100</v>
      </c>
      <c r="C2067" s="947">
        <v>100</v>
      </c>
      <c r="D2067" s="880" t="s">
        <v>11</v>
      </c>
    </row>
    <row r="2068" spans="1:4" s="948" customFormat="1" ht="11.25" customHeight="1" x14ac:dyDescent="0.2">
      <c r="A2068" s="1472" t="s">
        <v>4799</v>
      </c>
      <c r="B2068" s="949">
        <v>10</v>
      </c>
      <c r="C2068" s="949">
        <v>10</v>
      </c>
      <c r="D2068" s="882" t="s">
        <v>1337</v>
      </c>
    </row>
    <row r="2069" spans="1:4" s="948" customFormat="1" ht="11.25" customHeight="1" x14ac:dyDescent="0.2">
      <c r="A2069" s="1473"/>
      <c r="B2069" s="950">
        <v>10</v>
      </c>
      <c r="C2069" s="950">
        <v>10</v>
      </c>
      <c r="D2069" s="886" t="s">
        <v>11</v>
      </c>
    </row>
    <row r="2070" spans="1:4" s="948" customFormat="1" ht="11.25" customHeight="1" x14ac:dyDescent="0.2">
      <c r="A2070" s="1471" t="s">
        <v>1172</v>
      </c>
      <c r="B2070" s="947">
        <v>13342.300000000001</v>
      </c>
      <c r="C2070" s="947">
        <v>13342.296999999999</v>
      </c>
      <c r="D2070" s="880" t="s">
        <v>1458</v>
      </c>
    </row>
    <row r="2071" spans="1:4" s="948" customFormat="1" ht="11.25" customHeight="1" x14ac:dyDescent="0.2">
      <c r="A2071" s="1471"/>
      <c r="B2071" s="947">
        <v>10</v>
      </c>
      <c r="C2071" s="947">
        <v>10</v>
      </c>
      <c r="D2071" s="880" t="s">
        <v>1161</v>
      </c>
    </row>
    <row r="2072" spans="1:4" s="948" customFormat="1" ht="11.25" customHeight="1" x14ac:dyDescent="0.2">
      <c r="A2072" s="1471"/>
      <c r="B2072" s="947">
        <v>104.58</v>
      </c>
      <c r="C2072" s="947">
        <v>104.57599999999999</v>
      </c>
      <c r="D2072" s="880" t="s">
        <v>1454</v>
      </c>
    </row>
    <row r="2073" spans="1:4" s="948" customFormat="1" ht="11.25" customHeight="1" x14ac:dyDescent="0.2">
      <c r="A2073" s="1471"/>
      <c r="B2073" s="947">
        <v>13456.880000000001</v>
      </c>
      <c r="C2073" s="947">
        <v>13456.872999999998</v>
      </c>
      <c r="D2073" s="880" t="s">
        <v>11</v>
      </c>
    </row>
    <row r="2074" spans="1:4" s="948" customFormat="1" ht="11.25" customHeight="1" x14ac:dyDescent="0.2">
      <c r="A2074" s="1472" t="s">
        <v>3528</v>
      </c>
      <c r="B2074" s="949">
        <v>43.17</v>
      </c>
      <c r="C2074" s="949">
        <v>43.167999999999999</v>
      </c>
      <c r="D2074" s="882" t="s">
        <v>1463</v>
      </c>
    </row>
    <row r="2075" spans="1:4" s="948" customFormat="1" ht="11.25" customHeight="1" x14ac:dyDescent="0.2">
      <c r="A2075" s="1471"/>
      <c r="B2075" s="947">
        <v>5211.01</v>
      </c>
      <c r="C2075" s="947">
        <v>5211.0049999999992</v>
      </c>
      <c r="D2075" s="880" t="s">
        <v>1458</v>
      </c>
    </row>
    <row r="2076" spans="1:4" s="948" customFormat="1" ht="11.25" customHeight="1" x14ac:dyDescent="0.2">
      <c r="A2076" s="1471"/>
      <c r="B2076" s="947">
        <v>54.48</v>
      </c>
      <c r="C2076" s="947">
        <v>54.48</v>
      </c>
      <c r="D2076" s="880" t="s">
        <v>1454</v>
      </c>
    </row>
    <row r="2077" spans="1:4" s="948" customFormat="1" ht="11.25" customHeight="1" x14ac:dyDescent="0.2">
      <c r="A2077" s="1473"/>
      <c r="B2077" s="950">
        <v>5308.66</v>
      </c>
      <c r="C2077" s="950">
        <v>5308.6529999999984</v>
      </c>
      <c r="D2077" s="886" t="s">
        <v>11</v>
      </c>
    </row>
    <row r="2078" spans="1:4" s="948" customFormat="1" ht="11.25" customHeight="1" x14ac:dyDescent="0.2">
      <c r="A2078" s="1471" t="s">
        <v>3529</v>
      </c>
      <c r="B2078" s="947">
        <v>3270.64</v>
      </c>
      <c r="C2078" s="947">
        <v>3270.6369999999997</v>
      </c>
      <c r="D2078" s="880" t="s">
        <v>1458</v>
      </c>
    </row>
    <row r="2079" spans="1:4" s="948" customFormat="1" ht="11.25" customHeight="1" x14ac:dyDescent="0.2">
      <c r="A2079" s="1471"/>
      <c r="B2079" s="947">
        <v>38.4</v>
      </c>
      <c r="C2079" s="947">
        <v>38.4</v>
      </c>
      <c r="D2079" s="880" t="s">
        <v>1454</v>
      </c>
    </row>
    <row r="2080" spans="1:4" s="948" customFormat="1" ht="11.25" customHeight="1" x14ac:dyDescent="0.2">
      <c r="A2080" s="1471"/>
      <c r="B2080" s="947">
        <v>3309.04</v>
      </c>
      <c r="C2080" s="947">
        <v>3309.0369999999998</v>
      </c>
      <c r="D2080" s="880" t="s">
        <v>11</v>
      </c>
    </row>
    <row r="2081" spans="1:4" s="948" customFormat="1" ht="11.25" customHeight="1" x14ac:dyDescent="0.2">
      <c r="A2081" s="1472" t="s">
        <v>3530</v>
      </c>
      <c r="B2081" s="949">
        <v>1038.8500000000001</v>
      </c>
      <c r="C2081" s="949">
        <v>1038.8520000000001</v>
      </c>
      <c r="D2081" s="882" t="s">
        <v>1458</v>
      </c>
    </row>
    <row r="2082" spans="1:4" s="948" customFormat="1" ht="11.25" customHeight="1" x14ac:dyDescent="0.2">
      <c r="A2082" s="1471"/>
      <c r="B2082" s="947">
        <v>11.14</v>
      </c>
      <c r="C2082" s="947">
        <v>11.144</v>
      </c>
      <c r="D2082" s="880" t="s">
        <v>1454</v>
      </c>
    </row>
    <row r="2083" spans="1:4" s="948" customFormat="1" ht="11.25" customHeight="1" x14ac:dyDescent="0.2">
      <c r="A2083" s="1473"/>
      <c r="B2083" s="950">
        <v>1050</v>
      </c>
      <c r="C2083" s="950">
        <v>1049.9960000000001</v>
      </c>
      <c r="D2083" s="886" t="s">
        <v>11</v>
      </c>
    </row>
    <row r="2084" spans="1:4" s="948" customFormat="1" ht="11.25" customHeight="1" x14ac:dyDescent="0.2">
      <c r="A2084" s="1471" t="s">
        <v>3531</v>
      </c>
      <c r="B2084" s="947">
        <v>386.24</v>
      </c>
      <c r="C2084" s="947">
        <v>386.24</v>
      </c>
      <c r="D2084" s="880" t="s">
        <v>1463</v>
      </c>
    </row>
    <row r="2085" spans="1:4" s="948" customFormat="1" ht="11.25" customHeight="1" x14ac:dyDescent="0.2">
      <c r="A2085" s="1471"/>
      <c r="B2085" s="947">
        <v>20256.3</v>
      </c>
      <c r="C2085" s="947">
        <v>20222.835999999999</v>
      </c>
      <c r="D2085" s="880" t="s">
        <v>1458</v>
      </c>
    </row>
    <row r="2086" spans="1:4" s="948" customFormat="1" ht="11.25" customHeight="1" x14ac:dyDescent="0.2">
      <c r="A2086" s="1471"/>
      <c r="B2086" s="947">
        <v>13</v>
      </c>
      <c r="C2086" s="947">
        <v>13</v>
      </c>
      <c r="D2086" s="880" t="s">
        <v>2600</v>
      </c>
    </row>
    <row r="2087" spans="1:4" s="948" customFormat="1" ht="11.25" customHeight="1" x14ac:dyDescent="0.2">
      <c r="A2087" s="1471"/>
      <c r="B2087" s="947">
        <v>184.17</v>
      </c>
      <c r="C2087" s="947">
        <v>184.166</v>
      </c>
      <c r="D2087" s="880" t="s">
        <v>1454</v>
      </c>
    </row>
    <row r="2088" spans="1:4" s="948" customFormat="1" ht="11.25" customHeight="1" x14ac:dyDescent="0.2">
      <c r="A2088" s="1471"/>
      <c r="B2088" s="947">
        <v>20839.71</v>
      </c>
      <c r="C2088" s="947">
        <v>20806.242000000002</v>
      </c>
      <c r="D2088" s="880" t="s">
        <v>11</v>
      </c>
    </row>
    <row r="2089" spans="1:4" s="948" customFormat="1" ht="11.25" customHeight="1" x14ac:dyDescent="0.2">
      <c r="A2089" s="1472" t="s">
        <v>3532</v>
      </c>
      <c r="B2089" s="949">
        <v>85.76</v>
      </c>
      <c r="C2089" s="949">
        <v>83.739000000000004</v>
      </c>
      <c r="D2089" s="882" t="s">
        <v>1458</v>
      </c>
    </row>
    <row r="2090" spans="1:4" s="948" customFormat="1" ht="11.25" customHeight="1" x14ac:dyDescent="0.2">
      <c r="A2090" s="1473"/>
      <c r="B2090" s="950">
        <v>85.76</v>
      </c>
      <c r="C2090" s="950">
        <v>83.739000000000004</v>
      </c>
      <c r="D2090" s="886" t="s">
        <v>11</v>
      </c>
    </row>
    <row r="2091" spans="1:4" s="948" customFormat="1" ht="11.25" customHeight="1" x14ac:dyDescent="0.2">
      <c r="A2091" s="1471" t="s">
        <v>3533</v>
      </c>
      <c r="B2091" s="947">
        <v>5748.5</v>
      </c>
      <c r="C2091" s="947">
        <v>5748.4970000000003</v>
      </c>
      <c r="D2091" s="880" t="s">
        <v>1458</v>
      </c>
    </row>
    <row r="2092" spans="1:4" s="948" customFormat="1" ht="11.25" customHeight="1" x14ac:dyDescent="0.2">
      <c r="A2092" s="1471"/>
      <c r="B2092" s="947">
        <v>65.319999999999993</v>
      </c>
      <c r="C2092" s="947">
        <v>65.319999999999993</v>
      </c>
      <c r="D2092" s="880" t="s">
        <v>1454</v>
      </c>
    </row>
    <row r="2093" spans="1:4" s="948" customFormat="1" ht="11.25" customHeight="1" x14ac:dyDescent="0.2">
      <c r="A2093" s="1471"/>
      <c r="B2093" s="947">
        <v>5813.82</v>
      </c>
      <c r="C2093" s="947">
        <v>5813.817</v>
      </c>
      <c r="D2093" s="880" t="s">
        <v>11</v>
      </c>
    </row>
    <row r="2094" spans="1:4" s="948" customFormat="1" ht="11.25" customHeight="1" x14ac:dyDescent="0.2">
      <c r="A2094" s="1472" t="s">
        <v>3534</v>
      </c>
      <c r="B2094" s="949">
        <v>2194.87</v>
      </c>
      <c r="C2094" s="949">
        <v>2194.8679999999999</v>
      </c>
      <c r="D2094" s="882" t="s">
        <v>1458</v>
      </c>
    </row>
    <row r="2095" spans="1:4" s="948" customFormat="1" ht="11.25" customHeight="1" x14ac:dyDescent="0.2">
      <c r="A2095" s="1471"/>
      <c r="B2095" s="947">
        <v>24.11</v>
      </c>
      <c r="C2095" s="947">
        <v>24.109000000000002</v>
      </c>
      <c r="D2095" s="880" t="s">
        <v>1454</v>
      </c>
    </row>
    <row r="2096" spans="1:4" s="948" customFormat="1" ht="11.25" customHeight="1" x14ac:dyDescent="0.2">
      <c r="A2096" s="1473"/>
      <c r="B2096" s="950">
        <v>2218.98</v>
      </c>
      <c r="C2096" s="950">
        <v>2218.9769999999999</v>
      </c>
      <c r="D2096" s="886" t="s">
        <v>11</v>
      </c>
    </row>
    <row r="2097" spans="1:4" s="948" customFormat="1" ht="11.25" customHeight="1" x14ac:dyDescent="0.2">
      <c r="A2097" s="1471" t="s">
        <v>3535</v>
      </c>
      <c r="B2097" s="947">
        <v>7808.08</v>
      </c>
      <c r="C2097" s="947">
        <v>7792.9560000000001</v>
      </c>
      <c r="D2097" s="880" t="s">
        <v>1458</v>
      </c>
    </row>
    <row r="2098" spans="1:4" s="948" customFormat="1" ht="11.25" customHeight="1" x14ac:dyDescent="0.2">
      <c r="A2098" s="1471"/>
      <c r="B2098" s="947">
        <v>60.32</v>
      </c>
      <c r="C2098" s="947">
        <v>60.322000000000003</v>
      </c>
      <c r="D2098" s="880" t="s">
        <v>1454</v>
      </c>
    </row>
    <row r="2099" spans="1:4" s="948" customFormat="1" ht="11.25" customHeight="1" x14ac:dyDescent="0.2">
      <c r="A2099" s="1471"/>
      <c r="B2099" s="947">
        <v>7868.4</v>
      </c>
      <c r="C2099" s="947">
        <v>7853.2780000000002</v>
      </c>
      <c r="D2099" s="880" t="s">
        <v>11</v>
      </c>
    </row>
    <row r="2100" spans="1:4" s="948" customFormat="1" ht="11.25" customHeight="1" x14ac:dyDescent="0.2">
      <c r="A2100" s="1472" t="s">
        <v>3536</v>
      </c>
      <c r="B2100" s="949">
        <v>110</v>
      </c>
      <c r="C2100" s="949">
        <v>110</v>
      </c>
      <c r="D2100" s="882" t="s">
        <v>2862</v>
      </c>
    </row>
    <row r="2101" spans="1:4" s="948" customFormat="1" ht="11.25" customHeight="1" x14ac:dyDescent="0.2">
      <c r="A2101" s="1471"/>
      <c r="B2101" s="947">
        <v>302.8</v>
      </c>
      <c r="C2101" s="947">
        <v>0</v>
      </c>
      <c r="D2101" s="880" t="s">
        <v>2842</v>
      </c>
    </row>
    <row r="2102" spans="1:4" s="948" customFormat="1" ht="11.25" customHeight="1" x14ac:dyDescent="0.2">
      <c r="A2102" s="1473"/>
      <c r="B2102" s="950">
        <v>412.8</v>
      </c>
      <c r="C2102" s="950">
        <v>110</v>
      </c>
      <c r="D2102" s="886" t="s">
        <v>11</v>
      </c>
    </row>
    <row r="2103" spans="1:4" s="948" customFormat="1" ht="11.25" customHeight="1" x14ac:dyDescent="0.2">
      <c r="A2103" s="1472" t="s">
        <v>1200</v>
      </c>
      <c r="B2103" s="949">
        <v>110.67999999999999</v>
      </c>
      <c r="C2103" s="949">
        <v>110.67001999999999</v>
      </c>
      <c r="D2103" s="882" t="s">
        <v>2608</v>
      </c>
    </row>
    <row r="2104" spans="1:4" s="948" customFormat="1" ht="11.25" customHeight="1" x14ac:dyDescent="0.2">
      <c r="A2104" s="1471"/>
      <c r="B2104" s="947">
        <v>700</v>
      </c>
      <c r="C2104" s="947">
        <v>700</v>
      </c>
      <c r="D2104" s="880" t="s">
        <v>1199</v>
      </c>
    </row>
    <row r="2105" spans="1:4" s="948" customFormat="1" ht="11.25" customHeight="1" x14ac:dyDescent="0.2">
      <c r="A2105" s="1473"/>
      <c r="B2105" s="950">
        <v>810.68</v>
      </c>
      <c r="C2105" s="950">
        <v>810.67002000000002</v>
      </c>
      <c r="D2105" s="886" t="s">
        <v>11</v>
      </c>
    </row>
    <row r="2106" spans="1:4" s="948" customFormat="1" ht="11.25" customHeight="1" x14ac:dyDescent="0.2">
      <c r="A2106" s="1472" t="s">
        <v>3537</v>
      </c>
      <c r="B2106" s="949">
        <v>120</v>
      </c>
      <c r="C2106" s="949">
        <v>120</v>
      </c>
      <c r="D2106" s="882" t="s">
        <v>2744</v>
      </c>
    </row>
    <row r="2107" spans="1:4" s="948" customFormat="1" ht="11.25" customHeight="1" x14ac:dyDescent="0.2">
      <c r="A2107" s="1473"/>
      <c r="B2107" s="950">
        <v>120</v>
      </c>
      <c r="C2107" s="950">
        <v>120</v>
      </c>
      <c r="D2107" s="886" t="s">
        <v>11</v>
      </c>
    </row>
    <row r="2108" spans="1:4" s="948" customFormat="1" ht="11.25" customHeight="1" x14ac:dyDescent="0.2">
      <c r="A2108" s="1471" t="s">
        <v>1201</v>
      </c>
      <c r="B2108" s="947">
        <v>200</v>
      </c>
      <c r="C2108" s="947">
        <v>200</v>
      </c>
      <c r="D2108" s="880" t="s">
        <v>1199</v>
      </c>
    </row>
    <row r="2109" spans="1:4" s="948" customFormat="1" ht="11.25" customHeight="1" x14ac:dyDescent="0.2">
      <c r="A2109" s="1471"/>
      <c r="B2109" s="947">
        <v>200</v>
      </c>
      <c r="C2109" s="947">
        <v>200</v>
      </c>
      <c r="D2109" s="880" t="s">
        <v>11</v>
      </c>
    </row>
    <row r="2110" spans="1:4" s="948" customFormat="1" ht="11.25" customHeight="1" x14ac:dyDescent="0.2">
      <c r="A2110" s="1472" t="s">
        <v>4799</v>
      </c>
      <c r="B2110" s="949">
        <v>10</v>
      </c>
      <c r="C2110" s="949">
        <v>10</v>
      </c>
      <c r="D2110" s="882" t="s">
        <v>1337</v>
      </c>
    </row>
    <row r="2111" spans="1:4" s="948" customFormat="1" ht="11.25" customHeight="1" x14ac:dyDescent="0.2">
      <c r="A2111" s="1473"/>
      <c r="B2111" s="950">
        <v>10</v>
      </c>
      <c r="C2111" s="950">
        <v>10</v>
      </c>
      <c r="D2111" s="886" t="s">
        <v>11</v>
      </c>
    </row>
    <row r="2112" spans="1:4" s="948" customFormat="1" ht="11.25" customHeight="1" x14ac:dyDescent="0.2">
      <c r="A2112" s="1471" t="s">
        <v>3538</v>
      </c>
      <c r="B2112" s="947">
        <v>99</v>
      </c>
      <c r="C2112" s="947">
        <v>99</v>
      </c>
      <c r="D2112" s="880" t="s">
        <v>2749</v>
      </c>
    </row>
    <row r="2113" spans="1:4" s="948" customFormat="1" ht="11.25" customHeight="1" x14ac:dyDescent="0.2">
      <c r="A2113" s="1471"/>
      <c r="B2113" s="947">
        <v>201</v>
      </c>
      <c r="C2113" s="947">
        <v>100</v>
      </c>
      <c r="D2113" s="880" t="s">
        <v>1056</v>
      </c>
    </row>
    <row r="2114" spans="1:4" s="948" customFormat="1" ht="11.25" customHeight="1" x14ac:dyDescent="0.2">
      <c r="A2114" s="1471"/>
      <c r="B2114" s="947">
        <v>300</v>
      </c>
      <c r="C2114" s="947">
        <v>199</v>
      </c>
      <c r="D2114" s="880" t="s">
        <v>11</v>
      </c>
    </row>
    <row r="2115" spans="1:4" s="948" customFormat="1" ht="11.25" customHeight="1" x14ac:dyDescent="0.2">
      <c r="A2115" s="1472" t="s">
        <v>3539</v>
      </c>
      <c r="B2115" s="949">
        <v>180</v>
      </c>
      <c r="C2115" s="949">
        <v>180</v>
      </c>
      <c r="D2115" s="882" t="s">
        <v>2735</v>
      </c>
    </row>
    <row r="2116" spans="1:4" s="948" customFormat="1" ht="11.25" customHeight="1" x14ac:dyDescent="0.2">
      <c r="A2116" s="1473"/>
      <c r="B2116" s="950">
        <v>180</v>
      </c>
      <c r="C2116" s="950">
        <v>180</v>
      </c>
      <c r="D2116" s="886" t="s">
        <v>11</v>
      </c>
    </row>
    <row r="2117" spans="1:4" s="948" customFormat="1" ht="21" x14ac:dyDescent="0.2">
      <c r="A2117" s="1471" t="s">
        <v>1076</v>
      </c>
      <c r="B2117" s="947">
        <v>70</v>
      </c>
      <c r="C2117" s="947">
        <v>70</v>
      </c>
      <c r="D2117" s="880" t="s">
        <v>2737</v>
      </c>
    </row>
    <row r="2118" spans="1:4" s="948" customFormat="1" ht="11.25" customHeight="1" x14ac:dyDescent="0.2">
      <c r="A2118" s="1471"/>
      <c r="B2118" s="947">
        <v>320</v>
      </c>
      <c r="C2118" s="947">
        <v>320</v>
      </c>
      <c r="D2118" s="880" t="s">
        <v>2745</v>
      </c>
    </row>
    <row r="2119" spans="1:4" s="948" customFormat="1" ht="11.25" customHeight="1" x14ac:dyDescent="0.2">
      <c r="A2119" s="1471"/>
      <c r="B2119" s="947">
        <v>50</v>
      </c>
      <c r="C2119" s="947">
        <v>50</v>
      </c>
      <c r="D2119" s="880" t="s">
        <v>1056</v>
      </c>
    </row>
    <row r="2120" spans="1:4" s="948" customFormat="1" ht="11.25" customHeight="1" x14ac:dyDescent="0.2">
      <c r="A2120" s="1471"/>
      <c r="B2120" s="947">
        <v>440</v>
      </c>
      <c r="C2120" s="947">
        <v>440</v>
      </c>
      <c r="D2120" s="880" t="s">
        <v>11</v>
      </c>
    </row>
    <row r="2121" spans="1:4" s="953" customFormat="1" ht="21" customHeight="1" x14ac:dyDescent="0.2">
      <c r="A2121" s="951" t="s">
        <v>10</v>
      </c>
      <c r="B2121" s="952">
        <v>2882944.89</v>
      </c>
      <c r="C2121" s="952">
        <v>2810812.2730700001</v>
      </c>
      <c r="D2121" s="877"/>
    </row>
    <row r="2122" spans="1:4" s="904" customFormat="1" ht="12.75" x14ac:dyDescent="0.2">
      <c r="A2122" s="954"/>
      <c r="B2122" s="955"/>
      <c r="C2122" s="955"/>
      <c r="D2122" s="956"/>
    </row>
    <row r="2123" spans="1:4" s="904" customFormat="1" ht="12.75" x14ac:dyDescent="0.2">
      <c r="A2123" s="954"/>
      <c r="B2123" s="957"/>
      <c r="C2123" s="957"/>
      <c r="D2123" s="956"/>
    </row>
    <row r="2124" spans="1:4" s="904" customFormat="1" ht="12.75" x14ac:dyDescent="0.2">
      <c r="A2124" s="867" t="s">
        <v>3540</v>
      </c>
      <c r="B2124" s="955"/>
      <c r="C2124" s="955"/>
      <c r="D2124" s="956"/>
    </row>
    <row r="2125" spans="1:4" s="904" customFormat="1" ht="12.75" x14ac:dyDescent="0.2">
      <c r="A2125" s="867" t="s">
        <v>3541</v>
      </c>
      <c r="B2125" s="955"/>
      <c r="C2125" s="955"/>
      <c r="D2125" s="956"/>
    </row>
  </sheetData>
  <mergeCells count="882">
    <mergeCell ref="A2106:A2107"/>
    <mergeCell ref="A2108:A2109"/>
    <mergeCell ref="A2110:A2111"/>
    <mergeCell ref="A2112:A2114"/>
    <mergeCell ref="A2115:A2116"/>
    <mergeCell ref="A2117:A2120"/>
    <mergeCell ref="A2089:A2090"/>
    <mergeCell ref="A2091:A2093"/>
    <mergeCell ref="A2094:A2096"/>
    <mergeCell ref="A2097:A2099"/>
    <mergeCell ref="A2100:A2102"/>
    <mergeCell ref="A2103:A2105"/>
    <mergeCell ref="A2068:A2069"/>
    <mergeCell ref="A2070:A2073"/>
    <mergeCell ref="A2074:A2077"/>
    <mergeCell ref="A2078:A2080"/>
    <mergeCell ref="A2081:A2083"/>
    <mergeCell ref="A2084:A2088"/>
    <mergeCell ref="A2052:A2056"/>
    <mergeCell ref="A2057:A2058"/>
    <mergeCell ref="A2059:A2060"/>
    <mergeCell ref="A2061:A2062"/>
    <mergeCell ref="A2063:A2065"/>
    <mergeCell ref="A2066:A2067"/>
    <mergeCell ref="A2034:A2035"/>
    <mergeCell ref="A2036:A2038"/>
    <mergeCell ref="A2039:A2041"/>
    <mergeCell ref="A2042:A2045"/>
    <mergeCell ref="A2046:A2048"/>
    <mergeCell ref="A2049:A2051"/>
    <mergeCell ref="A2012:A2013"/>
    <mergeCell ref="A2014:A2018"/>
    <mergeCell ref="A2019:A2021"/>
    <mergeCell ref="A2022:A2023"/>
    <mergeCell ref="A2024:A2025"/>
    <mergeCell ref="A2026:A2033"/>
    <mergeCell ref="A2000:A2001"/>
    <mergeCell ref="A2002:A2003"/>
    <mergeCell ref="A2004:A2005"/>
    <mergeCell ref="A2006:A2007"/>
    <mergeCell ref="A2008:A2009"/>
    <mergeCell ref="A2010:A2011"/>
    <mergeCell ref="A1988:A1989"/>
    <mergeCell ref="A1990:A1991"/>
    <mergeCell ref="A1992:A1993"/>
    <mergeCell ref="A1994:A1995"/>
    <mergeCell ref="A1996:A1997"/>
    <mergeCell ref="A1998:A1999"/>
    <mergeCell ref="A1971:A1972"/>
    <mergeCell ref="A1973:A1975"/>
    <mergeCell ref="A1976:A1978"/>
    <mergeCell ref="A1979:A1982"/>
    <mergeCell ref="A1983:A1985"/>
    <mergeCell ref="A1986:A1987"/>
    <mergeCell ref="A1958:A1959"/>
    <mergeCell ref="A1960:A1961"/>
    <mergeCell ref="A1962:A1963"/>
    <mergeCell ref="A1964:A1965"/>
    <mergeCell ref="A1966:A1968"/>
    <mergeCell ref="A1969:A1970"/>
    <mergeCell ref="A1945:A1947"/>
    <mergeCell ref="A1948:A1949"/>
    <mergeCell ref="A1950:A1951"/>
    <mergeCell ref="A1952:A1953"/>
    <mergeCell ref="A1954:A1955"/>
    <mergeCell ref="A1956:A1957"/>
    <mergeCell ref="A1933:A1934"/>
    <mergeCell ref="A1935:A1936"/>
    <mergeCell ref="A1937:A1938"/>
    <mergeCell ref="A1939:A1940"/>
    <mergeCell ref="A1941:A1942"/>
    <mergeCell ref="A1943:A1944"/>
    <mergeCell ref="A1921:A1922"/>
    <mergeCell ref="A1923:A1924"/>
    <mergeCell ref="A1925:A1926"/>
    <mergeCell ref="A1927:A1928"/>
    <mergeCell ref="A1929:A1930"/>
    <mergeCell ref="A1931:A1932"/>
    <mergeCell ref="A1909:A1910"/>
    <mergeCell ref="A1911:A1912"/>
    <mergeCell ref="A1913:A1914"/>
    <mergeCell ref="A1915:A1916"/>
    <mergeCell ref="A1917:A1918"/>
    <mergeCell ref="A1919:A1920"/>
    <mergeCell ref="A1897:A1898"/>
    <mergeCell ref="A1899:A1900"/>
    <mergeCell ref="A1901:A1902"/>
    <mergeCell ref="A1903:A1904"/>
    <mergeCell ref="A1905:A1906"/>
    <mergeCell ref="A1907:A1908"/>
    <mergeCell ref="A1884:A1885"/>
    <mergeCell ref="A1886:A1888"/>
    <mergeCell ref="A1889:A1890"/>
    <mergeCell ref="A1891:A1892"/>
    <mergeCell ref="A1893:A1894"/>
    <mergeCell ref="A1895:A1896"/>
    <mergeCell ref="A1872:A1873"/>
    <mergeCell ref="A1874:A1875"/>
    <mergeCell ref="A1876:A1877"/>
    <mergeCell ref="A1878:A1879"/>
    <mergeCell ref="A1880:A1881"/>
    <mergeCell ref="A1882:A1883"/>
    <mergeCell ref="A1859:A1860"/>
    <mergeCell ref="A1861:A1863"/>
    <mergeCell ref="A1864:A1865"/>
    <mergeCell ref="A1866:A1867"/>
    <mergeCell ref="A1868:A1869"/>
    <mergeCell ref="A1870:A1871"/>
    <mergeCell ref="A1847:A1848"/>
    <mergeCell ref="A1849:A1850"/>
    <mergeCell ref="A1851:A1852"/>
    <mergeCell ref="A1853:A1854"/>
    <mergeCell ref="A1855:A1856"/>
    <mergeCell ref="A1857:A1858"/>
    <mergeCell ref="A1834:A1835"/>
    <mergeCell ref="A1836:A1837"/>
    <mergeCell ref="A1838:A1839"/>
    <mergeCell ref="A1840:A1841"/>
    <mergeCell ref="A1842:A1844"/>
    <mergeCell ref="A1845:A1846"/>
    <mergeCell ref="A1815:A1817"/>
    <mergeCell ref="A1818:A1820"/>
    <mergeCell ref="A1821:A1823"/>
    <mergeCell ref="A1824:A1826"/>
    <mergeCell ref="A1827:A1830"/>
    <mergeCell ref="A1831:A1833"/>
    <mergeCell ref="A1793:A1796"/>
    <mergeCell ref="A1797:A1799"/>
    <mergeCell ref="A1800:A1802"/>
    <mergeCell ref="A1803:A1805"/>
    <mergeCell ref="A1806:A1810"/>
    <mergeCell ref="A1811:A1814"/>
    <mergeCell ref="A1781:A1782"/>
    <mergeCell ref="A1783:A1784"/>
    <mergeCell ref="A1785:A1786"/>
    <mergeCell ref="A1787:A1788"/>
    <mergeCell ref="A1789:A1790"/>
    <mergeCell ref="A1791:A1792"/>
    <mergeCell ref="A1767:A1770"/>
    <mergeCell ref="A1771:A1772"/>
    <mergeCell ref="A1773:A1774"/>
    <mergeCell ref="A1775:A1776"/>
    <mergeCell ref="A1777:A1778"/>
    <mergeCell ref="A1779:A1780"/>
    <mergeCell ref="A1755:A1756"/>
    <mergeCell ref="A1757:A1758"/>
    <mergeCell ref="A1759:A1760"/>
    <mergeCell ref="A1761:A1762"/>
    <mergeCell ref="A1763:A1764"/>
    <mergeCell ref="A1765:A1766"/>
    <mergeCell ref="A1742:A1743"/>
    <mergeCell ref="A1744:A1745"/>
    <mergeCell ref="A1746:A1748"/>
    <mergeCell ref="A1749:A1750"/>
    <mergeCell ref="A1751:A1752"/>
    <mergeCell ref="A1753:A1754"/>
    <mergeCell ref="A1730:A1731"/>
    <mergeCell ref="A1732:A1733"/>
    <mergeCell ref="A1734:A1735"/>
    <mergeCell ref="A1736:A1737"/>
    <mergeCell ref="A1738:A1739"/>
    <mergeCell ref="A1740:A1741"/>
    <mergeCell ref="A1711:A1712"/>
    <mergeCell ref="A1713:A1716"/>
    <mergeCell ref="A1717:A1720"/>
    <mergeCell ref="A1721:A1725"/>
    <mergeCell ref="A1726:A1727"/>
    <mergeCell ref="A1728:A1729"/>
    <mergeCell ref="A1692:A1695"/>
    <mergeCell ref="A1696:A1699"/>
    <mergeCell ref="A1700:A1702"/>
    <mergeCell ref="A1703:A1705"/>
    <mergeCell ref="A1706:A1708"/>
    <mergeCell ref="A1709:A1710"/>
    <mergeCell ref="A1673:A1675"/>
    <mergeCell ref="A1676:A1679"/>
    <mergeCell ref="A1680:A1682"/>
    <mergeCell ref="A1683:A1685"/>
    <mergeCell ref="A1686:A1688"/>
    <mergeCell ref="A1689:A1691"/>
    <mergeCell ref="A1655:A1657"/>
    <mergeCell ref="A1658:A1660"/>
    <mergeCell ref="A1661:A1663"/>
    <mergeCell ref="A1664:A1666"/>
    <mergeCell ref="A1667:A1669"/>
    <mergeCell ref="A1670:A1672"/>
    <mergeCell ref="A1643:A1644"/>
    <mergeCell ref="A1645:A1646"/>
    <mergeCell ref="A1647:A1648"/>
    <mergeCell ref="A1649:A1650"/>
    <mergeCell ref="A1651:A1652"/>
    <mergeCell ref="A1653:A1654"/>
    <mergeCell ref="A1629:A1630"/>
    <mergeCell ref="A1631:A1633"/>
    <mergeCell ref="A1634:A1636"/>
    <mergeCell ref="A1637:A1638"/>
    <mergeCell ref="A1639:A1640"/>
    <mergeCell ref="A1641:A1642"/>
    <mergeCell ref="A1604:A1605"/>
    <mergeCell ref="A1606:A1608"/>
    <mergeCell ref="A1609:A1611"/>
    <mergeCell ref="A1612:A1613"/>
    <mergeCell ref="A1614:A1615"/>
    <mergeCell ref="A1616:A1628"/>
    <mergeCell ref="A1590:A1592"/>
    <mergeCell ref="A1593:A1595"/>
    <mergeCell ref="A1596:A1597"/>
    <mergeCell ref="A1598:A1599"/>
    <mergeCell ref="A1600:A1601"/>
    <mergeCell ref="A1602:A1603"/>
    <mergeCell ref="A1577:A1579"/>
    <mergeCell ref="A1580:A1581"/>
    <mergeCell ref="A1582:A1583"/>
    <mergeCell ref="A1584:A1585"/>
    <mergeCell ref="A1586:A1587"/>
    <mergeCell ref="A1588:A1589"/>
    <mergeCell ref="A1561:A1563"/>
    <mergeCell ref="A1564:A1565"/>
    <mergeCell ref="A1566:A1570"/>
    <mergeCell ref="A1571:A1572"/>
    <mergeCell ref="A1573:A1574"/>
    <mergeCell ref="A1575:A1576"/>
    <mergeCell ref="A1547:A1548"/>
    <mergeCell ref="A1549:A1550"/>
    <mergeCell ref="A1551:A1552"/>
    <mergeCell ref="A1553:A1555"/>
    <mergeCell ref="A1556:A1557"/>
    <mergeCell ref="A1558:A1560"/>
    <mergeCell ref="A1535:A1536"/>
    <mergeCell ref="A1537:A1538"/>
    <mergeCell ref="A1539:A1540"/>
    <mergeCell ref="A1541:A1542"/>
    <mergeCell ref="A1543:A1544"/>
    <mergeCell ref="A1545:A1546"/>
    <mergeCell ref="A1521:A1523"/>
    <mergeCell ref="A1524:A1525"/>
    <mergeCell ref="A1526:A1528"/>
    <mergeCell ref="A1529:A1530"/>
    <mergeCell ref="A1531:A1532"/>
    <mergeCell ref="A1533:A1534"/>
    <mergeCell ref="A1509:A1510"/>
    <mergeCell ref="A1511:A1512"/>
    <mergeCell ref="A1513:A1514"/>
    <mergeCell ref="A1515:A1516"/>
    <mergeCell ref="A1517:A1518"/>
    <mergeCell ref="A1519:A1520"/>
    <mergeCell ref="A1497:A1498"/>
    <mergeCell ref="A1499:A1500"/>
    <mergeCell ref="A1501:A1502"/>
    <mergeCell ref="A1503:A1504"/>
    <mergeCell ref="A1505:A1506"/>
    <mergeCell ref="A1507:A1508"/>
    <mergeCell ref="A1483:A1484"/>
    <mergeCell ref="A1485:A1487"/>
    <mergeCell ref="A1488:A1489"/>
    <mergeCell ref="A1490:A1491"/>
    <mergeCell ref="A1492:A1493"/>
    <mergeCell ref="A1494:A1496"/>
    <mergeCell ref="A1470:A1472"/>
    <mergeCell ref="A1473:A1474"/>
    <mergeCell ref="A1475:A1476"/>
    <mergeCell ref="A1477:A1478"/>
    <mergeCell ref="A1479:A1480"/>
    <mergeCell ref="A1481:A1482"/>
    <mergeCell ref="A1455:A1456"/>
    <mergeCell ref="A1457:A1458"/>
    <mergeCell ref="A1459:A1463"/>
    <mergeCell ref="A1464:A1465"/>
    <mergeCell ref="A1466:A1467"/>
    <mergeCell ref="A1468:A1469"/>
    <mergeCell ref="A1440:A1442"/>
    <mergeCell ref="A1443:A1444"/>
    <mergeCell ref="A1445:A1447"/>
    <mergeCell ref="A1448:A1449"/>
    <mergeCell ref="A1450:A1451"/>
    <mergeCell ref="A1452:A1454"/>
    <mergeCell ref="A1426:A1429"/>
    <mergeCell ref="A1430:A1431"/>
    <mergeCell ref="A1432:A1433"/>
    <mergeCell ref="A1434:A1435"/>
    <mergeCell ref="A1436:A1437"/>
    <mergeCell ref="A1438:A1439"/>
    <mergeCell ref="A1411:A1414"/>
    <mergeCell ref="A1415:A1416"/>
    <mergeCell ref="A1417:A1419"/>
    <mergeCell ref="A1420:A1421"/>
    <mergeCell ref="A1422:A1423"/>
    <mergeCell ref="A1424:A1425"/>
    <mergeCell ref="A1398:A1399"/>
    <mergeCell ref="A1400:A1401"/>
    <mergeCell ref="A1402:A1403"/>
    <mergeCell ref="A1404:A1405"/>
    <mergeCell ref="A1406:A1408"/>
    <mergeCell ref="A1409:A1410"/>
    <mergeCell ref="A1383:A1384"/>
    <mergeCell ref="A1385:A1386"/>
    <mergeCell ref="A1387:A1390"/>
    <mergeCell ref="A1391:A1393"/>
    <mergeCell ref="A1394:A1395"/>
    <mergeCell ref="A1396:A1397"/>
    <mergeCell ref="A1371:A1372"/>
    <mergeCell ref="A1373:A1374"/>
    <mergeCell ref="A1375:A1376"/>
    <mergeCell ref="A1377:A1378"/>
    <mergeCell ref="A1379:A1380"/>
    <mergeCell ref="A1381:A1382"/>
    <mergeCell ref="A1359:A1360"/>
    <mergeCell ref="A1361:A1362"/>
    <mergeCell ref="A1363:A1364"/>
    <mergeCell ref="A1365:A1366"/>
    <mergeCell ref="A1367:A1368"/>
    <mergeCell ref="A1369:A1370"/>
    <mergeCell ref="A1347:A1348"/>
    <mergeCell ref="A1349:A1350"/>
    <mergeCell ref="A1351:A1352"/>
    <mergeCell ref="A1353:A1354"/>
    <mergeCell ref="A1355:A1356"/>
    <mergeCell ref="A1357:A1358"/>
    <mergeCell ref="A1334:A1335"/>
    <mergeCell ref="A1336:A1337"/>
    <mergeCell ref="A1338:A1339"/>
    <mergeCell ref="A1340:A1341"/>
    <mergeCell ref="A1342:A1343"/>
    <mergeCell ref="A1344:A1346"/>
    <mergeCell ref="A1317:A1318"/>
    <mergeCell ref="A1319:A1320"/>
    <mergeCell ref="A1321:A1322"/>
    <mergeCell ref="A1323:A1324"/>
    <mergeCell ref="A1325:A1331"/>
    <mergeCell ref="A1332:A1333"/>
    <mergeCell ref="A1305:A1306"/>
    <mergeCell ref="A1307:A1308"/>
    <mergeCell ref="A1309:A1310"/>
    <mergeCell ref="A1311:A1312"/>
    <mergeCell ref="A1313:A1314"/>
    <mergeCell ref="A1315:A1316"/>
    <mergeCell ref="A1287:A1290"/>
    <mergeCell ref="A1291:A1292"/>
    <mergeCell ref="A1293:A1294"/>
    <mergeCell ref="A1295:A1300"/>
    <mergeCell ref="A1301:A1302"/>
    <mergeCell ref="A1303:A1304"/>
    <mergeCell ref="A1272:A1273"/>
    <mergeCell ref="A1274:A1276"/>
    <mergeCell ref="A1277:A1280"/>
    <mergeCell ref="A1281:A1282"/>
    <mergeCell ref="A1283:A1284"/>
    <mergeCell ref="A1285:A1286"/>
    <mergeCell ref="A1258:A1259"/>
    <mergeCell ref="A1260:A1261"/>
    <mergeCell ref="A1262:A1263"/>
    <mergeCell ref="A1264:A1265"/>
    <mergeCell ref="A1266:A1267"/>
    <mergeCell ref="A1268:A1271"/>
    <mergeCell ref="A1245:A1247"/>
    <mergeCell ref="A1248:A1249"/>
    <mergeCell ref="A1250:A1251"/>
    <mergeCell ref="A1252:A1253"/>
    <mergeCell ref="A1254:A1255"/>
    <mergeCell ref="A1256:A1257"/>
    <mergeCell ref="A1227:A1233"/>
    <mergeCell ref="A1234:A1236"/>
    <mergeCell ref="A1237:A1238"/>
    <mergeCell ref="A1239:A1240"/>
    <mergeCell ref="A1241:A1242"/>
    <mergeCell ref="A1243:A1244"/>
    <mergeCell ref="A1214:A1215"/>
    <mergeCell ref="A1216:A1217"/>
    <mergeCell ref="A1218:A1219"/>
    <mergeCell ref="A1220:A1221"/>
    <mergeCell ref="A1222:A1223"/>
    <mergeCell ref="A1224:A1226"/>
    <mergeCell ref="A1201:A1202"/>
    <mergeCell ref="A1203:A1204"/>
    <mergeCell ref="A1205:A1206"/>
    <mergeCell ref="A1207:A1209"/>
    <mergeCell ref="A1210:A1211"/>
    <mergeCell ref="A1212:A1213"/>
    <mergeCell ref="A1189:A1190"/>
    <mergeCell ref="A1191:A1192"/>
    <mergeCell ref="A1193:A1194"/>
    <mergeCell ref="A1195:A1196"/>
    <mergeCell ref="A1197:A1198"/>
    <mergeCell ref="A1199:A1200"/>
    <mergeCell ref="A1174:A1175"/>
    <mergeCell ref="A1176:A1177"/>
    <mergeCell ref="A1178:A1180"/>
    <mergeCell ref="A1181:A1182"/>
    <mergeCell ref="A1183:A1184"/>
    <mergeCell ref="A1185:A1188"/>
    <mergeCell ref="A1161:A1162"/>
    <mergeCell ref="A1163:A1165"/>
    <mergeCell ref="A1166:A1167"/>
    <mergeCell ref="A1168:A1169"/>
    <mergeCell ref="A1170:A1171"/>
    <mergeCell ref="A1172:A1173"/>
    <mergeCell ref="A1144:A1145"/>
    <mergeCell ref="A1146:A1147"/>
    <mergeCell ref="A1148:A1151"/>
    <mergeCell ref="A1152:A1154"/>
    <mergeCell ref="A1155:A1157"/>
    <mergeCell ref="A1158:A1160"/>
    <mergeCell ref="A1130:A1131"/>
    <mergeCell ref="A1132:A1134"/>
    <mergeCell ref="A1135:A1136"/>
    <mergeCell ref="A1137:A1139"/>
    <mergeCell ref="A1140:A1141"/>
    <mergeCell ref="A1142:A1143"/>
    <mergeCell ref="A1117:A1118"/>
    <mergeCell ref="A1119:A1120"/>
    <mergeCell ref="A1121:A1122"/>
    <mergeCell ref="A1123:A1125"/>
    <mergeCell ref="A1126:A1127"/>
    <mergeCell ref="A1128:A1129"/>
    <mergeCell ref="A1105:A1106"/>
    <mergeCell ref="A1107:A1108"/>
    <mergeCell ref="A1109:A1110"/>
    <mergeCell ref="A1111:A1112"/>
    <mergeCell ref="A1113:A1114"/>
    <mergeCell ref="A1115:A1116"/>
    <mergeCell ref="A1090:A1091"/>
    <mergeCell ref="A1092:A1093"/>
    <mergeCell ref="A1094:A1097"/>
    <mergeCell ref="A1098:A1100"/>
    <mergeCell ref="A1101:A1102"/>
    <mergeCell ref="A1103:A1104"/>
    <mergeCell ref="A1076:A1077"/>
    <mergeCell ref="A1078:A1079"/>
    <mergeCell ref="A1080:A1081"/>
    <mergeCell ref="A1082:A1084"/>
    <mergeCell ref="A1085:A1086"/>
    <mergeCell ref="A1087:A1089"/>
    <mergeCell ref="A1063:A1064"/>
    <mergeCell ref="A1065:A1066"/>
    <mergeCell ref="A1067:A1068"/>
    <mergeCell ref="A1069:A1071"/>
    <mergeCell ref="A1072:A1073"/>
    <mergeCell ref="A1074:A1075"/>
    <mergeCell ref="A1048:A1050"/>
    <mergeCell ref="A1051:A1053"/>
    <mergeCell ref="A1054:A1056"/>
    <mergeCell ref="A1057:A1058"/>
    <mergeCell ref="A1059:A1060"/>
    <mergeCell ref="A1061:A1062"/>
    <mergeCell ref="A1027:A1029"/>
    <mergeCell ref="A1030:A1032"/>
    <mergeCell ref="A1033:A1036"/>
    <mergeCell ref="A1037:A1039"/>
    <mergeCell ref="A1040:A1043"/>
    <mergeCell ref="A1044:A1047"/>
    <mergeCell ref="A1009:A1011"/>
    <mergeCell ref="A1012:A1014"/>
    <mergeCell ref="A1015:A1017"/>
    <mergeCell ref="A1018:A1020"/>
    <mergeCell ref="A1021:A1023"/>
    <mergeCell ref="A1024:A1026"/>
    <mergeCell ref="A990:A992"/>
    <mergeCell ref="A993:A995"/>
    <mergeCell ref="A996:A999"/>
    <mergeCell ref="A1000:A1002"/>
    <mergeCell ref="A1003:A1005"/>
    <mergeCell ref="A1006:A1008"/>
    <mergeCell ref="A973:A974"/>
    <mergeCell ref="A975:A977"/>
    <mergeCell ref="A978:A979"/>
    <mergeCell ref="A980:A983"/>
    <mergeCell ref="A984:A986"/>
    <mergeCell ref="A987:A989"/>
    <mergeCell ref="A961:A962"/>
    <mergeCell ref="A963:A964"/>
    <mergeCell ref="A965:A966"/>
    <mergeCell ref="A967:A968"/>
    <mergeCell ref="A969:A970"/>
    <mergeCell ref="A971:A972"/>
    <mergeCell ref="A948:A949"/>
    <mergeCell ref="A950:A951"/>
    <mergeCell ref="A952:A953"/>
    <mergeCell ref="A954:A955"/>
    <mergeCell ref="A956:A957"/>
    <mergeCell ref="A958:A960"/>
    <mergeCell ref="A936:A937"/>
    <mergeCell ref="A938:A939"/>
    <mergeCell ref="A940:A941"/>
    <mergeCell ref="A942:A943"/>
    <mergeCell ref="A944:A945"/>
    <mergeCell ref="A946:A947"/>
    <mergeCell ref="A922:A923"/>
    <mergeCell ref="A924:A925"/>
    <mergeCell ref="A926:A927"/>
    <mergeCell ref="A928:A930"/>
    <mergeCell ref="A931:A932"/>
    <mergeCell ref="A933:A935"/>
    <mergeCell ref="A910:A911"/>
    <mergeCell ref="A912:A913"/>
    <mergeCell ref="A914:A915"/>
    <mergeCell ref="A916:A917"/>
    <mergeCell ref="A918:A919"/>
    <mergeCell ref="A920:A921"/>
    <mergeCell ref="A895:A896"/>
    <mergeCell ref="A897:A900"/>
    <mergeCell ref="A901:A902"/>
    <mergeCell ref="A903:A904"/>
    <mergeCell ref="A905:A906"/>
    <mergeCell ref="A907:A909"/>
    <mergeCell ref="A880:A881"/>
    <mergeCell ref="A882:A884"/>
    <mergeCell ref="A885:A887"/>
    <mergeCell ref="A888:A889"/>
    <mergeCell ref="A890:A891"/>
    <mergeCell ref="A892:A894"/>
    <mergeCell ref="A868:A869"/>
    <mergeCell ref="A870:A871"/>
    <mergeCell ref="A872:A873"/>
    <mergeCell ref="A874:A875"/>
    <mergeCell ref="A876:A877"/>
    <mergeCell ref="A878:A879"/>
    <mergeCell ref="A856:A857"/>
    <mergeCell ref="A858:A859"/>
    <mergeCell ref="A860:A861"/>
    <mergeCell ref="A862:A863"/>
    <mergeCell ref="A864:A865"/>
    <mergeCell ref="A866:A867"/>
    <mergeCell ref="A844:A845"/>
    <mergeCell ref="A846:A847"/>
    <mergeCell ref="A848:A849"/>
    <mergeCell ref="A850:A851"/>
    <mergeCell ref="A852:A853"/>
    <mergeCell ref="A854:A855"/>
    <mergeCell ref="A826:A832"/>
    <mergeCell ref="A833:A834"/>
    <mergeCell ref="A835:A836"/>
    <mergeCell ref="A837:A838"/>
    <mergeCell ref="A839:A840"/>
    <mergeCell ref="A841:A843"/>
    <mergeCell ref="A812:A813"/>
    <mergeCell ref="A814:A817"/>
    <mergeCell ref="A818:A819"/>
    <mergeCell ref="A820:A821"/>
    <mergeCell ref="A822:A823"/>
    <mergeCell ref="A824:A825"/>
    <mergeCell ref="A798:A799"/>
    <mergeCell ref="A800:A802"/>
    <mergeCell ref="A803:A804"/>
    <mergeCell ref="A805:A806"/>
    <mergeCell ref="A807:A809"/>
    <mergeCell ref="A810:A811"/>
    <mergeCell ref="A784:A785"/>
    <mergeCell ref="A786:A787"/>
    <mergeCell ref="A788:A790"/>
    <mergeCell ref="A791:A792"/>
    <mergeCell ref="A793:A795"/>
    <mergeCell ref="A796:A797"/>
    <mergeCell ref="A771:A772"/>
    <mergeCell ref="A773:A775"/>
    <mergeCell ref="A776:A777"/>
    <mergeCell ref="A778:A779"/>
    <mergeCell ref="A780:A781"/>
    <mergeCell ref="A782:A783"/>
    <mergeCell ref="A758:A759"/>
    <mergeCell ref="A760:A761"/>
    <mergeCell ref="A762:A763"/>
    <mergeCell ref="A764:A765"/>
    <mergeCell ref="A766:A768"/>
    <mergeCell ref="A769:A770"/>
    <mergeCell ref="A746:A747"/>
    <mergeCell ref="A748:A749"/>
    <mergeCell ref="A750:A751"/>
    <mergeCell ref="A752:A753"/>
    <mergeCell ref="A754:A755"/>
    <mergeCell ref="A756:A757"/>
    <mergeCell ref="A730:A732"/>
    <mergeCell ref="A733:A735"/>
    <mergeCell ref="A736:A737"/>
    <mergeCell ref="A738:A740"/>
    <mergeCell ref="A741:A742"/>
    <mergeCell ref="A743:A745"/>
    <mergeCell ref="A705:A707"/>
    <mergeCell ref="A708:A710"/>
    <mergeCell ref="A711:A717"/>
    <mergeCell ref="A718:A722"/>
    <mergeCell ref="A723:A726"/>
    <mergeCell ref="A727:A729"/>
    <mergeCell ref="A690:A692"/>
    <mergeCell ref="A693:A695"/>
    <mergeCell ref="A696:A698"/>
    <mergeCell ref="A699:A700"/>
    <mergeCell ref="A701:A702"/>
    <mergeCell ref="A703:A704"/>
    <mergeCell ref="A672:A673"/>
    <mergeCell ref="A674:A675"/>
    <mergeCell ref="A676:A677"/>
    <mergeCell ref="A678:A679"/>
    <mergeCell ref="A680:A683"/>
    <mergeCell ref="A684:A689"/>
    <mergeCell ref="A658:A659"/>
    <mergeCell ref="A660:A661"/>
    <mergeCell ref="A662:A663"/>
    <mergeCell ref="A664:A666"/>
    <mergeCell ref="A667:A669"/>
    <mergeCell ref="A670:A671"/>
    <mergeCell ref="A645:A647"/>
    <mergeCell ref="A648:A649"/>
    <mergeCell ref="A650:A651"/>
    <mergeCell ref="A652:A653"/>
    <mergeCell ref="A654:A655"/>
    <mergeCell ref="A656:A657"/>
    <mergeCell ref="A632:A633"/>
    <mergeCell ref="A634:A635"/>
    <mergeCell ref="A636:A637"/>
    <mergeCell ref="A638:A639"/>
    <mergeCell ref="A640:A641"/>
    <mergeCell ref="A642:A644"/>
    <mergeCell ref="A619:A620"/>
    <mergeCell ref="A621:A622"/>
    <mergeCell ref="A623:A624"/>
    <mergeCell ref="A625:A627"/>
    <mergeCell ref="A628:A629"/>
    <mergeCell ref="A630:A631"/>
    <mergeCell ref="A605:A606"/>
    <mergeCell ref="A607:A608"/>
    <mergeCell ref="A609:A610"/>
    <mergeCell ref="A611:A612"/>
    <mergeCell ref="A613:A615"/>
    <mergeCell ref="A616:A618"/>
    <mergeCell ref="A591:A592"/>
    <mergeCell ref="A593:A594"/>
    <mergeCell ref="A595:A596"/>
    <mergeCell ref="A597:A598"/>
    <mergeCell ref="A599:A602"/>
    <mergeCell ref="A603:A604"/>
    <mergeCell ref="A576:A577"/>
    <mergeCell ref="A578:A580"/>
    <mergeCell ref="A581:A582"/>
    <mergeCell ref="A583:A584"/>
    <mergeCell ref="A585:A588"/>
    <mergeCell ref="A589:A590"/>
    <mergeCell ref="A561:A564"/>
    <mergeCell ref="A565:A567"/>
    <mergeCell ref="A568:A569"/>
    <mergeCell ref="A570:A571"/>
    <mergeCell ref="A572:A573"/>
    <mergeCell ref="A574:A575"/>
    <mergeCell ref="A545:A546"/>
    <mergeCell ref="A547:A548"/>
    <mergeCell ref="A549:A550"/>
    <mergeCell ref="A551:A553"/>
    <mergeCell ref="A554:A555"/>
    <mergeCell ref="A556:A560"/>
    <mergeCell ref="A533:A534"/>
    <mergeCell ref="A535:A536"/>
    <mergeCell ref="A537:A538"/>
    <mergeCell ref="A539:A540"/>
    <mergeCell ref="A541:A542"/>
    <mergeCell ref="A543:A544"/>
    <mergeCell ref="A521:A522"/>
    <mergeCell ref="A523:A524"/>
    <mergeCell ref="A525:A526"/>
    <mergeCell ref="A527:A528"/>
    <mergeCell ref="A529:A530"/>
    <mergeCell ref="A531:A532"/>
    <mergeCell ref="A502:A503"/>
    <mergeCell ref="A504:A506"/>
    <mergeCell ref="A507:A513"/>
    <mergeCell ref="A514:A515"/>
    <mergeCell ref="A516:A517"/>
    <mergeCell ref="A518:A520"/>
    <mergeCell ref="A490:A491"/>
    <mergeCell ref="A492:A493"/>
    <mergeCell ref="A494:A495"/>
    <mergeCell ref="A496:A497"/>
    <mergeCell ref="A498:A499"/>
    <mergeCell ref="A500:A501"/>
    <mergeCell ref="A477:A478"/>
    <mergeCell ref="A479:A480"/>
    <mergeCell ref="A481:A482"/>
    <mergeCell ref="A483:A484"/>
    <mergeCell ref="A485:A486"/>
    <mergeCell ref="A487:A489"/>
    <mergeCell ref="A461:A462"/>
    <mergeCell ref="A463:A464"/>
    <mergeCell ref="A465:A468"/>
    <mergeCell ref="A469:A472"/>
    <mergeCell ref="A473:A474"/>
    <mergeCell ref="A475:A476"/>
    <mergeCell ref="A449:A450"/>
    <mergeCell ref="A451:A452"/>
    <mergeCell ref="A453:A454"/>
    <mergeCell ref="A455:A456"/>
    <mergeCell ref="A457:A458"/>
    <mergeCell ref="A459:A460"/>
    <mergeCell ref="A434:A435"/>
    <mergeCell ref="A436:A439"/>
    <mergeCell ref="A440:A441"/>
    <mergeCell ref="A442:A443"/>
    <mergeCell ref="A444:A445"/>
    <mergeCell ref="A446:A448"/>
    <mergeCell ref="A414:A415"/>
    <mergeCell ref="A416:A418"/>
    <mergeCell ref="A419:A423"/>
    <mergeCell ref="A424:A425"/>
    <mergeCell ref="A426:A431"/>
    <mergeCell ref="A432:A433"/>
    <mergeCell ref="A402:A403"/>
    <mergeCell ref="A404:A405"/>
    <mergeCell ref="A406:A407"/>
    <mergeCell ref="A408:A409"/>
    <mergeCell ref="A410:A411"/>
    <mergeCell ref="A412:A413"/>
    <mergeCell ref="A390:A391"/>
    <mergeCell ref="A392:A393"/>
    <mergeCell ref="A394:A395"/>
    <mergeCell ref="A396:A397"/>
    <mergeCell ref="A398:A399"/>
    <mergeCell ref="A400:A401"/>
    <mergeCell ref="A377:A378"/>
    <mergeCell ref="A379:A380"/>
    <mergeCell ref="A381:A383"/>
    <mergeCell ref="A384:A385"/>
    <mergeCell ref="A386:A387"/>
    <mergeCell ref="A388:A389"/>
    <mergeCell ref="A364:A365"/>
    <mergeCell ref="A366:A367"/>
    <mergeCell ref="A368:A369"/>
    <mergeCell ref="A370:A372"/>
    <mergeCell ref="A373:A374"/>
    <mergeCell ref="A375:A376"/>
    <mergeCell ref="A350:A352"/>
    <mergeCell ref="A353:A355"/>
    <mergeCell ref="A356:A357"/>
    <mergeCell ref="A358:A359"/>
    <mergeCell ref="A360:A361"/>
    <mergeCell ref="A362:A363"/>
    <mergeCell ref="A337:A338"/>
    <mergeCell ref="A339:A340"/>
    <mergeCell ref="A341:A342"/>
    <mergeCell ref="A343:A344"/>
    <mergeCell ref="A345:A347"/>
    <mergeCell ref="A348:A349"/>
    <mergeCell ref="A325:A326"/>
    <mergeCell ref="A327:A328"/>
    <mergeCell ref="A329:A330"/>
    <mergeCell ref="A331:A332"/>
    <mergeCell ref="A333:A334"/>
    <mergeCell ref="A335:A336"/>
    <mergeCell ref="A313:A314"/>
    <mergeCell ref="A315:A316"/>
    <mergeCell ref="A317:A318"/>
    <mergeCell ref="A319:A320"/>
    <mergeCell ref="A321:A322"/>
    <mergeCell ref="A323:A324"/>
    <mergeCell ref="A300:A301"/>
    <mergeCell ref="A302:A303"/>
    <mergeCell ref="A304:A305"/>
    <mergeCell ref="A306:A308"/>
    <mergeCell ref="A309:A310"/>
    <mergeCell ref="A311:A312"/>
    <mergeCell ref="A288:A289"/>
    <mergeCell ref="A290:A291"/>
    <mergeCell ref="A292:A293"/>
    <mergeCell ref="A294:A295"/>
    <mergeCell ref="A296:A297"/>
    <mergeCell ref="A298:A299"/>
    <mergeCell ref="A272:A274"/>
    <mergeCell ref="A275:A279"/>
    <mergeCell ref="A280:A281"/>
    <mergeCell ref="A282:A283"/>
    <mergeCell ref="A284:A285"/>
    <mergeCell ref="A286:A287"/>
    <mergeCell ref="A254:A255"/>
    <mergeCell ref="A256:A258"/>
    <mergeCell ref="A259:A261"/>
    <mergeCell ref="A262:A265"/>
    <mergeCell ref="A266:A267"/>
    <mergeCell ref="A268:A271"/>
    <mergeCell ref="A241:A242"/>
    <mergeCell ref="A243:A244"/>
    <mergeCell ref="A245:A246"/>
    <mergeCell ref="A247:A248"/>
    <mergeCell ref="A249:A251"/>
    <mergeCell ref="A252:A253"/>
    <mergeCell ref="A227:A228"/>
    <mergeCell ref="A229:A230"/>
    <mergeCell ref="A231:A232"/>
    <mergeCell ref="A233:A234"/>
    <mergeCell ref="A235:A238"/>
    <mergeCell ref="A239:A240"/>
    <mergeCell ref="A214:A215"/>
    <mergeCell ref="A216:A218"/>
    <mergeCell ref="A219:A220"/>
    <mergeCell ref="A221:A222"/>
    <mergeCell ref="A223:A224"/>
    <mergeCell ref="A225:A226"/>
    <mergeCell ref="A200:A201"/>
    <mergeCell ref="A202:A205"/>
    <mergeCell ref="A206:A207"/>
    <mergeCell ref="A208:A209"/>
    <mergeCell ref="A210:A211"/>
    <mergeCell ref="A212:A213"/>
    <mergeCell ref="A187:A188"/>
    <mergeCell ref="A189:A190"/>
    <mergeCell ref="A191:A192"/>
    <mergeCell ref="A193:A194"/>
    <mergeCell ref="A195:A197"/>
    <mergeCell ref="A198:A199"/>
    <mergeCell ref="A175:A176"/>
    <mergeCell ref="A177:A178"/>
    <mergeCell ref="A179:A180"/>
    <mergeCell ref="A181:A182"/>
    <mergeCell ref="A183:A184"/>
    <mergeCell ref="A185:A186"/>
    <mergeCell ref="A160:A162"/>
    <mergeCell ref="A163:A164"/>
    <mergeCell ref="A165:A166"/>
    <mergeCell ref="A167:A170"/>
    <mergeCell ref="A171:A172"/>
    <mergeCell ref="A173:A174"/>
    <mergeCell ref="A145:A146"/>
    <mergeCell ref="A147:A149"/>
    <mergeCell ref="A150:A151"/>
    <mergeCell ref="A152:A154"/>
    <mergeCell ref="A155:A156"/>
    <mergeCell ref="A157:A159"/>
    <mergeCell ref="A133:A134"/>
    <mergeCell ref="A135:A136"/>
    <mergeCell ref="A137:A138"/>
    <mergeCell ref="A139:A140"/>
    <mergeCell ref="A141:A142"/>
    <mergeCell ref="A143:A144"/>
    <mergeCell ref="A120:A121"/>
    <mergeCell ref="A122:A123"/>
    <mergeCell ref="A124:A125"/>
    <mergeCell ref="A126:A127"/>
    <mergeCell ref="A128:A129"/>
    <mergeCell ref="A130:A132"/>
    <mergeCell ref="A103:A104"/>
    <mergeCell ref="A105:A106"/>
    <mergeCell ref="A107:A108"/>
    <mergeCell ref="A109:A110"/>
    <mergeCell ref="A111:A117"/>
    <mergeCell ref="A118:A119"/>
    <mergeCell ref="A89:A90"/>
    <mergeCell ref="A91:A92"/>
    <mergeCell ref="A93:A96"/>
    <mergeCell ref="A97:A98"/>
    <mergeCell ref="A99:A100"/>
    <mergeCell ref="A101:A102"/>
    <mergeCell ref="A74:A77"/>
    <mergeCell ref="A78:A79"/>
    <mergeCell ref="A80:A81"/>
    <mergeCell ref="A82:A84"/>
    <mergeCell ref="A85:A86"/>
    <mergeCell ref="A87:A88"/>
    <mergeCell ref="A58:A61"/>
    <mergeCell ref="A62:A64"/>
    <mergeCell ref="A65:A66"/>
    <mergeCell ref="A67:A68"/>
    <mergeCell ref="A69:A71"/>
    <mergeCell ref="A72:A73"/>
    <mergeCell ref="A41:A42"/>
    <mergeCell ref="A43:A44"/>
    <mergeCell ref="A45:A49"/>
    <mergeCell ref="A50:A51"/>
    <mergeCell ref="A52:A53"/>
    <mergeCell ref="A54:A57"/>
    <mergeCell ref="A34:A35"/>
    <mergeCell ref="A36:A37"/>
    <mergeCell ref="A38:A40"/>
    <mergeCell ref="A15:A16"/>
    <mergeCell ref="A17:A18"/>
    <mergeCell ref="A19:A20"/>
    <mergeCell ref="A21:A22"/>
    <mergeCell ref="A23:A24"/>
    <mergeCell ref="A25:A26"/>
    <mergeCell ref="A1:D1"/>
    <mergeCell ref="A4:A5"/>
    <mergeCell ref="A6:A7"/>
    <mergeCell ref="A8:A9"/>
    <mergeCell ref="A10:A11"/>
    <mergeCell ref="A12:A14"/>
    <mergeCell ref="A27:A28"/>
    <mergeCell ref="A29:A31"/>
    <mergeCell ref="A32:A33"/>
  </mergeCells>
  <printOptions horizontalCentered="1"/>
  <pageMargins left="0.39370078740157483" right="0.39370078740157483" top="0.59055118110236227" bottom="0.39370078740157483" header="0.31496062992125984" footer="0.11811023622047245"/>
  <pageSetup paperSize="9" scale="95" firstPageNumber="393" fitToHeight="0" orientation="landscape" useFirstPageNumber="1" r:id="rId1"/>
  <headerFooter>
    <oddHeader>&amp;L&amp;"Tahoma,Kurzíva"&amp;9Závěrečný účet za rok 2015&amp;R&amp;"Tahoma,Kurzíva"&amp;9Tabulka č. 28</oddHeader>
    <oddFooter>&amp;C&amp;"Tahoma,Obyčejné"&amp;P</oddFooter>
  </headerFooter>
  <rowBreaks count="24" manualBreakCount="24">
    <brk id="44" max="3" man="1"/>
    <brk id="90" max="3" man="1"/>
    <brk id="180" max="3" man="1"/>
    <brk id="267" max="3" man="1"/>
    <brk id="312" max="3" man="1"/>
    <brk id="452" max="3" man="1"/>
    <brk id="544" max="3" man="1"/>
    <brk id="867" max="3" man="1"/>
    <brk id="962" max="3" man="1"/>
    <brk id="1008" max="3" man="1"/>
    <brk id="1147" max="3" man="1"/>
    <brk id="1240" max="3" man="1"/>
    <brk id="1286" max="3" man="1"/>
    <brk id="1469" max="3" man="1"/>
    <brk id="1557" max="3" man="1"/>
    <brk id="1603" max="3" man="1"/>
    <brk id="1695" max="3" man="1"/>
    <brk id="1739" max="3" man="1"/>
    <brk id="1784" max="3" man="1"/>
    <brk id="1830" max="3" man="1"/>
    <brk id="1875" max="3" man="1"/>
    <brk id="1922" max="3" man="1"/>
    <brk id="1968" max="3" man="1"/>
    <brk id="2058" max="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3"/>
  <sheetViews>
    <sheetView zoomScaleNormal="100" zoomScaleSheetLayoutView="100" workbookViewId="0">
      <selection activeCell="E2" sqref="E2"/>
    </sheetView>
  </sheetViews>
  <sheetFormatPr defaultRowHeight="15" x14ac:dyDescent="0.25"/>
  <cols>
    <col min="1" max="1" width="81.7109375" style="941" customWidth="1"/>
    <col min="2" max="7" width="12.5703125" style="941" customWidth="1"/>
    <col min="8" max="16384" width="9.140625" style="941"/>
  </cols>
  <sheetData>
    <row r="1" spans="1:7" s="959" customFormat="1" ht="34.5" customHeight="1" x14ac:dyDescent="0.2">
      <c r="A1" s="1474" t="s">
        <v>3542</v>
      </c>
      <c r="B1" s="1474"/>
      <c r="C1" s="1474"/>
      <c r="D1" s="1474"/>
      <c r="E1" s="1474"/>
      <c r="F1" s="1474"/>
      <c r="G1" s="1474"/>
    </row>
    <row r="2" spans="1:7" s="959" customFormat="1" ht="12.75" x14ac:dyDescent="0.2">
      <c r="A2" s="960"/>
      <c r="B2" s="961"/>
      <c r="C2" s="961"/>
      <c r="D2" s="962"/>
      <c r="E2" s="962"/>
      <c r="G2" s="963" t="s">
        <v>2</v>
      </c>
    </row>
    <row r="3" spans="1:7" s="964" customFormat="1" ht="24.75" customHeight="1" x14ac:dyDescent="0.2">
      <c r="A3" s="1483" t="s">
        <v>3543</v>
      </c>
      <c r="B3" s="1484" t="s">
        <v>3544</v>
      </c>
      <c r="C3" s="1484"/>
      <c r="D3" s="1484" t="s">
        <v>3545</v>
      </c>
      <c r="E3" s="1484"/>
      <c r="F3" s="1484" t="s">
        <v>11</v>
      </c>
      <c r="G3" s="1484"/>
    </row>
    <row r="4" spans="1:7" s="964" customFormat="1" ht="12.75" customHeight="1" x14ac:dyDescent="0.2">
      <c r="A4" s="1483"/>
      <c r="B4" s="900" t="s">
        <v>3546</v>
      </c>
      <c r="C4" s="900" t="s">
        <v>3547</v>
      </c>
      <c r="D4" s="900" t="s">
        <v>3546</v>
      </c>
      <c r="E4" s="900" t="s">
        <v>3547</v>
      </c>
      <c r="F4" s="900" t="s">
        <v>3546</v>
      </c>
      <c r="G4" s="900" t="s">
        <v>3547</v>
      </c>
    </row>
    <row r="5" spans="1:7" s="913" customFormat="1" ht="12.75" customHeight="1" x14ac:dyDescent="0.2">
      <c r="A5" s="965" t="s">
        <v>3548</v>
      </c>
      <c r="B5" s="966">
        <v>1919</v>
      </c>
      <c r="C5" s="966">
        <v>1919</v>
      </c>
      <c r="D5" s="966">
        <v>51.31</v>
      </c>
      <c r="E5" s="966">
        <v>51.302999999999997</v>
      </c>
      <c r="F5" s="966">
        <f>B5+D5</f>
        <v>1970.31</v>
      </c>
      <c r="G5" s="966">
        <f>C5+E5</f>
        <v>1970.3029999999999</v>
      </c>
    </row>
    <row r="6" spans="1:7" s="913" customFormat="1" ht="12.75" customHeight="1" x14ac:dyDescent="0.2">
      <c r="A6" s="965" t="s">
        <v>3549</v>
      </c>
      <c r="B6" s="966">
        <v>5466</v>
      </c>
      <c r="C6" s="966">
        <v>5466</v>
      </c>
      <c r="D6" s="966">
        <v>132.47</v>
      </c>
      <c r="E6" s="966">
        <v>132.46899999999999</v>
      </c>
      <c r="F6" s="966">
        <f t="shared" ref="F6:G69" si="0">B6+D6</f>
        <v>5598.47</v>
      </c>
      <c r="G6" s="966">
        <f t="shared" si="0"/>
        <v>5598.4690000000001</v>
      </c>
    </row>
    <row r="7" spans="1:7" s="913" customFormat="1" ht="12.75" customHeight="1" x14ac:dyDescent="0.2">
      <c r="A7" s="965" t="s">
        <v>3550</v>
      </c>
      <c r="B7" s="966">
        <v>2853</v>
      </c>
      <c r="C7" s="966">
        <v>2853</v>
      </c>
      <c r="D7" s="966">
        <v>57.92</v>
      </c>
      <c r="E7" s="966">
        <v>57.917999999999999</v>
      </c>
      <c r="F7" s="966">
        <f t="shared" si="0"/>
        <v>2910.92</v>
      </c>
      <c r="G7" s="966">
        <f t="shared" si="0"/>
        <v>2910.9180000000001</v>
      </c>
    </row>
    <row r="8" spans="1:7" s="913" customFormat="1" ht="12.75" customHeight="1" x14ac:dyDescent="0.2">
      <c r="A8" s="965" t="s">
        <v>3551</v>
      </c>
      <c r="B8" s="966">
        <v>1683</v>
      </c>
      <c r="C8" s="966">
        <v>1683</v>
      </c>
      <c r="D8" s="966">
        <v>40.9</v>
      </c>
      <c r="E8" s="966">
        <v>40.903999999999996</v>
      </c>
      <c r="F8" s="966">
        <f t="shared" si="0"/>
        <v>1723.9</v>
      </c>
      <c r="G8" s="966">
        <f t="shared" si="0"/>
        <v>1723.904</v>
      </c>
    </row>
    <row r="9" spans="1:7" s="913" customFormat="1" ht="12.75" customHeight="1" x14ac:dyDescent="0.2">
      <c r="A9" s="965" t="s">
        <v>3552</v>
      </c>
      <c r="B9" s="966">
        <v>1736</v>
      </c>
      <c r="C9" s="966">
        <v>1736</v>
      </c>
      <c r="D9" s="966">
        <v>40.31</v>
      </c>
      <c r="E9" s="966">
        <v>40.311</v>
      </c>
      <c r="F9" s="966">
        <f t="shared" si="0"/>
        <v>1776.31</v>
      </c>
      <c r="G9" s="966">
        <f t="shared" si="0"/>
        <v>1776.3109999999999</v>
      </c>
    </row>
    <row r="10" spans="1:7" s="913" customFormat="1" ht="12.75" customHeight="1" x14ac:dyDescent="0.2">
      <c r="A10" s="965" t="s">
        <v>3553</v>
      </c>
      <c r="B10" s="966">
        <v>4951</v>
      </c>
      <c r="C10" s="966">
        <v>4951</v>
      </c>
      <c r="D10" s="966">
        <v>124.80000000000001</v>
      </c>
      <c r="E10" s="966">
        <v>124.791</v>
      </c>
      <c r="F10" s="966">
        <f t="shared" si="0"/>
        <v>5075.8</v>
      </c>
      <c r="G10" s="966">
        <f t="shared" si="0"/>
        <v>5075.7910000000002</v>
      </c>
    </row>
    <row r="11" spans="1:7" s="913" customFormat="1" ht="12.75" customHeight="1" x14ac:dyDescent="0.2">
      <c r="A11" s="965" t="s">
        <v>3554</v>
      </c>
      <c r="B11" s="966">
        <v>1749</v>
      </c>
      <c r="C11" s="966">
        <v>1749</v>
      </c>
      <c r="D11" s="966">
        <v>40.270000000000003</v>
      </c>
      <c r="E11" s="966">
        <v>40.269000000000005</v>
      </c>
      <c r="F11" s="966">
        <f t="shared" si="0"/>
        <v>1789.27</v>
      </c>
      <c r="G11" s="966">
        <f t="shared" si="0"/>
        <v>1789.269</v>
      </c>
    </row>
    <row r="12" spans="1:7" s="913" customFormat="1" ht="12.75" customHeight="1" x14ac:dyDescent="0.2">
      <c r="A12" s="965" t="s">
        <v>3555</v>
      </c>
      <c r="B12" s="966">
        <v>4707</v>
      </c>
      <c r="C12" s="966">
        <v>4707</v>
      </c>
      <c r="D12" s="966">
        <v>114.61</v>
      </c>
      <c r="E12" s="966">
        <v>114.6</v>
      </c>
      <c r="F12" s="966">
        <f t="shared" si="0"/>
        <v>4821.6099999999997</v>
      </c>
      <c r="G12" s="966">
        <f t="shared" si="0"/>
        <v>4821.6000000000004</v>
      </c>
    </row>
    <row r="13" spans="1:7" s="913" customFormat="1" ht="12.75" customHeight="1" x14ac:dyDescent="0.2">
      <c r="A13" s="965" t="s">
        <v>3556</v>
      </c>
      <c r="B13" s="966">
        <v>2197</v>
      </c>
      <c r="C13" s="966">
        <v>2197</v>
      </c>
      <c r="D13" s="966">
        <v>51.53</v>
      </c>
      <c r="E13" s="966">
        <v>51.524000000000001</v>
      </c>
      <c r="F13" s="966">
        <f t="shared" si="0"/>
        <v>2248.5300000000002</v>
      </c>
      <c r="G13" s="966">
        <f t="shared" si="0"/>
        <v>2248.5239999999999</v>
      </c>
    </row>
    <row r="14" spans="1:7" s="913" customFormat="1" ht="12.75" customHeight="1" x14ac:dyDescent="0.2">
      <c r="A14" s="965" t="s">
        <v>3557</v>
      </c>
      <c r="B14" s="966">
        <v>4968</v>
      </c>
      <c r="C14" s="966">
        <v>4968</v>
      </c>
      <c r="D14" s="966">
        <v>107.75999999999999</v>
      </c>
      <c r="E14" s="966">
        <v>107.764</v>
      </c>
      <c r="F14" s="966">
        <f t="shared" si="0"/>
        <v>5075.76</v>
      </c>
      <c r="G14" s="966">
        <f t="shared" si="0"/>
        <v>5075.7640000000001</v>
      </c>
    </row>
    <row r="15" spans="1:7" s="913" customFormat="1" ht="12.75" customHeight="1" x14ac:dyDescent="0.2">
      <c r="A15" s="965" t="s">
        <v>3558</v>
      </c>
      <c r="B15" s="966">
        <v>5014</v>
      </c>
      <c r="C15" s="966">
        <v>5014</v>
      </c>
      <c r="D15" s="966">
        <v>114.19</v>
      </c>
      <c r="E15" s="966">
        <v>114.194</v>
      </c>
      <c r="F15" s="966">
        <f t="shared" si="0"/>
        <v>5128.1899999999996</v>
      </c>
      <c r="G15" s="966">
        <f t="shared" si="0"/>
        <v>5128.1940000000004</v>
      </c>
    </row>
    <row r="16" spans="1:7" s="913" customFormat="1" ht="12.75" customHeight="1" x14ac:dyDescent="0.2">
      <c r="A16" s="965" t="s">
        <v>3559</v>
      </c>
      <c r="B16" s="966">
        <v>2160</v>
      </c>
      <c r="C16" s="966">
        <v>2160</v>
      </c>
      <c r="D16" s="966">
        <v>53.4</v>
      </c>
      <c r="E16" s="966">
        <v>53.399000000000001</v>
      </c>
      <c r="F16" s="966">
        <f t="shared" si="0"/>
        <v>2213.4</v>
      </c>
      <c r="G16" s="966">
        <f t="shared" si="0"/>
        <v>2213.3989999999999</v>
      </c>
    </row>
    <row r="17" spans="1:7" s="913" customFormat="1" ht="12.75" customHeight="1" x14ac:dyDescent="0.2">
      <c r="A17" s="965" t="s">
        <v>3560</v>
      </c>
      <c r="B17" s="966">
        <v>2437</v>
      </c>
      <c r="C17" s="966">
        <v>2437</v>
      </c>
      <c r="D17" s="966">
        <v>53.370000000000005</v>
      </c>
      <c r="E17" s="966">
        <v>53.369</v>
      </c>
      <c r="F17" s="966">
        <f t="shared" si="0"/>
        <v>2490.37</v>
      </c>
      <c r="G17" s="966">
        <f t="shared" si="0"/>
        <v>2490.3690000000001</v>
      </c>
    </row>
    <row r="18" spans="1:7" s="913" customFormat="1" ht="12.75" customHeight="1" x14ac:dyDescent="0.2">
      <c r="A18" s="965" t="s">
        <v>3561</v>
      </c>
      <c r="B18" s="966">
        <v>2629</v>
      </c>
      <c r="C18" s="966">
        <v>2629</v>
      </c>
      <c r="D18" s="966">
        <v>52.61</v>
      </c>
      <c r="E18" s="966">
        <v>52.605999999999995</v>
      </c>
      <c r="F18" s="966">
        <f t="shared" si="0"/>
        <v>2681.61</v>
      </c>
      <c r="G18" s="966">
        <f t="shared" si="0"/>
        <v>2681.6059999999998</v>
      </c>
    </row>
    <row r="19" spans="1:7" s="913" customFormat="1" ht="12.75" customHeight="1" x14ac:dyDescent="0.2">
      <c r="A19" s="965" t="s">
        <v>3562</v>
      </c>
      <c r="B19" s="966">
        <v>5914</v>
      </c>
      <c r="C19" s="966">
        <v>5914</v>
      </c>
      <c r="D19" s="966">
        <v>122.61999999999999</v>
      </c>
      <c r="E19" s="966">
        <v>122.622</v>
      </c>
      <c r="F19" s="966">
        <f t="shared" si="0"/>
        <v>6036.62</v>
      </c>
      <c r="G19" s="966">
        <f t="shared" si="0"/>
        <v>6036.6220000000003</v>
      </c>
    </row>
    <row r="20" spans="1:7" s="913" customFormat="1" ht="12.75" customHeight="1" x14ac:dyDescent="0.2">
      <c r="A20" s="965" t="s">
        <v>3563</v>
      </c>
      <c r="B20" s="966">
        <v>2798</v>
      </c>
      <c r="C20" s="966">
        <v>2798</v>
      </c>
      <c r="D20" s="966">
        <v>68.78</v>
      </c>
      <c r="E20" s="966">
        <v>68.78</v>
      </c>
      <c r="F20" s="966">
        <f t="shared" si="0"/>
        <v>2866.78</v>
      </c>
      <c r="G20" s="966">
        <f t="shared" si="0"/>
        <v>2866.78</v>
      </c>
    </row>
    <row r="21" spans="1:7" s="913" customFormat="1" ht="12.75" customHeight="1" x14ac:dyDescent="0.2">
      <c r="A21" s="965" t="s">
        <v>3564</v>
      </c>
      <c r="B21" s="966">
        <v>470</v>
      </c>
      <c r="C21" s="966">
        <v>470</v>
      </c>
      <c r="D21" s="966">
        <v>4.83</v>
      </c>
      <c r="E21" s="966">
        <v>4.8250000000000002</v>
      </c>
      <c r="F21" s="966">
        <f t="shared" si="0"/>
        <v>474.83</v>
      </c>
      <c r="G21" s="966">
        <f t="shared" si="0"/>
        <v>474.82499999999999</v>
      </c>
    </row>
    <row r="22" spans="1:7" s="913" customFormat="1" ht="12.75" customHeight="1" x14ac:dyDescent="0.2">
      <c r="A22" s="965" t="s">
        <v>3565</v>
      </c>
      <c r="B22" s="966">
        <v>11163</v>
      </c>
      <c r="C22" s="966">
        <v>11163</v>
      </c>
      <c r="D22" s="966">
        <v>366.67</v>
      </c>
      <c r="E22" s="966">
        <v>366.66799999999995</v>
      </c>
      <c r="F22" s="966">
        <f t="shared" si="0"/>
        <v>11529.67</v>
      </c>
      <c r="G22" s="966">
        <f t="shared" si="0"/>
        <v>11529.668</v>
      </c>
    </row>
    <row r="23" spans="1:7" s="913" customFormat="1" ht="12.75" customHeight="1" x14ac:dyDescent="0.2">
      <c r="A23" s="965" t="s">
        <v>3566</v>
      </c>
      <c r="B23" s="966">
        <v>21801</v>
      </c>
      <c r="C23" s="966">
        <v>21801</v>
      </c>
      <c r="D23" s="966">
        <v>1037.82</v>
      </c>
      <c r="E23" s="966">
        <v>1037.8229999999999</v>
      </c>
      <c r="F23" s="966">
        <f t="shared" si="0"/>
        <v>22838.82</v>
      </c>
      <c r="G23" s="966">
        <f t="shared" si="0"/>
        <v>22838.823</v>
      </c>
    </row>
    <row r="24" spans="1:7" s="913" customFormat="1" ht="12.75" customHeight="1" x14ac:dyDescent="0.2">
      <c r="A24" s="965" t="s">
        <v>3567</v>
      </c>
      <c r="B24" s="966">
        <v>10196</v>
      </c>
      <c r="C24" s="966">
        <v>10196</v>
      </c>
      <c r="D24" s="966">
        <v>318.95999999999998</v>
      </c>
      <c r="E24" s="966">
        <v>318.959</v>
      </c>
      <c r="F24" s="966">
        <f t="shared" si="0"/>
        <v>10514.96</v>
      </c>
      <c r="G24" s="966">
        <f t="shared" si="0"/>
        <v>10514.959000000001</v>
      </c>
    </row>
    <row r="25" spans="1:7" s="913" customFormat="1" ht="12.75" customHeight="1" x14ac:dyDescent="0.2">
      <c r="A25" s="965" t="s">
        <v>3568</v>
      </c>
      <c r="B25" s="966">
        <v>4302</v>
      </c>
      <c r="C25" s="966">
        <v>4302</v>
      </c>
      <c r="D25" s="966">
        <v>125.71</v>
      </c>
      <c r="E25" s="966">
        <v>125.70100000000001</v>
      </c>
      <c r="F25" s="966">
        <f t="shared" si="0"/>
        <v>4427.71</v>
      </c>
      <c r="G25" s="966">
        <f t="shared" si="0"/>
        <v>4427.701</v>
      </c>
    </row>
    <row r="26" spans="1:7" s="913" customFormat="1" ht="12.75" customHeight="1" x14ac:dyDescent="0.2">
      <c r="A26" s="965" t="s">
        <v>3569</v>
      </c>
      <c r="B26" s="966">
        <v>1704</v>
      </c>
      <c r="C26" s="966">
        <v>1704</v>
      </c>
      <c r="D26" s="966">
        <v>43.480000000000004</v>
      </c>
      <c r="E26" s="966">
        <v>43.478000000000002</v>
      </c>
      <c r="F26" s="966">
        <f t="shared" si="0"/>
        <v>1747.48</v>
      </c>
      <c r="G26" s="966">
        <f t="shared" si="0"/>
        <v>1747.4780000000001</v>
      </c>
    </row>
    <row r="27" spans="1:7" s="913" customFormat="1" ht="12.75" customHeight="1" x14ac:dyDescent="0.2">
      <c r="A27" s="965" t="s">
        <v>3570</v>
      </c>
      <c r="B27" s="966">
        <v>27222</v>
      </c>
      <c r="C27" s="966">
        <v>27222</v>
      </c>
      <c r="D27" s="966">
        <v>995.28</v>
      </c>
      <c r="E27" s="966">
        <v>995.28300000000002</v>
      </c>
      <c r="F27" s="966">
        <f t="shared" si="0"/>
        <v>28217.279999999999</v>
      </c>
      <c r="G27" s="966">
        <f t="shared" si="0"/>
        <v>28217.282999999999</v>
      </c>
    </row>
    <row r="28" spans="1:7" s="913" customFormat="1" ht="12.75" customHeight="1" x14ac:dyDescent="0.2">
      <c r="A28" s="965" t="s">
        <v>3571</v>
      </c>
      <c r="B28" s="966">
        <v>30423</v>
      </c>
      <c r="C28" s="966">
        <v>30423</v>
      </c>
      <c r="D28" s="966">
        <v>905.97</v>
      </c>
      <c r="E28" s="966">
        <v>905.97500000000002</v>
      </c>
      <c r="F28" s="966">
        <f t="shared" si="0"/>
        <v>31328.97</v>
      </c>
      <c r="G28" s="966">
        <f t="shared" si="0"/>
        <v>31328.974999999999</v>
      </c>
    </row>
    <row r="29" spans="1:7" s="913" customFormat="1" ht="12.75" customHeight="1" x14ac:dyDescent="0.2">
      <c r="A29" s="965" t="s">
        <v>3572</v>
      </c>
      <c r="B29" s="966">
        <v>16776</v>
      </c>
      <c r="C29" s="966">
        <v>16776</v>
      </c>
      <c r="D29" s="966">
        <v>598.34</v>
      </c>
      <c r="E29" s="966">
        <v>598.33699999999999</v>
      </c>
      <c r="F29" s="966">
        <f t="shared" si="0"/>
        <v>17374.34</v>
      </c>
      <c r="G29" s="966">
        <f t="shared" si="0"/>
        <v>17374.337</v>
      </c>
    </row>
    <row r="30" spans="1:7" s="913" customFormat="1" ht="12.75" customHeight="1" x14ac:dyDescent="0.2">
      <c r="A30" s="965" t="s">
        <v>3573</v>
      </c>
      <c r="B30" s="966">
        <v>13176</v>
      </c>
      <c r="C30" s="966">
        <v>13176</v>
      </c>
      <c r="D30" s="966">
        <v>411.98</v>
      </c>
      <c r="E30" s="966">
        <v>411.97999999999996</v>
      </c>
      <c r="F30" s="966">
        <f t="shared" si="0"/>
        <v>13587.98</v>
      </c>
      <c r="G30" s="966">
        <f t="shared" si="0"/>
        <v>13587.98</v>
      </c>
    </row>
    <row r="31" spans="1:7" s="913" customFormat="1" ht="12.75" customHeight="1" x14ac:dyDescent="0.2">
      <c r="A31" s="965" t="s">
        <v>3574</v>
      </c>
      <c r="B31" s="966">
        <v>14520</v>
      </c>
      <c r="C31" s="966">
        <v>14520</v>
      </c>
      <c r="D31" s="966">
        <v>470.74</v>
      </c>
      <c r="E31" s="966">
        <v>470.73899999999998</v>
      </c>
      <c r="F31" s="966">
        <f t="shared" si="0"/>
        <v>14990.74</v>
      </c>
      <c r="G31" s="966">
        <f t="shared" si="0"/>
        <v>14990.739</v>
      </c>
    </row>
    <row r="32" spans="1:7" s="913" customFormat="1" ht="12.75" customHeight="1" x14ac:dyDescent="0.2">
      <c r="A32" s="965" t="s">
        <v>3575</v>
      </c>
      <c r="B32" s="966">
        <v>3839</v>
      </c>
      <c r="C32" s="966">
        <v>3839</v>
      </c>
      <c r="D32" s="966">
        <v>93.88</v>
      </c>
      <c r="E32" s="966">
        <v>93.878</v>
      </c>
      <c r="F32" s="966">
        <f t="shared" si="0"/>
        <v>3932.88</v>
      </c>
      <c r="G32" s="966">
        <f t="shared" si="0"/>
        <v>3932.8780000000002</v>
      </c>
    </row>
    <row r="33" spans="1:7" s="913" customFormat="1" ht="12.75" customHeight="1" x14ac:dyDescent="0.2">
      <c r="A33" s="965" t="s">
        <v>3576</v>
      </c>
      <c r="B33" s="966">
        <v>1198</v>
      </c>
      <c r="C33" s="966">
        <v>1198</v>
      </c>
      <c r="D33" s="966">
        <v>42.08</v>
      </c>
      <c r="E33" s="966">
        <v>42.074000000000005</v>
      </c>
      <c r="F33" s="966">
        <f t="shared" si="0"/>
        <v>1240.08</v>
      </c>
      <c r="G33" s="966">
        <f t="shared" si="0"/>
        <v>1240.0740000000001</v>
      </c>
    </row>
    <row r="34" spans="1:7" s="913" customFormat="1" ht="12.75" customHeight="1" x14ac:dyDescent="0.2">
      <c r="A34" s="965" t="s">
        <v>3577</v>
      </c>
      <c r="B34" s="966">
        <v>1449</v>
      </c>
      <c r="C34" s="966">
        <v>1449</v>
      </c>
      <c r="D34" s="966">
        <v>35.53</v>
      </c>
      <c r="E34" s="966">
        <v>35.524000000000001</v>
      </c>
      <c r="F34" s="966">
        <f t="shared" si="0"/>
        <v>1484.53</v>
      </c>
      <c r="G34" s="966">
        <f t="shared" si="0"/>
        <v>1484.5239999999999</v>
      </c>
    </row>
    <row r="35" spans="1:7" s="913" customFormat="1" ht="12.75" customHeight="1" x14ac:dyDescent="0.2">
      <c r="A35" s="965" t="s">
        <v>3578</v>
      </c>
      <c r="B35" s="966">
        <v>3804</v>
      </c>
      <c r="C35" s="966">
        <v>3804</v>
      </c>
      <c r="D35" s="966">
        <v>100.76</v>
      </c>
      <c r="E35" s="966">
        <v>100.759</v>
      </c>
      <c r="F35" s="966">
        <f t="shared" si="0"/>
        <v>3904.76</v>
      </c>
      <c r="G35" s="966">
        <f t="shared" si="0"/>
        <v>3904.759</v>
      </c>
    </row>
    <row r="36" spans="1:7" s="913" customFormat="1" ht="12.75" customHeight="1" x14ac:dyDescent="0.2">
      <c r="A36" s="965" t="s">
        <v>3579</v>
      </c>
      <c r="B36" s="966">
        <v>2136</v>
      </c>
      <c r="C36" s="966">
        <v>2136</v>
      </c>
      <c r="D36" s="966">
        <v>58.91</v>
      </c>
      <c r="E36" s="966">
        <v>58.901000000000003</v>
      </c>
      <c r="F36" s="966">
        <f t="shared" si="0"/>
        <v>2194.91</v>
      </c>
      <c r="G36" s="966">
        <f t="shared" si="0"/>
        <v>2194.9009999999998</v>
      </c>
    </row>
    <row r="37" spans="1:7" s="913" customFormat="1" ht="12.75" customHeight="1" x14ac:dyDescent="0.2">
      <c r="A37" s="965" t="s">
        <v>3580</v>
      </c>
      <c r="B37" s="966">
        <v>7599</v>
      </c>
      <c r="C37" s="966">
        <v>7599</v>
      </c>
      <c r="D37" s="966">
        <v>521.22</v>
      </c>
      <c r="E37" s="966">
        <v>486.96199999999999</v>
      </c>
      <c r="F37" s="966">
        <f t="shared" si="0"/>
        <v>8120.22</v>
      </c>
      <c r="G37" s="966">
        <f t="shared" si="0"/>
        <v>8085.9619999999995</v>
      </c>
    </row>
    <row r="38" spans="1:7" s="913" customFormat="1" ht="12.75" customHeight="1" x14ac:dyDescent="0.2">
      <c r="A38" s="965" t="s">
        <v>3581</v>
      </c>
      <c r="B38" s="966">
        <v>1005</v>
      </c>
      <c r="C38" s="966">
        <v>1005</v>
      </c>
      <c r="D38" s="966">
        <v>26.560000000000002</v>
      </c>
      <c r="E38" s="966">
        <v>26.558</v>
      </c>
      <c r="F38" s="966">
        <f t="shared" si="0"/>
        <v>1031.56</v>
      </c>
      <c r="G38" s="966">
        <f t="shared" si="0"/>
        <v>1031.558</v>
      </c>
    </row>
    <row r="39" spans="1:7" s="913" customFormat="1" ht="12.75" customHeight="1" x14ac:dyDescent="0.2">
      <c r="A39" s="965" t="s">
        <v>3582</v>
      </c>
      <c r="B39" s="966">
        <v>1212</v>
      </c>
      <c r="C39" s="966">
        <v>1212</v>
      </c>
      <c r="D39" s="966">
        <v>37.61</v>
      </c>
      <c r="E39" s="966">
        <v>37.603000000000002</v>
      </c>
      <c r="F39" s="966">
        <f t="shared" si="0"/>
        <v>1249.6099999999999</v>
      </c>
      <c r="G39" s="966">
        <f t="shared" si="0"/>
        <v>1249.6030000000001</v>
      </c>
    </row>
    <row r="40" spans="1:7" s="913" customFormat="1" ht="12.75" customHeight="1" x14ac:dyDescent="0.2">
      <c r="A40" s="965" t="s">
        <v>3583</v>
      </c>
      <c r="B40" s="966">
        <v>1259</v>
      </c>
      <c r="C40" s="966">
        <v>1259</v>
      </c>
      <c r="D40" s="966">
        <v>31.98</v>
      </c>
      <c r="E40" s="966">
        <v>31.975000000000001</v>
      </c>
      <c r="F40" s="966">
        <f t="shared" si="0"/>
        <v>1290.98</v>
      </c>
      <c r="G40" s="966">
        <f t="shared" si="0"/>
        <v>1290.9749999999999</v>
      </c>
    </row>
    <row r="41" spans="1:7" s="913" customFormat="1" ht="12.75" customHeight="1" x14ac:dyDescent="0.2">
      <c r="A41" s="965" t="s">
        <v>3584</v>
      </c>
      <c r="B41" s="966">
        <v>5676</v>
      </c>
      <c r="C41" s="966">
        <v>5676</v>
      </c>
      <c r="D41" s="966">
        <v>198.16</v>
      </c>
      <c r="E41" s="966">
        <v>198.16200000000001</v>
      </c>
      <c r="F41" s="966">
        <f t="shared" si="0"/>
        <v>5874.16</v>
      </c>
      <c r="G41" s="966">
        <f t="shared" si="0"/>
        <v>5874.1620000000003</v>
      </c>
    </row>
    <row r="42" spans="1:7" s="913" customFormat="1" ht="12.75" customHeight="1" x14ac:dyDescent="0.2">
      <c r="A42" s="965" t="s">
        <v>3585</v>
      </c>
      <c r="B42" s="966">
        <v>4083</v>
      </c>
      <c r="C42" s="966">
        <v>4083</v>
      </c>
      <c r="D42" s="966">
        <v>99.43</v>
      </c>
      <c r="E42" s="966">
        <v>99.423000000000002</v>
      </c>
      <c r="F42" s="966">
        <f t="shared" si="0"/>
        <v>4182.43</v>
      </c>
      <c r="G42" s="966">
        <f t="shared" si="0"/>
        <v>4182.4229999999998</v>
      </c>
    </row>
    <row r="43" spans="1:7" s="913" customFormat="1" ht="12.75" customHeight="1" x14ac:dyDescent="0.2">
      <c r="A43" s="965" t="s">
        <v>3586</v>
      </c>
      <c r="B43" s="966">
        <v>5886</v>
      </c>
      <c r="C43" s="966">
        <v>5886</v>
      </c>
      <c r="D43" s="966">
        <v>168.66000000000003</v>
      </c>
      <c r="E43" s="966">
        <v>168.655</v>
      </c>
      <c r="F43" s="966">
        <f t="shared" si="0"/>
        <v>6054.66</v>
      </c>
      <c r="G43" s="966">
        <f t="shared" si="0"/>
        <v>6054.6549999999997</v>
      </c>
    </row>
    <row r="44" spans="1:7" s="913" customFormat="1" ht="12.75" customHeight="1" x14ac:dyDescent="0.2">
      <c r="A44" s="965" t="s">
        <v>3587</v>
      </c>
      <c r="B44" s="966">
        <v>3339</v>
      </c>
      <c r="C44" s="966">
        <v>3339</v>
      </c>
      <c r="D44" s="966">
        <v>79.92</v>
      </c>
      <c r="E44" s="966">
        <v>79.915999999999997</v>
      </c>
      <c r="F44" s="966">
        <f t="shared" si="0"/>
        <v>3418.92</v>
      </c>
      <c r="G44" s="966">
        <f t="shared" si="0"/>
        <v>3418.9160000000002</v>
      </c>
    </row>
    <row r="45" spans="1:7" s="913" customFormat="1" ht="12.75" customHeight="1" x14ac:dyDescent="0.2">
      <c r="A45" s="965" t="s">
        <v>3588</v>
      </c>
      <c r="B45" s="966">
        <v>7888</v>
      </c>
      <c r="C45" s="966">
        <v>7888</v>
      </c>
      <c r="D45" s="966">
        <v>204.6</v>
      </c>
      <c r="E45" s="966">
        <v>204.601</v>
      </c>
      <c r="F45" s="966">
        <f t="shared" si="0"/>
        <v>8092.6</v>
      </c>
      <c r="G45" s="966">
        <f t="shared" si="0"/>
        <v>8092.6009999999997</v>
      </c>
    </row>
    <row r="46" spans="1:7" s="913" customFormat="1" ht="12.75" customHeight="1" x14ac:dyDescent="0.2">
      <c r="A46" s="965" t="s">
        <v>3589</v>
      </c>
      <c r="B46" s="966">
        <v>7671</v>
      </c>
      <c r="C46" s="966">
        <v>7671</v>
      </c>
      <c r="D46" s="966">
        <v>229.14</v>
      </c>
      <c r="E46" s="966">
        <v>229.137</v>
      </c>
      <c r="F46" s="966">
        <f t="shared" si="0"/>
        <v>7900.14</v>
      </c>
      <c r="G46" s="966">
        <f t="shared" si="0"/>
        <v>7900.1369999999997</v>
      </c>
    </row>
    <row r="47" spans="1:7" s="913" customFormat="1" ht="12.75" customHeight="1" x14ac:dyDescent="0.2">
      <c r="A47" s="965" t="s">
        <v>3590</v>
      </c>
      <c r="B47" s="966">
        <v>3383</v>
      </c>
      <c r="C47" s="966">
        <v>3383</v>
      </c>
      <c r="D47" s="966">
        <v>89.02000000000001</v>
      </c>
      <c r="E47" s="966">
        <v>89.016000000000005</v>
      </c>
      <c r="F47" s="966">
        <f t="shared" si="0"/>
        <v>3472.02</v>
      </c>
      <c r="G47" s="966">
        <f t="shared" si="0"/>
        <v>3472.0160000000001</v>
      </c>
    </row>
    <row r="48" spans="1:7" s="913" customFormat="1" ht="12.75" customHeight="1" x14ac:dyDescent="0.2">
      <c r="A48" s="965" t="s">
        <v>3591</v>
      </c>
      <c r="B48" s="966">
        <v>4508</v>
      </c>
      <c r="C48" s="966">
        <v>4508</v>
      </c>
      <c r="D48" s="966">
        <v>111.11</v>
      </c>
      <c r="E48" s="966">
        <v>111.105</v>
      </c>
      <c r="F48" s="966">
        <f t="shared" si="0"/>
        <v>4619.1099999999997</v>
      </c>
      <c r="G48" s="966">
        <f t="shared" si="0"/>
        <v>4619.1049999999996</v>
      </c>
    </row>
    <row r="49" spans="1:7" s="913" customFormat="1" ht="12.75" customHeight="1" x14ac:dyDescent="0.2">
      <c r="A49" s="965" t="s">
        <v>3592</v>
      </c>
      <c r="B49" s="966">
        <v>1850</v>
      </c>
      <c r="C49" s="966">
        <v>1850</v>
      </c>
      <c r="D49" s="966">
        <v>49.01</v>
      </c>
      <c r="E49" s="966">
        <v>49.006</v>
      </c>
      <c r="F49" s="966">
        <f t="shared" si="0"/>
        <v>1899.01</v>
      </c>
      <c r="G49" s="966">
        <f t="shared" si="0"/>
        <v>1899.0060000000001</v>
      </c>
    </row>
    <row r="50" spans="1:7" s="913" customFormat="1" ht="12.75" customHeight="1" x14ac:dyDescent="0.2">
      <c r="A50" s="965" t="s">
        <v>3593</v>
      </c>
      <c r="B50" s="966">
        <v>2128</v>
      </c>
      <c r="C50" s="966">
        <v>2128</v>
      </c>
      <c r="D50" s="966">
        <v>51.7</v>
      </c>
      <c r="E50" s="966">
        <v>51.698</v>
      </c>
      <c r="F50" s="966">
        <f t="shared" si="0"/>
        <v>2179.6999999999998</v>
      </c>
      <c r="G50" s="966">
        <f t="shared" si="0"/>
        <v>2179.6979999999999</v>
      </c>
    </row>
    <row r="51" spans="1:7" s="913" customFormat="1" ht="12.75" customHeight="1" x14ac:dyDescent="0.2">
      <c r="A51" s="965" t="s">
        <v>3594</v>
      </c>
      <c r="B51" s="966">
        <v>10392</v>
      </c>
      <c r="C51" s="966">
        <v>10392</v>
      </c>
      <c r="D51" s="966">
        <v>291.46999999999997</v>
      </c>
      <c r="E51" s="966">
        <v>291.45999999999998</v>
      </c>
      <c r="F51" s="966">
        <f t="shared" si="0"/>
        <v>10683.47</v>
      </c>
      <c r="G51" s="966">
        <f t="shared" si="0"/>
        <v>10683.46</v>
      </c>
    </row>
    <row r="52" spans="1:7" s="913" customFormat="1" ht="12.75" customHeight="1" x14ac:dyDescent="0.2">
      <c r="A52" s="965" t="s">
        <v>3595</v>
      </c>
      <c r="B52" s="966">
        <v>8204</v>
      </c>
      <c r="C52" s="966">
        <v>8204</v>
      </c>
      <c r="D52" s="966">
        <v>241.7</v>
      </c>
      <c r="E52" s="966">
        <v>241.70099999999999</v>
      </c>
      <c r="F52" s="966">
        <f t="shared" si="0"/>
        <v>8445.7000000000007</v>
      </c>
      <c r="G52" s="966">
        <f t="shared" si="0"/>
        <v>8445.7009999999991</v>
      </c>
    </row>
    <row r="53" spans="1:7" s="913" customFormat="1" ht="12.75" customHeight="1" x14ac:dyDescent="0.2">
      <c r="A53" s="965" t="s">
        <v>3596</v>
      </c>
      <c r="B53" s="966">
        <v>7757</v>
      </c>
      <c r="C53" s="966">
        <v>7757</v>
      </c>
      <c r="D53" s="966">
        <v>208.17</v>
      </c>
      <c r="E53" s="966">
        <v>208.16800000000001</v>
      </c>
      <c r="F53" s="966">
        <f t="shared" si="0"/>
        <v>7965.17</v>
      </c>
      <c r="G53" s="966">
        <f t="shared" si="0"/>
        <v>7965.1679999999997</v>
      </c>
    </row>
    <row r="54" spans="1:7" s="913" customFormat="1" ht="12.75" customHeight="1" x14ac:dyDescent="0.2">
      <c r="A54" s="965" t="s">
        <v>3597</v>
      </c>
      <c r="B54" s="966">
        <v>21415</v>
      </c>
      <c r="C54" s="966">
        <v>21415</v>
      </c>
      <c r="D54" s="966">
        <v>469.68</v>
      </c>
      <c r="E54" s="966">
        <v>469.673</v>
      </c>
      <c r="F54" s="966">
        <f t="shared" si="0"/>
        <v>21884.68</v>
      </c>
      <c r="G54" s="966">
        <f t="shared" si="0"/>
        <v>21884.672999999999</v>
      </c>
    </row>
    <row r="55" spans="1:7" s="913" customFormat="1" ht="12.75" customHeight="1" x14ac:dyDescent="0.2">
      <c r="A55" s="965" t="s">
        <v>3598</v>
      </c>
      <c r="B55" s="966">
        <v>2401</v>
      </c>
      <c r="C55" s="966">
        <v>2401</v>
      </c>
      <c r="D55" s="966">
        <v>53.07</v>
      </c>
      <c r="E55" s="966">
        <v>53.067999999999998</v>
      </c>
      <c r="F55" s="966">
        <f t="shared" si="0"/>
        <v>2454.0700000000002</v>
      </c>
      <c r="G55" s="966">
        <f t="shared" si="0"/>
        <v>2454.0680000000002</v>
      </c>
    </row>
    <row r="56" spans="1:7" s="913" customFormat="1" ht="12.75" customHeight="1" x14ac:dyDescent="0.2">
      <c r="A56" s="965" t="s">
        <v>3599</v>
      </c>
      <c r="B56" s="966">
        <v>6054</v>
      </c>
      <c r="C56" s="966">
        <v>6054</v>
      </c>
      <c r="D56" s="966">
        <v>147.15</v>
      </c>
      <c r="E56" s="966">
        <v>147.15200000000002</v>
      </c>
      <c r="F56" s="966">
        <f t="shared" si="0"/>
        <v>6201.15</v>
      </c>
      <c r="G56" s="966">
        <f t="shared" si="0"/>
        <v>6201.152</v>
      </c>
    </row>
    <row r="57" spans="1:7" s="913" customFormat="1" ht="12.75" customHeight="1" x14ac:dyDescent="0.2">
      <c r="A57" s="965" t="s">
        <v>3600</v>
      </c>
      <c r="B57" s="966">
        <v>2264</v>
      </c>
      <c r="C57" s="966">
        <v>2264</v>
      </c>
      <c r="D57" s="966">
        <v>58.5</v>
      </c>
      <c r="E57" s="966">
        <v>58.504999999999995</v>
      </c>
      <c r="F57" s="966">
        <f t="shared" si="0"/>
        <v>2322.5</v>
      </c>
      <c r="G57" s="966">
        <f t="shared" si="0"/>
        <v>2322.5050000000001</v>
      </c>
    </row>
    <row r="58" spans="1:7" s="913" customFormat="1" ht="12.75" customHeight="1" x14ac:dyDescent="0.2">
      <c r="A58" s="965" t="s">
        <v>3601</v>
      </c>
      <c r="B58" s="966">
        <v>6486</v>
      </c>
      <c r="C58" s="966">
        <v>6486</v>
      </c>
      <c r="D58" s="966">
        <v>179.75</v>
      </c>
      <c r="E58" s="966">
        <v>179.74799999999999</v>
      </c>
      <c r="F58" s="966">
        <f t="shared" si="0"/>
        <v>6665.75</v>
      </c>
      <c r="G58" s="966">
        <f t="shared" si="0"/>
        <v>6665.7479999999996</v>
      </c>
    </row>
    <row r="59" spans="1:7" s="913" customFormat="1" ht="12.75" customHeight="1" x14ac:dyDescent="0.2">
      <c r="A59" s="965" t="s">
        <v>3602</v>
      </c>
      <c r="B59" s="966">
        <v>3511</v>
      </c>
      <c r="C59" s="966">
        <v>3511</v>
      </c>
      <c r="D59" s="966">
        <v>87.070000000000007</v>
      </c>
      <c r="E59" s="966">
        <v>87.067999999999998</v>
      </c>
      <c r="F59" s="966">
        <f t="shared" si="0"/>
        <v>3598.07</v>
      </c>
      <c r="G59" s="966">
        <f t="shared" si="0"/>
        <v>3598.0680000000002</v>
      </c>
    </row>
    <row r="60" spans="1:7" s="913" customFormat="1" ht="12.75" customHeight="1" x14ac:dyDescent="0.2">
      <c r="A60" s="965" t="s">
        <v>3603</v>
      </c>
      <c r="B60" s="966">
        <v>1781</v>
      </c>
      <c r="C60" s="966">
        <v>1781</v>
      </c>
      <c r="D60" s="966">
        <v>68.52</v>
      </c>
      <c r="E60" s="966">
        <v>68.521000000000001</v>
      </c>
      <c r="F60" s="966">
        <f t="shared" si="0"/>
        <v>1849.52</v>
      </c>
      <c r="G60" s="966">
        <f t="shared" si="0"/>
        <v>1849.521</v>
      </c>
    </row>
    <row r="61" spans="1:7" s="913" customFormat="1" ht="12.75" customHeight="1" x14ac:dyDescent="0.2">
      <c r="A61" s="965" t="s">
        <v>3604</v>
      </c>
      <c r="B61" s="966">
        <v>2989</v>
      </c>
      <c r="C61" s="966">
        <v>2989</v>
      </c>
      <c r="D61" s="966">
        <v>74.62</v>
      </c>
      <c r="E61" s="966">
        <v>74.619</v>
      </c>
      <c r="F61" s="966">
        <f t="shared" si="0"/>
        <v>3063.62</v>
      </c>
      <c r="G61" s="966">
        <f t="shared" si="0"/>
        <v>3063.6190000000001</v>
      </c>
    </row>
    <row r="62" spans="1:7" s="913" customFormat="1" ht="12.75" customHeight="1" x14ac:dyDescent="0.2">
      <c r="A62" s="965" t="s">
        <v>3605</v>
      </c>
      <c r="B62" s="966">
        <v>9933</v>
      </c>
      <c r="C62" s="966">
        <v>9933</v>
      </c>
      <c r="D62" s="966">
        <v>260.24</v>
      </c>
      <c r="E62" s="966">
        <v>260.238</v>
      </c>
      <c r="F62" s="966">
        <f t="shared" si="0"/>
        <v>10193.24</v>
      </c>
      <c r="G62" s="966">
        <f t="shared" si="0"/>
        <v>10193.237999999999</v>
      </c>
    </row>
    <row r="63" spans="1:7" s="913" customFormat="1" ht="12.75" customHeight="1" x14ac:dyDescent="0.2">
      <c r="A63" s="965" t="s">
        <v>3606</v>
      </c>
      <c r="B63" s="966">
        <v>9815</v>
      </c>
      <c r="C63" s="966">
        <v>9815</v>
      </c>
      <c r="D63" s="966">
        <v>289.62</v>
      </c>
      <c r="E63" s="966">
        <v>289.61799999999999</v>
      </c>
      <c r="F63" s="966">
        <f t="shared" si="0"/>
        <v>10104.620000000001</v>
      </c>
      <c r="G63" s="966">
        <f t="shared" si="0"/>
        <v>10104.618</v>
      </c>
    </row>
    <row r="64" spans="1:7" s="913" customFormat="1" ht="12.75" customHeight="1" x14ac:dyDescent="0.2">
      <c r="A64" s="965" t="s">
        <v>3607</v>
      </c>
      <c r="B64" s="966">
        <v>12580</v>
      </c>
      <c r="C64" s="966">
        <v>12580</v>
      </c>
      <c r="D64" s="966">
        <v>332.14</v>
      </c>
      <c r="E64" s="966">
        <v>332.13499999999999</v>
      </c>
      <c r="F64" s="966">
        <f t="shared" si="0"/>
        <v>12912.14</v>
      </c>
      <c r="G64" s="966">
        <f t="shared" si="0"/>
        <v>12912.135</v>
      </c>
    </row>
    <row r="65" spans="1:7" s="913" customFormat="1" ht="12.75" customHeight="1" x14ac:dyDescent="0.2">
      <c r="A65" s="965" t="s">
        <v>3608</v>
      </c>
      <c r="B65" s="966">
        <v>6777</v>
      </c>
      <c r="C65" s="966">
        <v>6777</v>
      </c>
      <c r="D65" s="966">
        <v>187.86</v>
      </c>
      <c r="E65" s="966">
        <v>187.863</v>
      </c>
      <c r="F65" s="966">
        <f t="shared" si="0"/>
        <v>6964.86</v>
      </c>
      <c r="G65" s="966">
        <f t="shared" si="0"/>
        <v>6964.8630000000003</v>
      </c>
    </row>
    <row r="66" spans="1:7" s="913" customFormat="1" ht="12.75" customHeight="1" x14ac:dyDescent="0.2">
      <c r="A66" s="965" t="s">
        <v>3609</v>
      </c>
      <c r="B66" s="966">
        <v>9498</v>
      </c>
      <c r="C66" s="966">
        <v>9498</v>
      </c>
      <c r="D66" s="966">
        <v>233.96</v>
      </c>
      <c r="E66" s="966">
        <v>233.959</v>
      </c>
      <c r="F66" s="966">
        <f t="shared" si="0"/>
        <v>9731.9599999999991</v>
      </c>
      <c r="G66" s="966">
        <f t="shared" si="0"/>
        <v>9731.9590000000007</v>
      </c>
    </row>
    <row r="67" spans="1:7" s="913" customFormat="1" ht="12.75" customHeight="1" x14ac:dyDescent="0.2">
      <c r="A67" s="965" t="s">
        <v>3610</v>
      </c>
      <c r="B67" s="966">
        <v>2847</v>
      </c>
      <c r="C67" s="966">
        <v>2847</v>
      </c>
      <c r="D67" s="966">
        <v>70.260000000000005</v>
      </c>
      <c r="E67" s="966">
        <v>70.25200000000001</v>
      </c>
      <c r="F67" s="966">
        <f t="shared" si="0"/>
        <v>2917.26</v>
      </c>
      <c r="G67" s="966">
        <f t="shared" si="0"/>
        <v>2917.252</v>
      </c>
    </row>
    <row r="68" spans="1:7" s="913" customFormat="1" ht="12.75" customHeight="1" x14ac:dyDescent="0.2">
      <c r="A68" s="965" t="s">
        <v>3611</v>
      </c>
      <c r="B68" s="966">
        <v>3993</v>
      </c>
      <c r="C68" s="966">
        <v>3993</v>
      </c>
      <c r="D68" s="966">
        <v>147.94</v>
      </c>
      <c r="E68" s="966">
        <v>147.93299999999999</v>
      </c>
      <c r="F68" s="966">
        <f t="shared" si="0"/>
        <v>4140.9399999999996</v>
      </c>
      <c r="G68" s="966">
        <f t="shared" si="0"/>
        <v>4140.933</v>
      </c>
    </row>
    <row r="69" spans="1:7" s="913" customFormat="1" ht="12.75" customHeight="1" x14ac:dyDescent="0.2">
      <c r="A69" s="965" t="s">
        <v>3612</v>
      </c>
      <c r="B69" s="966">
        <v>4858</v>
      </c>
      <c r="C69" s="966">
        <v>4858</v>
      </c>
      <c r="D69" s="966">
        <v>173.55</v>
      </c>
      <c r="E69" s="966">
        <v>173.542</v>
      </c>
      <c r="F69" s="966">
        <f t="shared" si="0"/>
        <v>5031.55</v>
      </c>
      <c r="G69" s="966">
        <f t="shared" si="0"/>
        <v>5031.5420000000004</v>
      </c>
    </row>
    <row r="70" spans="1:7" s="913" customFormat="1" ht="12.75" customHeight="1" x14ac:dyDescent="0.2">
      <c r="A70" s="965" t="s">
        <v>3613</v>
      </c>
      <c r="B70" s="966">
        <v>3847</v>
      </c>
      <c r="C70" s="966">
        <v>3847</v>
      </c>
      <c r="D70" s="966">
        <v>101.19999999999999</v>
      </c>
      <c r="E70" s="966">
        <v>101.20400000000001</v>
      </c>
      <c r="F70" s="966">
        <f t="shared" ref="F70:G133" si="1">B70+D70</f>
        <v>3948.2</v>
      </c>
      <c r="G70" s="966">
        <f t="shared" si="1"/>
        <v>3948.2040000000002</v>
      </c>
    </row>
    <row r="71" spans="1:7" s="913" customFormat="1" ht="12.75" customHeight="1" x14ac:dyDescent="0.2">
      <c r="A71" s="965" t="s">
        <v>3614</v>
      </c>
      <c r="B71" s="966">
        <v>3782</v>
      </c>
      <c r="C71" s="966">
        <v>3782</v>
      </c>
      <c r="D71" s="966">
        <v>90.6</v>
      </c>
      <c r="E71" s="966">
        <v>90.597999999999999</v>
      </c>
      <c r="F71" s="966">
        <f t="shared" si="1"/>
        <v>3872.6</v>
      </c>
      <c r="G71" s="966">
        <f t="shared" si="1"/>
        <v>3872.598</v>
      </c>
    </row>
    <row r="72" spans="1:7" s="913" customFormat="1" ht="12.75" customHeight="1" x14ac:dyDescent="0.2">
      <c r="A72" s="965" t="s">
        <v>3615</v>
      </c>
      <c r="B72" s="966">
        <v>3191</v>
      </c>
      <c r="C72" s="966">
        <v>3191</v>
      </c>
      <c r="D72" s="966">
        <v>87.300000000000011</v>
      </c>
      <c r="E72" s="966">
        <v>87.301999999999992</v>
      </c>
      <c r="F72" s="966">
        <f t="shared" si="1"/>
        <v>3278.3</v>
      </c>
      <c r="G72" s="966">
        <f t="shared" si="1"/>
        <v>3278.3020000000001</v>
      </c>
    </row>
    <row r="73" spans="1:7" s="913" customFormat="1" ht="12.75" customHeight="1" x14ac:dyDescent="0.2">
      <c r="A73" s="965" t="s">
        <v>3616</v>
      </c>
      <c r="B73" s="966">
        <v>3191</v>
      </c>
      <c r="C73" s="966">
        <v>3191</v>
      </c>
      <c r="D73" s="966">
        <v>84.09</v>
      </c>
      <c r="E73" s="966">
        <v>84.094999999999999</v>
      </c>
      <c r="F73" s="966">
        <f t="shared" si="1"/>
        <v>3275.09</v>
      </c>
      <c r="G73" s="966">
        <f t="shared" si="1"/>
        <v>3275.0949999999998</v>
      </c>
    </row>
    <row r="74" spans="1:7" s="913" customFormat="1" ht="12.75" customHeight="1" x14ac:dyDescent="0.2">
      <c r="A74" s="965" t="s">
        <v>3617</v>
      </c>
      <c r="B74" s="966">
        <v>2860</v>
      </c>
      <c r="C74" s="966">
        <v>2860</v>
      </c>
      <c r="D74" s="966">
        <v>82.52</v>
      </c>
      <c r="E74" s="966">
        <v>82.516999999999996</v>
      </c>
      <c r="F74" s="966">
        <f t="shared" si="1"/>
        <v>2942.52</v>
      </c>
      <c r="G74" s="966">
        <f t="shared" si="1"/>
        <v>2942.5169999999998</v>
      </c>
    </row>
    <row r="75" spans="1:7" s="913" customFormat="1" ht="12.75" customHeight="1" x14ac:dyDescent="0.2">
      <c r="A75" s="965" t="s">
        <v>3618</v>
      </c>
      <c r="B75" s="966">
        <v>2473</v>
      </c>
      <c r="C75" s="966">
        <v>2473</v>
      </c>
      <c r="D75" s="966">
        <v>57.300000000000004</v>
      </c>
      <c r="E75" s="966">
        <v>57.296999999999997</v>
      </c>
      <c r="F75" s="966">
        <f t="shared" si="1"/>
        <v>2530.3000000000002</v>
      </c>
      <c r="G75" s="966">
        <f t="shared" si="1"/>
        <v>2530.297</v>
      </c>
    </row>
    <row r="76" spans="1:7" s="913" customFormat="1" ht="12.75" customHeight="1" x14ac:dyDescent="0.2">
      <c r="A76" s="965" t="s">
        <v>3619</v>
      </c>
      <c r="B76" s="966">
        <v>4316</v>
      </c>
      <c r="C76" s="966">
        <v>4316</v>
      </c>
      <c r="D76" s="966">
        <v>105.31</v>
      </c>
      <c r="E76" s="966">
        <v>105.304</v>
      </c>
      <c r="F76" s="966">
        <f t="shared" si="1"/>
        <v>4421.3100000000004</v>
      </c>
      <c r="G76" s="966">
        <f t="shared" si="1"/>
        <v>4421.3040000000001</v>
      </c>
    </row>
    <row r="77" spans="1:7" s="913" customFormat="1" ht="12.75" customHeight="1" x14ac:dyDescent="0.2">
      <c r="A77" s="965" t="s">
        <v>3620</v>
      </c>
      <c r="B77" s="966">
        <v>5498</v>
      </c>
      <c r="C77" s="966">
        <v>5498</v>
      </c>
      <c r="D77" s="966">
        <v>177.82</v>
      </c>
      <c r="E77" s="966">
        <v>177.81899999999999</v>
      </c>
      <c r="F77" s="966">
        <f t="shared" si="1"/>
        <v>5675.82</v>
      </c>
      <c r="G77" s="966">
        <f t="shared" si="1"/>
        <v>5675.8190000000004</v>
      </c>
    </row>
    <row r="78" spans="1:7" s="913" customFormat="1" ht="12.75" customHeight="1" x14ac:dyDescent="0.2">
      <c r="A78" s="965" t="s">
        <v>3621</v>
      </c>
      <c r="B78" s="966">
        <v>3345</v>
      </c>
      <c r="C78" s="966">
        <v>3345</v>
      </c>
      <c r="D78" s="966">
        <v>97.6</v>
      </c>
      <c r="E78" s="966">
        <v>97.593999999999994</v>
      </c>
      <c r="F78" s="966">
        <f t="shared" si="1"/>
        <v>3442.6</v>
      </c>
      <c r="G78" s="966">
        <f t="shared" si="1"/>
        <v>3442.5940000000001</v>
      </c>
    </row>
    <row r="79" spans="1:7" s="913" customFormat="1" ht="12.75" customHeight="1" x14ac:dyDescent="0.2">
      <c r="A79" s="965" t="s">
        <v>3622</v>
      </c>
      <c r="B79" s="966">
        <v>4969</v>
      </c>
      <c r="C79" s="966">
        <v>4969</v>
      </c>
      <c r="D79" s="966">
        <v>164.23000000000002</v>
      </c>
      <c r="E79" s="966">
        <v>164.23499999999999</v>
      </c>
      <c r="F79" s="966">
        <f t="shared" si="1"/>
        <v>5133.2299999999996</v>
      </c>
      <c r="G79" s="966">
        <f t="shared" si="1"/>
        <v>5133.2349999999997</v>
      </c>
    </row>
    <row r="80" spans="1:7" s="913" customFormat="1" ht="12.75" customHeight="1" x14ac:dyDescent="0.2">
      <c r="A80" s="965" t="s">
        <v>3623</v>
      </c>
      <c r="B80" s="966">
        <v>2525</v>
      </c>
      <c r="C80" s="966">
        <v>2525</v>
      </c>
      <c r="D80" s="966">
        <v>58.07</v>
      </c>
      <c r="E80" s="966">
        <v>58.067999999999998</v>
      </c>
      <c r="F80" s="966">
        <f t="shared" si="1"/>
        <v>2583.0700000000002</v>
      </c>
      <c r="G80" s="966">
        <f t="shared" si="1"/>
        <v>2583.0680000000002</v>
      </c>
    </row>
    <row r="81" spans="1:7" s="913" customFormat="1" ht="12.75" customHeight="1" x14ac:dyDescent="0.2">
      <c r="A81" s="965" t="s">
        <v>3624</v>
      </c>
      <c r="B81" s="966">
        <v>6103</v>
      </c>
      <c r="C81" s="966">
        <v>6103</v>
      </c>
      <c r="D81" s="966">
        <v>213.5</v>
      </c>
      <c r="E81" s="966">
        <v>213.50299999999999</v>
      </c>
      <c r="F81" s="966">
        <f t="shared" si="1"/>
        <v>6316.5</v>
      </c>
      <c r="G81" s="966">
        <f t="shared" si="1"/>
        <v>6316.5029999999997</v>
      </c>
    </row>
    <row r="82" spans="1:7" s="913" customFormat="1" ht="12.75" customHeight="1" x14ac:dyDescent="0.2">
      <c r="A82" s="965" t="s">
        <v>3625</v>
      </c>
      <c r="B82" s="966">
        <v>6261</v>
      </c>
      <c r="C82" s="966">
        <v>6261</v>
      </c>
      <c r="D82" s="966">
        <v>166.70000000000002</v>
      </c>
      <c r="E82" s="966">
        <v>166.7</v>
      </c>
      <c r="F82" s="966">
        <f t="shared" si="1"/>
        <v>6427.7</v>
      </c>
      <c r="G82" s="966">
        <f t="shared" si="1"/>
        <v>6427.7</v>
      </c>
    </row>
    <row r="83" spans="1:7" s="913" customFormat="1" ht="12.75" customHeight="1" x14ac:dyDescent="0.2">
      <c r="A83" s="965" t="s">
        <v>3626</v>
      </c>
      <c r="B83" s="966">
        <v>9262</v>
      </c>
      <c r="C83" s="966">
        <v>9262</v>
      </c>
      <c r="D83" s="966">
        <v>296.02</v>
      </c>
      <c r="E83" s="966">
        <v>296.02099999999996</v>
      </c>
      <c r="F83" s="966">
        <f t="shared" si="1"/>
        <v>9558.02</v>
      </c>
      <c r="G83" s="966">
        <f t="shared" si="1"/>
        <v>9558.0210000000006</v>
      </c>
    </row>
    <row r="84" spans="1:7" s="913" customFormat="1" ht="12.75" customHeight="1" x14ac:dyDescent="0.2">
      <c r="A84" s="965" t="s">
        <v>3627</v>
      </c>
      <c r="B84" s="966">
        <v>2541</v>
      </c>
      <c r="C84" s="966">
        <v>2541</v>
      </c>
      <c r="D84" s="966">
        <v>70.789999999999992</v>
      </c>
      <c r="E84" s="966">
        <v>70.787000000000006</v>
      </c>
      <c r="F84" s="966">
        <f t="shared" si="1"/>
        <v>2611.79</v>
      </c>
      <c r="G84" s="966">
        <f t="shared" si="1"/>
        <v>2611.7869999999998</v>
      </c>
    </row>
    <row r="85" spans="1:7" s="913" customFormat="1" ht="12.75" customHeight="1" x14ac:dyDescent="0.2">
      <c r="A85" s="965" t="s">
        <v>3628</v>
      </c>
      <c r="B85" s="966">
        <v>3086</v>
      </c>
      <c r="C85" s="966">
        <v>3086</v>
      </c>
      <c r="D85" s="966">
        <v>83.639999999999986</v>
      </c>
      <c r="E85" s="966">
        <v>83.635999999999996</v>
      </c>
      <c r="F85" s="966">
        <f t="shared" si="1"/>
        <v>3169.64</v>
      </c>
      <c r="G85" s="966">
        <f t="shared" si="1"/>
        <v>3169.636</v>
      </c>
    </row>
    <row r="86" spans="1:7" s="913" customFormat="1" ht="12.75" customHeight="1" x14ac:dyDescent="0.2">
      <c r="A86" s="965" t="s">
        <v>3629</v>
      </c>
      <c r="B86" s="966">
        <v>5383</v>
      </c>
      <c r="C86" s="966">
        <v>5383</v>
      </c>
      <c r="D86" s="966">
        <v>120.32</v>
      </c>
      <c r="E86" s="966">
        <v>120.31299999999999</v>
      </c>
      <c r="F86" s="966">
        <f t="shared" si="1"/>
        <v>5503.32</v>
      </c>
      <c r="G86" s="966">
        <f t="shared" si="1"/>
        <v>5503.3130000000001</v>
      </c>
    </row>
    <row r="87" spans="1:7" s="913" customFormat="1" ht="12.75" customHeight="1" x14ac:dyDescent="0.2">
      <c r="A87" s="965" t="s">
        <v>3630</v>
      </c>
      <c r="B87" s="966">
        <v>5982</v>
      </c>
      <c r="C87" s="966">
        <v>5982</v>
      </c>
      <c r="D87" s="966">
        <v>201.14000000000001</v>
      </c>
      <c r="E87" s="966">
        <v>201.136</v>
      </c>
      <c r="F87" s="966">
        <f t="shared" si="1"/>
        <v>6183.14</v>
      </c>
      <c r="G87" s="966">
        <f t="shared" si="1"/>
        <v>6183.1360000000004</v>
      </c>
    </row>
    <row r="88" spans="1:7" s="913" customFormat="1" ht="12.75" customHeight="1" x14ac:dyDescent="0.2">
      <c r="A88" s="965" t="s">
        <v>3631</v>
      </c>
      <c r="B88" s="966">
        <v>2074</v>
      </c>
      <c r="C88" s="966">
        <v>2074</v>
      </c>
      <c r="D88" s="966">
        <v>50.59</v>
      </c>
      <c r="E88" s="966">
        <v>50.587000000000003</v>
      </c>
      <c r="F88" s="966">
        <f t="shared" si="1"/>
        <v>2124.59</v>
      </c>
      <c r="G88" s="966">
        <f t="shared" si="1"/>
        <v>2124.587</v>
      </c>
    </row>
    <row r="89" spans="1:7" s="913" customFormat="1" ht="12.75" customHeight="1" x14ac:dyDescent="0.2">
      <c r="A89" s="965" t="s">
        <v>3632</v>
      </c>
      <c r="B89" s="966">
        <v>1434</v>
      </c>
      <c r="C89" s="966">
        <v>1434</v>
      </c>
      <c r="D89" s="966">
        <v>37.9</v>
      </c>
      <c r="E89" s="966">
        <v>37.899000000000001</v>
      </c>
      <c r="F89" s="966">
        <f t="shared" si="1"/>
        <v>1471.9</v>
      </c>
      <c r="G89" s="966">
        <f t="shared" si="1"/>
        <v>1471.8989999999999</v>
      </c>
    </row>
    <row r="90" spans="1:7" s="913" customFormat="1" ht="12.75" customHeight="1" x14ac:dyDescent="0.2">
      <c r="A90" s="965" t="s">
        <v>3633</v>
      </c>
      <c r="B90" s="966">
        <v>1027</v>
      </c>
      <c r="C90" s="966">
        <v>1027</v>
      </c>
      <c r="D90" s="966">
        <v>27.64</v>
      </c>
      <c r="E90" s="966">
        <v>27.641999999999999</v>
      </c>
      <c r="F90" s="966">
        <f t="shared" si="1"/>
        <v>1054.6400000000001</v>
      </c>
      <c r="G90" s="966">
        <f t="shared" si="1"/>
        <v>1054.6420000000001</v>
      </c>
    </row>
    <row r="91" spans="1:7" s="913" customFormat="1" ht="12.75" customHeight="1" x14ac:dyDescent="0.2">
      <c r="A91" s="965" t="s">
        <v>3634</v>
      </c>
      <c r="B91" s="966">
        <v>1333</v>
      </c>
      <c r="C91" s="966">
        <v>1333</v>
      </c>
      <c r="D91" s="966">
        <v>35.57</v>
      </c>
      <c r="E91" s="966">
        <v>35.569000000000003</v>
      </c>
      <c r="F91" s="966">
        <f t="shared" si="1"/>
        <v>1368.57</v>
      </c>
      <c r="G91" s="966">
        <f t="shared" si="1"/>
        <v>1368.569</v>
      </c>
    </row>
    <row r="92" spans="1:7" s="913" customFormat="1" ht="12.75" customHeight="1" x14ac:dyDescent="0.2">
      <c r="A92" s="965" t="s">
        <v>3635</v>
      </c>
      <c r="B92" s="966">
        <v>8562</v>
      </c>
      <c r="C92" s="966">
        <v>8562</v>
      </c>
      <c r="D92" s="966">
        <v>243.97</v>
      </c>
      <c r="E92" s="966">
        <v>243.965</v>
      </c>
      <c r="F92" s="966">
        <f t="shared" si="1"/>
        <v>8805.9699999999993</v>
      </c>
      <c r="G92" s="966">
        <f t="shared" si="1"/>
        <v>8805.9650000000001</v>
      </c>
    </row>
    <row r="93" spans="1:7" s="913" customFormat="1" ht="12.75" customHeight="1" x14ac:dyDescent="0.2">
      <c r="A93" s="965" t="s">
        <v>3636</v>
      </c>
      <c r="B93" s="966">
        <v>7006</v>
      </c>
      <c r="C93" s="966">
        <v>7006</v>
      </c>
      <c r="D93" s="966">
        <v>193.14999999999998</v>
      </c>
      <c r="E93" s="966">
        <v>193.15199999999999</v>
      </c>
      <c r="F93" s="966">
        <f t="shared" si="1"/>
        <v>7199.15</v>
      </c>
      <c r="G93" s="966">
        <f t="shared" si="1"/>
        <v>7199.152</v>
      </c>
    </row>
    <row r="94" spans="1:7" s="913" customFormat="1" ht="12.75" customHeight="1" x14ac:dyDescent="0.2">
      <c r="A94" s="965" t="s">
        <v>3637</v>
      </c>
      <c r="B94" s="966">
        <v>2224</v>
      </c>
      <c r="C94" s="966">
        <v>2224</v>
      </c>
      <c r="D94" s="966">
        <v>69.83</v>
      </c>
      <c r="E94" s="966">
        <v>69.831000000000003</v>
      </c>
      <c r="F94" s="966">
        <f t="shared" si="1"/>
        <v>2293.83</v>
      </c>
      <c r="G94" s="966">
        <f t="shared" si="1"/>
        <v>2293.8310000000001</v>
      </c>
    </row>
    <row r="95" spans="1:7" s="913" customFormat="1" ht="12.75" customHeight="1" x14ac:dyDescent="0.2">
      <c r="A95" s="965" t="s">
        <v>3638</v>
      </c>
      <c r="B95" s="966">
        <v>3556</v>
      </c>
      <c r="C95" s="966">
        <v>3556</v>
      </c>
      <c r="D95" s="966">
        <v>95.66</v>
      </c>
      <c r="E95" s="966">
        <v>95.664000000000001</v>
      </c>
      <c r="F95" s="966">
        <f t="shared" si="1"/>
        <v>3651.66</v>
      </c>
      <c r="G95" s="966">
        <f t="shared" si="1"/>
        <v>3651.6640000000002</v>
      </c>
    </row>
    <row r="96" spans="1:7" s="913" customFormat="1" ht="12.75" customHeight="1" x14ac:dyDescent="0.2">
      <c r="A96" s="965" t="s">
        <v>3639</v>
      </c>
      <c r="B96" s="966">
        <v>926</v>
      </c>
      <c r="C96" s="966">
        <v>926</v>
      </c>
      <c r="D96" s="966">
        <v>20.28</v>
      </c>
      <c r="E96" s="966">
        <v>20.283999999999999</v>
      </c>
      <c r="F96" s="966">
        <f t="shared" si="1"/>
        <v>946.28</v>
      </c>
      <c r="G96" s="966">
        <f t="shared" si="1"/>
        <v>946.28399999999999</v>
      </c>
    </row>
    <row r="97" spans="1:7" s="913" customFormat="1" ht="12.75" customHeight="1" x14ac:dyDescent="0.2">
      <c r="A97" s="965" t="s">
        <v>3640</v>
      </c>
      <c r="B97" s="966">
        <v>2367</v>
      </c>
      <c r="C97" s="966">
        <v>2367</v>
      </c>
      <c r="D97" s="966">
        <v>50.04</v>
      </c>
      <c r="E97" s="966">
        <v>50.037999999999997</v>
      </c>
      <c r="F97" s="966">
        <f t="shared" si="1"/>
        <v>2417.04</v>
      </c>
      <c r="G97" s="966">
        <f t="shared" si="1"/>
        <v>2417.038</v>
      </c>
    </row>
    <row r="98" spans="1:7" s="913" customFormat="1" ht="12.75" customHeight="1" x14ac:dyDescent="0.2">
      <c r="A98" s="965" t="s">
        <v>3641</v>
      </c>
      <c r="B98" s="966">
        <v>7160</v>
      </c>
      <c r="C98" s="966">
        <v>7160</v>
      </c>
      <c r="D98" s="966">
        <v>187.53</v>
      </c>
      <c r="E98" s="966">
        <v>187.53200000000001</v>
      </c>
      <c r="F98" s="966">
        <f t="shared" si="1"/>
        <v>7347.53</v>
      </c>
      <c r="G98" s="966">
        <f t="shared" si="1"/>
        <v>7347.5320000000002</v>
      </c>
    </row>
    <row r="99" spans="1:7" s="913" customFormat="1" ht="12.75" customHeight="1" x14ac:dyDescent="0.2">
      <c r="A99" s="965" t="s">
        <v>3642</v>
      </c>
      <c r="B99" s="966">
        <v>7314</v>
      </c>
      <c r="C99" s="966">
        <v>7314</v>
      </c>
      <c r="D99" s="966">
        <v>179.91</v>
      </c>
      <c r="E99" s="966">
        <v>179.91300000000001</v>
      </c>
      <c r="F99" s="966">
        <f t="shared" si="1"/>
        <v>7493.91</v>
      </c>
      <c r="G99" s="966">
        <f t="shared" si="1"/>
        <v>7493.9130000000005</v>
      </c>
    </row>
    <row r="100" spans="1:7" s="913" customFormat="1" ht="12.75" customHeight="1" x14ac:dyDescent="0.2">
      <c r="A100" s="965" t="s">
        <v>3643</v>
      </c>
      <c r="B100" s="966">
        <v>4147</v>
      </c>
      <c r="C100" s="966">
        <v>4147</v>
      </c>
      <c r="D100" s="966">
        <v>196.55</v>
      </c>
      <c r="E100" s="966">
        <v>196.54500000000002</v>
      </c>
      <c r="F100" s="966">
        <f t="shared" si="1"/>
        <v>4343.55</v>
      </c>
      <c r="G100" s="966">
        <f t="shared" si="1"/>
        <v>4343.5450000000001</v>
      </c>
    </row>
    <row r="101" spans="1:7" s="913" customFormat="1" ht="12.75" customHeight="1" x14ac:dyDescent="0.2">
      <c r="A101" s="965" t="s">
        <v>3644</v>
      </c>
      <c r="B101" s="966">
        <v>3993</v>
      </c>
      <c r="C101" s="966">
        <v>3993</v>
      </c>
      <c r="D101" s="966">
        <v>111.27000000000001</v>
      </c>
      <c r="E101" s="966">
        <v>111.267</v>
      </c>
      <c r="F101" s="966">
        <f t="shared" si="1"/>
        <v>4104.2700000000004</v>
      </c>
      <c r="G101" s="966">
        <f t="shared" si="1"/>
        <v>4104.2669999999998</v>
      </c>
    </row>
    <row r="102" spans="1:7" s="913" customFormat="1" ht="12.75" customHeight="1" x14ac:dyDescent="0.2">
      <c r="A102" s="965" t="s">
        <v>3645</v>
      </c>
      <c r="B102" s="966">
        <v>3260</v>
      </c>
      <c r="C102" s="966">
        <v>3260</v>
      </c>
      <c r="D102" s="966">
        <v>96.77</v>
      </c>
      <c r="E102" s="966">
        <v>96.769000000000005</v>
      </c>
      <c r="F102" s="966">
        <f t="shared" si="1"/>
        <v>3356.77</v>
      </c>
      <c r="G102" s="966">
        <f t="shared" si="1"/>
        <v>3356.7690000000002</v>
      </c>
    </row>
    <row r="103" spans="1:7" s="913" customFormat="1" ht="12.75" customHeight="1" x14ac:dyDescent="0.2">
      <c r="A103" s="965" t="s">
        <v>3646</v>
      </c>
      <c r="B103" s="966">
        <v>2380</v>
      </c>
      <c r="C103" s="966">
        <v>2380</v>
      </c>
      <c r="D103" s="966">
        <v>73.710000000000008</v>
      </c>
      <c r="E103" s="966">
        <v>73.706000000000003</v>
      </c>
      <c r="F103" s="966">
        <f t="shared" si="1"/>
        <v>2453.71</v>
      </c>
      <c r="G103" s="966">
        <f t="shared" si="1"/>
        <v>2453.7060000000001</v>
      </c>
    </row>
    <row r="104" spans="1:7" s="913" customFormat="1" ht="12.75" customHeight="1" x14ac:dyDescent="0.2">
      <c r="A104" s="965" t="s">
        <v>3647</v>
      </c>
      <c r="B104" s="966">
        <v>2572</v>
      </c>
      <c r="C104" s="966">
        <v>2572</v>
      </c>
      <c r="D104" s="966">
        <v>70.55</v>
      </c>
      <c r="E104" s="966">
        <v>70.543999999999997</v>
      </c>
      <c r="F104" s="966">
        <f t="shared" si="1"/>
        <v>2642.55</v>
      </c>
      <c r="G104" s="966">
        <f t="shared" si="1"/>
        <v>2642.5439999999999</v>
      </c>
    </row>
    <row r="105" spans="1:7" s="913" customFormat="1" ht="12.75" customHeight="1" x14ac:dyDescent="0.2">
      <c r="A105" s="965" t="s">
        <v>3648</v>
      </c>
      <c r="B105" s="966">
        <v>3993</v>
      </c>
      <c r="C105" s="966">
        <v>3993</v>
      </c>
      <c r="D105" s="966">
        <v>118.4</v>
      </c>
      <c r="E105" s="966">
        <v>118.404</v>
      </c>
      <c r="F105" s="966">
        <f t="shared" si="1"/>
        <v>4111.3999999999996</v>
      </c>
      <c r="G105" s="966">
        <f t="shared" si="1"/>
        <v>4111.4040000000005</v>
      </c>
    </row>
    <row r="106" spans="1:7" s="913" customFormat="1" ht="12.75" customHeight="1" x14ac:dyDescent="0.2">
      <c r="A106" s="965" t="s">
        <v>3649</v>
      </c>
      <c r="B106" s="966">
        <v>3821</v>
      </c>
      <c r="C106" s="966">
        <v>3821</v>
      </c>
      <c r="D106" s="966">
        <v>113.79</v>
      </c>
      <c r="E106" s="966">
        <v>113.786</v>
      </c>
      <c r="F106" s="966">
        <f t="shared" si="1"/>
        <v>3934.79</v>
      </c>
      <c r="G106" s="966">
        <f t="shared" si="1"/>
        <v>3934.7860000000001</v>
      </c>
    </row>
    <row r="107" spans="1:7" s="913" customFormat="1" ht="12.75" customHeight="1" x14ac:dyDescent="0.2">
      <c r="A107" s="965" t="s">
        <v>3650</v>
      </c>
      <c r="B107" s="966">
        <v>3004</v>
      </c>
      <c r="C107" s="966">
        <v>3004</v>
      </c>
      <c r="D107" s="966">
        <v>88.759999999999991</v>
      </c>
      <c r="E107" s="966">
        <v>88.762</v>
      </c>
      <c r="F107" s="966">
        <f t="shared" si="1"/>
        <v>3092.76</v>
      </c>
      <c r="G107" s="966">
        <f t="shared" si="1"/>
        <v>3092.7620000000002</v>
      </c>
    </row>
    <row r="108" spans="1:7" s="913" customFormat="1" ht="12.75" customHeight="1" x14ac:dyDescent="0.2">
      <c r="A108" s="965" t="s">
        <v>3651</v>
      </c>
      <c r="B108" s="966">
        <v>4022</v>
      </c>
      <c r="C108" s="966">
        <v>4022</v>
      </c>
      <c r="D108" s="966">
        <v>98.759999999999991</v>
      </c>
      <c r="E108" s="966">
        <v>98.751999999999995</v>
      </c>
      <c r="F108" s="966">
        <f t="shared" si="1"/>
        <v>4120.76</v>
      </c>
      <c r="G108" s="966">
        <f t="shared" si="1"/>
        <v>4120.7520000000004</v>
      </c>
    </row>
    <row r="109" spans="1:7" s="913" customFormat="1" ht="12.75" customHeight="1" x14ac:dyDescent="0.2">
      <c r="A109" s="965" t="s">
        <v>3652</v>
      </c>
      <c r="B109" s="966">
        <v>3843</v>
      </c>
      <c r="C109" s="966">
        <v>3843</v>
      </c>
      <c r="D109" s="966">
        <v>103.88000000000001</v>
      </c>
      <c r="E109" s="966">
        <v>103.881</v>
      </c>
      <c r="F109" s="966">
        <f t="shared" si="1"/>
        <v>3946.88</v>
      </c>
      <c r="G109" s="966">
        <f t="shared" si="1"/>
        <v>3946.8809999999999</v>
      </c>
    </row>
    <row r="110" spans="1:7" s="913" customFormat="1" ht="12.75" customHeight="1" x14ac:dyDescent="0.2">
      <c r="A110" s="965" t="s">
        <v>3653</v>
      </c>
      <c r="B110" s="966">
        <v>4918</v>
      </c>
      <c r="C110" s="966">
        <v>4918</v>
      </c>
      <c r="D110" s="966">
        <v>138.61000000000001</v>
      </c>
      <c r="E110" s="966">
        <v>138.61199999999999</v>
      </c>
      <c r="F110" s="966">
        <f t="shared" si="1"/>
        <v>5056.6099999999997</v>
      </c>
      <c r="G110" s="966">
        <f t="shared" si="1"/>
        <v>5056.6120000000001</v>
      </c>
    </row>
    <row r="111" spans="1:7" s="913" customFormat="1" ht="12.75" customHeight="1" x14ac:dyDescent="0.2">
      <c r="A111" s="965" t="s">
        <v>3654</v>
      </c>
      <c r="B111" s="966">
        <v>2157</v>
      </c>
      <c r="C111" s="966">
        <v>2157</v>
      </c>
      <c r="D111" s="966">
        <v>66.240000000000009</v>
      </c>
      <c r="E111" s="966">
        <v>66.238</v>
      </c>
      <c r="F111" s="966">
        <f t="shared" si="1"/>
        <v>2223.2399999999998</v>
      </c>
      <c r="G111" s="966">
        <f t="shared" si="1"/>
        <v>2223.2379999999998</v>
      </c>
    </row>
    <row r="112" spans="1:7" s="913" customFormat="1" ht="12.75" customHeight="1" x14ac:dyDescent="0.2">
      <c r="A112" s="965" t="s">
        <v>3655</v>
      </c>
      <c r="B112" s="966">
        <v>6939</v>
      </c>
      <c r="C112" s="966">
        <v>6939</v>
      </c>
      <c r="D112" s="966">
        <v>216.85</v>
      </c>
      <c r="E112" s="966">
        <v>216.845</v>
      </c>
      <c r="F112" s="966">
        <f t="shared" si="1"/>
        <v>7155.85</v>
      </c>
      <c r="G112" s="966">
        <f t="shared" si="1"/>
        <v>7155.8450000000003</v>
      </c>
    </row>
    <row r="113" spans="1:7" s="913" customFormat="1" ht="12.75" customHeight="1" x14ac:dyDescent="0.2">
      <c r="A113" s="965" t="s">
        <v>3656</v>
      </c>
      <c r="B113" s="966">
        <v>4622</v>
      </c>
      <c r="C113" s="966">
        <v>4622</v>
      </c>
      <c r="D113" s="966">
        <v>119.92999999999999</v>
      </c>
      <c r="E113" s="966">
        <v>119.92400000000001</v>
      </c>
      <c r="F113" s="966">
        <f t="shared" si="1"/>
        <v>4741.93</v>
      </c>
      <c r="G113" s="966">
        <f t="shared" si="1"/>
        <v>4741.924</v>
      </c>
    </row>
    <row r="114" spans="1:7" s="913" customFormat="1" ht="12.75" customHeight="1" x14ac:dyDescent="0.2">
      <c r="A114" s="965" t="s">
        <v>3657</v>
      </c>
      <c r="B114" s="966">
        <v>5785</v>
      </c>
      <c r="C114" s="966">
        <v>5785</v>
      </c>
      <c r="D114" s="966">
        <v>198.48000000000002</v>
      </c>
      <c r="E114" s="966">
        <v>198.47500000000002</v>
      </c>
      <c r="F114" s="966">
        <f t="shared" si="1"/>
        <v>5983.48</v>
      </c>
      <c r="G114" s="966">
        <f t="shared" si="1"/>
        <v>5983.4750000000004</v>
      </c>
    </row>
    <row r="115" spans="1:7" s="913" customFormat="1" ht="12.75" customHeight="1" x14ac:dyDescent="0.2">
      <c r="A115" s="965" t="s">
        <v>3658</v>
      </c>
      <c r="B115" s="966">
        <v>2541</v>
      </c>
      <c r="C115" s="966">
        <v>2541</v>
      </c>
      <c r="D115" s="966">
        <v>57.980000000000004</v>
      </c>
      <c r="E115" s="966">
        <v>57.972999999999999</v>
      </c>
      <c r="F115" s="966">
        <f t="shared" si="1"/>
        <v>2598.98</v>
      </c>
      <c r="G115" s="966">
        <f t="shared" si="1"/>
        <v>2598.973</v>
      </c>
    </row>
    <row r="116" spans="1:7" s="913" customFormat="1" ht="12.75" customHeight="1" x14ac:dyDescent="0.2">
      <c r="A116" s="965" t="s">
        <v>3659</v>
      </c>
      <c r="B116" s="966">
        <v>2813</v>
      </c>
      <c r="C116" s="966">
        <v>2813</v>
      </c>
      <c r="D116" s="966">
        <v>89.92</v>
      </c>
      <c r="E116" s="966">
        <v>89.917000000000002</v>
      </c>
      <c r="F116" s="966">
        <f t="shared" si="1"/>
        <v>2902.92</v>
      </c>
      <c r="G116" s="966">
        <f t="shared" si="1"/>
        <v>2902.9169999999999</v>
      </c>
    </row>
    <row r="117" spans="1:7" s="913" customFormat="1" ht="12.75" customHeight="1" x14ac:dyDescent="0.2">
      <c r="A117" s="965" t="s">
        <v>3660</v>
      </c>
      <c r="B117" s="966">
        <v>2997</v>
      </c>
      <c r="C117" s="966">
        <v>2997</v>
      </c>
      <c r="D117" s="966">
        <v>81.38000000000001</v>
      </c>
      <c r="E117" s="966">
        <v>81.376000000000005</v>
      </c>
      <c r="F117" s="966">
        <f t="shared" si="1"/>
        <v>3078.38</v>
      </c>
      <c r="G117" s="966">
        <f t="shared" si="1"/>
        <v>3078.3760000000002</v>
      </c>
    </row>
    <row r="118" spans="1:7" s="913" customFormat="1" ht="12.75" customHeight="1" x14ac:dyDescent="0.2">
      <c r="A118" s="965" t="s">
        <v>3661</v>
      </c>
      <c r="B118" s="966">
        <v>5350</v>
      </c>
      <c r="C118" s="966">
        <v>5350</v>
      </c>
      <c r="D118" s="966">
        <v>141.81</v>
      </c>
      <c r="E118" s="966">
        <v>141.81399999999999</v>
      </c>
      <c r="F118" s="966">
        <f t="shared" si="1"/>
        <v>5491.81</v>
      </c>
      <c r="G118" s="966">
        <f t="shared" si="1"/>
        <v>5491.8140000000003</v>
      </c>
    </row>
    <row r="119" spans="1:7" s="913" customFormat="1" ht="12.75" customHeight="1" x14ac:dyDescent="0.2">
      <c r="A119" s="965" t="s">
        <v>3662</v>
      </c>
      <c r="B119" s="966">
        <v>4220</v>
      </c>
      <c r="C119" s="966">
        <v>4220</v>
      </c>
      <c r="D119" s="966">
        <v>111.44999999999999</v>
      </c>
      <c r="E119" s="966">
        <v>111.453</v>
      </c>
      <c r="F119" s="966">
        <f t="shared" si="1"/>
        <v>4331.45</v>
      </c>
      <c r="G119" s="966">
        <f t="shared" si="1"/>
        <v>4331.4530000000004</v>
      </c>
    </row>
    <row r="120" spans="1:7" s="913" customFormat="1" ht="12.75" customHeight="1" x14ac:dyDescent="0.2">
      <c r="A120" s="965" t="s">
        <v>3663</v>
      </c>
      <c r="B120" s="966">
        <v>1920</v>
      </c>
      <c r="C120" s="966">
        <v>1920</v>
      </c>
      <c r="D120" s="966">
        <v>45.51</v>
      </c>
      <c r="E120" s="966">
        <v>45.508000000000003</v>
      </c>
      <c r="F120" s="966">
        <f t="shared" si="1"/>
        <v>1965.51</v>
      </c>
      <c r="G120" s="966">
        <f t="shared" si="1"/>
        <v>1965.508</v>
      </c>
    </row>
    <row r="121" spans="1:7" s="913" customFormat="1" ht="12.75" customHeight="1" x14ac:dyDescent="0.2">
      <c r="A121" s="965" t="s">
        <v>3664</v>
      </c>
      <c r="B121" s="966">
        <v>1940</v>
      </c>
      <c r="C121" s="966">
        <v>1940</v>
      </c>
      <c r="D121" s="966">
        <v>56.269999999999996</v>
      </c>
      <c r="E121" s="966">
        <v>56.274000000000001</v>
      </c>
      <c r="F121" s="966">
        <f t="shared" si="1"/>
        <v>1996.27</v>
      </c>
      <c r="G121" s="966">
        <f t="shared" si="1"/>
        <v>1996.2739999999999</v>
      </c>
    </row>
    <row r="122" spans="1:7" s="913" customFormat="1" ht="12.75" customHeight="1" x14ac:dyDescent="0.2">
      <c r="A122" s="965" t="s">
        <v>3665</v>
      </c>
      <c r="B122" s="966">
        <v>1920</v>
      </c>
      <c r="C122" s="966">
        <v>1920</v>
      </c>
      <c r="D122" s="966">
        <v>47.19</v>
      </c>
      <c r="E122" s="966">
        <v>47.192999999999998</v>
      </c>
      <c r="F122" s="966">
        <f t="shared" si="1"/>
        <v>1967.19</v>
      </c>
      <c r="G122" s="966">
        <f t="shared" si="1"/>
        <v>1967.193</v>
      </c>
    </row>
    <row r="123" spans="1:7" s="913" customFormat="1" ht="12.75" customHeight="1" x14ac:dyDescent="0.2">
      <c r="A123" s="965" t="s">
        <v>3666</v>
      </c>
      <c r="B123" s="966">
        <v>6275</v>
      </c>
      <c r="C123" s="966">
        <v>6275</v>
      </c>
      <c r="D123" s="966">
        <v>179.61</v>
      </c>
      <c r="E123" s="966">
        <v>179.60900000000001</v>
      </c>
      <c r="F123" s="966">
        <f t="shared" si="1"/>
        <v>6454.61</v>
      </c>
      <c r="G123" s="966">
        <f t="shared" si="1"/>
        <v>6454.6090000000004</v>
      </c>
    </row>
    <row r="124" spans="1:7" s="913" customFormat="1" ht="12.75" customHeight="1" x14ac:dyDescent="0.2">
      <c r="A124" s="965" t="s">
        <v>3667</v>
      </c>
      <c r="B124" s="966">
        <v>3621</v>
      </c>
      <c r="C124" s="966">
        <v>3621</v>
      </c>
      <c r="D124" s="966">
        <v>101.66</v>
      </c>
      <c r="E124" s="966">
        <v>101.664</v>
      </c>
      <c r="F124" s="966">
        <f t="shared" si="1"/>
        <v>3722.66</v>
      </c>
      <c r="G124" s="966">
        <f t="shared" si="1"/>
        <v>3722.6640000000002</v>
      </c>
    </row>
    <row r="125" spans="1:7" s="913" customFormat="1" ht="12.75" customHeight="1" x14ac:dyDescent="0.2">
      <c r="A125" s="965" t="s">
        <v>3668</v>
      </c>
      <c r="B125" s="966">
        <v>1282</v>
      </c>
      <c r="C125" s="966">
        <v>1282</v>
      </c>
      <c r="D125" s="966">
        <v>33.83</v>
      </c>
      <c r="E125" s="966">
        <v>33.826000000000001</v>
      </c>
      <c r="F125" s="966">
        <f t="shared" si="1"/>
        <v>1315.83</v>
      </c>
      <c r="G125" s="966">
        <f t="shared" si="1"/>
        <v>1315.826</v>
      </c>
    </row>
    <row r="126" spans="1:7" s="913" customFormat="1" ht="12.75" customHeight="1" x14ac:dyDescent="0.2">
      <c r="A126" s="965" t="s">
        <v>3669</v>
      </c>
      <c r="B126" s="966">
        <v>2096</v>
      </c>
      <c r="C126" s="966">
        <v>2096</v>
      </c>
      <c r="D126" s="966">
        <v>41.03</v>
      </c>
      <c r="E126" s="966">
        <v>41.026000000000003</v>
      </c>
      <c r="F126" s="966">
        <f t="shared" si="1"/>
        <v>2137.0300000000002</v>
      </c>
      <c r="G126" s="966">
        <f t="shared" si="1"/>
        <v>2137.0259999999998</v>
      </c>
    </row>
    <row r="127" spans="1:7" s="913" customFormat="1" ht="12.75" customHeight="1" x14ac:dyDescent="0.2">
      <c r="A127" s="965" t="s">
        <v>3670</v>
      </c>
      <c r="B127" s="966">
        <v>2129</v>
      </c>
      <c r="C127" s="966">
        <v>2129</v>
      </c>
      <c r="D127" s="966">
        <v>54.940000000000005</v>
      </c>
      <c r="E127" s="966">
        <v>54.938000000000002</v>
      </c>
      <c r="F127" s="966">
        <f t="shared" si="1"/>
        <v>2183.94</v>
      </c>
      <c r="G127" s="966">
        <f t="shared" si="1"/>
        <v>2183.9380000000001</v>
      </c>
    </row>
    <row r="128" spans="1:7" s="913" customFormat="1" ht="12.75" customHeight="1" x14ac:dyDescent="0.2">
      <c r="A128" s="965" t="s">
        <v>3671</v>
      </c>
      <c r="B128" s="966">
        <v>13263</v>
      </c>
      <c r="C128" s="966">
        <v>13263</v>
      </c>
      <c r="D128" s="966">
        <v>346.07</v>
      </c>
      <c r="E128" s="966">
        <v>346.06900000000002</v>
      </c>
      <c r="F128" s="966">
        <f t="shared" si="1"/>
        <v>13609.07</v>
      </c>
      <c r="G128" s="966">
        <f t="shared" si="1"/>
        <v>13609.069</v>
      </c>
    </row>
    <row r="129" spans="1:7" s="913" customFormat="1" ht="12.75" customHeight="1" x14ac:dyDescent="0.2">
      <c r="A129" s="965" t="s">
        <v>3672</v>
      </c>
      <c r="B129" s="966">
        <v>1429</v>
      </c>
      <c r="C129" s="966">
        <v>1429</v>
      </c>
      <c r="D129" s="966">
        <v>38.43</v>
      </c>
      <c r="E129" s="966">
        <v>38.433</v>
      </c>
      <c r="F129" s="966">
        <f t="shared" si="1"/>
        <v>1467.43</v>
      </c>
      <c r="G129" s="966">
        <f t="shared" si="1"/>
        <v>1467.433</v>
      </c>
    </row>
    <row r="130" spans="1:7" s="913" customFormat="1" ht="12.75" customHeight="1" x14ac:dyDescent="0.2">
      <c r="A130" s="965" t="s">
        <v>3673</v>
      </c>
      <c r="B130" s="966">
        <v>2129</v>
      </c>
      <c r="C130" s="966">
        <v>2129</v>
      </c>
      <c r="D130" s="966">
        <v>53.18</v>
      </c>
      <c r="E130" s="966">
        <v>53.173000000000002</v>
      </c>
      <c r="F130" s="966">
        <f t="shared" si="1"/>
        <v>2182.1799999999998</v>
      </c>
      <c r="G130" s="966">
        <f t="shared" si="1"/>
        <v>2182.1729999999998</v>
      </c>
    </row>
    <row r="131" spans="1:7" s="913" customFormat="1" ht="12.75" customHeight="1" x14ac:dyDescent="0.2">
      <c r="A131" s="965" t="s">
        <v>3674</v>
      </c>
      <c r="B131" s="966">
        <v>4546</v>
      </c>
      <c r="C131" s="966">
        <v>4546</v>
      </c>
      <c r="D131" s="966">
        <v>125.59</v>
      </c>
      <c r="E131" s="966">
        <v>125.592</v>
      </c>
      <c r="F131" s="966">
        <f t="shared" si="1"/>
        <v>4671.59</v>
      </c>
      <c r="G131" s="966">
        <f t="shared" si="1"/>
        <v>4671.5919999999996</v>
      </c>
    </row>
    <row r="132" spans="1:7" s="913" customFormat="1" ht="12.75" customHeight="1" x14ac:dyDescent="0.2">
      <c r="A132" s="965" t="s">
        <v>3675</v>
      </c>
      <c r="B132" s="966">
        <v>3886</v>
      </c>
      <c r="C132" s="966">
        <v>3886</v>
      </c>
      <c r="D132" s="966">
        <v>99.429999999999993</v>
      </c>
      <c r="E132" s="966">
        <v>99.430999999999997</v>
      </c>
      <c r="F132" s="966">
        <f t="shared" si="1"/>
        <v>3985.43</v>
      </c>
      <c r="G132" s="966">
        <f t="shared" si="1"/>
        <v>3985.431</v>
      </c>
    </row>
    <row r="133" spans="1:7" s="913" customFormat="1" ht="12.75" customHeight="1" x14ac:dyDescent="0.2">
      <c r="A133" s="965" t="s">
        <v>3676</v>
      </c>
      <c r="B133" s="966">
        <v>1056</v>
      </c>
      <c r="C133" s="966">
        <v>1056</v>
      </c>
      <c r="D133" s="966">
        <v>35.47</v>
      </c>
      <c r="E133" s="966">
        <v>35.467999999999996</v>
      </c>
      <c r="F133" s="966">
        <f t="shared" si="1"/>
        <v>1091.47</v>
      </c>
      <c r="G133" s="966">
        <f t="shared" si="1"/>
        <v>1091.4680000000001</v>
      </c>
    </row>
    <row r="134" spans="1:7" s="913" customFormat="1" ht="12.75" customHeight="1" x14ac:dyDescent="0.2">
      <c r="A134" s="965" t="s">
        <v>3677</v>
      </c>
      <c r="B134" s="966">
        <v>2544</v>
      </c>
      <c r="C134" s="966">
        <v>2544</v>
      </c>
      <c r="D134" s="966">
        <v>82.160000000000011</v>
      </c>
      <c r="E134" s="966">
        <v>82.159000000000006</v>
      </c>
      <c r="F134" s="966">
        <f t="shared" ref="F134:G197" si="2">B134+D134</f>
        <v>2626.16</v>
      </c>
      <c r="G134" s="966">
        <f t="shared" si="2"/>
        <v>2626.1590000000001</v>
      </c>
    </row>
    <row r="135" spans="1:7" s="913" customFormat="1" ht="12.75" customHeight="1" x14ac:dyDescent="0.2">
      <c r="A135" s="965" t="s">
        <v>3678</v>
      </c>
      <c r="B135" s="966">
        <v>895</v>
      </c>
      <c r="C135" s="966">
        <v>895</v>
      </c>
      <c r="D135" s="966">
        <v>24.25</v>
      </c>
      <c r="E135" s="966">
        <v>24.25</v>
      </c>
      <c r="F135" s="966">
        <f t="shared" si="2"/>
        <v>919.25</v>
      </c>
      <c r="G135" s="966">
        <f t="shared" si="2"/>
        <v>919.25</v>
      </c>
    </row>
    <row r="136" spans="1:7" s="913" customFormat="1" ht="12.75" customHeight="1" x14ac:dyDescent="0.2">
      <c r="A136" s="965" t="s">
        <v>3679</v>
      </c>
      <c r="B136" s="966">
        <v>4611</v>
      </c>
      <c r="C136" s="966">
        <v>4611</v>
      </c>
      <c r="D136" s="966">
        <v>127.57</v>
      </c>
      <c r="E136" s="966">
        <v>127.56800000000001</v>
      </c>
      <c r="F136" s="966">
        <f t="shared" si="2"/>
        <v>4738.57</v>
      </c>
      <c r="G136" s="966">
        <f t="shared" si="2"/>
        <v>4738.5680000000002</v>
      </c>
    </row>
    <row r="137" spans="1:7" s="913" customFormat="1" ht="12.75" customHeight="1" x14ac:dyDescent="0.2">
      <c r="A137" s="965" t="s">
        <v>3680</v>
      </c>
      <c r="B137" s="966">
        <v>666</v>
      </c>
      <c r="C137" s="966">
        <v>666</v>
      </c>
      <c r="D137" s="966">
        <v>13.44</v>
      </c>
      <c r="E137" s="966">
        <v>13.438000000000001</v>
      </c>
      <c r="F137" s="966">
        <f t="shared" si="2"/>
        <v>679.44</v>
      </c>
      <c r="G137" s="966">
        <f t="shared" si="2"/>
        <v>679.43799999999999</v>
      </c>
    </row>
    <row r="138" spans="1:7" s="913" customFormat="1" ht="12.75" customHeight="1" x14ac:dyDescent="0.2">
      <c r="A138" s="965" t="s">
        <v>3681</v>
      </c>
      <c r="B138" s="966">
        <v>1133</v>
      </c>
      <c r="C138" s="966">
        <v>1133</v>
      </c>
      <c r="D138" s="966">
        <v>31.01</v>
      </c>
      <c r="E138" s="966">
        <v>31.010999999999999</v>
      </c>
      <c r="F138" s="966">
        <f t="shared" si="2"/>
        <v>1164.01</v>
      </c>
      <c r="G138" s="966">
        <f t="shared" si="2"/>
        <v>1164.011</v>
      </c>
    </row>
    <row r="139" spans="1:7" s="913" customFormat="1" ht="12.75" customHeight="1" x14ac:dyDescent="0.2">
      <c r="A139" s="965" t="s">
        <v>3682</v>
      </c>
      <c r="B139" s="966">
        <v>2437</v>
      </c>
      <c r="C139" s="966">
        <v>2437</v>
      </c>
      <c r="D139" s="966">
        <v>52.33</v>
      </c>
      <c r="E139" s="966">
        <v>52.323999999999998</v>
      </c>
      <c r="F139" s="966">
        <f t="shared" si="2"/>
        <v>2489.33</v>
      </c>
      <c r="G139" s="966">
        <f t="shared" si="2"/>
        <v>2489.3240000000001</v>
      </c>
    </row>
    <row r="140" spans="1:7" s="913" customFormat="1" ht="12.75" customHeight="1" x14ac:dyDescent="0.2">
      <c r="A140" s="965" t="s">
        <v>3683</v>
      </c>
      <c r="B140" s="966">
        <v>5383</v>
      </c>
      <c r="C140" s="966">
        <v>5383</v>
      </c>
      <c r="D140" s="966">
        <v>133.23000000000002</v>
      </c>
      <c r="E140" s="966">
        <v>133.22499999999999</v>
      </c>
      <c r="F140" s="966">
        <f t="shared" si="2"/>
        <v>5516.23</v>
      </c>
      <c r="G140" s="966">
        <f t="shared" si="2"/>
        <v>5516.2250000000004</v>
      </c>
    </row>
    <row r="141" spans="1:7" s="913" customFormat="1" ht="12.75" customHeight="1" x14ac:dyDescent="0.2">
      <c r="A141" s="965" t="s">
        <v>3684</v>
      </c>
      <c r="B141" s="966">
        <v>5752</v>
      </c>
      <c r="C141" s="966">
        <v>5752</v>
      </c>
      <c r="D141" s="966">
        <v>152.97</v>
      </c>
      <c r="E141" s="966">
        <v>152.97200000000001</v>
      </c>
      <c r="F141" s="966">
        <f t="shared" si="2"/>
        <v>5904.97</v>
      </c>
      <c r="G141" s="966">
        <f t="shared" si="2"/>
        <v>5904.9719999999998</v>
      </c>
    </row>
    <row r="142" spans="1:7" s="913" customFormat="1" ht="12.75" customHeight="1" x14ac:dyDescent="0.2">
      <c r="A142" s="965" t="s">
        <v>3685</v>
      </c>
      <c r="B142" s="966">
        <v>1989</v>
      </c>
      <c r="C142" s="966">
        <v>1989</v>
      </c>
      <c r="D142" s="966">
        <v>41.24</v>
      </c>
      <c r="E142" s="966">
        <v>41.238</v>
      </c>
      <c r="F142" s="966">
        <f t="shared" si="2"/>
        <v>2030.24</v>
      </c>
      <c r="G142" s="966">
        <f t="shared" si="2"/>
        <v>2030.2380000000001</v>
      </c>
    </row>
    <row r="143" spans="1:7" s="913" customFormat="1" ht="12.75" customHeight="1" x14ac:dyDescent="0.2">
      <c r="A143" s="965" t="s">
        <v>3686</v>
      </c>
      <c r="B143" s="966">
        <v>3117</v>
      </c>
      <c r="C143" s="966">
        <v>3117</v>
      </c>
      <c r="D143" s="966">
        <v>70.180000000000007</v>
      </c>
      <c r="E143" s="966">
        <v>70.176000000000002</v>
      </c>
      <c r="F143" s="966">
        <f t="shared" si="2"/>
        <v>3187.18</v>
      </c>
      <c r="G143" s="966">
        <f t="shared" si="2"/>
        <v>3187.1759999999999</v>
      </c>
    </row>
    <row r="144" spans="1:7" s="913" customFormat="1" ht="12.75" customHeight="1" x14ac:dyDescent="0.2">
      <c r="A144" s="965" t="s">
        <v>3687</v>
      </c>
      <c r="B144" s="966">
        <v>1989</v>
      </c>
      <c r="C144" s="966">
        <v>1989</v>
      </c>
      <c r="D144" s="966">
        <v>47.25</v>
      </c>
      <c r="E144" s="966">
        <v>47.247</v>
      </c>
      <c r="F144" s="966">
        <f t="shared" si="2"/>
        <v>2036.25</v>
      </c>
      <c r="G144" s="966">
        <f t="shared" si="2"/>
        <v>2036.2470000000001</v>
      </c>
    </row>
    <row r="145" spans="1:7" s="913" customFormat="1" ht="12.75" customHeight="1" x14ac:dyDescent="0.2">
      <c r="A145" s="965" t="s">
        <v>3688</v>
      </c>
      <c r="B145" s="966">
        <v>4839</v>
      </c>
      <c r="C145" s="966">
        <v>4839</v>
      </c>
      <c r="D145" s="966">
        <v>123.56</v>
      </c>
      <c r="E145" s="966">
        <v>123.565</v>
      </c>
      <c r="F145" s="966">
        <f t="shared" si="2"/>
        <v>4962.5600000000004</v>
      </c>
      <c r="G145" s="966">
        <f t="shared" si="2"/>
        <v>4962.5649999999996</v>
      </c>
    </row>
    <row r="146" spans="1:7" s="913" customFormat="1" ht="12.75" customHeight="1" x14ac:dyDescent="0.2">
      <c r="A146" s="965" t="s">
        <v>3689</v>
      </c>
      <c r="B146" s="966">
        <v>9795</v>
      </c>
      <c r="C146" s="966">
        <v>9795</v>
      </c>
      <c r="D146" s="966">
        <v>343.28999999999996</v>
      </c>
      <c r="E146" s="966">
        <v>343.28100000000001</v>
      </c>
      <c r="F146" s="966">
        <f t="shared" si="2"/>
        <v>10138.290000000001</v>
      </c>
      <c r="G146" s="966">
        <f t="shared" si="2"/>
        <v>10138.281000000001</v>
      </c>
    </row>
    <row r="147" spans="1:7" s="913" customFormat="1" ht="12.75" customHeight="1" x14ac:dyDescent="0.2">
      <c r="A147" s="965" t="s">
        <v>3690</v>
      </c>
      <c r="B147" s="966">
        <v>2227</v>
      </c>
      <c r="C147" s="966">
        <v>2227</v>
      </c>
      <c r="D147" s="966">
        <v>75.099999999999994</v>
      </c>
      <c r="E147" s="966">
        <v>75.097000000000008</v>
      </c>
      <c r="F147" s="966">
        <f t="shared" si="2"/>
        <v>2302.1</v>
      </c>
      <c r="G147" s="966">
        <f t="shared" si="2"/>
        <v>2302.0970000000002</v>
      </c>
    </row>
    <row r="148" spans="1:7" s="913" customFormat="1" ht="12.75" customHeight="1" x14ac:dyDescent="0.2">
      <c r="A148" s="965" t="s">
        <v>3691</v>
      </c>
      <c r="B148" s="966">
        <v>5637</v>
      </c>
      <c r="C148" s="966">
        <v>5637</v>
      </c>
      <c r="D148" s="966">
        <v>155.26</v>
      </c>
      <c r="E148" s="966">
        <v>155.251</v>
      </c>
      <c r="F148" s="966">
        <f t="shared" si="2"/>
        <v>5792.26</v>
      </c>
      <c r="G148" s="966">
        <f t="shared" si="2"/>
        <v>5792.2510000000002</v>
      </c>
    </row>
    <row r="149" spans="1:7" s="913" customFormat="1" ht="12.75" customHeight="1" x14ac:dyDescent="0.2">
      <c r="A149" s="965" t="s">
        <v>3692</v>
      </c>
      <c r="B149" s="966">
        <v>10995</v>
      </c>
      <c r="C149" s="966">
        <v>10995</v>
      </c>
      <c r="D149" s="966">
        <v>280.45</v>
      </c>
      <c r="E149" s="966">
        <v>280.45</v>
      </c>
      <c r="F149" s="966">
        <f t="shared" si="2"/>
        <v>11275.45</v>
      </c>
      <c r="G149" s="966">
        <f t="shared" si="2"/>
        <v>11275.45</v>
      </c>
    </row>
    <row r="150" spans="1:7" s="913" customFormat="1" ht="12.75" customHeight="1" x14ac:dyDescent="0.2">
      <c r="A150" s="965" t="s">
        <v>3693</v>
      </c>
      <c r="B150" s="966">
        <v>10088</v>
      </c>
      <c r="C150" s="966">
        <v>10088</v>
      </c>
      <c r="D150" s="966">
        <v>225.46</v>
      </c>
      <c r="E150" s="966">
        <v>225.45699999999999</v>
      </c>
      <c r="F150" s="966">
        <f t="shared" si="2"/>
        <v>10313.459999999999</v>
      </c>
      <c r="G150" s="966">
        <f t="shared" si="2"/>
        <v>10313.457</v>
      </c>
    </row>
    <row r="151" spans="1:7" s="913" customFormat="1" ht="12.75" customHeight="1" x14ac:dyDescent="0.2">
      <c r="A151" s="965" t="s">
        <v>3694</v>
      </c>
      <c r="B151" s="966">
        <v>11692</v>
      </c>
      <c r="C151" s="966">
        <v>11692</v>
      </c>
      <c r="D151" s="966">
        <v>288.5</v>
      </c>
      <c r="E151" s="966">
        <v>288.50299999999999</v>
      </c>
      <c r="F151" s="966">
        <f t="shared" si="2"/>
        <v>11980.5</v>
      </c>
      <c r="G151" s="966">
        <f t="shared" si="2"/>
        <v>11980.503000000001</v>
      </c>
    </row>
    <row r="152" spans="1:7" s="913" customFormat="1" ht="12.75" customHeight="1" x14ac:dyDescent="0.2">
      <c r="A152" s="965" t="s">
        <v>3695</v>
      </c>
      <c r="B152" s="966">
        <v>12274</v>
      </c>
      <c r="C152" s="966">
        <v>12274</v>
      </c>
      <c r="D152" s="966">
        <v>394.21000000000004</v>
      </c>
      <c r="E152" s="966">
        <v>394.20600000000002</v>
      </c>
      <c r="F152" s="966">
        <f t="shared" si="2"/>
        <v>12668.21</v>
      </c>
      <c r="G152" s="966">
        <f t="shared" si="2"/>
        <v>12668.206</v>
      </c>
    </row>
    <row r="153" spans="1:7" s="913" customFormat="1" ht="12.75" customHeight="1" x14ac:dyDescent="0.2">
      <c r="A153" s="965" t="s">
        <v>3696</v>
      </c>
      <c r="B153" s="966">
        <v>12026</v>
      </c>
      <c r="C153" s="966">
        <v>12026</v>
      </c>
      <c r="D153" s="966">
        <v>306.21000000000004</v>
      </c>
      <c r="E153" s="966">
        <v>306.20600000000002</v>
      </c>
      <c r="F153" s="966">
        <f t="shared" si="2"/>
        <v>12332.21</v>
      </c>
      <c r="G153" s="966">
        <f t="shared" si="2"/>
        <v>12332.206</v>
      </c>
    </row>
    <row r="154" spans="1:7" s="913" customFormat="1" ht="12.75" customHeight="1" x14ac:dyDescent="0.2">
      <c r="A154" s="965" t="s">
        <v>3697</v>
      </c>
      <c r="B154" s="966">
        <v>3253</v>
      </c>
      <c r="C154" s="966">
        <v>3253</v>
      </c>
      <c r="D154" s="966">
        <v>91.12</v>
      </c>
      <c r="E154" s="966">
        <v>91.117000000000004</v>
      </c>
      <c r="F154" s="966">
        <f t="shared" si="2"/>
        <v>3344.12</v>
      </c>
      <c r="G154" s="966">
        <f t="shared" si="2"/>
        <v>3344.1170000000002</v>
      </c>
    </row>
    <row r="155" spans="1:7" s="913" customFormat="1" ht="12.75" customHeight="1" x14ac:dyDescent="0.2">
      <c r="A155" s="965" t="s">
        <v>3698</v>
      </c>
      <c r="B155" s="966">
        <v>1920</v>
      </c>
      <c r="C155" s="966">
        <v>1920</v>
      </c>
      <c r="D155" s="966">
        <v>41.879999999999995</v>
      </c>
      <c r="E155" s="966">
        <v>41.878999999999998</v>
      </c>
      <c r="F155" s="966">
        <f t="shared" si="2"/>
        <v>1961.88</v>
      </c>
      <c r="G155" s="966">
        <f t="shared" si="2"/>
        <v>1961.8789999999999</v>
      </c>
    </row>
    <row r="156" spans="1:7" s="913" customFormat="1" ht="12.75" customHeight="1" x14ac:dyDescent="0.2">
      <c r="A156" s="965" t="s">
        <v>3699</v>
      </c>
      <c r="B156" s="966">
        <v>5166</v>
      </c>
      <c r="C156" s="966">
        <v>5166</v>
      </c>
      <c r="D156" s="966">
        <v>124.36</v>
      </c>
      <c r="E156" s="966">
        <v>124.364</v>
      </c>
      <c r="F156" s="966">
        <f t="shared" si="2"/>
        <v>5290.36</v>
      </c>
      <c r="G156" s="966">
        <f t="shared" si="2"/>
        <v>5290.3639999999996</v>
      </c>
    </row>
    <row r="157" spans="1:7" s="913" customFormat="1" ht="12.75" customHeight="1" x14ac:dyDescent="0.2">
      <c r="A157" s="965" t="s">
        <v>3700</v>
      </c>
      <c r="B157" s="966">
        <v>4992</v>
      </c>
      <c r="C157" s="966">
        <v>4992</v>
      </c>
      <c r="D157" s="966">
        <v>142</v>
      </c>
      <c r="E157" s="966">
        <v>142.005</v>
      </c>
      <c r="F157" s="966">
        <f t="shared" si="2"/>
        <v>5134</v>
      </c>
      <c r="G157" s="966">
        <f t="shared" si="2"/>
        <v>5134.0050000000001</v>
      </c>
    </row>
    <row r="158" spans="1:7" s="913" customFormat="1" ht="12.75" customHeight="1" x14ac:dyDescent="0.2">
      <c r="A158" s="965" t="s">
        <v>3701</v>
      </c>
      <c r="B158" s="966">
        <v>4934</v>
      </c>
      <c r="C158" s="966">
        <v>4934</v>
      </c>
      <c r="D158" s="966">
        <v>157.26000000000002</v>
      </c>
      <c r="E158" s="966">
        <v>157.26299999999998</v>
      </c>
      <c r="F158" s="966">
        <f t="shared" si="2"/>
        <v>5091.26</v>
      </c>
      <c r="G158" s="966">
        <f t="shared" si="2"/>
        <v>5091.2629999999999</v>
      </c>
    </row>
    <row r="159" spans="1:7" s="913" customFormat="1" ht="12.75" customHeight="1" x14ac:dyDescent="0.2">
      <c r="A159" s="965" t="s">
        <v>3702</v>
      </c>
      <c r="B159" s="966">
        <v>3206</v>
      </c>
      <c r="C159" s="966">
        <v>3206</v>
      </c>
      <c r="D159" s="966">
        <v>74.960000000000008</v>
      </c>
      <c r="E159" s="966">
        <v>74.960999999999999</v>
      </c>
      <c r="F159" s="966">
        <f t="shared" si="2"/>
        <v>3280.96</v>
      </c>
      <c r="G159" s="966">
        <f t="shared" si="2"/>
        <v>3280.9609999999998</v>
      </c>
    </row>
    <row r="160" spans="1:7" s="913" customFormat="1" ht="12.75" customHeight="1" x14ac:dyDescent="0.2">
      <c r="A160" s="965" t="s">
        <v>3703</v>
      </c>
      <c r="B160" s="966">
        <v>4074</v>
      </c>
      <c r="C160" s="966">
        <v>4074</v>
      </c>
      <c r="D160" s="966">
        <v>101.2</v>
      </c>
      <c r="E160" s="966">
        <v>101.199</v>
      </c>
      <c r="F160" s="966">
        <f t="shared" si="2"/>
        <v>4175.2</v>
      </c>
      <c r="G160" s="966">
        <f t="shared" si="2"/>
        <v>4175.1989999999996</v>
      </c>
    </row>
    <row r="161" spans="1:7" s="913" customFormat="1" ht="12.75" customHeight="1" x14ac:dyDescent="0.2">
      <c r="A161" s="965" t="s">
        <v>3704</v>
      </c>
      <c r="B161" s="966">
        <v>2938</v>
      </c>
      <c r="C161" s="966">
        <v>2938</v>
      </c>
      <c r="D161" s="966">
        <v>67.53</v>
      </c>
      <c r="E161" s="966">
        <v>67.525000000000006</v>
      </c>
      <c r="F161" s="966">
        <f t="shared" si="2"/>
        <v>3005.53</v>
      </c>
      <c r="G161" s="966">
        <f t="shared" si="2"/>
        <v>3005.5250000000001</v>
      </c>
    </row>
    <row r="162" spans="1:7" s="913" customFormat="1" ht="12.75" customHeight="1" x14ac:dyDescent="0.2">
      <c r="A162" s="965" t="s">
        <v>3705</v>
      </c>
      <c r="B162" s="966">
        <v>3163</v>
      </c>
      <c r="C162" s="966">
        <v>3163</v>
      </c>
      <c r="D162" s="966">
        <v>99.62</v>
      </c>
      <c r="E162" s="966">
        <v>99.617999999999995</v>
      </c>
      <c r="F162" s="966">
        <f t="shared" si="2"/>
        <v>3262.62</v>
      </c>
      <c r="G162" s="966">
        <f t="shared" si="2"/>
        <v>3262.6179999999999</v>
      </c>
    </row>
    <row r="163" spans="1:7" s="913" customFormat="1" ht="12.75" customHeight="1" x14ac:dyDescent="0.2">
      <c r="A163" s="965" t="s">
        <v>3706</v>
      </c>
      <c r="B163" s="966">
        <v>4509</v>
      </c>
      <c r="C163" s="966">
        <v>4509</v>
      </c>
      <c r="D163" s="966">
        <v>123.29</v>
      </c>
      <c r="E163" s="966">
        <v>123.282</v>
      </c>
      <c r="F163" s="966">
        <f t="shared" si="2"/>
        <v>4632.29</v>
      </c>
      <c r="G163" s="966">
        <f t="shared" si="2"/>
        <v>4632.2820000000002</v>
      </c>
    </row>
    <row r="164" spans="1:7" s="913" customFormat="1" ht="12.75" customHeight="1" x14ac:dyDescent="0.2">
      <c r="A164" s="965" t="s">
        <v>3707</v>
      </c>
      <c r="B164" s="966">
        <v>2830</v>
      </c>
      <c r="C164" s="966">
        <v>2830</v>
      </c>
      <c r="D164" s="966">
        <v>79.099999999999994</v>
      </c>
      <c r="E164" s="966">
        <v>79.099000000000004</v>
      </c>
      <c r="F164" s="966">
        <f t="shared" si="2"/>
        <v>2909.1</v>
      </c>
      <c r="G164" s="966">
        <f t="shared" si="2"/>
        <v>2909.0990000000002</v>
      </c>
    </row>
    <row r="165" spans="1:7" s="913" customFormat="1" ht="12.75" customHeight="1" x14ac:dyDescent="0.2">
      <c r="A165" s="965" t="s">
        <v>3708</v>
      </c>
      <c r="B165" s="966">
        <v>5994</v>
      </c>
      <c r="C165" s="966">
        <v>5994</v>
      </c>
      <c r="D165" s="966">
        <v>491.53</v>
      </c>
      <c r="E165" s="966">
        <v>491.52700000000004</v>
      </c>
      <c r="F165" s="966">
        <f t="shared" si="2"/>
        <v>6485.53</v>
      </c>
      <c r="G165" s="966">
        <f t="shared" si="2"/>
        <v>6485.527</v>
      </c>
    </row>
    <row r="166" spans="1:7" s="913" customFormat="1" ht="12.75" customHeight="1" x14ac:dyDescent="0.2">
      <c r="A166" s="965" t="s">
        <v>3709</v>
      </c>
      <c r="B166" s="966">
        <v>2774</v>
      </c>
      <c r="C166" s="966">
        <v>2774</v>
      </c>
      <c r="D166" s="966">
        <v>78.16</v>
      </c>
      <c r="E166" s="966">
        <v>78.158000000000001</v>
      </c>
      <c r="F166" s="966">
        <f t="shared" si="2"/>
        <v>2852.16</v>
      </c>
      <c r="G166" s="966">
        <f t="shared" si="2"/>
        <v>2852.1579999999999</v>
      </c>
    </row>
    <row r="167" spans="1:7" s="913" customFormat="1" ht="12.75" customHeight="1" x14ac:dyDescent="0.2">
      <c r="A167" s="965" t="s">
        <v>3710</v>
      </c>
      <c r="B167" s="966">
        <v>3165</v>
      </c>
      <c r="C167" s="966">
        <v>3165</v>
      </c>
      <c r="D167" s="966">
        <v>70.599999999999994</v>
      </c>
      <c r="E167" s="966">
        <v>70.603999999999999</v>
      </c>
      <c r="F167" s="966">
        <f t="shared" si="2"/>
        <v>3235.6</v>
      </c>
      <c r="G167" s="966">
        <f t="shared" si="2"/>
        <v>3235.6039999999998</v>
      </c>
    </row>
    <row r="168" spans="1:7" s="913" customFormat="1" ht="12.75" customHeight="1" x14ac:dyDescent="0.2">
      <c r="A168" s="965" t="s">
        <v>3711</v>
      </c>
      <c r="B168" s="966">
        <v>5373</v>
      </c>
      <c r="C168" s="966">
        <v>5373</v>
      </c>
      <c r="D168" s="966">
        <v>138.02000000000001</v>
      </c>
      <c r="E168" s="966">
        <v>138.017</v>
      </c>
      <c r="F168" s="966">
        <f t="shared" si="2"/>
        <v>5511.02</v>
      </c>
      <c r="G168" s="966">
        <f t="shared" si="2"/>
        <v>5511.0169999999998</v>
      </c>
    </row>
    <row r="169" spans="1:7" s="913" customFormat="1" ht="12.75" customHeight="1" x14ac:dyDescent="0.2">
      <c r="A169" s="965" t="s">
        <v>3712</v>
      </c>
      <c r="B169" s="966">
        <v>1280</v>
      </c>
      <c r="C169" s="966">
        <v>1280</v>
      </c>
      <c r="D169" s="966">
        <v>31.2</v>
      </c>
      <c r="E169" s="966">
        <v>31.197000000000003</v>
      </c>
      <c r="F169" s="966">
        <f t="shared" si="2"/>
        <v>1311.2</v>
      </c>
      <c r="G169" s="966">
        <f t="shared" si="2"/>
        <v>1311.1970000000001</v>
      </c>
    </row>
    <row r="170" spans="1:7" s="913" customFormat="1" ht="12.75" customHeight="1" x14ac:dyDescent="0.2">
      <c r="A170" s="965" t="s">
        <v>3713</v>
      </c>
      <c r="B170" s="966">
        <v>2677</v>
      </c>
      <c r="C170" s="966">
        <v>2677</v>
      </c>
      <c r="D170" s="966">
        <v>69.850000000000009</v>
      </c>
      <c r="E170" s="966">
        <v>69.843999999999994</v>
      </c>
      <c r="F170" s="966">
        <f t="shared" si="2"/>
        <v>2746.85</v>
      </c>
      <c r="G170" s="966">
        <f t="shared" si="2"/>
        <v>2746.8440000000001</v>
      </c>
    </row>
    <row r="171" spans="1:7" s="913" customFormat="1" ht="12.75" customHeight="1" x14ac:dyDescent="0.2">
      <c r="A171" s="965" t="s">
        <v>3714</v>
      </c>
      <c r="B171" s="966">
        <v>1858</v>
      </c>
      <c r="C171" s="966">
        <v>1858</v>
      </c>
      <c r="D171" s="966">
        <v>39.950000000000003</v>
      </c>
      <c r="E171" s="966">
        <v>39.948999999999998</v>
      </c>
      <c r="F171" s="966">
        <f t="shared" si="2"/>
        <v>1897.95</v>
      </c>
      <c r="G171" s="966">
        <f t="shared" si="2"/>
        <v>1897.9490000000001</v>
      </c>
    </row>
    <row r="172" spans="1:7" s="913" customFormat="1" ht="12.75" customHeight="1" x14ac:dyDescent="0.2">
      <c r="A172" s="965" t="s">
        <v>3715</v>
      </c>
      <c r="B172" s="966">
        <v>3362</v>
      </c>
      <c r="C172" s="966">
        <v>3362</v>
      </c>
      <c r="D172" s="966">
        <v>90.99</v>
      </c>
      <c r="E172" s="966">
        <v>90.988</v>
      </c>
      <c r="F172" s="966">
        <f t="shared" si="2"/>
        <v>3452.99</v>
      </c>
      <c r="G172" s="966">
        <f t="shared" si="2"/>
        <v>3452.9879999999998</v>
      </c>
    </row>
    <row r="173" spans="1:7" s="913" customFormat="1" ht="12.75" customHeight="1" x14ac:dyDescent="0.2">
      <c r="A173" s="965" t="s">
        <v>3716</v>
      </c>
      <c r="B173" s="966">
        <v>1894</v>
      </c>
      <c r="C173" s="966">
        <v>1894</v>
      </c>
      <c r="D173" s="966">
        <v>41.599999999999994</v>
      </c>
      <c r="E173" s="966">
        <v>41.602000000000004</v>
      </c>
      <c r="F173" s="966">
        <f t="shared" si="2"/>
        <v>1935.6</v>
      </c>
      <c r="G173" s="966">
        <f t="shared" si="2"/>
        <v>1935.6020000000001</v>
      </c>
    </row>
    <row r="174" spans="1:7" s="913" customFormat="1" ht="12.75" customHeight="1" x14ac:dyDescent="0.2">
      <c r="A174" s="965" t="s">
        <v>3717</v>
      </c>
      <c r="B174" s="966">
        <v>5883</v>
      </c>
      <c r="C174" s="966">
        <v>5883</v>
      </c>
      <c r="D174" s="966">
        <v>189.5</v>
      </c>
      <c r="E174" s="966">
        <v>189.501</v>
      </c>
      <c r="F174" s="966">
        <f t="shared" si="2"/>
        <v>6072.5</v>
      </c>
      <c r="G174" s="966">
        <f t="shared" si="2"/>
        <v>6072.5010000000002</v>
      </c>
    </row>
    <row r="175" spans="1:7" s="913" customFormat="1" ht="12.75" customHeight="1" x14ac:dyDescent="0.2">
      <c r="A175" s="965" t="s">
        <v>3718</v>
      </c>
      <c r="B175" s="966">
        <v>9129</v>
      </c>
      <c r="C175" s="966">
        <v>9129</v>
      </c>
      <c r="D175" s="966">
        <v>240.73</v>
      </c>
      <c r="E175" s="966">
        <v>240.72499999999999</v>
      </c>
      <c r="F175" s="966">
        <f t="shared" si="2"/>
        <v>9369.73</v>
      </c>
      <c r="G175" s="966">
        <f t="shared" si="2"/>
        <v>9369.7250000000004</v>
      </c>
    </row>
    <row r="176" spans="1:7" s="913" customFormat="1" ht="12.75" customHeight="1" x14ac:dyDescent="0.2">
      <c r="A176" s="965" t="s">
        <v>3719</v>
      </c>
      <c r="B176" s="966">
        <v>8157</v>
      </c>
      <c r="C176" s="966">
        <v>8157</v>
      </c>
      <c r="D176" s="966">
        <v>239.71999999999997</v>
      </c>
      <c r="E176" s="966">
        <v>239.721</v>
      </c>
      <c r="F176" s="966">
        <f t="shared" si="2"/>
        <v>8396.7199999999993</v>
      </c>
      <c r="G176" s="966">
        <f t="shared" si="2"/>
        <v>8396.7209999999995</v>
      </c>
    </row>
    <row r="177" spans="1:7" s="913" customFormat="1" ht="12.75" customHeight="1" x14ac:dyDescent="0.2">
      <c r="A177" s="965" t="s">
        <v>3720</v>
      </c>
      <c r="B177" s="966">
        <v>9549</v>
      </c>
      <c r="C177" s="966">
        <v>9549</v>
      </c>
      <c r="D177" s="966">
        <v>257.19</v>
      </c>
      <c r="E177" s="966">
        <v>257.18599999999998</v>
      </c>
      <c r="F177" s="966">
        <f t="shared" si="2"/>
        <v>9806.19</v>
      </c>
      <c r="G177" s="966">
        <f t="shared" si="2"/>
        <v>9806.1859999999997</v>
      </c>
    </row>
    <row r="178" spans="1:7" s="913" customFormat="1" ht="12.75" customHeight="1" x14ac:dyDescent="0.2">
      <c r="A178" s="965" t="s">
        <v>3721</v>
      </c>
      <c r="B178" s="966">
        <v>10178</v>
      </c>
      <c r="C178" s="966">
        <v>10178</v>
      </c>
      <c r="D178" s="966">
        <v>253.54999999999998</v>
      </c>
      <c r="E178" s="966">
        <v>253.554</v>
      </c>
      <c r="F178" s="966">
        <f t="shared" si="2"/>
        <v>10431.549999999999</v>
      </c>
      <c r="G178" s="966">
        <f t="shared" si="2"/>
        <v>10431.554</v>
      </c>
    </row>
    <row r="179" spans="1:7" s="913" customFormat="1" ht="12.75" customHeight="1" x14ac:dyDescent="0.2">
      <c r="A179" s="965" t="s">
        <v>3722</v>
      </c>
      <c r="B179" s="966">
        <v>8029</v>
      </c>
      <c r="C179" s="966">
        <v>8029</v>
      </c>
      <c r="D179" s="966">
        <v>196.95</v>
      </c>
      <c r="E179" s="966">
        <v>196.952</v>
      </c>
      <c r="F179" s="966">
        <f t="shared" si="2"/>
        <v>8225.9500000000007</v>
      </c>
      <c r="G179" s="966">
        <f t="shared" si="2"/>
        <v>8225.9519999999993</v>
      </c>
    </row>
    <row r="180" spans="1:7" s="913" customFormat="1" ht="12.75" customHeight="1" x14ac:dyDescent="0.2">
      <c r="A180" s="965" t="s">
        <v>3723</v>
      </c>
      <c r="B180" s="966">
        <v>10661</v>
      </c>
      <c r="C180" s="966">
        <v>10661</v>
      </c>
      <c r="D180" s="966">
        <v>268.22000000000003</v>
      </c>
      <c r="E180" s="966">
        <v>268.21799999999996</v>
      </c>
      <c r="F180" s="966">
        <f t="shared" si="2"/>
        <v>10929.22</v>
      </c>
      <c r="G180" s="966">
        <f t="shared" si="2"/>
        <v>10929.218000000001</v>
      </c>
    </row>
    <row r="181" spans="1:7" s="913" customFormat="1" ht="12.75" customHeight="1" x14ac:dyDescent="0.2">
      <c r="A181" s="965" t="s">
        <v>3724</v>
      </c>
      <c r="B181" s="966">
        <v>9370</v>
      </c>
      <c r="C181" s="966">
        <v>9370</v>
      </c>
      <c r="D181" s="966">
        <v>270.32</v>
      </c>
      <c r="E181" s="966">
        <v>270.31799999999998</v>
      </c>
      <c r="F181" s="966">
        <f t="shared" si="2"/>
        <v>9640.32</v>
      </c>
      <c r="G181" s="966">
        <f t="shared" si="2"/>
        <v>9640.3179999999993</v>
      </c>
    </row>
    <row r="182" spans="1:7" s="913" customFormat="1" ht="12.75" customHeight="1" x14ac:dyDescent="0.2">
      <c r="A182" s="965" t="s">
        <v>3725</v>
      </c>
      <c r="B182" s="966">
        <v>6154</v>
      </c>
      <c r="C182" s="966">
        <v>6154</v>
      </c>
      <c r="D182" s="966">
        <v>164.17</v>
      </c>
      <c r="E182" s="966">
        <v>164.16500000000002</v>
      </c>
      <c r="F182" s="966">
        <f t="shared" si="2"/>
        <v>6318.17</v>
      </c>
      <c r="G182" s="966">
        <f t="shared" si="2"/>
        <v>6318.165</v>
      </c>
    </row>
    <row r="183" spans="1:7" s="913" customFormat="1" ht="12.75" customHeight="1" x14ac:dyDescent="0.2">
      <c r="A183" s="965" t="s">
        <v>3726</v>
      </c>
      <c r="B183" s="966">
        <v>7807</v>
      </c>
      <c r="C183" s="966">
        <v>7807</v>
      </c>
      <c r="D183" s="966">
        <v>250.89</v>
      </c>
      <c r="E183" s="966">
        <v>250.89</v>
      </c>
      <c r="F183" s="966">
        <f t="shared" si="2"/>
        <v>8057.89</v>
      </c>
      <c r="G183" s="966">
        <f t="shared" si="2"/>
        <v>8057.89</v>
      </c>
    </row>
    <row r="184" spans="1:7" s="913" customFormat="1" ht="12.75" customHeight="1" x14ac:dyDescent="0.2">
      <c r="A184" s="965" t="s">
        <v>3727</v>
      </c>
      <c r="B184" s="966">
        <v>3569</v>
      </c>
      <c r="C184" s="966">
        <v>3569</v>
      </c>
      <c r="D184" s="966">
        <v>99.25</v>
      </c>
      <c r="E184" s="966">
        <v>99.250999999999991</v>
      </c>
      <c r="F184" s="966">
        <f t="shared" si="2"/>
        <v>3668.25</v>
      </c>
      <c r="G184" s="966">
        <f t="shared" si="2"/>
        <v>3668.2510000000002</v>
      </c>
    </row>
    <row r="185" spans="1:7" s="913" customFormat="1" ht="12.75" customHeight="1" x14ac:dyDescent="0.2">
      <c r="A185" s="965" t="s">
        <v>3728</v>
      </c>
      <c r="B185" s="966">
        <v>4430</v>
      </c>
      <c r="C185" s="966">
        <v>4430</v>
      </c>
      <c r="D185" s="966">
        <v>94.95</v>
      </c>
      <c r="E185" s="966">
        <v>94.948000000000008</v>
      </c>
      <c r="F185" s="966">
        <f t="shared" si="2"/>
        <v>4524.95</v>
      </c>
      <c r="G185" s="966">
        <f t="shared" si="2"/>
        <v>4524.9480000000003</v>
      </c>
    </row>
    <row r="186" spans="1:7" s="913" customFormat="1" ht="12.75" customHeight="1" x14ac:dyDescent="0.2">
      <c r="A186" s="965" t="s">
        <v>3729</v>
      </c>
      <c r="B186" s="966">
        <v>8163</v>
      </c>
      <c r="C186" s="966">
        <v>8163</v>
      </c>
      <c r="D186" s="966">
        <v>174.55</v>
      </c>
      <c r="E186" s="966">
        <v>174.547</v>
      </c>
      <c r="F186" s="966">
        <f t="shared" si="2"/>
        <v>8337.5499999999993</v>
      </c>
      <c r="G186" s="966">
        <f t="shared" si="2"/>
        <v>8337.5470000000005</v>
      </c>
    </row>
    <row r="187" spans="1:7" s="913" customFormat="1" ht="12.75" customHeight="1" x14ac:dyDescent="0.2">
      <c r="A187" s="965" t="s">
        <v>3730</v>
      </c>
      <c r="B187" s="966">
        <v>14038</v>
      </c>
      <c r="C187" s="966">
        <v>14038</v>
      </c>
      <c r="D187" s="966">
        <v>385.68</v>
      </c>
      <c r="E187" s="966">
        <v>385.67600000000004</v>
      </c>
      <c r="F187" s="966">
        <f t="shared" si="2"/>
        <v>14423.68</v>
      </c>
      <c r="G187" s="966">
        <f t="shared" si="2"/>
        <v>14423.675999999999</v>
      </c>
    </row>
    <row r="188" spans="1:7" s="913" customFormat="1" ht="12.75" customHeight="1" x14ac:dyDescent="0.2">
      <c r="A188" s="965" t="s">
        <v>3731</v>
      </c>
      <c r="B188" s="966">
        <v>5984</v>
      </c>
      <c r="C188" s="966">
        <v>5984</v>
      </c>
      <c r="D188" s="966">
        <v>177.73</v>
      </c>
      <c r="E188" s="966">
        <v>177.73000000000002</v>
      </c>
      <c r="F188" s="966">
        <f t="shared" si="2"/>
        <v>6161.73</v>
      </c>
      <c r="G188" s="966">
        <f t="shared" si="2"/>
        <v>6161.73</v>
      </c>
    </row>
    <row r="189" spans="1:7" s="913" customFormat="1" ht="12.75" customHeight="1" x14ac:dyDescent="0.2">
      <c r="A189" s="965" t="s">
        <v>3732</v>
      </c>
      <c r="B189" s="966">
        <v>7458</v>
      </c>
      <c r="C189" s="966">
        <v>7458</v>
      </c>
      <c r="D189" s="966">
        <v>211.42</v>
      </c>
      <c r="E189" s="966">
        <v>211.41800000000001</v>
      </c>
      <c r="F189" s="966">
        <f t="shared" si="2"/>
        <v>7669.42</v>
      </c>
      <c r="G189" s="966">
        <f t="shared" si="2"/>
        <v>7669.4179999999997</v>
      </c>
    </row>
    <row r="190" spans="1:7" s="913" customFormat="1" ht="12.75" customHeight="1" x14ac:dyDescent="0.2">
      <c r="A190" s="965" t="s">
        <v>3733</v>
      </c>
      <c r="B190" s="966">
        <v>11965</v>
      </c>
      <c r="C190" s="966">
        <v>11965</v>
      </c>
      <c r="D190" s="966">
        <v>358.78000000000003</v>
      </c>
      <c r="E190" s="966">
        <v>358.78499999999997</v>
      </c>
      <c r="F190" s="966">
        <f t="shared" si="2"/>
        <v>12323.78</v>
      </c>
      <c r="G190" s="966">
        <f t="shared" si="2"/>
        <v>12323.785</v>
      </c>
    </row>
    <row r="191" spans="1:7" s="913" customFormat="1" ht="12.75" customHeight="1" x14ac:dyDescent="0.2">
      <c r="A191" s="965" t="s">
        <v>3734</v>
      </c>
      <c r="B191" s="966">
        <v>2403</v>
      </c>
      <c r="C191" s="966">
        <v>2403</v>
      </c>
      <c r="D191" s="966">
        <v>74.58</v>
      </c>
      <c r="E191" s="966">
        <v>74.584000000000003</v>
      </c>
      <c r="F191" s="966">
        <f t="shared" si="2"/>
        <v>2477.58</v>
      </c>
      <c r="G191" s="966">
        <f t="shared" si="2"/>
        <v>2477.5839999999998</v>
      </c>
    </row>
    <row r="192" spans="1:7" s="913" customFormat="1" ht="12.75" customHeight="1" x14ac:dyDescent="0.2">
      <c r="A192" s="965" t="s">
        <v>3735</v>
      </c>
      <c r="B192" s="966">
        <v>3044</v>
      </c>
      <c r="C192" s="966">
        <v>3044</v>
      </c>
      <c r="D192" s="966">
        <v>86.14</v>
      </c>
      <c r="E192" s="966">
        <v>86.131999999999991</v>
      </c>
      <c r="F192" s="966">
        <f t="shared" si="2"/>
        <v>3130.14</v>
      </c>
      <c r="G192" s="966">
        <f t="shared" si="2"/>
        <v>3130.1320000000001</v>
      </c>
    </row>
    <row r="193" spans="1:7" s="913" customFormat="1" ht="12.75" customHeight="1" x14ac:dyDescent="0.2">
      <c r="A193" s="965" t="s">
        <v>3736</v>
      </c>
      <c r="B193" s="966">
        <v>885</v>
      </c>
      <c r="C193" s="966">
        <v>885</v>
      </c>
      <c r="D193" s="966">
        <v>26.369999999999997</v>
      </c>
      <c r="E193" s="966">
        <v>26.373999999999999</v>
      </c>
      <c r="F193" s="966">
        <f t="shared" si="2"/>
        <v>911.37</v>
      </c>
      <c r="G193" s="966">
        <f t="shared" si="2"/>
        <v>911.37400000000002</v>
      </c>
    </row>
    <row r="194" spans="1:7" s="913" customFormat="1" ht="12.75" customHeight="1" x14ac:dyDescent="0.2">
      <c r="A194" s="965" t="s">
        <v>3737</v>
      </c>
      <c r="B194" s="966">
        <v>2439</v>
      </c>
      <c r="C194" s="966">
        <v>2439</v>
      </c>
      <c r="D194" s="966">
        <v>86.800000000000011</v>
      </c>
      <c r="E194" s="966">
        <v>86.798000000000002</v>
      </c>
      <c r="F194" s="966">
        <f t="shared" si="2"/>
        <v>2525.8000000000002</v>
      </c>
      <c r="G194" s="966">
        <f t="shared" si="2"/>
        <v>2525.7979999999998</v>
      </c>
    </row>
    <row r="195" spans="1:7" s="913" customFormat="1" ht="12.75" customHeight="1" x14ac:dyDescent="0.2">
      <c r="A195" s="965" t="s">
        <v>3738</v>
      </c>
      <c r="B195" s="966">
        <v>8793</v>
      </c>
      <c r="C195" s="966">
        <v>8793</v>
      </c>
      <c r="D195" s="966">
        <v>245.25</v>
      </c>
      <c r="E195" s="966">
        <v>245.24599999999998</v>
      </c>
      <c r="F195" s="966">
        <f t="shared" si="2"/>
        <v>9038.25</v>
      </c>
      <c r="G195" s="966">
        <f t="shared" si="2"/>
        <v>9038.2459999999992</v>
      </c>
    </row>
    <row r="196" spans="1:7" s="913" customFormat="1" ht="12.75" customHeight="1" x14ac:dyDescent="0.2">
      <c r="A196" s="965" t="s">
        <v>3739</v>
      </c>
      <c r="B196" s="966">
        <v>4258</v>
      </c>
      <c r="C196" s="966">
        <v>4258</v>
      </c>
      <c r="D196" s="966">
        <v>117.82000000000001</v>
      </c>
      <c r="E196" s="966">
        <v>117.81700000000001</v>
      </c>
      <c r="F196" s="966">
        <f t="shared" si="2"/>
        <v>4375.82</v>
      </c>
      <c r="G196" s="966">
        <f t="shared" si="2"/>
        <v>4375.817</v>
      </c>
    </row>
    <row r="197" spans="1:7" s="913" customFormat="1" ht="12.75" customHeight="1" x14ac:dyDescent="0.2">
      <c r="A197" s="965" t="s">
        <v>3740</v>
      </c>
      <c r="B197" s="966">
        <v>1157</v>
      </c>
      <c r="C197" s="966">
        <v>1157</v>
      </c>
      <c r="D197" s="966">
        <v>38.730000000000004</v>
      </c>
      <c r="E197" s="966">
        <v>38.725999999999999</v>
      </c>
      <c r="F197" s="966">
        <f t="shared" si="2"/>
        <v>1195.73</v>
      </c>
      <c r="G197" s="966">
        <f t="shared" si="2"/>
        <v>1195.7260000000001</v>
      </c>
    </row>
    <row r="198" spans="1:7" s="913" customFormat="1" ht="12.75" customHeight="1" x14ac:dyDescent="0.2">
      <c r="A198" s="965" t="s">
        <v>3741</v>
      </c>
      <c r="B198" s="966">
        <v>2551</v>
      </c>
      <c r="C198" s="966">
        <v>2551</v>
      </c>
      <c r="D198" s="966">
        <v>69.48</v>
      </c>
      <c r="E198" s="966">
        <v>69.478999999999999</v>
      </c>
      <c r="F198" s="966">
        <f t="shared" ref="F198:G261" si="3">B198+D198</f>
        <v>2620.48</v>
      </c>
      <c r="G198" s="966">
        <f t="shared" si="3"/>
        <v>2620.4789999999998</v>
      </c>
    </row>
    <row r="199" spans="1:7" s="913" customFormat="1" ht="12.75" customHeight="1" x14ac:dyDescent="0.2">
      <c r="A199" s="965" t="s">
        <v>3742</v>
      </c>
      <c r="B199" s="966">
        <v>2484</v>
      </c>
      <c r="C199" s="966">
        <v>2484</v>
      </c>
      <c r="D199" s="966">
        <v>66.63</v>
      </c>
      <c r="E199" s="966">
        <v>66.62700000000001</v>
      </c>
      <c r="F199" s="966">
        <f t="shared" si="3"/>
        <v>2550.63</v>
      </c>
      <c r="G199" s="966">
        <f t="shared" si="3"/>
        <v>2550.627</v>
      </c>
    </row>
    <row r="200" spans="1:7" s="913" customFormat="1" ht="12.75" customHeight="1" x14ac:dyDescent="0.2">
      <c r="A200" s="965" t="s">
        <v>3743</v>
      </c>
      <c r="B200" s="966">
        <v>8392</v>
      </c>
      <c r="C200" s="966">
        <v>8392</v>
      </c>
      <c r="D200" s="966">
        <v>288.15999999999997</v>
      </c>
      <c r="E200" s="966">
        <v>288.16199999999998</v>
      </c>
      <c r="F200" s="966">
        <f t="shared" si="3"/>
        <v>8680.16</v>
      </c>
      <c r="G200" s="966">
        <f t="shared" si="3"/>
        <v>8680.1620000000003</v>
      </c>
    </row>
    <row r="201" spans="1:7" s="913" customFormat="1" ht="12.75" customHeight="1" x14ac:dyDescent="0.2">
      <c r="A201" s="965" t="s">
        <v>3744</v>
      </c>
      <c r="B201" s="966">
        <v>3598</v>
      </c>
      <c r="C201" s="966">
        <v>3598</v>
      </c>
      <c r="D201" s="966">
        <v>99.389999999999986</v>
      </c>
      <c r="E201" s="966">
        <v>99.387</v>
      </c>
      <c r="F201" s="966">
        <f t="shared" si="3"/>
        <v>3697.39</v>
      </c>
      <c r="G201" s="966">
        <f t="shared" si="3"/>
        <v>3697.3870000000002</v>
      </c>
    </row>
    <row r="202" spans="1:7" s="913" customFormat="1" ht="12.75" customHeight="1" x14ac:dyDescent="0.2">
      <c r="A202" s="965" t="s">
        <v>3745</v>
      </c>
      <c r="B202" s="966">
        <v>11091</v>
      </c>
      <c r="C202" s="966">
        <v>11091</v>
      </c>
      <c r="D202" s="966">
        <v>249.7</v>
      </c>
      <c r="E202" s="966">
        <v>249.70099999999999</v>
      </c>
      <c r="F202" s="966">
        <f t="shared" si="3"/>
        <v>11340.7</v>
      </c>
      <c r="G202" s="966">
        <f t="shared" si="3"/>
        <v>11340.700999999999</v>
      </c>
    </row>
    <row r="203" spans="1:7" s="913" customFormat="1" ht="12.75" customHeight="1" x14ac:dyDescent="0.2">
      <c r="A203" s="965" t="s">
        <v>3746</v>
      </c>
      <c r="B203" s="966">
        <v>1011</v>
      </c>
      <c r="C203" s="966">
        <v>1011</v>
      </c>
      <c r="D203" s="966">
        <v>27.99</v>
      </c>
      <c r="E203" s="966">
        <v>27.986999999999998</v>
      </c>
      <c r="F203" s="966">
        <f t="shared" si="3"/>
        <v>1038.99</v>
      </c>
      <c r="G203" s="966">
        <f t="shared" si="3"/>
        <v>1038.9870000000001</v>
      </c>
    </row>
    <row r="204" spans="1:7" s="913" customFormat="1" ht="12.75" customHeight="1" x14ac:dyDescent="0.2">
      <c r="A204" s="965" t="s">
        <v>3747</v>
      </c>
      <c r="B204" s="966">
        <v>8020</v>
      </c>
      <c r="C204" s="966">
        <v>8020</v>
      </c>
      <c r="D204" s="966">
        <v>590.56000000000006</v>
      </c>
      <c r="E204" s="966">
        <v>590.56299999999999</v>
      </c>
      <c r="F204" s="966">
        <f t="shared" si="3"/>
        <v>8610.56</v>
      </c>
      <c r="G204" s="966">
        <f t="shared" si="3"/>
        <v>8610.5630000000001</v>
      </c>
    </row>
    <row r="205" spans="1:7" s="913" customFormat="1" ht="12.75" customHeight="1" x14ac:dyDescent="0.2">
      <c r="A205" s="965" t="s">
        <v>3748</v>
      </c>
      <c r="B205" s="966">
        <v>7140</v>
      </c>
      <c r="C205" s="966">
        <v>7140</v>
      </c>
      <c r="D205" s="966">
        <v>328.01</v>
      </c>
      <c r="E205" s="966">
        <v>328.01099999999997</v>
      </c>
      <c r="F205" s="966">
        <f t="shared" si="3"/>
        <v>7468.01</v>
      </c>
      <c r="G205" s="966">
        <f t="shared" si="3"/>
        <v>7468.0110000000004</v>
      </c>
    </row>
    <row r="206" spans="1:7" s="913" customFormat="1" ht="12.75" customHeight="1" x14ac:dyDescent="0.2">
      <c r="A206" s="965" t="s">
        <v>3749</v>
      </c>
      <c r="B206" s="966">
        <v>3355</v>
      </c>
      <c r="C206" s="966">
        <v>3355</v>
      </c>
      <c r="D206" s="966">
        <v>120.03999999999999</v>
      </c>
      <c r="E206" s="966">
        <v>120.03999999999999</v>
      </c>
      <c r="F206" s="966">
        <f t="shared" si="3"/>
        <v>3475.04</v>
      </c>
      <c r="G206" s="966">
        <f t="shared" si="3"/>
        <v>3475.04</v>
      </c>
    </row>
    <row r="207" spans="1:7" s="913" customFormat="1" ht="12.75" customHeight="1" x14ac:dyDescent="0.2">
      <c r="A207" s="965" t="s">
        <v>3750</v>
      </c>
      <c r="B207" s="966">
        <v>3533</v>
      </c>
      <c r="C207" s="966">
        <v>3533</v>
      </c>
      <c r="D207" s="966">
        <v>96.2</v>
      </c>
      <c r="E207" s="966">
        <v>96.197999999999993</v>
      </c>
      <c r="F207" s="966">
        <f t="shared" si="3"/>
        <v>3629.2</v>
      </c>
      <c r="G207" s="966">
        <f t="shared" si="3"/>
        <v>3629.1979999999999</v>
      </c>
    </row>
    <row r="208" spans="1:7" s="913" customFormat="1" ht="12.75" customHeight="1" x14ac:dyDescent="0.2">
      <c r="A208" s="965" t="s">
        <v>3751</v>
      </c>
      <c r="B208" s="966">
        <v>5508</v>
      </c>
      <c r="C208" s="966">
        <v>5508</v>
      </c>
      <c r="D208" s="966">
        <v>159.65</v>
      </c>
      <c r="E208" s="966">
        <v>159.65199999999999</v>
      </c>
      <c r="F208" s="966">
        <f t="shared" si="3"/>
        <v>5667.65</v>
      </c>
      <c r="G208" s="966">
        <f t="shared" si="3"/>
        <v>5667.652</v>
      </c>
    </row>
    <row r="209" spans="1:7" s="913" customFormat="1" ht="12.75" customHeight="1" x14ac:dyDescent="0.2">
      <c r="A209" s="965" t="s">
        <v>3752</v>
      </c>
      <c r="B209" s="966">
        <v>13127</v>
      </c>
      <c r="C209" s="966">
        <v>13127</v>
      </c>
      <c r="D209" s="966">
        <v>335.59999999999997</v>
      </c>
      <c r="E209" s="966">
        <v>335.59400000000005</v>
      </c>
      <c r="F209" s="966">
        <f t="shared" si="3"/>
        <v>13462.6</v>
      </c>
      <c r="G209" s="966">
        <f t="shared" si="3"/>
        <v>13462.594000000001</v>
      </c>
    </row>
    <row r="210" spans="1:7" s="913" customFormat="1" ht="12.75" customHeight="1" x14ac:dyDescent="0.2">
      <c r="A210" s="965" t="s">
        <v>3753</v>
      </c>
      <c r="B210" s="966">
        <v>2888</v>
      </c>
      <c r="C210" s="966">
        <v>2888</v>
      </c>
      <c r="D210" s="966">
        <v>81.929999999999993</v>
      </c>
      <c r="E210" s="966">
        <v>81.932999999999993</v>
      </c>
      <c r="F210" s="966">
        <f t="shared" si="3"/>
        <v>2969.93</v>
      </c>
      <c r="G210" s="966">
        <f t="shared" si="3"/>
        <v>2969.933</v>
      </c>
    </row>
    <row r="211" spans="1:7" s="913" customFormat="1" ht="12.75" customHeight="1" x14ac:dyDescent="0.2">
      <c r="A211" s="965" t="s">
        <v>3754</v>
      </c>
      <c r="B211" s="966">
        <v>1091</v>
      </c>
      <c r="C211" s="966">
        <v>1091</v>
      </c>
      <c r="D211" s="966">
        <v>24.64</v>
      </c>
      <c r="E211" s="966">
        <v>24.643999999999998</v>
      </c>
      <c r="F211" s="966">
        <f t="shared" si="3"/>
        <v>1115.6400000000001</v>
      </c>
      <c r="G211" s="966">
        <f t="shared" si="3"/>
        <v>1115.644</v>
      </c>
    </row>
    <row r="212" spans="1:7" s="913" customFormat="1" ht="12.75" customHeight="1" x14ac:dyDescent="0.2">
      <c r="A212" s="965" t="s">
        <v>3755</v>
      </c>
      <c r="B212" s="966">
        <v>1452</v>
      </c>
      <c r="C212" s="966">
        <v>1452</v>
      </c>
      <c r="D212" s="966">
        <v>61.72</v>
      </c>
      <c r="E212" s="966">
        <v>61.715000000000003</v>
      </c>
      <c r="F212" s="966">
        <f t="shared" si="3"/>
        <v>1513.72</v>
      </c>
      <c r="G212" s="966">
        <f t="shared" si="3"/>
        <v>1513.7149999999999</v>
      </c>
    </row>
    <row r="213" spans="1:7" s="913" customFormat="1" ht="12.75" customHeight="1" x14ac:dyDescent="0.2">
      <c r="A213" s="965" t="s">
        <v>3756</v>
      </c>
      <c r="B213" s="966">
        <v>5039</v>
      </c>
      <c r="C213" s="966">
        <v>5039</v>
      </c>
      <c r="D213" s="966">
        <v>122</v>
      </c>
      <c r="E213" s="966">
        <v>121.99799999999999</v>
      </c>
      <c r="F213" s="966">
        <f t="shared" si="3"/>
        <v>5161</v>
      </c>
      <c r="G213" s="966">
        <f t="shared" si="3"/>
        <v>5160.9979999999996</v>
      </c>
    </row>
    <row r="214" spans="1:7" s="913" customFormat="1" ht="12.75" customHeight="1" x14ac:dyDescent="0.2">
      <c r="A214" s="965" t="s">
        <v>3757</v>
      </c>
      <c r="B214" s="966">
        <v>3917</v>
      </c>
      <c r="C214" s="966">
        <v>3917</v>
      </c>
      <c r="D214" s="966">
        <v>130.31</v>
      </c>
      <c r="E214" s="966">
        <v>130.309</v>
      </c>
      <c r="F214" s="966">
        <f t="shared" si="3"/>
        <v>4047.31</v>
      </c>
      <c r="G214" s="966">
        <f t="shared" si="3"/>
        <v>4047.3090000000002</v>
      </c>
    </row>
    <row r="215" spans="1:7" s="913" customFormat="1" ht="12.75" customHeight="1" x14ac:dyDescent="0.2">
      <c r="A215" s="965" t="s">
        <v>3758</v>
      </c>
      <c r="B215" s="966">
        <v>12393</v>
      </c>
      <c r="C215" s="966">
        <v>12393</v>
      </c>
      <c r="D215" s="966">
        <v>317.07</v>
      </c>
      <c r="E215" s="966">
        <v>317.07100000000003</v>
      </c>
      <c r="F215" s="966">
        <f t="shared" si="3"/>
        <v>12710.07</v>
      </c>
      <c r="G215" s="966">
        <f t="shared" si="3"/>
        <v>12710.071</v>
      </c>
    </row>
    <row r="216" spans="1:7" s="913" customFormat="1" ht="12.75" customHeight="1" x14ac:dyDescent="0.2">
      <c r="A216" s="965" t="s">
        <v>3759</v>
      </c>
      <c r="B216" s="966">
        <v>6985</v>
      </c>
      <c r="C216" s="966">
        <v>6985</v>
      </c>
      <c r="D216" s="966">
        <v>208.41000000000003</v>
      </c>
      <c r="E216" s="966">
        <v>208.41400000000002</v>
      </c>
      <c r="F216" s="966">
        <f t="shared" si="3"/>
        <v>7193.41</v>
      </c>
      <c r="G216" s="966">
        <f t="shared" si="3"/>
        <v>7193.4139999999998</v>
      </c>
    </row>
    <row r="217" spans="1:7" s="913" customFormat="1" ht="12.75" customHeight="1" x14ac:dyDescent="0.2">
      <c r="A217" s="965" t="s">
        <v>3760</v>
      </c>
      <c r="B217" s="966">
        <v>7780</v>
      </c>
      <c r="C217" s="966">
        <v>7780</v>
      </c>
      <c r="D217" s="966">
        <v>195.55</v>
      </c>
      <c r="E217" s="966">
        <v>195.55</v>
      </c>
      <c r="F217" s="966">
        <f t="shared" si="3"/>
        <v>7975.55</v>
      </c>
      <c r="G217" s="966">
        <f t="shared" si="3"/>
        <v>7975.55</v>
      </c>
    </row>
    <row r="218" spans="1:7" s="913" customFormat="1" ht="12.75" customHeight="1" x14ac:dyDescent="0.2">
      <c r="A218" s="965" t="s">
        <v>3761</v>
      </c>
      <c r="B218" s="966">
        <v>1305</v>
      </c>
      <c r="C218" s="966">
        <v>1305</v>
      </c>
      <c r="D218" s="966">
        <v>29.84</v>
      </c>
      <c r="E218" s="966">
        <v>29.837</v>
      </c>
      <c r="F218" s="966">
        <f t="shared" si="3"/>
        <v>1334.84</v>
      </c>
      <c r="G218" s="966">
        <f t="shared" si="3"/>
        <v>1334.837</v>
      </c>
    </row>
    <row r="219" spans="1:7" s="913" customFormat="1" ht="12.75" customHeight="1" x14ac:dyDescent="0.2">
      <c r="A219" s="965" t="s">
        <v>3762</v>
      </c>
      <c r="B219" s="966">
        <v>2490</v>
      </c>
      <c r="C219" s="966">
        <v>2490</v>
      </c>
      <c r="D219" s="966">
        <v>52.73</v>
      </c>
      <c r="E219" s="966">
        <v>52.725000000000001</v>
      </c>
      <c r="F219" s="966">
        <f t="shared" si="3"/>
        <v>2542.73</v>
      </c>
      <c r="G219" s="966">
        <f t="shared" si="3"/>
        <v>2542.7249999999999</v>
      </c>
    </row>
    <row r="220" spans="1:7" s="913" customFormat="1" ht="12.75" customHeight="1" x14ac:dyDescent="0.2">
      <c r="A220" s="965" t="s">
        <v>3763</v>
      </c>
      <c r="B220" s="966">
        <v>3946</v>
      </c>
      <c r="C220" s="966">
        <v>3946</v>
      </c>
      <c r="D220" s="966">
        <v>109.16</v>
      </c>
      <c r="E220" s="966">
        <v>109.15599999999999</v>
      </c>
      <c r="F220" s="966">
        <f t="shared" si="3"/>
        <v>4055.16</v>
      </c>
      <c r="G220" s="966">
        <f t="shared" si="3"/>
        <v>4055.1559999999999</v>
      </c>
    </row>
    <row r="221" spans="1:7" s="913" customFormat="1" ht="12.75" customHeight="1" x14ac:dyDescent="0.2">
      <c r="A221" s="965" t="s">
        <v>3764</v>
      </c>
      <c r="B221" s="966">
        <v>8845</v>
      </c>
      <c r="C221" s="966">
        <v>8845</v>
      </c>
      <c r="D221" s="966">
        <v>206.21</v>
      </c>
      <c r="E221" s="966">
        <v>206.20699999999999</v>
      </c>
      <c r="F221" s="966">
        <f t="shared" si="3"/>
        <v>9051.2099999999991</v>
      </c>
      <c r="G221" s="966">
        <f t="shared" si="3"/>
        <v>9051.2070000000003</v>
      </c>
    </row>
    <row r="222" spans="1:7" s="913" customFormat="1" ht="12.75" customHeight="1" x14ac:dyDescent="0.2">
      <c r="A222" s="965" t="s">
        <v>3765</v>
      </c>
      <c r="B222" s="966">
        <v>9086</v>
      </c>
      <c r="C222" s="966">
        <v>9086</v>
      </c>
      <c r="D222" s="966">
        <v>242.42</v>
      </c>
      <c r="E222" s="966">
        <v>242.38200000000001</v>
      </c>
      <c r="F222" s="966">
        <f t="shared" si="3"/>
        <v>9328.42</v>
      </c>
      <c r="G222" s="966">
        <f t="shared" si="3"/>
        <v>9328.3819999999996</v>
      </c>
    </row>
    <row r="223" spans="1:7" s="913" customFormat="1" ht="12.75" customHeight="1" x14ac:dyDescent="0.2">
      <c r="A223" s="965" t="s">
        <v>3766</v>
      </c>
      <c r="B223" s="966">
        <v>3184</v>
      </c>
      <c r="C223" s="966">
        <v>3184</v>
      </c>
      <c r="D223" s="966">
        <v>99.259999999999991</v>
      </c>
      <c r="E223" s="966">
        <v>99.256</v>
      </c>
      <c r="F223" s="966">
        <f t="shared" si="3"/>
        <v>3283.26</v>
      </c>
      <c r="G223" s="966">
        <f t="shared" si="3"/>
        <v>3283.2559999999999</v>
      </c>
    </row>
    <row r="224" spans="1:7" s="913" customFormat="1" ht="12.75" customHeight="1" x14ac:dyDescent="0.2">
      <c r="A224" s="965" t="s">
        <v>3767</v>
      </c>
      <c r="B224" s="966">
        <v>3656</v>
      </c>
      <c r="C224" s="966">
        <v>3656</v>
      </c>
      <c r="D224" s="966">
        <v>92.350000000000009</v>
      </c>
      <c r="E224" s="966">
        <v>92.352999999999994</v>
      </c>
      <c r="F224" s="966">
        <f t="shared" si="3"/>
        <v>3748.35</v>
      </c>
      <c r="G224" s="966">
        <f t="shared" si="3"/>
        <v>3748.3530000000001</v>
      </c>
    </row>
    <row r="225" spans="1:7" s="913" customFormat="1" ht="12.75" customHeight="1" x14ac:dyDescent="0.2">
      <c r="A225" s="965" t="s">
        <v>3768</v>
      </c>
      <c r="B225" s="966">
        <v>1307</v>
      </c>
      <c r="C225" s="966">
        <v>1307</v>
      </c>
      <c r="D225" s="966">
        <v>36.880000000000003</v>
      </c>
      <c r="E225" s="966">
        <v>36.878999999999998</v>
      </c>
      <c r="F225" s="966">
        <f t="shared" si="3"/>
        <v>1343.88</v>
      </c>
      <c r="G225" s="966">
        <f t="shared" si="3"/>
        <v>1343.8789999999999</v>
      </c>
    </row>
    <row r="226" spans="1:7" s="913" customFormat="1" ht="12.75" customHeight="1" x14ac:dyDescent="0.2">
      <c r="A226" s="965" t="s">
        <v>3769</v>
      </c>
      <c r="B226" s="966">
        <v>3104</v>
      </c>
      <c r="C226" s="966">
        <v>3104</v>
      </c>
      <c r="D226" s="966">
        <v>73.760000000000005</v>
      </c>
      <c r="E226" s="966">
        <v>73.762</v>
      </c>
      <c r="F226" s="966">
        <f t="shared" si="3"/>
        <v>3177.76</v>
      </c>
      <c r="G226" s="966">
        <f t="shared" si="3"/>
        <v>3177.7620000000002</v>
      </c>
    </row>
    <row r="227" spans="1:7" s="913" customFormat="1" ht="12.75" customHeight="1" x14ac:dyDescent="0.2">
      <c r="A227" s="965" t="s">
        <v>3770</v>
      </c>
      <c r="B227" s="966">
        <v>2897</v>
      </c>
      <c r="C227" s="966">
        <v>2897</v>
      </c>
      <c r="D227" s="966">
        <v>78.45</v>
      </c>
      <c r="E227" s="966">
        <v>78.442000000000007</v>
      </c>
      <c r="F227" s="966">
        <f t="shared" si="3"/>
        <v>2975.45</v>
      </c>
      <c r="G227" s="966">
        <f t="shared" si="3"/>
        <v>2975.442</v>
      </c>
    </row>
    <row r="228" spans="1:7" s="913" customFormat="1" ht="12.75" customHeight="1" x14ac:dyDescent="0.2">
      <c r="A228" s="965" t="s">
        <v>3771</v>
      </c>
      <c r="B228" s="966">
        <v>3920</v>
      </c>
      <c r="C228" s="966">
        <v>3920</v>
      </c>
      <c r="D228" s="966">
        <v>95.23</v>
      </c>
      <c r="E228" s="966">
        <v>95.231999999999999</v>
      </c>
      <c r="F228" s="966">
        <f t="shared" si="3"/>
        <v>4015.23</v>
      </c>
      <c r="G228" s="966">
        <f t="shared" si="3"/>
        <v>4015.232</v>
      </c>
    </row>
    <row r="229" spans="1:7" s="913" customFormat="1" ht="12.75" customHeight="1" x14ac:dyDescent="0.2">
      <c r="A229" s="965" t="s">
        <v>3772</v>
      </c>
      <c r="B229" s="966">
        <v>10995</v>
      </c>
      <c r="C229" s="966">
        <v>10995</v>
      </c>
      <c r="D229" s="966">
        <v>309.67</v>
      </c>
      <c r="E229" s="966">
        <v>309.67</v>
      </c>
      <c r="F229" s="966">
        <f t="shared" si="3"/>
        <v>11304.67</v>
      </c>
      <c r="G229" s="966">
        <f t="shared" si="3"/>
        <v>11304.67</v>
      </c>
    </row>
    <row r="230" spans="1:7" s="913" customFormat="1" ht="12.75" customHeight="1" x14ac:dyDescent="0.2">
      <c r="A230" s="965" t="s">
        <v>3773</v>
      </c>
      <c r="B230" s="966">
        <v>10723</v>
      </c>
      <c r="C230" s="966">
        <v>10723</v>
      </c>
      <c r="D230" s="966">
        <v>297.49</v>
      </c>
      <c r="E230" s="966">
        <v>297.49199999999996</v>
      </c>
      <c r="F230" s="966">
        <f t="shared" si="3"/>
        <v>11020.49</v>
      </c>
      <c r="G230" s="966">
        <f t="shared" si="3"/>
        <v>11020.492</v>
      </c>
    </row>
    <row r="231" spans="1:7" s="913" customFormat="1" ht="12.75" customHeight="1" x14ac:dyDescent="0.2">
      <c r="A231" s="965" t="s">
        <v>3774</v>
      </c>
      <c r="B231" s="966">
        <v>3663</v>
      </c>
      <c r="C231" s="966">
        <v>3663</v>
      </c>
      <c r="D231" s="966">
        <v>98.99</v>
      </c>
      <c r="E231" s="966">
        <v>98.985000000000014</v>
      </c>
      <c r="F231" s="966">
        <f t="shared" si="3"/>
        <v>3761.99</v>
      </c>
      <c r="G231" s="966">
        <f t="shared" si="3"/>
        <v>3761.9850000000001</v>
      </c>
    </row>
    <row r="232" spans="1:7" s="913" customFormat="1" ht="12.75" customHeight="1" x14ac:dyDescent="0.2">
      <c r="A232" s="965" t="s">
        <v>3775</v>
      </c>
      <c r="B232" s="966">
        <v>27682</v>
      </c>
      <c r="C232" s="966">
        <v>27682</v>
      </c>
      <c r="D232" s="966">
        <v>1088.08</v>
      </c>
      <c r="E232" s="966">
        <v>1088.0809999999999</v>
      </c>
      <c r="F232" s="966">
        <f t="shared" si="3"/>
        <v>28770.080000000002</v>
      </c>
      <c r="G232" s="966">
        <f t="shared" si="3"/>
        <v>28770.080999999998</v>
      </c>
    </row>
    <row r="233" spans="1:7" s="913" customFormat="1" ht="12.75" customHeight="1" x14ac:dyDescent="0.2">
      <c r="A233" s="965" t="s">
        <v>3776</v>
      </c>
      <c r="B233" s="966">
        <v>6908</v>
      </c>
      <c r="C233" s="966">
        <v>6908</v>
      </c>
      <c r="D233" s="966">
        <v>238.57</v>
      </c>
      <c r="E233" s="966">
        <v>238.56599999999997</v>
      </c>
      <c r="F233" s="966">
        <f t="shared" si="3"/>
        <v>7146.57</v>
      </c>
      <c r="G233" s="966">
        <f t="shared" si="3"/>
        <v>7146.5659999999998</v>
      </c>
    </row>
    <row r="234" spans="1:7" s="913" customFormat="1" ht="12.75" customHeight="1" x14ac:dyDescent="0.2">
      <c r="A234" s="965" t="s">
        <v>3777</v>
      </c>
      <c r="B234" s="966">
        <v>2016</v>
      </c>
      <c r="C234" s="966">
        <v>2016</v>
      </c>
      <c r="D234" s="966">
        <v>87.67</v>
      </c>
      <c r="E234" s="966">
        <v>87.670999999999992</v>
      </c>
      <c r="F234" s="966">
        <f t="shared" si="3"/>
        <v>2103.67</v>
      </c>
      <c r="G234" s="966">
        <f t="shared" si="3"/>
        <v>2103.6709999999998</v>
      </c>
    </row>
    <row r="235" spans="1:7" s="913" customFormat="1" ht="12.75" customHeight="1" x14ac:dyDescent="0.2">
      <c r="A235" s="965" t="s">
        <v>3778</v>
      </c>
      <c r="B235" s="966">
        <v>1025</v>
      </c>
      <c r="C235" s="966">
        <v>1025</v>
      </c>
      <c r="D235" s="966">
        <v>17.350000000000001</v>
      </c>
      <c r="E235" s="966">
        <v>17.350999999999999</v>
      </c>
      <c r="F235" s="966">
        <f t="shared" si="3"/>
        <v>1042.3499999999999</v>
      </c>
      <c r="G235" s="966">
        <f t="shared" si="3"/>
        <v>1042.3510000000001</v>
      </c>
    </row>
    <row r="236" spans="1:7" s="913" customFormat="1" ht="12.75" customHeight="1" x14ac:dyDescent="0.2">
      <c r="A236" s="965" t="s">
        <v>3779</v>
      </c>
      <c r="B236" s="966">
        <v>4468</v>
      </c>
      <c r="C236" s="966">
        <v>4468</v>
      </c>
      <c r="D236" s="966">
        <v>196.63</v>
      </c>
      <c r="E236" s="966">
        <v>196.62799999999999</v>
      </c>
      <c r="F236" s="966">
        <f t="shared" si="3"/>
        <v>4664.63</v>
      </c>
      <c r="G236" s="966">
        <f t="shared" si="3"/>
        <v>4664.6279999999997</v>
      </c>
    </row>
    <row r="237" spans="1:7" s="913" customFormat="1" ht="12.75" customHeight="1" x14ac:dyDescent="0.2">
      <c r="A237" s="965" t="s">
        <v>3780</v>
      </c>
      <c r="B237" s="966">
        <v>6793</v>
      </c>
      <c r="C237" s="966">
        <v>6793</v>
      </c>
      <c r="D237" s="966">
        <v>274.2</v>
      </c>
      <c r="E237" s="966">
        <v>274.19499999999999</v>
      </c>
      <c r="F237" s="966">
        <f t="shared" si="3"/>
        <v>7067.2</v>
      </c>
      <c r="G237" s="966">
        <f t="shared" si="3"/>
        <v>7067.1949999999997</v>
      </c>
    </row>
    <row r="238" spans="1:7" s="913" customFormat="1" ht="12.75" customHeight="1" x14ac:dyDescent="0.2">
      <c r="A238" s="965" t="s">
        <v>3781</v>
      </c>
      <c r="B238" s="966">
        <v>5611</v>
      </c>
      <c r="C238" s="966">
        <v>5611</v>
      </c>
      <c r="D238" s="966">
        <v>133.47999999999999</v>
      </c>
      <c r="E238" s="966">
        <v>133.47900000000001</v>
      </c>
      <c r="F238" s="966">
        <f t="shared" si="3"/>
        <v>5744.48</v>
      </c>
      <c r="G238" s="966">
        <f t="shared" si="3"/>
        <v>5744.4790000000003</v>
      </c>
    </row>
    <row r="239" spans="1:7" s="913" customFormat="1" ht="12.75" customHeight="1" x14ac:dyDescent="0.2">
      <c r="A239" s="965" t="s">
        <v>3782</v>
      </c>
      <c r="B239" s="966">
        <v>5230</v>
      </c>
      <c r="C239" s="966">
        <v>5230</v>
      </c>
      <c r="D239" s="966">
        <v>209.82999999999998</v>
      </c>
      <c r="E239" s="966">
        <v>209.82400000000001</v>
      </c>
      <c r="F239" s="966">
        <f t="shared" si="3"/>
        <v>5439.83</v>
      </c>
      <c r="G239" s="966">
        <f t="shared" si="3"/>
        <v>5439.8239999999996</v>
      </c>
    </row>
    <row r="240" spans="1:7" s="913" customFormat="1" ht="12.75" customHeight="1" x14ac:dyDescent="0.2">
      <c r="A240" s="965" t="s">
        <v>3783</v>
      </c>
      <c r="B240" s="966">
        <v>3958</v>
      </c>
      <c r="C240" s="966">
        <v>3958</v>
      </c>
      <c r="D240" s="966">
        <v>479.86</v>
      </c>
      <c r="E240" s="966">
        <v>479.85500000000002</v>
      </c>
      <c r="F240" s="966">
        <f t="shared" si="3"/>
        <v>4437.8599999999997</v>
      </c>
      <c r="G240" s="966">
        <f t="shared" si="3"/>
        <v>4437.8549999999996</v>
      </c>
    </row>
    <row r="241" spans="1:7" s="913" customFormat="1" ht="12.75" customHeight="1" x14ac:dyDescent="0.2">
      <c r="A241" s="965" t="s">
        <v>3784</v>
      </c>
      <c r="B241" s="966">
        <v>5645</v>
      </c>
      <c r="C241" s="966">
        <v>5645</v>
      </c>
      <c r="D241" s="966">
        <v>100.3</v>
      </c>
      <c r="E241" s="966">
        <v>100.301</v>
      </c>
      <c r="F241" s="966">
        <f t="shared" si="3"/>
        <v>5745.3</v>
      </c>
      <c r="G241" s="966">
        <f t="shared" si="3"/>
        <v>5745.3010000000004</v>
      </c>
    </row>
    <row r="242" spans="1:7" s="913" customFormat="1" ht="12.75" customHeight="1" x14ac:dyDescent="0.2">
      <c r="A242" s="965" t="s">
        <v>3785</v>
      </c>
      <c r="B242" s="966">
        <v>1970</v>
      </c>
      <c r="C242" s="966">
        <v>1970</v>
      </c>
      <c r="D242" s="966">
        <v>39.15</v>
      </c>
      <c r="E242" s="966">
        <v>39.15</v>
      </c>
      <c r="F242" s="966">
        <f t="shared" si="3"/>
        <v>2009.15</v>
      </c>
      <c r="G242" s="966">
        <f t="shared" si="3"/>
        <v>2009.15</v>
      </c>
    </row>
    <row r="243" spans="1:7" s="913" customFormat="1" ht="12.75" customHeight="1" x14ac:dyDescent="0.2">
      <c r="A243" s="965" t="s">
        <v>3786</v>
      </c>
      <c r="B243" s="966">
        <v>2604</v>
      </c>
      <c r="C243" s="966">
        <v>2604</v>
      </c>
      <c r="D243" s="966">
        <v>49.37</v>
      </c>
      <c r="E243" s="966">
        <v>49.370000000000005</v>
      </c>
      <c r="F243" s="966">
        <f t="shared" si="3"/>
        <v>2653.37</v>
      </c>
      <c r="G243" s="966">
        <f t="shared" si="3"/>
        <v>2653.37</v>
      </c>
    </row>
    <row r="244" spans="1:7" s="913" customFormat="1" ht="12.75" customHeight="1" x14ac:dyDescent="0.2">
      <c r="A244" s="965" t="s">
        <v>3787</v>
      </c>
      <c r="B244" s="966">
        <v>7152</v>
      </c>
      <c r="C244" s="966">
        <v>7152</v>
      </c>
      <c r="D244" s="966">
        <v>304.54000000000002</v>
      </c>
      <c r="E244" s="966">
        <v>304.53899999999999</v>
      </c>
      <c r="F244" s="966">
        <f t="shared" si="3"/>
        <v>7456.54</v>
      </c>
      <c r="G244" s="966">
        <f t="shared" si="3"/>
        <v>7456.5389999999998</v>
      </c>
    </row>
    <row r="245" spans="1:7" s="913" customFormat="1" ht="12.75" customHeight="1" x14ac:dyDescent="0.2">
      <c r="A245" s="965" t="s">
        <v>3788</v>
      </c>
      <c r="B245" s="966">
        <v>2552</v>
      </c>
      <c r="C245" s="966">
        <v>2552</v>
      </c>
      <c r="D245" s="966">
        <v>88.74</v>
      </c>
      <c r="E245" s="966">
        <v>88.741</v>
      </c>
      <c r="F245" s="966">
        <f t="shared" si="3"/>
        <v>2640.74</v>
      </c>
      <c r="G245" s="966">
        <f t="shared" si="3"/>
        <v>2640.741</v>
      </c>
    </row>
    <row r="246" spans="1:7" s="913" customFormat="1" ht="12.75" customHeight="1" x14ac:dyDescent="0.2">
      <c r="A246" s="965" t="s">
        <v>3789</v>
      </c>
      <c r="B246" s="966">
        <v>2418</v>
      </c>
      <c r="C246" s="966">
        <v>2418</v>
      </c>
      <c r="D246" s="966">
        <v>89.449999999999989</v>
      </c>
      <c r="E246" s="966">
        <v>89.445000000000007</v>
      </c>
      <c r="F246" s="966">
        <f t="shared" si="3"/>
        <v>2507.4499999999998</v>
      </c>
      <c r="G246" s="966">
        <f t="shared" si="3"/>
        <v>2507.4450000000002</v>
      </c>
    </row>
    <row r="247" spans="1:7" s="913" customFormat="1" ht="12.75" customHeight="1" x14ac:dyDescent="0.2">
      <c r="A247" s="965" t="s">
        <v>3790</v>
      </c>
      <c r="B247" s="966">
        <v>1830</v>
      </c>
      <c r="C247" s="966">
        <v>1830</v>
      </c>
      <c r="D247" s="966">
        <v>72.260000000000005</v>
      </c>
      <c r="E247" s="966">
        <v>72.263000000000005</v>
      </c>
      <c r="F247" s="966">
        <f t="shared" si="3"/>
        <v>1902.26</v>
      </c>
      <c r="G247" s="966">
        <f t="shared" si="3"/>
        <v>1902.2629999999999</v>
      </c>
    </row>
    <row r="248" spans="1:7" s="913" customFormat="1" ht="12.75" customHeight="1" x14ac:dyDescent="0.2">
      <c r="A248" s="965" t="s">
        <v>3791</v>
      </c>
      <c r="B248" s="966">
        <v>2431</v>
      </c>
      <c r="C248" s="966">
        <v>2431</v>
      </c>
      <c r="D248" s="966">
        <v>92.87</v>
      </c>
      <c r="E248" s="966">
        <v>92.867999999999995</v>
      </c>
      <c r="F248" s="966">
        <f t="shared" si="3"/>
        <v>2523.87</v>
      </c>
      <c r="G248" s="966">
        <f t="shared" si="3"/>
        <v>2523.8679999999999</v>
      </c>
    </row>
    <row r="249" spans="1:7" s="913" customFormat="1" ht="12.75" customHeight="1" x14ac:dyDescent="0.2">
      <c r="A249" s="965" t="s">
        <v>3792</v>
      </c>
      <c r="B249" s="966">
        <v>2143</v>
      </c>
      <c r="C249" s="966">
        <v>2143</v>
      </c>
      <c r="D249" s="966">
        <v>88.37</v>
      </c>
      <c r="E249" s="966">
        <v>88.363</v>
      </c>
      <c r="F249" s="966">
        <f t="shared" si="3"/>
        <v>2231.37</v>
      </c>
      <c r="G249" s="966">
        <f t="shared" si="3"/>
        <v>2231.3629999999998</v>
      </c>
    </row>
    <row r="250" spans="1:7" s="913" customFormat="1" ht="12.75" customHeight="1" x14ac:dyDescent="0.2">
      <c r="A250" s="965" t="s">
        <v>3793</v>
      </c>
      <c r="B250" s="966">
        <v>19231</v>
      </c>
      <c r="C250" s="966">
        <v>19231</v>
      </c>
      <c r="D250" s="966">
        <v>925.02</v>
      </c>
      <c r="E250" s="966">
        <v>925.02300000000002</v>
      </c>
      <c r="F250" s="966">
        <f t="shared" si="3"/>
        <v>20156.02</v>
      </c>
      <c r="G250" s="966">
        <f t="shared" si="3"/>
        <v>20156.023000000001</v>
      </c>
    </row>
    <row r="251" spans="1:7" s="913" customFormat="1" ht="12.75" customHeight="1" x14ac:dyDescent="0.2">
      <c r="A251" s="965" t="s">
        <v>3794</v>
      </c>
      <c r="B251" s="966">
        <v>31356</v>
      </c>
      <c r="C251" s="966">
        <v>31356</v>
      </c>
      <c r="D251" s="966">
        <v>1145.77</v>
      </c>
      <c r="E251" s="966">
        <v>1145.7660000000001</v>
      </c>
      <c r="F251" s="966">
        <f t="shared" si="3"/>
        <v>32501.77</v>
      </c>
      <c r="G251" s="966">
        <f t="shared" si="3"/>
        <v>32501.766</v>
      </c>
    </row>
    <row r="252" spans="1:7" s="913" customFormat="1" ht="12.75" customHeight="1" x14ac:dyDescent="0.2">
      <c r="A252" s="965" t="s">
        <v>3795</v>
      </c>
      <c r="B252" s="966">
        <v>14323</v>
      </c>
      <c r="C252" s="966">
        <v>14323</v>
      </c>
      <c r="D252" s="966">
        <v>533.46</v>
      </c>
      <c r="E252" s="966">
        <v>533.46299999999997</v>
      </c>
      <c r="F252" s="966">
        <f t="shared" si="3"/>
        <v>14856.46</v>
      </c>
      <c r="G252" s="966">
        <f t="shared" si="3"/>
        <v>14856.463</v>
      </c>
    </row>
    <row r="253" spans="1:7" s="913" customFormat="1" ht="12.75" customHeight="1" x14ac:dyDescent="0.2">
      <c r="A253" s="965" t="s">
        <v>3796</v>
      </c>
      <c r="B253" s="966">
        <v>2765</v>
      </c>
      <c r="C253" s="966">
        <v>2765</v>
      </c>
      <c r="D253" s="966">
        <v>101.89</v>
      </c>
      <c r="E253" s="966">
        <v>101.884</v>
      </c>
      <c r="F253" s="966">
        <f t="shared" si="3"/>
        <v>2866.89</v>
      </c>
      <c r="G253" s="966">
        <f t="shared" si="3"/>
        <v>2866.884</v>
      </c>
    </row>
    <row r="254" spans="1:7" s="913" customFormat="1" ht="12.75" customHeight="1" x14ac:dyDescent="0.2">
      <c r="A254" s="965" t="s">
        <v>3797</v>
      </c>
      <c r="B254" s="966">
        <v>21751</v>
      </c>
      <c r="C254" s="966">
        <v>21751</v>
      </c>
      <c r="D254" s="966">
        <v>683.79</v>
      </c>
      <c r="E254" s="966">
        <v>683.78800000000001</v>
      </c>
      <c r="F254" s="966">
        <f t="shared" si="3"/>
        <v>22434.79</v>
      </c>
      <c r="G254" s="966">
        <f t="shared" si="3"/>
        <v>22434.788</v>
      </c>
    </row>
    <row r="255" spans="1:7" s="913" customFormat="1" ht="12.75" customHeight="1" x14ac:dyDescent="0.2">
      <c r="A255" s="965" t="s">
        <v>3798</v>
      </c>
      <c r="B255" s="966">
        <v>9035</v>
      </c>
      <c r="C255" s="966">
        <v>9035</v>
      </c>
      <c r="D255" s="966">
        <v>314.01</v>
      </c>
      <c r="E255" s="966">
        <v>314.01</v>
      </c>
      <c r="F255" s="966">
        <f t="shared" si="3"/>
        <v>9349.01</v>
      </c>
      <c r="G255" s="966">
        <f t="shared" si="3"/>
        <v>9349.01</v>
      </c>
    </row>
    <row r="256" spans="1:7" s="913" customFormat="1" ht="12.75" customHeight="1" x14ac:dyDescent="0.2">
      <c r="A256" s="965" t="s">
        <v>3799</v>
      </c>
      <c r="B256" s="966">
        <v>2405</v>
      </c>
      <c r="C256" s="966">
        <v>2405</v>
      </c>
      <c r="D256" s="966">
        <v>68.539999999999992</v>
      </c>
      <c r="E256" s="966">
        <v>68.539000000000001</v>
      </c>
      <c r="F256" s="966">
        <f t="shared" si="3"/>
        <v>2473.54</v>
      </c>
      <c r="G256" s="966">
        <f t="shared" si="3"/>
        <v>2473.5390000000002</v>
      </c>
    </row>
    <row r="257" spans="1:7" s="913" customFormat="1" ht="12.75" customHeight="1" x14ac:dyDescent="0.2">
      <c r="A257" s="965" t="s">
        <v>3800</v>
      </c>
      <c r="B257" s="966">
        <v>5021</v>
      </c>
      <c r="C257" s="966">
        <v>5021</v>
      </c>
      <c r="D257" s="966">
        <v>154.87</v>
      </c>
      <c r="E257" s="966">
        <v>154.86699999999999</v>
      </c>
      <c r="F257" s="966">
        <f t="shared" si="3"/>
        <v>5175.87</v>
      </c>
      <c r="G257" s="966">
        <f t="shared" si="3"/>
        <v>5175.8670000000002</v>
      </c>
    </row>
    <row r="258" spans="1:7" s="913" customFormat="1" ht="12.75" customHeight="1" x14ac:dyDescent="0.2">
      <c r="A258" s="965" t="s">
        <v>3801</v>
      </c>
      <c r="B258" s="966">
        <v>1713</v>
      </c>
      <c r="C258" s="966">
        <v>1713</v>
      </c>
      <c r="D258" s="966">
        <v>68.05</v>
      </c>
      <c r="E258" s="966">
        <v>68.043000000000006</v>
      </c>
      <c r="F258" s="966">
        <f t="shared" si="3"/>
        <v>1781.05</v>
      </c>
      <c r="G258" s="966">
        <f t="shared" si="3"/>
        <v>1781.0430000000001</v>
      </c>
    </row>
    <row r="259" spans="1:7" s="913" customFormat="1" ht="12.75" customHeight="1" x14ac:dyDescent="0.2">
      <c r="A259" s="965" t="s">
        <v>3802</v>
      </c>
      <c r="B259" s="966">
        <v>27660</v>
      </c>
      <c r="C259" s="966">
        <v>27660</v>
      </c>
      <c r="D259" s="966">
        <v>984.16</v>
      </c>
      <c r="E259" s="966">
        <v>984.16499999999996</v>
      </c>
      <c r="F259" s="966">
        <f t="shared" si="3"/>
        <v>28644.16</v>
      </c>
      <c r="G259" s="966">
        <f t="shared" si="3"/>
        <v>28644.165000000001</v>
      </c>
    </row>
    <row r="260" spans="1:7" s="913" customFormat="1" ht="12.75" customHeight="1" x14ac:dyDescent="0.2">
      <c r="A260" s="965" t="s">
        <v>3803</v>
      </c>
      <c r="B260" s="966">
        <v>12503</v>
      </c>
      <c r="C260" s="966">
        <v>12503</v>
      </c>
      <c r="D260" s="966">
        <v>446.83</v>
      </c>
      <c r="E260" s="966">
        <v>446.82799999999997</v>
      </c>
      <c r="F260" s="966">
        <f t="shared" si="3"/>
        <v>12949.83</v>
      </c>
      <c r="G260" s="966">
        <f t="shared" si="3"/>
        <v>12949.828</v>
      </c>
    </row>
    <row r="261" spans="1:7" s="913" customFormat="1" ht="12.75" customHeight="1" x14ac:dyDescent="0.2">
      <c r="A261" s="965" t="s">
        <v>3804</v>
      </c>
      <c r="B261" s="966">
        <v>8680</v>
      </c>
      <c r="C261" s="966">
        <v>8680</v>
      </c>
      <c r="D261" s="966">
        <v>313.64</v>
      </c>
      <c r="E261" s="966">
        <v>313.63900000000001</v>
      </c>
      <c r="F261" s="966">
        <f t="shared" si="3"/>
        <v>8993.64</v>
      </c>
      <c r="G261" s="966">
        <f t="shared" si="3"/>
        <v>8993.6389999999992</v>
      </c>
    </row>
    <row r="262" spans="1:7" s="913" customFormat="1" ht="12.75" customHeight="1" x14ac:dyDescent="0.2">
      <c r="A262" s="965" t="s">
        <v>3805</v>
      </c>
      <c r="B262" s="966">
        <v>22592</v>
      </c>
      <c r="C262" s="966">
        <v>22592</v>
      </c>
      <c r="D262" s="966">
        <v>1209.0900000000001</v>
      </c>
      <c r="E262" s="966">
        <v>1129.3879999999999</v>
      </c>
      <c r="F262" s="966">
        <f t="shared" ref="F262:G325" si="4">B262+D262</f>
        <v>23801.09</v>
      </c>
      <c r="G262" s="966">
        <f t="shared" si="4"/>
        <v>23721.387999999999</v>
      </c>
    </row>
    <row r="263" spans="1:7" s="913" customFormat="1" ht="12.75" customHeight="1" x14ac:dyDescent="0.2">
      <c r="A263" s="965" t="s">
        <v>3806</v>
      </c>
      <c r="B263" s="966">
        <v>16166</v>
      </c>
      <c r="C263" s="966">
        <v>16166</v>
      </c>
      <c r="D263" s="966">
        <v>567.51</v>
      </c>
      <c r="E263" s="966">
        <v>567.50599999999997</v>
      </c>
      <c r="F263" s="966">
        <f t="shared" si="4"/>
        <v>16733.509999999998</v>
      </c>
      <c r="G263" s="966">
        <f t="shared" si="4"/>
        <v>16733.506000000001</v>
      </c>
    </row>
    <row r="264" spans="1:7" s="913" customFormat="1" ht="12.75" customHeight="1" x14ac:dyDescent="0.2">
      <c r="A264" s="965" t="s">
        <v>3807</v>
      </c>
      <c r="B264" s="966">
        <v>13150</v>
      </c>
      <c r="C264" s="966">
        <v>13150</v>
      </c>
      <c r="D264" s="966">
        <v>373.71</v>
      </c>
      <c r="E264" s="966">
        <v>373.7</v>
      </c>
      <c r="F264" s="966">
        <f t="shared" si="4"/>
        <v>13523.71</v>
      </c>
      <c r="G264" s="966">
        <f t="shared" si="4"/>
        <v>13523.7</v>
      </c>
    </row>
    <row r="265" spans="1:7" s="913" customFormat="1" ht="12.75" customHeight="1" x14ac:dyDescent="0.2">
      <c r="A265" s="965" t="s">
        <v>3808</v>
      </c>
      <c r="B265" s="966">
        <v>22637</v>
      </c>
      <c r="C265" s="966">
        <v>22637</v>
      </c>
      <c r="D265" s="966">
        <v>739.36</v>
      </c>
      <c r="E265" s="966">
        <v>739.35899999999992</v>
      </c>
      <c r="F265" s="966">
        <f t="shared" si="4"/>
        <v>23376.36</v>
      </c>
      <c r="G265" s="966">
        <f t="shared" si="4"/>
        <v>23376.359</v>
      </c>
    </row>
    <row r="266" spans="1:7" s="913" customFormat="1" ht="12.75" customHeight="1" x14ac:dyDescent="0.2">
      <c r="A266" s="965" t="s">
        <v>3809</v>
      </c>
      <c r="B266" s="966">
        <v>4361</v>
      </c>
      <c r="C266" s="966">
        <v>4361</v>
      </c>
      <c r="D266" s="966">
        <v>132.61000000000001</v>
      </c>
      <c r="E266" s="966">
        <v>132.60599999999999</v>
      </c>
      <c r="F266" s="966">
        <f t="shared" si="4"/>
        <v>4493.6099999999997</v>
      </c>
      <c r="G266" s="966">
        <f t="shared" si="4"/>
        <v>4493.6059999999998</v>
      </c>
    </row>
    <row r="267" spans="1:7" s="913" customFormat="1" ht="12.75" customHeight="1" x14ac:dyDescent="0.2">
      <c r="A267" s="965" t="s">
        <v>3810</v>
      </c>
      <c r="B267" s="966">
        <v>5089</v>
      </c>
      <c r="C267" s="966">
        <v>5089</v>
      </c>
      <c r="D267" s="966">
        <v>140.78</v>
      </c>
      <c r="E267" s="966">
        <v>140.77799999999999</v>
      </c>
      <c r="F267" s="966">
        <f t="shared" si="4"/>
        <v>5229.78</v>
      </c>
      <c r="G267" s="966">
        <f t="shared" si="4"/>
        <v>5229.7780000000002</v>
      </c>
    </row>
    <row r="268" spans="1:7" s="913" customFormat="1" ht="12.75" customHeight="1" x14ac:dyDescent="0.2">
      <c r="A268" s="965" t="s">
        <v>3811</v>
      </c>
      <c r="B268" s="966">
        <v>3955</v>
      </c>
      <c r="C268" s="966">
        <v>3955</v>
      </c>
      <c r="D268" s="966">
        <v>126.87</v>
      </c>
      <c r="E268" s="966">
        <v>126.86800000000001</v>
      </c>
      <c r="F268" s="966">
        <f t="shared" si="4"/>
        <v>4081.87</v>
      </c>
      <c r="G268" s="966">
        <f t="shared" si="4"/>
        <v>4081.8679999999999</v>
      </c>
    </row>
    <row r="269" spans="1:7" s="913" customFormat="1" ht="12.75" customHeight="1" x14ac:dyDescent="0.2">
      <c r="A269" s="965" t="s">
        <v>3812</v>
      </c>
      <c r="B269" s="966">
        <v>5704</v>
      </c>
      <c r="C269" s="966">
        <v>5704</v>
      </c>
      <c r="D269" s="966">
        <v>182.20999999999998</v>
      </c>
      <c r="E269" s="966">
        <v>182.21100000000001</v>
      </c>
      <c r="F269" s="966">
        <f t="shared" si="4"/>
        <v>5886.21</v>
      </c>
      <c r="G269" s="966">
        <f t="shared" si="4"/>
        <v>5886.2110000000002</v>
      </c>
    </row>
    <row r="270" spans="1:7" s="913" customFormat="1" ht="12.75" customHeight="1" x14ac:dyDescent="0.2">
      <c r="A270" s="965" t="s">
        <v>3813</v>
      </c>
      <c r="B270" s="966">
        <v>3492</v>
      </c>
      <c r="C270" s="966">
        <v>3492</v>
      </c>
      <c r="D270" s="966">
        <v>110.33</v>
      </c>
      <c r="E270" s="966">
        <v>110.33200000000001</v>
      </c>
      <c r="F270" s="966">
        <f t="shared" si="4"/>
        <v>3602.33</v>
      </c>
      <c r="G270" s="966">
        <f t="shared" si="4"/>
        <v>3602.3319999999999</v>
      </c>
    </row>
    <row r="271" spans="1:7" s="913" customFormat="1" ht="12.75" customHeight="1" x14ac:dyDescent="0.2">
      <c r="A271" s="965" t="s">
        <v>3814</v>
      </c>
      <c r="B271" s="966">
        <v>11596</v>
      </c>
      <c r="C271" s="966">
        <v>11596</v>
      </c>
      <c r="D271" s="966">
        <v>401.67</v>
      </c>
      <c r="E271" s="966">
        <v>401.66799999999995</v>
      </c>
      <c r="F271" s="966">
        <f t="shared" si="4"/>
        <v>11997.67</v>
      </c>
      <c r="G271" s="966">
        <f t="shared" si="4"/>
        <v>11997.668</v>
      </c>
    </row>
    <row r="272" spans="1:7" s="913" customFormat="1" ht="12.75" customHeight="1" x14ac:dyDescent="0.2">
      <c r="A272" s="965" t="s">
        <v>3815</v>
      </c>
      <c r="B272" s="966">
        <v>4255</v>
      </c>
      <c r="C272" s="966">
        <v>4255</v>
      </c>
      <c r="D272" s="966">
        <v>145.68</v>
      </c>
      <c r="E272" s="966">
        <v>145.67500000000001</v>
      </c>
      <c r="F272" s="966">
        <f t="shared" si="4"/>
        <v>4400.68</v>
      </c>
      <c r="G272" s="966">
        <f t="shared" si="4"/>
        <v>4400.6750000000002</v>
      </c>
    </row>
    <row r="273" spans="1:7" s="913" customFormat="1" ht="12.75" customHeight="1" x14ac:dyDescent="0.2">
      <c r="A273" s="965" t="s">
        <v>3816</v>
      </c>
      <c r="B273" s="966">
        <v>28187</v>
      </c>
      <c r="C273" s="966">
        <v>28187</v>
      </c>
      <c r="D273" s="966">
        <v>916.42</v>
      </c>
      <c r="E273" s="966">
        <v>916.41899999999998</v>
      </c>
      <c r="F273" s="966">
        <f t="shared" si="4"/>
        <v>29103.42</v>
      </c>
      <c r="G273" s="966">
        <f t="shared" si="4"/>
        <v>29103.419000000002</v>
      </c>
    </row>
    <row r="274" spans="1:7" s="913" customFormat="1" ht="12.75" customHeight="1" x14ac:dyDescent="0.2">
      <c r="A274" s="965" t="s">
        <v>3817</v>
      </c>
      <c r="B274" s="966">
        <v>30769</v>
      </c>
      <c r="C274" s="966">
        <v>30769</v>
      </c>
      <c r="D274" s="966">
        <v>1023.4300000000001</v>
      </c>
      <c r="E274" s="966">
        <v>1023.434</v>
      </c>
      <c r="F274" s="966">
        <f t="shared" si="4"/>
        <v>31792.43</v>
      </c>
      <c r="G274" s="966">
        <f t="shared" si="4"/>
        <v>31792.434000000001</v>
      </c>
    </row>
    <row r="275" spans="1:7" s="913" customFormat="1" ht="12.75" customHeight="1" x14ac:dyDescent="0.2">
      <c r="A275" s="965" t="s">
        <v>3818</v>
      </c>
      <c r="B275" s="966">
        <v>21331</v>
      </c>
      <c r="C275" s="966">
        <v>21331</v>
      </c>
      <c r="D275" s="966">
        <v>655.63999999999987</v>
      </c>
      <c r="E275" s="966">
        <v>655.64200000000005</v>
      </c>
      <c r="F275" s="966">
        <f t="shared" si="4"/>
        <v>21986.639999999999</v>
      </c>
      <c r="G275" s="966">
        <f t="shared" si="4"/>
        <v>21986.642</v>
      </c>
    </row>
    <row r="276" spans="1:7" s="913" customFormat="1" ht="12.75" customHeight="1" x14ac:dyDescent="0.2">
      <c r="A276" s="965" t="s">
        <v>3819</v>
      </c>
      <c r="B276" s="966">
        <v>30699</v>
      </c>
      <c r="C276" s="966">
        <v>30699</v>
      </c>
      <c r="D276" s="966">
        <v>883.46</v>
      </c>
      <c r="E276" s="966">
        <v>883.4559999999999</v>
      </c>
      <c r="F276" s="966">
        <f t="shared" si="4"/>
        <v>31582.46</v>
      </c>
      <c r="G276" s="966">
        <f t="shared" si="4"/>
        <v>31582.455999999998</v>
      </c>
    </row>
    <row r="277" spans="1:7" s="913" customFormat="1" ht="12.75" customHeight="1" x14ac:dyDescent="0.2">
      <c r="A277" s="965" t="s">
        <v>3820</v>
      </c>
      <c r="B277" s="966">
        <v>5553</v>
      </c>
      <c r="C277" s="966">
        <v>5553</v>
      </c>
      <c r="D277" s="966">
        <v>136.04</v>
      </c>
      <c r="E277" s="966">
        <v>136.03700000000001</v>
      </c>
      <c r="F277" s="966">
        <f t="shared" si="4"/>
        <v>5689.04</v>
      </c>
      <c r="G277" s="966">
        <f t="shared" si="4"/>
        <v>5689.0370000000003</v>
      </c>
    </row>
    <row r="278" spans="1:7" s="913" customFormat="1" ht="12.75" customHeight="1" x14ac:dyDescent="0.2">
      <c r="A278" s="965" t="s">
        <v>3821</v>
      </c>
      <c r="B278" s="966">
        <v>30754</v>
      </c>
      <c r="C278" s="966">
        <v>30754</v>
      </c>
      <c r="D278" s="966">
        <v>1016.26</v>
      </c>
      <c r="E278" s="966">
        <v>1016.2569999999999</v>
      </c>
      <c r="F278" s="966">
        <f t="shared" si="4"/>
        <v>31770.26</v>
      </c>
      <c r="G278" s="966">
        <f t="shared" si="4"/>
        <v>31770.257000000001</v>
      </c>
    </row>
    <row r="279" spans="1:7" s="913" customFormat="1" ht="12.75" customHeight="1" x14ac:dyDescent="0.2">
      <c r="A279" s="965" t="s">
        <v>3822</v>
      </c>
      <c r="B279" s="966">
        <v>2258</v>
      </c>
      <c r="C279" s="966">
        <v>2258</v>
      </c>
      <c r="D279" s="966">
        <v>86.65</v>
      </c>
      <c r="E279" s="966">
        <v>86.64800000000001</v>
      </c>
      <c r="F279" s="966">
        <f t="shared" si="4"/>
        <v>2344.65</v>
      </c>
      <c r="G279" s="966">
        <f t="shared" si="4"/>
        <v>2344.6480000000001</v>
      </c>
    </row>
    <row r="280" spans="1:7" s="913" customFormat="1" ht="12.75" customHeight="1" x14ac:dyDescent="0.2">
      <c r="A280" s="965" t="s">
        <v>3823</v>
      </c>
      <c r="B280" s="966">
        <v>7420</v>
      </c>
      <c r="C280" s="966">
        <v>7420</v>
      </c>
      <c r="D280" s="966">
        <v>231.53</v>
      </c>
      <c r="E280" s="966">
        <v>231.52600000000001</v>
      </c>
      <c r="F280" s="966">
        <f t="shared" si="4"/>
        <v>7651.53</v>
      </c>
      <c r="G280" s="966">
        <f t="shared" si="4"/>
        <v>7651.5259999999998</v>
      </c>
    </row>
    <row r="281" spans="1:7" s="913" customFormat="1" ht="12.75" customHeight="1" x14ac:dyDescent="0.2">
      <c r="A281" s="965" t="s">
        <v>3824</v>
      </c>
      <c r="B281" s="966">
        <v>11019</v>
      </c>
      <c r="C281" s="966">
        <v>11019</v>
      </c>
      <c r="D281" s="966">
        <v>378.71999999999997</v>
      </c>
      <c r="E281" s="966">
        <v>378.71699999999998</v>
      </c>
      <c r="F281" s="966">
        <f t="shared" si="4"/>
        <v>11397.72</v>
      </c>
      <c r="G281" s="966">
        <f t="shared" si="4"/>
        <v>11397.717000000001</v>
      </c>
    </row>
    <row r="282" spans="1:7" s="913" customFormat="1" ht="12.75" customHeight="1" x14ac:dyDescent="0.2">
      <c r="A282" s="965" t="s">
        <v>3825</v>
      </c>
      <c r="B282" s="966">
        <v>5001</v>
      </c>
      <c r="C282" s="966">
        <v>5001</v>
      </c>
      <c r="D282" s="966">
        <v>157.04</v>
      </c>
      <c r="E282" s="966">
        <v>157.042</v>
      </c>
      <c r="F282" s="966">
        <f t="shared" si="4"/>
        <v>5158.04</v>
      </c>
      <c r="G282" s="966">
        <f t="shared" si="4"/>
        <v>5158.0420000000004</v>
      </c>
    </row>
    <row r="283" spans="1:7" s="913" customFormat="1" ht="12.75" customHeight="1" x14ac:dyDescent="0.2">
      <c r="A283" s="965" t="s">
        <v>3826</v>
      </c>
      <c r="B283" s="966">
        <v>2013</v>
      </c>
      <c r="C283" s="966">
        <v>2013</v>
      </c>
      <c r="D283" s="966">
        <v>77.25</v>
      </c>
      <c r="E283" s="966">
        <v>77.245000000000005</v>
      </c>
      <c r="F283" s="966">
        <f t="shared" si="4"/>
        <v>2090.25</v>
      </c>
      <c r="G283" s="966">
        <f t="shared" si="4"/>
        <v>2090.2449999999999</v>
      </c>
    </row>
    <row r="284" spans="1:7" s="913" customFormat="1" ht="12.75" customHeight="1" x14ac:dyDescent="0.2">
      <c r="A284" s="965" t="s">
        <v>3827</v>
      </c>
      <c r="B284" s="966">
        <v>4549</v>
      </c>
      <c r="C284" s="966">
        <v>4549</v>
      </c>
      <c r="D284" s="966">
        <v>149.80000000000001</v>
      </c>
      <c r="E284" s="966">
        <v>149.798</v>
      </c>
      <c r="F284" s="966">
        <f t="shared" si="4"/>
        <v>4698.8</v>
      </c>
      <c r="G284" s="966">
        <f t="shared" si="4"/>
        <v>4698.7979999999998</v>
      </c>
    </row>
    <row r="285" spans="1:7" s="913" customFormat="1" ht="12.75" customHeight="1" x14ac:dyDescent="0.2">
      <c r="A285" s="965" t="s">
        <v>3828</v>
      </c>
      <c r="B285" s="966">
        <v>17285</v>
      </c>
      <c r="C285" s="966">
        <v>17285</v>
      </c>
      <c r="D285" s="966">
        <v>1558.25</v>
      </c>
      <c r="E285" s="966">
        <v>1558.25</v>
      </c>
      <c r="F285" s="966">
        <f t="shared" si="4"/>
        <v>18843.25</v>
      </c>
      <c r="G285" s="966">
        <f t="shared" si="4"/>
        <v>18843.25</v>
      </c>
    </row>
    <row r="286" spans="1:7" s="913" customFormat="1" ht="12.75" customHeight="1" x14ac:dyDescent="0.2">
      <c r="A286" s="965" t="s">
        <v>3829</v>
      </c>
      <c r="B286" s="966">
        <v>9229</v>
      </c>
      <c r="C286" s="966">
        <v>9229</v>
      </c>
      <c r="D286" s="966">
        <v>360.93</v>
      </c>
      <c r="E286" s="966">
        <v>360.93399999999997</v>
      </c>
      <c r="F286" s="966">
        <f t="shared" si="4"/>
        <v>9589.93</v>
      </c>
      <c r="G286" s="966">
        <f t="shared" si="4"/>
        <v>9589.9339999999993</v>
      </c>
    </row>
    <row r="287" spans="1:7" s="913" customFormat="1" ht="12.75" customHeight="1" x14ac:dyDescent="0.2">
      <c r="A287" s="965" t="s">
        <v>3830</v>
      </c>
      <c r="B287" s="966">
        <v>10855</v>
      </c>
      <c r="C287" s="966">
        <v>10855</v>
      </c>
      <c r="D287" s="966">
        <v>336.15999999999997</v>
      </c>
      <c r="E287" s="966">
        <v>336.15700000000004</v>
      </c>
      <c r="F287" s="966">
        <f t="shared" si="4"/>
        <v>11191.16</v>
      </c>
      <c r="G287" s="966">
        <f t="shared" si="4"/>
        <v>11191.156999999999</v>
      </c>
    </row>
    <row r="288" spans="1:7" s="913" customFormat="1" ht="12.75" customHeight="1" x14ac:dyDescent="0.2">
      <c r="A288" s="965" t="s">
        <v>3831</v>
      </c>
      <c r="B288" s="966">
        <v>27949</v>
      </c>
      <c r="C288" s="966">
        <v>27949</v>
      </c>
      <c r="D288" s="966">
        <v>1215.8399999999999</v>
      </c>
      <c r="E288" s="966">
        <v>1215.8340000000001</v>
      </c>
      <c r="F288" s="966">
        <f t="shared" si="4"/>
        <v>29164.84</v>
      </c>
      <c r="G288" s="966">
        <f t="shared" si="4"/>
        <v>29164.833999999999</v>
      </c>
    </row>
    <row r="289" spans="1:7" s="913" customFormat="1" ht="12.75" customHeight="1" x14ac:dyDescent="0.2">
      <c r="A289" s="965" t="s">
        <v>3832</v>
      </c>
      <c r="B289" s="966">
        <v>24489</v>
      </c>
      <c r="C289" s="966">
        <v>24489</v>
      </c>
      <c r="D289" s="966">
        <v>827.36</v>
      </c>
      <c r="E289" s="966">
        <v>827.36300000000006</v>
      </c>
      <c r="F289" s="966">
        <f t="shared" si="4"/>
        <v>25316.36</v>
      </c>
      <c r="G289" s="966">
        <f t="shared" si="4"/>
        <v>25316.363000000001</v>
      </c>
    </row>
    <row r="290" spans="1:7" s="913" customFormat="1" ht="12.75" customHeight="1" x14ac:dyDescent="0.2">
      <c r="A290" s="965" t="s">
        <v>3833</v>
      </c>
      <c r="B290" s="966">
        <v>4377</v>
      </c>
      <c r="C290" s="966">
        <v>4377</v>
      </c>
      <c r="D290" s="966">
        <v>146.85</v>
      </c>
      <c r="E290" s="966">
        <v>146.85</v>
      </c>
      <c r="F290" s="966">
        <f t="shared" si="4"/>
        <v>4523.8500000000004</v>
      </c>
      <c r="G290" s="966">
        <f t="shared" si="4"/>
        <v>4523.8500000000004</v>
      </c>
    </row>
    <row r="291" spans="1:7" s="913" customFormat="1" ht="12.75" customHeight="1" x14ac:dyDescent="0.2">
      <c r="A291" s="965" t="s">
        <v>3834</v>
      </c>
      <c r="B291" s="966">
        <v>34075</v>
      </c>
      <c r="C291" s="966">
        <v>34075</v>
      </c>
      <c r="D291" s="966">
        <v>1327.22</v>
      </c>
      <c r="E291" s="966">
        <v>1327.2149999999999</v>
      </c>
      <c r="F291" s="966">
        <f t="shared" si="4"/>
        <v>35402.22</v>
      </c>
      <c r="G291" s="966">
        <f t="shared" si="4"/>
        <v>35402.214999999997</v>
      </c>
    </row>
    <row r="292" spans="1:7" s="913" customFormat="1" ht="12.75" customHeight="1" x14ac:dyDescent="0.2">
      <c r="A292" s="965" t="s">
        <v>3835</v>
      </c>
      <c r="B292" s="966">
        <v>22610</v>
      </c>
      <c r="C292" s="966">
        <v>22610</v>
      </c>
      <c r="D292" s="966">
        <v>727.38</v>
      </c>
      <c r="E292" s="966">
        <v>727.37700000000007</v>
      </c>
      <c r="F292" s="966">
        <f t="shared" si="4"/>
        <v>23337.38</v>
      </c>
      <c r="G292" s="966">
        <f t="shared" si="4"/>
        <v>23337.377</v>
      </c>
    </row>
    <row r="293" spans="1:7" s="913" customFormat="1" ht="12.75" customHeight="1" x14ac:dyDescent="0.2">
      <c r="A293" s="965" t="s">
        <v>3836</v>
      </c>
      <c r="B293" s="966">
        <v>10453</v>
      </c>
      <c r="C293" s="966">
        <v>10453</v>
      </c>
      <c r="D293" s="966">
        <v>353.86</v>
      </c>
      <c r="E293" s="966">
        <v>353.85399999999998</v>
      </c>
      <c r="F293" s="966">
        <f t="shared" si="4"/>
        <v>10806.86</v>
      </c>
      <c r="G293" s="966">
        <f t="shared" si="4"/>
        <v>10806.853999999999</v>
      </c>
    </row>
    <row r="294" spans="1:7" s="913" customFormat="1" ht="12.75" customHeight="1" x14ac:dyDescent="0.2">
      <c r="A294" s="965" t="s">
        <v>3837</v>
      </c>
      <c r="B294" s="966">
        <v>4486</v>
      </c>
      <c r="C294" s="966">
        <v>4486</v>
      </c>
      <c r="D294" s="966">
        <v>170.31</v>
      </c>
      <c r="E294" s="966">
        <v>170.30199999999999</v>
      </c>
      <c r="F294" s="966">
        <f t="shared" si="4"/>
        <v>4656.3100000000004</v>
      </c>
      <c r="G294" s="966">
        <f t="shared" si="4"/>
        <v>4656.3019999999997</v>
      </c>
    </row>
    <row r="295" spans="1:7" s="913" customFormat="1" ht="22.5" customHeight="1" x14ac:dyDescent="0.2">
      <c r="A295" s="965" t="s">
        <v>3838</v>
      </c>
      <c r="B295" s="966">
        <v>20595</v>
      </c>
      <c r="C295" s="966">
        <v>20595</v>
      </c>
      <c r="D295" s="966">
        <v>653.75</v>
      </c>
      <c r="E295" s="966">
        <v>653.75299999999993</v>
      </c>
      <c r="F295" s="966">
        <f t="shared" si="4"/>
        <v>21248.75</v>
      </c>
      <c r="G295" s="966">
        <f t="shared" si="4"/>
        <v>21248.753000000001</v>
      </c>
    </row>
    <row r="296" spans="1:7" s="913" customFormat="1" ht="12.75" customHeight="1" x14ac:dyDescent="0.2">
      <c r="A296" s="965" t="s">
        <v>3839</v>
      </c>
      <c r="B296" s="966">
        <v>12696</v>
      </c>
      <c r="C296" s="966">
        <v>12696</v>
      </c>
      <c r="D296" s="966">
        <v>480.13</v>
      </c>
      <c r="E296" s="966">
        <v>480.13099999999997</v>
      </c>
      <c r="F296" s="966">
        <f t="shared" si="4"/>
        <v>13176.13</v>
      </c>
      <c r="G296" s="966">
        <f t="shared" si="4"/>
        <v>13176.130999999999</v>
      </c>
    </row>
    <row r="297" spans="1:7" s="913" customFormat="1" ht="12.75" customHeight="1" x14ac:dyDescent="0.2">
      <c r="A297" s="965" t="s">
        <v>3840</v>
      </c>
      <c r="B297" s="966">
        <v>14248</v>
      </c>
      <c r="C297" s="966">
        <v>14248</v>
      </c>
      <c r="D297" s="966">
        <v>485.40999999999997</v>
      </c>
      <c r="E297" s="966">
        <v>485.41</v>
      </c>
      <c r="F297" s="966">
        <f t="shared" si="4"/>
        <v>14733.41</v>
      </c>
      <c r="G297" s="966">
        <f t="shared" si="4"/>
        <v>14733.41</v>
      </c>
    </row>
    <row r="298" spans="1:7" s="913" customFormat="1" ht="12.75" customHeight="1" x14ac:dyDescent="0.2">
      <c r="A298" s="965" t="s">
        <v>3841</v>
      </c>
      <c r="B298" s="966">
        <v>18788</v>
      </c>
      <c r="C298" s="966">
        <v>18788</v>
      </c>
      <c r="D298" s="966">
        <v>644.32999999999993</v>
      </c>
      <c r="E298" s="966">
        <v>644.32299999999998</v>
      </c>
      <c r="F298" s="966">
        <f t="shared" si="4"/>
        <v>19432.330000000002</v>
      </c>
      <c r="G298" s="966">
        <f t="shared" si="4"/>
        <v>19432.323</v>
      </c>
    </row>
    <row r="299" spans="1:7" s="913" customFormat="1" ht="12.75" customHeight="1" x14ac:dyDescent="0.2">
      <c r="A299" s="965" t="s">
        <v>3842</v>
      </c>
      <c r="B299" s="966">
        <v>5034</v>
      </c>
      <c r="C299" s="966">
        <v>5034</v>
      </c>
      <c r="D299" s="966">
        <v>187.82000000000002</v>
      </c>
      <c r="E299" s="966">
        <v>187.81799999999998</v>
      </c>
      <c r="F299" s="966">
        <f t="shared" si="4"/>
        <v>5221.82</v>
      </c>
      <c r="G299" s="966">
        <f t="shared" si="4"/>
        <v>5221.8180000000002</v>
      </c>
    </row>
    <row r="300" spans="1:7" s="913" customFormat="1" ht="12.75" customHeight="1" x14ac:dyDescent="0.2">
      <c r="A300" s="965" t="s">
        <v>3843</v>
      </c>
      <c r="B300" s="966">
        <v>5129</v>
      </c>
      <c r="C300" s="966">
        <v>5129</v>
      </c>
      <c r="D300" s="966">
        <v>168.43</v>
      </c>
      <c r="E300" s="966">
        <v>168.435</v>
      </c>
      <c r="F300" s="966">
        <f t="shared" si="4"/>
        <v>5297.43</v>
      </c>
      <c r="G300" s="966">
        <f t="shared" si="4"/>
        <v>5297.4350000000004</v>
      </c>
    </row>
    <row r="301" spans="1:7" s="913" customFormat="1" ht="12.75" customHeight="1" x14ac:dyDescent="0.2">
      <c r="A301" s="965" t="s">
        <v>3844</v>
      </c>
      <c r="B301" s="966">
        <v>2979</v>
      </c>
      <c r="C301" s="966">
        <v>2979</v>
      </c>
      <c r="D301" s="966">
        <v>86.92</v>
      </c>
      <c r="E301" s="966">
        <v>86.918000000000006</v>
      </c>
      <c r="F301" s="966">
        <f t="shared" si="4"/>
        <v>3065.92</v>
      </c>
      <c r="G301" s="966">
        <f t="shared" si="4"/>
        <v>3065.9180000000001</v>
      </c>
    </row>
    <row r="302" spans="1:7" s="913" customFormat="1" ht="12.75" customHeight="1" x14ac:dyDescent="0.2">
      <c r="A302" s="965" t="s">
        <v>3845</v>
      </c>
      <c r="B302" s="966">
        <v>5294</v>
      </c>
      <c r="C302" s="966">
        <v>5294</v>
      </c>
      <c r="D302" s="966">
        <v>174.48999999999998</v>
      </c>
      <c r="E302" s="966">
        <v>174.49100000000001</v>
      </c>
      <c r="F302" s="966">
        <f t="shared" si="4"/>
        <v>5468.49</v>
      </c>
      <c r="G302" s="966">
        <f t="shared" si="4"/>
        <v>5468.491</v>
      </c>
    </row>
    <row r="303" spans="1:7" s="913" customFormat="1" ht="12.75" customHeight="1" x14ac:dyDescent="0.2">
      <c r="A303" s="965" t="s">
        <v>3846</v>
      </c>
      <c r="B303" s="966">
        <v>6729</v>
      </c>
      <c r="C303" s="966">
        <v>6729</v>
      </c>
      <c r="D303" s="966">
        <v>175.94</v>
      </c>
      <c r="E303" s="966">
        <v>175.93799999999999</v>
      </c>
      <c r="F303" s="966">
        <f t="shared" si="4"/>
        <v>6904.94</v>
      </c>
      <c r="G303" s="966">
        <f t="shared" si="4"/>
        <v>6904.9380000000001</v>
      </c>
    </row>
    <row r="304" spans="1:7" s="913" customFormat="1" ht="12.75" customHeight="1" x14ac:dyDescent="0.2">
      <c r="A304" s="965" t="s">
        <v>3847</v>
      </c>
      <c r="B304" s="966">
        <v>3609</v>
      </c>
      <c r="C304" s="966">
        <v>3609</v>
      </c>
      <c r="D304" s="966">
        <v>123.27</v>
      </c>
      <c r="E304" s="966">
        <v>123.274</v>
      </c>
      <c r="F304" s="966">
        <f t="shared" si="4"/>
        <v>3732.27</v>
      </c>
      <c r="G304" s="966">
        <f t="shared" si="4"/>
        <v>3732.2739999999999</v>
      </c>
    </row>
    <row r="305" spans="1:7" s="913" customFormat="1" ht="12.75" customHeight="1" x14ac:dyDescent="0.2">
      <c r="A305" s="965" t="s">
        <v>3848</v>
      </c>
      <c r="B305" s="966">
        <v>11930</v>
      </c>
      <c r="C305" s="966">
        <v>11930</v>
      </c>
      <c r="D305" s="966">
        <v>378.74</v>
      </c>
      <c r="E305" s="966">
        <v>378.74199999999996</v>
      </c>
      <c r="F305" s="966">
        <f t="shared" si="4"/>
        <v>12308.74</v>
      </c>
      <c r="G305" s="966">
        <f t="shared" si="4"/>
        <v>12308.742</v>
      </c>
    </row>
    <row r="306" spans="1:7" s="913" customFormat="1" ht="12.75" customHeight="1" x14ac:dyDescent="0.2">
      <c r="A306" s="965" t="s">
        <v>3849</v>
      </c>
      <c r="B306" s="966">
        <v>3935</v>
      </c>
      <c r="C306" s="966">
        <v>3935</v>
      </c>
      <c r="D306" s="966">
        <v>125.67</v>
      </c>
      <c r="E306" s="966">
        <v>125.666</v>
      </c>
      <c r="F306" s="966">
        <f t="shared" si="4"/>
        <v>4060.67</v>
      </c>
      <c r="G306" s="966">
        <f t="shared" si="4"/>
        <v>4060.6660000000002</v>
      </c>
    </row>
    <row r="307" spans="1:7" s="913" customFormat="1" ht="12.75" customHeight="1" x14ac:dyDescent="0.2">
      <c r="A307" s="965" t="s">
        <v>3850</v>
      </c>
      <c r="B307" s="966">
        <v>4208</v>
      </c>
      <c r="C307" s="966">
        <v>4208</v>
      </c>
      <c r="D307" s="966">
        <v>152.14000000000001</v>
      </c>
      <c r="E307" s="966">
        <v>152.13200000000001</v>
      </c>
      <c r="F307" s="966">
        <f t="shared" si="4"/>
        <v>4360.1400000000003</v>
      </c>
      <c r="G307" s="966">
        <f t="shared" si="4"/>
        <v>4360.1319999999996</v>
      </c>
    </row>
    <row r="308" spans="1:7" s="913" customFormat="1" ht="12.75" customHeight="1" x14ac:dyDescent="0.2">
      <c r="A308" s="965" t="s">
        <v>3851</v>
      </c>
      <c r="B308" s="966">
        <v>17309</v>
      </c>
      <c r="C308" s="966">
        <v>17309</v>
      </c>
      <c r="D308" s="966">
        <v>613.13</v>
      </c>
      <c r="E308" s="966">
        <v>613.13200000000006</v>
      </c>
      <c r="F308" s="966">
        <f t="shared" si="4"/>
        <v>17922.13</v>
      </c>
      <c r="G308" s="966">
        <f t="shared" si="4"/>
        <v>17922.132000000001</v>
      </c>
    </row>
    <row r="309" spans="1:7" s="913" customFormat="1" ht="12.75" customHeight="1" x14ac:dyDescent="0.2">
      <c r="A309" s="965" t="s">
        <v>3852</v>
      </c>
      <c r="B309" s="966">
        <v>4999</v>
      </c>
      <c r="C309" s="966">
        <v>4999</v>
      </c>
      <c r="D309" s="966">
        <v>167.14999999999998</v>
      </c>
      <c r="E309" s="966">
        <v>167.149</v>
      </c>
      <c r="F309" s="966">
        <f t="shared" si="4"/>
        <v>5166.1499999999996</v>
      </c>
      <c r="G309" s="966">
        <f t="shared" si="4"/>
        <v>5166.1490000000003</v>
      </c>
    </row>
    <row r="310" spans="1:7" s="913" customFormat="1" ht="12.75" customHeight="1" x14ac:dyDescent="0.2">
      <c r="A310" s="965" t="s">
        <v>3853</v>
      </c>
      <c r="B310" s="966">
        <v>2523</v>
      </c>
      <c r="C310" s="966">
        <v>2523</v>
      </c>
      <c r="D310" s="966">
        <v>65.53</v>
      </c>
      <c r="E310" s="966">
        <v>65.533999999999992</v>
      </c>
      <c r="F310" s="966">
        <f t="shared" si="4"/>
        <v>2588.5300000000002</v>
      </c>
      <c r="G310" s="966">
        <f t="shared" si="4"/>
        <v>2588.5340000000001</v>
      </c>
    </row>
    <row r="311" spans="1:7" s="913" customFormat="1" ht="12.75" customHeight="1" x14ac:dyDescent="0.2">
      <c r="A311" s="965" t="s">
        <v>3854</v>
      </c>
      <c r="B311" s="966">
        <v>4673</v>
      </c>
      <c r="C311" s="966">
        <v>4673</v>
      </c>
      <c r="D311" s="966">
        <v>133.44999999999999</v>
      </c>
      <c r="E311" s="966">
        <v>133.44899999999998</v>
      </c>
      <c r="F311" s="966">
        <f t="shared" si="4"/>
        <v>4806.45</v>
      </c>
      <c r="G311" s="966">
        <f t="shared" si="4"/>
        <v>4806.4489999999996</v>
      </c>
    </row>
    <row r="312" spans="1:7" s="913" customFormat="1" ht="12.75" customHeight="1" x14ac:dyDescent="0.2">
      <c r="A312" s="965" t="s">
        <v>3855</v>
      </c>
      <c r="B312" s="966">
        <v>5916</v>
      </c>
      <c r="C312" s="966">
        <v>5916</v>
      </c>
      <c r="D312" s="966">
        <v>182.31</v>
      </c>
      <c r="E312" s="966">
        <v>182.30700000000002</v>
      </c>
      <c r="F312" s="966">
        <f t="shared" si="4"/>
        <v>6098.31</v>
      </c>
      <c r="G312" s="966">
        <f t="shared" si="4"/>
        <v>6098.3069999999998</v>
      </c>
    </row>
    <row r="313" spans="1:7" s="913" customFormat="1" ht="12.75" customHeight="1" x14ac:dyDescent="0.2">
      <c r="A313" s="965" t="s">
        <v>3856</v>
      </c>
      <c r="B313" s="966">
        <v>4988</v>
      </c>
      <c r="C313" s="966">
        <v>4988</v>
      </c>
      <c r="D313" s="966">
        <v>163.17999999999998</v>
      </c>
      <c r="E313" s="966">
        <v>163.18</v>
      </c>
      <c r="F313" s="966">
        <f t="shared" si="4"/>
        <v>5151.18</v>
      </c>
      <c r="G313" s="966">
        <f t="shared" si="4"/>
        <v>5151.18</v>
      </c>
    </row>
    <row r="314" spans="1:7" s="913" customFormat="1" ht="12.75" customHeight="1" x14ac:dyDescent="0.2">
      <c r="A314" s="965" t="s">
        <v>3857</v>
      </c>
      <c r="B314" s="966">
        <v>3320</v>
      </c>
      <c r="C314" s="966">
        <v>3320</v>
      </c>
      <c r="D314" s="966">
        <v>102.88</v>
      </c>
      <c r="E314" s="966">
        <v>102.876</v>
      </c>
      <c r="F314" s="966">
        <f t="shared" si="4"/>
        <v>3422.88</v>
      </c>
      <c r="G314" s="966">
        <f t="shared" si="4"/>
        <v>3422.8760000000002</v>
      </c>
    </row>
    <row r="315" spans="1:7" s="913" customFormat="1" ht="12.75" customHeight="1" x14ac:dyDescent="0.2">
      <c r="A315" s="965" t="s">
        <v>3858</v>
      </c>
      <c r="B315" s="966">
        <v>9607</v>
      </c>
      <c r="C315" s="966">
        <v>9607</v>
      </c>
      <c r="D315" s="966">
        <v>305</v>
      </c>
      <c r="E315" s="966">
        <v>304.99800000000005</v>
      </c>
      <c r="F315" s="966">
        <f t="shared" si="4"/>
        <v>9912</v>
      </c>
      <c r="G315" s="966">
        <f t="shared" si="4"/>
        <v>9911.9979999999996</v>
      </c>
    </row>
    <row r="316" spans="1:7" s="913" customFormat="1" ht="12.75" customHeight="1" x14ac:dyDescent="0.2">
      <c r="A316" s="965" t="s">
        <v>3859</v>
      </c>
      <c r="B316" s="966">
        <v>4699</v>
      </c>
      <c r="C316" s="966">
        <v>4699</v>
      </c>
      <c r="D316" s="966">
        <v>174.4</v>
      </c>
      <c r="E316" s="966">
        <v>174.39699999999999</v>
      </c>
      <c r="F316" s="966">
        <f t="shared" si="4"/>
        <v>4873.3999999999996</v>
      </c>
      <c r="G316" s="966">
        <f t="shared" si="4"/>
        <v>4873.3969999999999</v>
      </c>
    </row>
    <row r="317" spans="1:7" s="913" customFormat="1" ht="12.75" customHeight="1" x14ac:dyDescent="0.2">
      <c r="A317" s="965" t="s">
        <v>3860</v>
      </c>
      <c r="B317" s="966">
        <v>8989</v>
      </c>
      <c r="C317" s="966">
        <v>8989</v>
      </c>
      <c r="D317" s="966">
        <v>321.58</v>
      </c>
      <c r="E317" s="966">
        <v>321.57600000000002</v>
      </c>
      <c r="F317" s="966">
        <f t="shared" si="4"/>
        <v>9310.58</v>
      </c>
      <c r="G317" s="966">
        <f t="shared" si="4"/>
        <v>9310.5760000000009</v>
      </c>
    </row>
    <row r="318" spans="1:7" s="913" customFormat="1" ht="12.75" customHeight="1" x14ac:dyDescent="0.2">
      <c r="A318" s="965" t="s">
        <v>3861</v>
      </c>
      <c r="B318" s="966">
        <v>12401</v>
      </c>
      <c r="C318" s="966">
        <v>12401</v>
      </c>
      <c r="D318" s="966">
        <v>440.17</v>
      </c>
      <c r="E318" s="966">
        <v>440.166</v>
      </c>
      <c r="F318" s="966">
        <f t="shared" si="4"/>
        <v>12841.17</v>
      </c>
      <c r="G318" s="966">
        <f t="shared" si="4"/>
        <v>12841.165999999999</v>
      </c>
    </row>
    <row r="319" spans="1:7" s="913" customFormat="1" ht="12.75" customHeight="1" x14ac:dyDescent="0.2">
      <c r="A319" s="965" t="s">
        <v>3862</v>
      </c>
      <c r="B319" s="966">
        <v>2897</v>
      </c>
      <c r="C319" s="966">
        <v>2897</v>
      </c>
      <c r="D319" s="966">
        <v>94.38</v>
      </c>
      <c r="E319" s="966">
        <v>94.376999999999995</v>
      </c>
      <c r="F319" s="966">
        <f t="shared" si="4"/>
        <v>2991.38</v>
      </c>
      <c r="G319" s="966">
        <f t="shared" si="4"/>
        <v>2991.377</v>
      </c>
    </row>
    <row r="320" spans="1:7" s="913" customFormat="1" ht="12.75" customHeight="1" x14ac:dyDescent="0.2">
      <c r="A320" s="965" t="s">
        <v>3863</v>
      </c>
      <c r="B320" s="966">
        <v>8268</v>
      </c>
      <c r="C320" s="966">
        <v>8268</v>
      </c>
      <c r="D320" s="966">
        <v>266.25</v>
      </c>
      <c r="E320" s="966">
        <v>266.24799999999999</v>
      </c>
      <c r="F320" s="966">
        <f t="shared" si="4"/>
        <v>8534.25</v>
      </c>
      <c r="G320" s="966">
        <f t="shared" si="4"/>
        <v>8534.2479999999996</v>
      </c>
    </row>
    <row r="321" spans="1:7" s="913" customFormat="1" ht="12.75" customHeight="1" x14ac:dyDescent="0.2">
      <c r="A321" s="965" t="s">
        <v>3864</v>
      </c>
      <c r="B321" s="966">
        <v>18359</v>
      </c>
      <c r="C321" s="966">
        <v>18359</v>
      </c>
      <c r="D321" s="966">
        <v>629.6</v>
      </c>
      <c r="E321" s="966">
        <v>629.6049999999999</v>
      </c>
      <c r="F321" s="966">
        <f t="shared" si="4"/>
        <v>18988.599999999999</v>
      </c>
      <c r="G321" s="966">
        <f t="shared" si="4"/>
        <v>18988.605</v>
      </c>
    </row>
    <row r="322" spans="1:7" s="913" customFormat="1" ht="12.75" customHeight="1" x14ac:dyDescent="0.2">
      <c r="A322" s="965" t="s">
        <v>3865</v>
      </c>
      <c r="B322" s="966">
        <v>17203</v>
      </c>
      <c r="C322" s="966">
        <v>17203</v>
      </c>
      <c r="D322" s="966">
        <v>609.91999999999996</v>
      </c>
      <c r="E322" s="966">
        <v>609.91600000000005</v>
      </c>
      <c r="F322" s="966">
        <f t="shared" si="4"/>
        <v>17812.919999999998</v>
      </c>
      <c r="G322" s="966">
        <f t="shared" si="4"/>
        <v>17812.916000000001</v>
      </c>
    </row>
    <row r="323" spans="1:7" s="913" customFormat="1" ht="12.75" customHeight="1" x14ac:dyDescent="0.2">
      <c r="A323" s="965" t="s">
        <v>3866</v>
      </c>
      <c r="B323" s="966">
        <v>16639</v>
      </c>
      <c r="C323" s="966">
        <v>16639</v>
      </c>
      <c r="D323" s="966">
        <v>580.62</v>
      </c>
      <c r="E323" s="966">
        <v>580.61199999999997</v>
      </c>
      <c r="F323" s="966">
        <f t="shared" si="4"/>
        <v>17219.62</v>
      </c>
      <c r="G323" s="966">
        <f t="shared" si="4"/>
        <v>17219.612000000001</v>
      </c>
    </row>
    <row r="324" spans="1:7" s="913" customFormat="1" ht="12.75" customHeight="1" x14ac:dyDescent="0.2">
      <c r="A324" s="965" t="s">
        <v>3867</v>
      </c>
      <c r="B324" s="966">
        <v>6381</v>
      </c>
      <c r="C324" s="966">
        <v>6381</v>
      </c>
      <c r="D324" s="966">
        <v>171.08</v>
      </c>
      <c r="E324" s="966">
        <v>171.08300000000003</v>
      </c>
      <c r="F324" s="966">
        <f t="shared" si="4"/>
        <v>6552.08</v>
      </c>
      <c r="G324" s="966">
        <f t="shared" si="4"/>
        <v>6552.0829999999996</v>
      </c>
    </row>
    <row r="325" spans="1:7" s="913" customFormat="1" ht="12.75" customHeight="1" x14ac:dyDescent="0.2">
      <c r="A325" s="965" t="s">
        <v>3868</v>
      </c>
      <c r="B325" s="966">
        <v>2521</v>
      </c>
      <c r="C325" s="966">
        <v>2521</v>
      </c>
      <c r="D325" s="966">
        <v>68.740000000000009</v>
      </c>
      <c r="E325" s="966">
        <v>68.744</v>
      </c>
      <c r="F325" s="966">
        <f t="shared" si="4"/>
        <v>2589.7399999999998</v>
      </c>
      <c r="G325" s="966">
        <f t="shared" si="4"/>
        <v>2589.7440000000001</v>
      </c>
    </row>
    <row r="326" spans="1:7" s="913" customFormat="1" ht="12.75" customHeight="1" x14ac:dyDescent="0.2">
      <c r="A326" s="965" t="s">
        <v>3869</v>
      </c>
      <c r="B326" s="966">
        <v>12742</v>
      </c>
      <c r="C326" s="966">
        <v>12742</v>
      </c>
      <c r="D326" s="966">
        <v>467.22</v>
      </c>
      <c r="E326" s="966">
        <v>467.21600000000001</v>
      </c>
      <c r="F326" s="966">
        <f t="shared" ref="F326:G389" si="5">B326+D326</f>
        <v>13209.22</v>
      </c>
      <c r="G326" s="966">
        <f t="shared" si="5"/>
        <v>13209.216</v>
      </c>
    </row>
    <row r="327" spans="1:7" s="913" customFormat="1" ht="12.75" customHeight="1" x14ac:dyDescent="0.2">
      <c r="A327" s="965" t="s">
        <v>3870</v>
      </c>
      <c r="B327" s="966">
        <v>3615</v>
      </c>
      <c r="C327" s="966">
        <v>3615</v>
      </c>
      <c r="D327" s="966">
        <v>103.88</v>
      </c>
      <c r="E327" s="966">
        <v>103.877</v>
      </c>
      <c r="F327" s="966">
        <f t="shared" si="5"/>
        <v>3718.88</v>
      </c>
      <c r="G327" s="966">
        <f t="shared" si="5"/>
        <v>3718.877</v>
      </c>
    </row>
    <row r="328" spans="1:7" s="913" customFormat="1" ht="12.75" customHeight="1" x14ac:dyDescent="0.2">
      <c r="A328" s="965" t="s">
        <v>3871</v>
      </c>
      <c r="B328" s="966">
        <v>11510</v>
      </c>
      <c r="C328" s="966">
        <v>11510</v>
      </c>
      <c r="D328" s="966">
        <v>369.42</v>
      </c>
      <c r="E328" s="966">
        <v>369.42399999999998</v>
      </c>
      <c r="F328" s="966">
        <f t="shared" si="5"/>
        <v>11879.42</v>
      </c>
      <c r="G328" s="966">
        <f t="shared" si="5"/>
        <v>11879.423999999999</v>
      </c>
    </row>
    <row r="329" spans="1:7" s="913" customFormat="1" ht="12.75" customHeight="1" x14ac:dyDescent="0.2">
      <c r="A329" s="965" t="s">
        <v>3872</v>
      </c>
      <c r="B329" s="966">
        <v>7985</v>
      </c>
      <c r="C329" s="966">
        <v>7985</v>
      </c>
      <c r="D329" s="966">
        <v>304.81</v>
      </c>
      <c r="E329" s="966">
        <v>304.80500000000001</v>
      </c>
      <c r="F329" s="966">
        <f t="shared" si="5"/>
        <v>8289.81</v>
      </c>
      <c r="G329" s="966">
        <f t="shared" si="5"/>
        <v>8289.8050000000003</v>
      </c>
    </row>
    <row r="330" spans="1:7" s="913" customFormat="1" ht="12.75" customHeight="1" x14ac:dyDescent="0.2">
      <c r="A330" s="965" t="s">
        <v>3873</v>
      </c>
      <c r="B330" s="966">
        <v>9905</v>
      </c>
      <c r="C330" s="966">
        <v>9905</v>
      </c>
      <c r="D330" s="966">
        <v>309.54000000000002</v>
      </c>
      <c r="E330" s="966">
        <v>309.53899999999999</v>
      </c>
      <c r="F330" s="966">
        <f t="shared" si="5"/>
        <v>10214.540000000001</v>
      </c>
      <c r="G330" s="966">
        <f t="shared" si="5"/>
        <v>10214.539000000001</v>
      </c>
    </row>
    <row r="331" spans="1:7" s="913" customFormat="1" ht="12.75" customHeight="1" x14ac:dyDescent="0.2">
      <c r="A331" s="965" t="s">
        <v>3874</v>
      </c>
      <c r="B331" s="966">
        <v>2246</v>
      </c>
      <c r="C331" s="966">
        <v>2246</v>
      </c>
      <c r="D331" s="966">
        <v>79.75</v>
      </c>
      <c r="E331" s="966">
        <v>79.75</v>
      </c>
      <c r="F331" s="966">
        <f t="shared" si="5"/>
        <v>2325.75</v>
      </c>
      <c r="G331" s="966">
        <f t="shared" si="5"/>
        <v>2325.75</v>
      </c>
    </row>
    <row r="332" spans="1:7" s="913" customFormat="1" ht="12.75" customHeight="1" x14ac:dyDescent="0.2">
      <c r="A332" s="965" t="s">
        <v>3875</v>
      </c>
      <c r="B332" s="966">
        <v>1984</v>
      </c>
      <c r="C332" s="966">
        <v>1984</v>
      </c>
      <c r="D332" s="966">
        <v>64.87</v>
      </c>
      <c r="E332" s="966">
        <v>64.872</v>
      </c>
      <c r="F332" s="966">
        <f t="shared" si="5"/>
        <v>2048.87</v>
      </c>
      <c r="G332" s="966">
        <f t="shared" si="5"/>
        <v>2048.8719999999998</v>
      </c>
    </row>
    <row r="333" spans="1:7" s="913" customFormat="1" ht="12.75" customHeight="1" x14ac:dyDescent="0.2">
      <c r="A333" s="965" t="s">
        <v>3876</v>
      </c>
      <c r="B333" s="966">
        <v>5981</v>
      </c>
      <c r="C333" s="966">
        <v>5981</v>
      </c>
      <c r="D333" s="966">
        <v>245.14</v>
      </c>
      <c r="E333" s="966">
        <v>245.136</v>
      </c>
      <c r="F333" s="966">
        <f t="shared" si="5"/>
        <v>6226.14</v>
      </c>
      <c r="G333" s="966">
        <f t="shared" si="5"/>
        <v>6226.1360000000004</v>
      </c>
    </row>
    <row r="334" spans="1:7" s="913" customFormat="1" ht="12.75" customHeight="1" x14ac:dyDescent="0.2">
      <c r="A334" s="965" t="s">
        <v>3877</v>
      </c>
      <c r="B334" s="966">
        <v>17620</v>
      </c>
      <c r="C334" s="966">
        <v>17620</v>
      </c>
      <c r="D334" s="966">
        <v>562.06999999999994</v>
      </c>
      <c r="E334" s="966">
        <v>562.06400000000008</v>
      </c>
      <c r="F334" s="966">
        <f t="shared" si="5"/>
        <v>18182.07</v>
      </c>
      <c r="G334" s="966">
        <f t="shared" si="5"/>
        <v>18182.063999999998</v>
      </c>
    </row>
    <row r="335" spans="1:7" s="913" customFormat="1" ht="12.75" customHeight="1" x14ac:dyDescent="0.2">
      <c r="A335" s="965" t="s">
        <v>3878</v>
      </c>
      <c r="B335" s="966">
        <v>9901</v>
      </c>
      <c r="C335" s="966">
        <v>9901</v>
      </c>
      <c r="D335" s="966">
        <v>376.24</v>
      </c>
      <c r="E335" s="966">
        <v>376.23099999999999</v>
      </c>
      <c r="F335" s="966">
        <f t="shared" si="5"/>
        <v>10277.24</v>
      </c>
      <c r="G335" s="966">
        <f t="shared" si="5"/>
        <v>10277.231</v>
      </c>
    </row>
    <row r="336" spans="1:7" s="913" customFormat="1" ht="12.75" customHeight="1" x14ac:dyDescent="0.2">
      <c r="A336" s="965" t="s">
        <v>3879</v>
      </c>
      <c r="B336" s="966">
        <v>2207</v>
      </c>
      <c r="C336" s="966">
        <v>2207</v>
      </c>
      <c r="D336" s="966">
        <v>72.42</v>
      </c>
      <c r="E336" s="966">
        <v>72.412999999999997</v>
      </c>
      <c r="F336" s="966">
        <f t="shared" si="5"/>
        <v>2279.42</v>
      </c>
      <c r="G336" s="966">
        <f t="shared" si="5"/>
        <v>2279.413</v>
      </c>
    </row>
    <row r="337" spans="1:7" s="913" customFormat="1" ht="12.75" customHeight="1" x14ac:dyDescent="0.2">
      <c r="A337" s="965" t="s">
        <v>3880</v>
      </c>
      <c r="B337" s="966">
        <v>16700</v>
      </c>
      <c r="C337" s="966">
        <v>16700</v>
      </c>
      <c r="D337" s="966">
        <v>804.89</v>
      </c>
      <c r="E337" s="966">
        <v>804.88800000000003</v>
      </c>
      <c r="F337" s="966">
        <f t="shared" si="5"/>
        <v>17504.89</v>
      </c>
      <c r="G337" s="966">
        <f t="shared" si="5"/>
        <v>17504.887999999999</v>
      </c>
    </row>
    <row r="338" spans="1:7" s="913" customFormat="1" ht="12.75" customHeight="1" x14ac:dyDescent="0.2">
      <c r="A338" s="965" t="s">
        <v>3881</v>
      </c>
      <c r="B338" s="966">
        <v>2662</v>
      </c>
      <c r="C338" s="966">
        <v>2662</v>
      </c>
      <c r="D338" s="966">
        <v>74.03</v>
      </c>
      <c r="E338" s="966">
        <v>74.025999999999996</v>
      </c>
      <c r="F338" s="966">
        <f t="shared" si="5"/>
        <v>2736.03</v>
      </c>
      <c r="G338" s="966">
        <f t="shared" si="5"/>
        <v>2736.0259999999998</v>
      </c>
    </row>
    <row r="339" spans="1:7" s="913" customFormat="1" ht="12.75" customHeight="1" x14ac:dyDescent="0.2">
      <c r="A339" s="965" t="s">
        <v>3882</v>
      </c>
      <c r="B339" s="966">
        <v>7571</v>
      </c>
      <c r="C339" s="966">
        <v>7571</v>
      </c>
      <c r="D339" s="966">
        <v>269.14</v>
      </c>
      <c r="E339" s="966">
        <v>269.14300000000003</v>
      </c>
      <c r="F339" s="966">
        <f t="shared" si="5"/>
        <v>7840.14</v>
      </c>
      <c r="G339" s="966">
        <f t="shared" si="5"/>
        <v>7840.143</v>
      </c>
    </row>
    <row r="340" spans="1:7" s="913" customFormat="1" ht="12.75" customHeight="1" x14ac:dyDescent="0.2">
      <c r="A340" s="965" t="s">
        <v>3883</v>
      </c>
      <c r="B340" s="966">
        <v>13352</v>
      </c>
      <c r="C340" s="966">
        <v>13352</v>
      </c>
      <c r="D340" s="966">
        <v>469.26</v>
      </c>
      <c r="E340" s="966">
        <v>469.25900000000001</v>
      </c>
      <c r="F340" s="966">
        <f t="shared" si="5"/>
        <v>13821.26</v>
      </c>
      <c r="G340" s="966">
        <f t="shared" si="5"/>
        <v>13821.259</v>
      </c>
    </row>
    <row r="341" spans="1:7" s="913" customFormat="1" ht="12.75" customHeight="1" x14ac:dyDescent="0.2">
      <c r="A341" s="965" t="s">
        <v>3884</v>
      </c>
      <c r="B341" s="966">
        <v>12609</v>
      </c>
      <c r="C341" s="966">
        <v>12609</v>
      </c>
      <c r="D341" s="966">
        <v>424.34000000000003</v>
      </c>
      <c r="E341" s="966">
        <v>424.33600000000001</v>
      </c>
      <c r="F341" s="966">
        <f t="shared" si="5"/>
        <v>13033.34</v>
      </c>
      <c r="G341" s="966">
        <f t="shared" si="5"/>
        <v>13033.335999999999</v>
      </c>
    </row>
    <row r="342" spans="1:7" s="913" customFormat="1" ht="12.75" customHeight="1" x14ac:dyDescent="0.2">
      <c r="A342" s="965" t="s">
        <v>3885</v>
      </c>
      <c r="B342" s="966">
        <v>2800</v>
      </c>
      <c r="C342" s="966">
        <v>2800</v>
      </c>
      <c r="D342" s="966">
        <v>86.16</v>
      </c>
      <c r="E342" s="966">
        <v>86.161999999999992</v>
      </c>
      <c r="F342" s="966">
        <f t="shared" si="5"/>
        <v>2886.16</v>
      </c>
      <c r="G342" s="966">
        <f t="shared" si="5"/>
        <v>2886.1619999999998</v>
      </c>
    </row>
    <row r="343" spans="1:7" s="913" customFormat="1" ht="12.75" customHeight="1" x14ac:dyDescent="0.2">
      <c r="A343" s="965" t="s">
        <v>3886</v>
      </c>
      <c r="B343" s="966">
        <v>21640</v>
      </c>
      <c r="C343" s="966">
        <v>21640</v>
      </c>
      <c r="D343" s="966">
        <v>953.06999999999994</v>
      </c>
      <c r="E343" s="966">
        <v>948.83500000000004</v>
      </c>
      <c r="F343" s="966">
        <f t="shared" si="5"/>
        <v>22593.07</v>
      </c>
      <c r="G343" s="966">
        <f t="shared" si="5"/>
        <v>22588.834999999999</v>
      </c>
    </row>
    <row r="344" spans="1:7" s="913" customFormat="1" ht="12.75" customHeight="1" x14ac:dyDescent="0.2">
      <c r="A344" s="965" t="s">
        <v>3887</v>
      </c>
      <c r="B344" s="966">
        <v>19888</v>
      </c>
      <c r="C344" s="966">
        <v>19888</v>
      </c>
      <c r="D344" s="966">
        <v>869.49</v>
      </c>
      <c r="E344" s="966">
        <v>869.48300000000006</v>
      </c>
      <c r="F344" s="966">
        <f t="shared" si="5"/>
        <v>20757.490000000002</v>
      </c>
      <c r="G344" s="966">
        <f t="shared" si="5"/>
        <v>20757.483</v>
      </c>
    </row>
    <row r="345" spans="1:7" s="913" customFormat="1" ht="12.75" customHeight="1" x14ac:dyDescent="0.2">
      <c r="A345" s="965" t="s">
        <v>3888</v>
      </c>
      <c r="B345" s="966">
        <v>12303</v>
      </c>
      <c r="C345" s="966">
        <v>12303</v>
      </c>
      <c r="D345" s="966">
        <v>383.54999999999995</v>
      </c>
      <c r="E345" s="966">
        <v>383.55099999999999</v>
      </c>
      <c r="F345" s="966">
        <f t="shared" si="5"/>
        <v>12686.55</v>
      </c>
      <c r="G345" s="966">
        <f t="shared" si="5"/>
        <v>12686.550999999999</v>
      </c>
    </row>
    <row r="346" spans="1:7" s="913" customFormat="1" ht="12.75" customHeight="1" x14ac:dyDescent="0.2">
      <c r="A346" s="965" t="s">
        <v>3889</v>
      </c>
      <c r="B346" s="966">
        <v>4075</v>
      </c>
      <c r="C346" s="966">
        <v>4075</v>
      </c>
      <c r="D346" s="966">
        <v>123.95</v>
      </c>
      <c r="E346" s="966">
        <v>123.947</v>
      </c>
      <c r="F346" s="966">
        <f t="shared" si="5"/>
        <v>4198.95</v>
      </c>
      <c r="G346" s="966">
        <f t="shared" si="5"/>
        <v>4198.9470000000001</v>
      </c>
    </row>
    <row r="347" spans="1:7" s="913" customFormat="1" ht="12.75" customHeight="1" x14ac:dyDescent="0.2">
      <c r="A347" s="965" t="s">
        <v>3890</v>
      </c>
      <c r="B347" s="966">
        <v>9341</v>
      </c>
      <c r="C347" s="966">
        <v>9341</v>
      </c>
      <c r="D347" s="966">
        <v>357.57000000000005</v>
      </c>
      <c r="E347" s="966">
        <v>357.56200000000001</v>
      </c>
      <c r="F347" s="966">
        <f t="shared" si="5"/>
        <v>9698.57</v>
      </c>
      <c r="G347" s="966">
        <f t="shared" si="5"/>
        <v>9698.5619999999999</v>
      </c>
    </row>
    <row r="348" spans="1:7" s="913" customFormat="1" ht="12.75" customHeight="1" x14ac:dyDescent="0.2">
      <c r="A348" s="965" t="s">
        <v>3891</v>
      </c>
      <c r="B348" s="966">
        <v>3223</v>
      </c>
      <c r="C348" s="966">
        <v>3223</v>
      </c>
      <c r="D348" s="966">
        <v>87.88</v>
      </c>
      <c r="E348" s="966">
        <v>87.881</v>
      </c>
      <c r="F348" s="966">
        <f t="shared" si="5"/>
        <v>3310.88</v>
      </c>
      <c r="G348" s="966">
        <f t="shared" si="5"/>
        <v>3310.8809999999999</v>
      </c>
    </row>
    <row r="349" spans="1:7" s="913" customFormat="1" ht="12.75" customHeight="1" x14ac:dyDescent="0.2">
      <c r="A349" s="965" t="s">
        <v>3892</v>
      </c>
      <c r="B349" s="966">
        <v>3818</v>
      </c>
      <c r="C349" s="966">
        <v>3818</v>
      </c>
      <c r="D349" s="966">
        <v>110.06</v>
      </c>
      <c r="E349" s="966">
        <v>110.056</v>
      </c>
      <c r="F349" s="966">
        <f t="shared" si="5"/>
        <v>3928.06</v>
      </c>
      <c r="G349" s="966">
        <f t="shared" si="5"/>
        <v>3928.056</v>
      </c>
    </row>
    <row r="350" spans="1:7" s="913" customFormat="1" ht="12.75" customHeight="1" x14ac:dyDescent="0.2">
      <c r="A350" s="965" t="s">
        <v>3893</v>
      </c>
      <c r="B350" s="966">
        <v>8225</v>
      </c>
      <c r="C350" s="966">
        <v>8225</v>
      </c>
      <c r="D350" s="966">
        <v>255.78</v>
      </c>
      <c r="E350" s="966">
        <v>255.779</v>
      </c>
      <c r="F350" s="966">
        <f t="shared" si="5"/>
        <v>8480.7800000000007</v>
      </c>
      <c r="G350" s="966">
        <f t="shared" si="5"/>
        <v>8480.7790000000005</v>
      </c>
    </row>
    <row r="351" spans="1:7" s="913" customFormat="1" ht="12.75" customHeight="1" x14ac:dyDescent="0.2">
      <c r="A351" s="965" t="s">
        <v>3894</v>
      </c>
      <c r="B351" s="966">
        <v>3903</v>
      </c>
      <c r="C351" s="966">
        <v>3903</v>
      </c>
      <c r="D351" s="966">
        <v>90.49</v>
      </c>
      <c r="E351" s="966">
        <v>90.49</v>
      </c>
      <c r="F351" s="966">
        <f t="shared" si="5"/>
        <v>3993.49</v>
      </c>
      <c r="G351" s="966">
        <f t="shared" si="5"/>
        <v>3993.49</v>
      </c>
    </row>
    <row r="352" spans="1:7" s="913" customFormat="1" ht="12.75" customHeight="1" x14ac:dyDescent="0.2">
      <c r="A352" s="965" t="s">
        <v>3895</v>
      </c>
      <c r="B352" s="966">
        <v>3486</v>
      </c>
      <c r="C352" s="966">
        <v>3486</v>
      </c>
      <c r="D352" s="966">
        <v>114.04</v>
      </c>
      <c r="E352" s="966">
        <v>114.042</v>
      </c>
      <c r="F352" s="966">
        <f t="shared" si="5"/>
        <v>3600.04</v>
      </c>
      <c r="G352" s="966">
        <f t="shared" si="5"/>
        <v>3600.0419999999999</v>
      </c>
    </row>
    <row r="353" spans="1:7" s="913" customFormat="1" ht="12.75" customHeight="1" x14ac:dyDescent="0.2">
      <c r="A353" s="965" t="s">
        <v>3896</v>
      </c>
      <c r="B353" s="966">
        <v>5803</v>
      </c>
      <c r="C353" s="966">
        <v>5803</v>
      </c>
      <c r="D353" s="966">
        <v>205.54000000000002</v>
      </c>
      <c r="E353" s="966">
        <v>205.54300000000001</v>
      </c>
      <c r="F353" s="966">
        <f t="shared" si="5"/>
        <v>6008.54</v>
      </c>
      <c r="G353" s="966">
        <f t="shared" si="5"/>
        <v>6008.5429999999997</v>
      </c>
    </row>
    <row r="354" spans="1:7" s="913" customFormat="1" ht="12.75" customHeight="1" x14ac:dyDescent="0.2">
      <c r="A354" s="965" t="s">
        <v>3897</v>
      </c>
      <c r="B354" s="966">
        <v>33001</v>
      </c>
      <c r="C354" s="966">
        <v>33001</v>
      </c>
      <c r="D354" s="966">
        <v>939.8900000000001</v>
      </c>
      <c r="E354" s="966">
        <v>932.69899999999996</v>
      </c>
      <c r="F354" s="966">
        <f t="shared" si="5"/>
        <v>33940.89</v>
      </c>
      <c r="G354" s="966">
        <f t="shared" si="5"/>
        <v>33933.699000000001</v>
      </c>
    </row>
    <row r="355" spans="1:7" s="913" customFormat="1" ht="12.75" customHeight="1" x14ac:dyDescent="0.2">
      <c r="A355" s="965" t="s">
        <v>3898</v>
      </c>
      <c r="B355" s="966">
        <v>26148</v>
      </c>
      <c r="C355" s="966">
        <v>26148</v>
      </c>
      <c r="D355" s="966">
        <v>961.79000000000008</v>
      </c>
      <c r="E355" s="966">
        <v>961.78800000000001</v>
      </c>
      <c r="F355" s="966">
        <f t="shared" si="5"/>
        <v>27109.79</v>
      </c>
      <c r="G355" s="966">
        <f t="shared" si="5"/>
        <v>27109.788</v>
      </c>
    </row>
    <row r="356" spans="1:7" s="913" customFormat="1" ht="12.75" customHeight="1" x14ac:dyDescent="0.2">
      <c r="A356" s="965" t="s">
        <v>3899</v>
      </c>
      <c r="B356" s="966">
        <v>19733</v>
      </c>
      <c r="C356" s="966">
        <v>19733</v>
      </c>
      <c r="D356" s="966">
        <v>743.65</v>
      </c>
      <c r="E356" s="966">
        <v>743.65</v>
      </c>
      <c r="F356" s="966">
        <f t="shared" si="5"/>
        <v>20476.650000000001</v>
      </c>
      <c r="G356" s="966">
        <f t="shared" si="5"/>
        <v>20476.650000000001</v>
      </c>
    </row>
    <row r="357" spans="1:7" s="913" customFormat="1" ht="12.75" customHeight="1" x14ac:dyDescent="0.2">
      <c r="A357" s="965" t="s">
        <v>3900</v>
      </c>
      <c r="B357" s="966">
        <v>10430</v>
      </c>
      <c r="C357" s="966">
        <v>10430</v>
      </c>
      <c r="D357" s="966">
        <v>304.79000000000002</v>
      </c>
      <c r="E357" s="966">
        <v>304.79499999999996</v>
      </c>
      <c r="F357" s="966">
        <f t="shared" si="5"/>
        <v>10734.79</v>
      </c>
      <c r="G357" s="966">
        <f t="shared" si="5"/>
        <v>10734.795</v>
      </c>
    </row>
    <row r="358" spans="1:7" s="913" customFormat="1" ht="12.75" customHeight="1" x14ac:dyDescent="0.2">
      <c r="A358" s="965" t="s">
        <v>3901</v>
      </c>
      <c r="B358" s="966">
        <v>20728</v>
      </c>
      <c r="C358" s="966">
        <v>20728</v>
      </c>
      <c r="D358" s="966">
        <v>714.43999999999994</v>
      </c>
      <c r="E358" s="966">
        <v>714.44200000000001</v>
      </c>
      <c r="F358" s="966">
        <f t="shared" si="5"/>
        <v>21442.44</v>
      </c>
      <c r="G358" s="966">
        <f t="shared" si="5"/>
        <v>21442.441999999999</v>
      </c>
    </row>
    <row r="359" spans="1:7" s="913" customFormat="1" ht="12.75" customHeight="1" x14ac:dyDescent="0.2">
      <c r="A359" s="965" t="s">
        <v>3902</v>
      </c>
      <c r="B359" s="966">
        <v>20165</v>
      </c>
      <c r="C359" s="966">
        <v>20165</v>
      </c>
      <c r="D359" s="966">
        <v>664.24</v>
      </c>
      <c r="E359" s="966">
        <v>664.24399999999991</v>
      </c>
      <c r="F359" s="966">
        <f t="shared" si="5"/>
        <v>20829.240000000002</v>
      </c>
      <c r="G359" s="966">
        <f t="shared" si="5"/>
        <v>20829.243999999999</v>
      </c>
    </row>
    <row r="360" spans="1:7" s="913" customFormat="1" ht="12.75" customHeight="1" x14ac:dyDescent="0.2">
      <c r="A360" s="965" t="s">
        <v>3903</v>
      </c>
      <c r="B360" s="966">
        <v>19614</v>
      </c>
      <c r="C360" s="966">
        <v>19614</v>
      </c>
      <c r="D360" s="966">
        <v>891.89</v>
      </c>
      <c r="E360" s="966">
        <v>891.89099999999996</v>
      </c>
      <c r="F360" s="966">
        <f t="shared" si="5"/>
        <v>20505.89</v>
      </c>
      <c r="G360" s="966">
        <f t="shared" si="5"/>
        <v>20505.891</v>
      </c>
    </row>
    <row r="361" spans="1:7" s="913" customFormat="1" ht="12.75" customHeight="1" x14ac:dyDescent="0.2">
      <c r="A361" s="965" t="s">
        <v>3904</v>
      </c>
      <c r="B361" s="966">
        <v>19507</v>
      </c>
      <c r="C361" s="966">
        <v>19507</v>
      </c>
      <c r="D361" s="966">
        <v>646.58000000000004</v>
      </c>
      <c r="E361" s="966">
        <v>646.58199999999999</v>
      </c>
      <c r="F361" s="966">
        <f t="shared" si="5"/>
        <v>20153.580000000002</v>
      </c>
      <c r="G361" s="966">
        <f t="shared" si="5"/>
        <v>20153.581999999999</v>
      </c>
    </row>
    <row r="362" spans="1:7" s="913" customFormat="1" ht="12.75" customHeight="1" x14ac:dyDescent="0.2">
      <c r="A362" s="965" t="s">
        <v>3905</v>
      </c>
      <c r="B362" s="966">
        <v>13854</v>
      </c>
      <c r="C362" s="966">
        <v>13854</v>
      </c>
      <c r="D362" s="966">
        <v>458.42999999999995</v>
      </c>
      <c r="E362" s="966">
        <v>458.43100000000004</v>
      </c>
      <c r="F362" s="966">
        <f t="shared" si="5"/>
        <v>14312.43</v>
      </c>
      <c r="G362" s="966">
        <f t="shared" si="5"/>
        <v>14312.431</v>
      </c>
    </row>
    <row r="363" spans="1:7" s="913" customFormat="1" ht="12.75" customHeight="1" x14ac:dyDescent="0.2">
      <c r="A363" s="965" t="s">
        <v>3906</v>
      </c>
      <c r="B363" s="966">
        <v>5180</v>
      </c>
      <c r="C363" s="966">
        <v>5180</v>
      </c>
      <c r="D363" s="966">
        <v>135.13999999999999</v>
      </c>
      <c r="E363" s="966">
        <v>135.143</v>
      </c>
      <c r="F363" s="966">
        <f t="shared" si="5"/>
        <v>5315.14</v>
      </c>
      <c r="G363" s="966">
        <f t="shared" si="5"/>
        <v>5315.143</v>
      </c>
    </row>
    <row r="364" spans="1:7" s="913" customFormat="1" ht="12.75" customHeight="1" x14ac:dyDescent="0.2">
      <c r="A364" s="965" t="s">
        <v>3907</v>
      </c>
      <c r="B364" s="966">
        <v>7887</v>
      </c>
      <c r="C364" s="966">
        <v>7887</v>
      </c>
      <c r="D364" s="966">
        <v>242.4</v>
      </c>
      <c r="E364" s="966">
        <v>242.399</v>
      </c>
      <c r="F364" s="966">
        <f t="shared" si="5"/>
        <v>8129.4</v>
      </c>
      <c r="G364" s="966">
        <f t="shared" si="5"/>
        <v>8129.3990000000003</v>
      </c>
    </row>
    <row r="365" spans="1:7" s="913" customFormat="1" ht="12.75" customHeight="1" x14ac:dyDescent="0.2">
      <c r="A365" s="965" t="s">
        <v>3908</v>
      </c>
      <c r="B365" s="966">
        <v>23427</v>
      </c>
      <c r="C365" s="966">
        <v>23427</v>
      </c>
      <c r="D365" s="966">
        <v>809.13</v>
      </c>
      <c r="E365" s="966">
        <v>809.13499999999999</v>
      </c>
      <c r="F365" s="966">
        <f t="shared" si="5"/>
        <v>24236.13</v>
      </c>
      <c r="G365" s="966">
        <f t="shared" si="5"/>
        <v>24236.134999999998</v>
      </c>
    </row>
    <row r="366" spans="1:7" s="913" customFormat="1" ht="12.75" customHeight="1" x14ac:dyDescent="0.2">
      <c r="A366" s="965" t="s">
        <v>3909</v>
      </c>
      <c r="B366" s="966">
        <v>21195</v>
      </c>
      <c r="C366" s="966">
        <v>21195</v>
      </c>
      <c r="D366" s="966">
        <v>814.5</v>
      </c>
      <c r="E366" s="966">
        <v>814.49800000000005</v>
      </c>
      <c r="F366" s="966">
        <f t="shared" si="5"/>
        <v>22009.5</v>
      </c>
      <c r="G366" s="966">
        <f t="shared" si="5"/>
        <v>22009.498</v>
      </c>
    </row>
    <row r="367" spans="1:7" s="913" customFormat="1" ht="12.75" customHeight="1" x14ac:dyDescent="0.2">
      <c r="A367" s="965" t="s">
        <v>3910</v>
      </c>
      <c r="B367" s="966">
        <v>12858</v>
      </c>
      <c r="C367" s="966">
        <v>12858</v>
      </c>
      <c r="D367" s="966">
        <v>452.23</v>
      </c>
      <c r="E367" s="966">
        <v>452.233</v>
      </c>
      <c r="F367" s="966">
        <f t="shared" si="5"/>
        <v>13310.23</v>
      </c>
      <c r="G367" s="966">
        <f t="shared" si="5"/>
        <v>13310.233</v>
      </c>
    </row>
    <row r="368" spans="1:7" s="913" customFormat="1" ht="12.75" customHeight="1" x14ac:dyDescent="0.2">
      <c r="A368" s="965" t="s">
        <v>3911</v>
      </c>
      <c r="B368" s="966">
        <v>27327</v>
      </c>
      <c r="C368" s="966">
        <v>27327</v>
      </c>
      <c r="D368" s="966">
        <v>1438.6399999999999</v>
      </c>
      <c r="E368" s="966">
        <v>1438.6309999999999</v>
      </c>
      <c r="F368" s="966">
        <f t="shared" si="5"/>
        <v>28765.64</v>
      </c>
      <c r="G368" s="966">
        <f t="shared" si="5"/>
        <v>28765.631000000001</v>
      </c>
    </row>
    <row r="369" spans="1:7" s="913" customFormat="1" ht="12.75" customHeight="1" x14ac:dyDescent="0.2">
      <c r="A369" s="965" t="s">
        <v>3912</v>
      </c>
      <c r="B369" s="966">
        <v>16417</v>
      </c>
      <c r="C369" s="966">
        <v>16417</v>
      </c>
      <c r="D369" s="966">
        <v>602.29999999999995</v>
      </c>
      <c r="E369" s="966">
        <v>602.29899999999998</v>
      </c>
      <c r="F369" s="966">
        <f t="shared" si="5"/>
        <v>17019.3</v>
      </c>
      <c r="G369" s="966">
        <f t="shared" si="5"/>
        <v>17019.298999999999</v>
      </c>
    </row>
    <row r="370" spans="1:7" s="913" customFormat="1" ht="12.75" customHeight="1" x14ac:dyDescent="0.2">
      <c r="A370" s="965" t="s">
        <v>3913</v>
      </c>
      <c r="B370" s="966">
        <v>26820</v>
      </c>
      <c r="C370" s="966">
        <v>26820</v>
      </c>
      <c r="D370" s="966">
        <v>707.56999999999994</v>
      </c>
      <c r="E370" s="966">
        <v>707.57300000000009</v>
      </c>
      <c r="F370" s="966">
        <f t="shared" si="5"/>
        <v>27527.57</v>
      </c>
      <c r="G370" s="966">
        <f t="shared" si="5"/>
        <v>27527.573</v>
      </c>
    </row>
    <row r="371" spans="1:7" s="913" customFormat="1" ht="12.75" customHeight="1" x14ac:dyDescent="0.2">
      <c r="A371" s="965" t="s">
        <v>3914</v>
      </c>
      <c r="B371" s="966">
        <v>21897</v>
      </c>
      <c r="C371" s="966">
        <v>21897</v>
      </c>
      <c r="D371" s="966">
        <v>722.77</v>
      </c>
      <c r="E371" s="966">
        <v>722.76600000000008</v>
      </c>
      <c r="F371" s="966">
        <f t="shared" si="5"/>
        <v>22619.77</v>
      </c>
      <c r="G371" s="966">
        <f t="shared" si="5"/>
        <v>22619.766</v>
      </c>
    </row>
    <row r="372" spans="1:7" s="913" customFormat="1" ht="12.75" customHeight="1" x14ac:dyDescent="0.2">
      <c r="A372" s="965" t="s">
        <v>3915</v>
      </c>
      <c r="B372" s="966">
        <v>12522</v>
      </c>
      <c r="C372" s="966">
        <v>12522</v>
      </c>
      <c r="D372" s="966">
        <v>453.29</v>
      </c>
      <c r="E372" s="966">
        <v>453.28500000000003</v>
      </c>
      <c r="F372" s="966">
        <f t="shared" si="5"/>
        <v>12975.29</v>
      </c>
      <c r="G372" s="966">
        <f t="shared" si="5"/>
        <v>12975.285</v>
      </c>
    </row>
    <row r="373" spans="1:7" s="913" customFormat="1" ht="12.75" customHeight="1" x14ac:dyDescent="0.2">
      <c r="A373" s="965" t="s">
        <v>3916</v>
      </c>
      <c r="B373" s="966">
        <v>7881</v>
      </c>
      <c r="C373" s="966">
        <v>7881</v>
      </c>
      <c r="D373" s="966">
        <v>300</v>
      </c>
      <c r="E373" s="966">
        <v>299.99599999999998</v>
      </c>
      <c r="F373" s="966">
        <f t="shared" si="5"/>
        <v>8181</v>
      </c>
      <c r="G373" s="966">
        <f t="shared" si="5"/>
        <v>8180.9960000000001</v>
      </c>
    </row>
    <row r="374" spans="1:7" s="913" customFormat="1" ht="12.75" customHeight="1" x14ac:dyDescent="0.2">
      <c r="A374" s="965" t="s">
        <v>3917</v>
      </c>
      <c r="B374" s="966">
        <v>15989</v>
      </c>
      <c r="C374" s="966">
        <v>15989</v>
      </c>
      <c r="D374" s="966">
        <v>526.64</v>
      </c>
      <c r="E374" s="966">
        <v>526.63599999999997</v>
      </c>
      <c r="F374" s="966">
        <f t="shared" si="5"/>
        <v>16515.64</v>
      </c>
      <c r="G374" s="966">
        <f t="shared" si="5"/>
        <v>16515.635999999999</v>
      </c>
    </row>
    <row r="375" spans="1:7" s="913" customFormat="1" ht="12.75" customHeight="1" x14ac:dyDescent="0.2">
      <c r="A375" s="965" t="s">
        <v>3918</v>
      </c>
      <c r="B375" s="966">
        <v>22353</v>
      </c>
      <c r="C375" s="966">
        <v>22353</v>
      </c>
      <c r="D375" s="966">
        <v>800.3</v>
      </c>
      <c r="E375" s="966">
        <v>800.30000000000007</v>
      </c>
      <c r="F375" s="966">
        <f t="shared" si="5"/>
        <v>23153.3</v>
      </c>
      <c r="G375" s="966">
        <f t="shared" si="5"/>
        <v>23153.3</v>
      </c>
    </row>
    <row r="376" spans="1:7" s="913" customFormat="1" ht="12.75" customHeight="1" x14ac:dyDescent="0.2">
      <c r="A376" s="965" t="s">
        <v>3919</v>
      </c>
      <c r="B376" s="966">
        <v>4618</v>
      </c>
      <c r="C376" s="966">
        <v>4618</v>
      </c>
      <c r="D376" s="966">
        <v>136.54999999999998</v>
      </c>
      <c r="E376" s="966">
        <v>136.54400000000001</v>
      </c>
      <c r="F376" s="966">
        <f t="shared" si="5"/>
        <v>4754.55</v>
      </c>
      <c r="G376" s="966">
        <f t="shared" si="5"/>
        <v>4754.5439999999999</v>
      </c>
    </row>
    <row r="377" spans="1:7" s="913" customFormat="1" ht="12.75" customHeight="1" x14ac:dyDescent="0.2">
      <c r="A377" s="965" t="s">
        <v>3920</v>
      </c>
      <c r="B377" s="966">
        <v>15693</v>
      </c>
      <c r="C377" s="966">
        <v>15693</v>
      </c>
      <c r="D377" s="966">
        <v>547.47</v>
      </c>
      <c r="E377" s="966">
        <v>547.46399999999994</v>
      </c>
      <c r="F377" s="966">
        <f t="shared" si="5"/>
        <v>16240.47</v>
      </c>
      <c r="G377" s="966">
        <f t="shared" si="5"/>
        <v>16240.464</v>
      </c>
    </row>
    <row r="378" spans="1:7" s="913" customFormat="1" ht="12.75" customHeight="1" x14ac:dyDescent="0.2">
      <c r="A378" s="965" t="s">
        <v>3921</v>
      </c>
      <c r="B378" s="966">
        <v>10113</v>
      </c>
      <c r="C378" s="966">
        <v>10113</v>
      </c>
      <c r="D378" s="966">
        <v>336.56</v>
      </c>
      <c r="E378" s="966">
        <v>336.55500000000001</v>
      </c>
      <c r="F378" s="966">
        <f t="shared" si="5"/>
        <v>10449.56</v>
      </c>
      <c r="G378" s="966">
        <f t="shared" si="5"/>
        <v>10449.555</v>
      </c>
    </row>
    <row r="379" spans="1:7" s="913" customFormat="1" ht="12.75" customHeight="1" x14ac:dyDescent="0.2">
      <c r="A379" s="965" t="s">
        <v>3922</v>
      </c>
      <c r="B379" s="966">
        <v>20528</v>
      </c>
      <c r="C379" s="966">
        <v>20528</v>
      </c>
      <c r="D379" s="966">
        <v>715.17</v>
      </c>
      <c r="E379" s="966">
        <v>715.17000000000007</v>
      </c>
      <c r="F379" s="966">
        <f t="shared" si="5"/>
        <v>21243.17</v>
      </c>
      <c r="G379" s="966">
        <f t="shared" si="5"/>
        <v>21243.17</v>
      </c>
    </row>
    <row r="380" spans="1:7" s="913" customFormat="1" ht="12.75" customHeight="1" x14ac:dyDescent="0.2">
      <c r="A380" s="965" t="s">
        <v>3923</v>
      </c>
      <c r="B380" s="966">
        <v>4699</v>
      </c>
      <c r="C380" s="966">
        <v>4699</v>
      </c>
      <c r="D380" s="966">
        <v>160.37</v>
      </c>
      <c r="E380" s="966">
        <v>160.36799999999999</v>
      </c>
      <c r="F380" s="966">
        <f t="shared" si="5"/>
        <v>4859.37</v>
      </c>
      <c r="G380" s="966">
        <f t="shared" si="5"/>
        <v>4859.3680000000004</v>
      </c>
    </row>
    <row r="381" spans="1:7" s="913" customFormat="1" ht="12.75" customHeight="1" x14ac:dyDescent="0.2">
      <c r="A381" s="965" t="s">
        <v>3924</v>
      </c>
      <c r="B381" s="966">
        <v>4799</v>
      </c>
      <c r="C381" s="966">
        <v>4799</v>
      </c>
      <c r="D381" s="966">
        <v>126.25</v>
      </c>
      <c r="E381" s="966">
        <v>126.249</v>
      </c>
      <c r="F381" s="966">
        <f t="shared" si="5"/>
        <v>4925.25</v>
      </c>
      <c r="G381" s="966">
        <f t="shared" si="5"/>
        <v>4925.2489999999998</v>
      </c>
    </row>
    <row r="382" spans="1:7" s="913" customFormat="1" ht="12.75" customHeight="1" x14ac:dyDescent="0.2">
      <c r="A382" s="965" t="s">
        <v>3925</v>
      </c>
      <c r="B382" s="966">
        <v>16235</v>
      </c>
      <c r="C382" s="966">
        <v>16235</v>
      </c>
      <c r="D382" s="966">
        <v>541.04999999999995</v>
      </c>
      <c r="E382" s="966">
        <v>541.04700000000003</v>
      </c>
      <c r="F382" s="966">
        <f t="shared" si="5"/>
        <v>16776.05</v>
      </c>
      <c r="G382" s="966">
        <f t="shared" si="5"/>
        <v>16776.046999999999</v>
      </c>
    </row>
    <row r="383" spans="1:7" s="913" customFormat="1" ht="12.75" customHeight="1" x14ac:dyDescent="0.2">
      <c r="A383" s="965" t="s">
        <v>3926</v>
      </c>
      <c r="B383" s="966">
        <v>3854</v>
      </c>
      <c r="C383" s="966">
        <v>3854</v>
      </c>
      <c r="D383" s="966">
        <v>129.06</v>
      </c>
      <c r="E383" s="966">
        <v>129.054</v>
      </c>
      <c r="F383" s="966">
        <f t="shared" si="5"/>
        <v>3983.06</v>
      </c>
      <c r="G383" s="966">
        <f t="shared" si="5"/>
        <v>3983.0540000000001</v>
      </c>
    </row>
    <row r="384" spans="1:7" s="913" customFormat="1" ht="12.75" customHeight="1" x14ac:dyDescent="0.2">
      <c r="A384" s="965" t="s">
        <v>3927</v>
      </c>
      <c r="B384" s="966">
        <v>14390</v>
      </c>
      <c r="C384" s="966">
        <v>14390</v>
      </c>
      <c r="D384" s="966">
        <v>461.28</v>
      </c>
      <c r="E384" s="966">
        <v>461.27500000000003</v>
      </c>
      <c r="F384" s="966">
        <f t="shared" si="5"/>
        <v>14851.28</v>
      </c>
      <c r="G384" s="966">
        <f t="shared" si="5"/>
        <v>14851.275</v>
      </c>
    </row>
    <row r="385" spans="1:7" s="913" customFormat="1" ht="12.75" customHeight="1" x14ac:dyDescent="0.2">
      <c r="A385" s="965" t="s">
        <v>3928</v>
      </c>
      <c r="B385" s="966">
        <v>17277</v>
      </c>
      <c r="C385" s="966">
        <v>17277</v>
      </c>
      <c r="D385" s="966">
        <v>629.27</v>
      </c>
      <c r="E385" s="966">
        <v>629.27200000000005</v>
      </c>
      <c r="F385" s="966">
        <f t="shared" si="5"/>
        <v>17906.27</v>
      </c>
      <c r="G385" s="966">
        <f t="shared" si="5"/>
        <v>17906.272000000001</v>
      </c>
    </row>
    <row r="386" spans="1:7" s="913" customFormat="1" ht="12.75" customHeight="1" x14ac:dyDescent="0.2">
      <c r="A386" s="965" t="s">
        <v>3929</v>
      </c>
      <c r="B386" s="966">
        <v>3710</v>
      </c>
      <c r="C386" s="966">
        <v>3710</v>
      </c>
      <c r="D386" s="966">
        <v>165.69</v>
      </c>
      <c r="E386" s="966">
        <v>165.691</v>
      </c>
      <c r="F386" s="966">
        <f t="shared" si="5"/>
        <v>3875.69</v>
      </c>
      <c r="G386" s="966">
        <f t="shared" si="5"/>
        <v>3875.6909999999998</v>
      </c>
    </row>
    <row r="387" spans="1:7" s="913" customFormat="1" ht="12.75" customHeight="1" x14ac:dyDescent="0.2">
      <c r="A387" s="965" t="s">
        <v>3930</v>
      </c>
      <c r="B387" s="966">
        <v>7539</v>
      </c>
      <c r="C387" s="966">
        <v>7539</v>
      </c>
      <c r="D387" s="966">
        <v>241.04</v>
      </c>
      <c r="E387" s="966">
        <v>241.036</v>
      </c>
      <c r="F387" s="966">
        <f t="shared" si="5"/>
        <v>7780.04</v>
      </c>
      <c r="G387" s="966">
        <f t="shared" si="5"/>
        <v>7780.0360000000001</v>
      </c>
    </row>
    <row r="388" spans="1:7" s="913" customFormat="1" ht="12.75" customHeight="1" x14ac:dyDescent="0.2">
      <c r="A388" s="965" t="s">
        <v>3931</v>
      </c>
      <c r="B388" s="966">
        <v>2271</v>
      </c>
      <c r="C388" s="966">
        <v>2271</v>
      </c>
      <c r="D388" s="966">
        <v>63.379999999999995</v>
      </c>
      <c r="E388" s="966">
        <v>63.381</v>
      </c>
      <c r="F388" s="966">
        <f t="shared" si="5"/>
        <v>2334.38</v>
      </c>
      <c r="G388" s="966">
        <f t="shared" si="5"/>
        <v>2334.3809999999999</v>
      </c>
    </row>
    <row r="389" spans="1:7" s="913" customFormat="1" ht="12.75" customHeight="1" x14ac:dyDescent="0.2">
      <c r="A389" s="965" t="s">
        <v>3932</v>
      </c>
      <c r="B389" s="966">
        <v>3033</v>
      </c>
      <c r="C389" s="966">
        <v>3033</v>
      </c>
      <c r="D389" s="966">
        <v>86.49</v>
      </c>
      <c r="E389" s="966">
        <v>86.488</v>
      </c>
      <c r="F389" s="966">
        <f t="shared" si="5"/>
        <v>3119.49</v>
      </c>
      <c r="G389" s="966">
        <f t="shared" si="5"/>
        <v>3119.4879999999998</v>
      </c>
    </row>
    <row r="390" spans="1:7" s="913" customFormat="1" ht="12.75" customHeight="1" x14ac:dyDescent="0.2">
      <c r="A390" s="965" t="s">
        <v>3933</v>
      </c>
      <c r="B390" s="966">
        <v>8354</v>
      </c>
      <c r="C390" s="966">
        <v>8354</v>
      </c>
      <c r="D390" s="966">
        <v>252.1</v>
      </c>
      <c r="E390" s="966">
        <v>252.102</v>
      </c>
      <c r="F390" s="966">
        <f t="shared" ref="F390:G453" si="6">B390+D390</f>
        <v>8606.1</v>
      </c>
      <c r="G390" s="966">
        <f t="shared" si="6"/>
        <v>8606.1020000000008</v>
      </c>
    </row>
    <row r="391" spans="1:7" s="913" customFormat="1" ht="22.5" customHeight="1" x14ac:dyDescent="0.2">
      <c r="A391" s="965" t="s">
        <v>3934</v>
      </c>
      <c r="B391" s="966">
        <v>13936</v>
      </c>
      <c r="C391" s="966">
        <v>13936</v>
      </c>
      <c r="D391" s="966">
        <v>410.99</v>
      </c>
      <c r="E391" s="966">
        <v>410.99400000000003</v>
      </c>
      <c r="F391" s="966">
        <f t="shared" si="6"/>
        <v>14346.99</v>
      </c>
      <c r="G391" s="966">
        <f t="shared" si="6"/>
        <v>14346.994000000001</v>
      </c>
    </row>
    <row r="392" spans="1:7" s="913" customFormat="1" ht="22.5" customHeight="1" x14ac:dyDescent="0.2">
      <c r="A392" s="965" t="s">
        <v>3935</v>
      </c>
      <c r="B392" s="966">
        <v>2542</v>
      </c>
      <c r="C392" s="966">
        <v>2542</v>
      </c>
      <c r="D392" s="966">
        <v>63.01</v>
      </c>
      <c r="E392" s="966">
        <v>63.010000000000005</v>
      </c>
      <c r="F392" s="966">
        <f t="shared" si="6"/>
        <v>2605.0100000000002</v>
      </c>
      <c r="G392" s="966">
        <f t="shared" si="6"/>
        <v>2605.0100000000002</v>
      </c>
    </row>
    <row r="393" spans="1:7" s="913" customFormat="1" ht="12.75" customHeight="1" x14ac:dyDescent="0.2">
      <c r="A393" s="965" t="s">
        <v>3936</v>
      </c>
      <c r="B393" s="966">
        <v>3864</v>
      </c>
      <c r="C393" s="966">
        <v>3864</v>
      </c>
      <c r="D393" s="966">
        <v>107.1</v>
      </c>
      <c r="E393" s="966">
        <v>107.09700000000001</v>
      </c>
      <c r="F393" s="966">
        <f t="shared" si="6"/>
        <v>3971.1</v>
      </c>
      <c r="G393" s="966">
        <f t="shared" si="6"/>
        <v>3971.0970000000002</v>
      </c>
    </row>
    <row r="394" spans="1:7" s="913" customFormat="1" ht="22.5" customHeight="1" x14ac:dyDescent="0.2">
      <c r="A394" s="965" t="s">
        <v>3937</v>
      </c>
      <c r="B394" s="966">
        <v>3480</v>
      </c>
      <c r="C394" s="966">
        <v>3480</v>
      </c>
      <c r="D394" s="966">
        <v>118.46</v>
      </c>
      <c r="E394" s="966">
        <v>118.45599999999999</v>
      </c>
      <c r="F394" s="966">
        <f t="shared" si="6"/>
        <v>3598.46</v>
      </c>
      <c r="G394" s="966">
        <f t="shared" si="6"/>
        <v>3598.4560000000001</v>
      </c>
    </row>
    <row r="395" spans="1:7" s="913" customFormat="1" ht="12.75" customHeight="1" x14ac:dyDescent="0.2">
      <c r="A395" s="965" t="s">
        <v>3938</v>
      </c>
      <c r="B395" s="966">
        <v>5132</v>
      </c>
      <c r="C395" s="966">
        <v>5132</v>
      </c>
      <c r="D395" s="966">
        <v>180.70999999999998</v>
      </c>
      <c r="E395" s="966">
        <v>180.714</v>
      </c>
      <c r="F395" s="966">
        <f t="shared" si="6"/>
        <v>5312.71</v>
      </c>
      <c r="G395" s="966">
        <f t="shared" si="6"/>
        <v>5312.7139999999999</v>
      </c>
    </row>
    <row r="396" spans="1:7" s="913" customFormat="1" ht="12.75" customHeight="1" x14ac:dyDescent="0.2">
      <c r="A396" s="965" t="s">
        <v>3939</v>
      </c>
      <c r="B396" s="966">
        <v>6943</v>
      </c>
      <c r="C396" s="966">
        <v>6943</v>
      </c>
      <c r="D396" s="966">
        <v>209.8</v>
      </c>
      <c r="E396" s="966">
        <v>209.80199999999999</v>
      </c>
      <c r="F396" s="966">
        <f t="shared" si="6"/>
        <v>7152.8</v>
      </c>
      <c r="G396" s="966">
        <f t="shared" si="6"/>
        <v>7152.8019999999997</v>
      </c>
    </row>
    <row r="397" spans="1:7" s="913" customFormat="1" ht="22.5" customHeight="1" x14ac:dyDescent="0.2">
      <c r="A397" s="965" t="s">
        <v>3940</v>
      </c>
      <c r="B397" s="966">
        <v>9832</v>
      </c>
      <c r="C397" s="966">
        <v>9832</v>
      </c>
      <c r="D397" s="966">
        <v>308.76000000000005</v>
      </c>
      <c r="E397" s="966">
        <v>308.76499999999999</v>
      </c>
      <c r="F397" s="966">
        <f t="shared" si="6"/>
        <v>10140.76</v>
      </c>
      <c r="G397" s="966">
        <f t="shared" si="6"/>
        <v>10140.764999999999</v>
      </c>
    </row>
    <row r="398" spans="1:7" s="913" customFormat="1" ht="12.75" customHeight="1" x14ac:dyDescent="0.2">
      <c r="A398" s="965" t="s">
        <v>3941</v>
      </c>
      <c r="B398" s="966">
        <v>3158</v>
      </c>
      <c r="C398" s="966">
        <v>3158</v>
      </c>
      <c r="D398" s="966">
        <v>94.61999999999999</v>
      </c>
      <c r="E398" s="966">
        <v>94.616</v>
      </c>
      <c r="F398" s="966">
        <f t="shared" si="6"/>
        <v>3252.62</v>
      </c>
      <c r="G398" s="966">
        <f t="shared" si="6"/>
        <v>3252.616</v>
      </c>
    </row>
    <row r="399" spans="1:7" s="913" customFormat="1" ht="22.5" customHeight="1" x14ac:dyDescent="0.2">
      <c r="A399" s="965" t="s">
        <v>3942</v>
      </c>
      <c r="B399" s="966">
        <v>2932</v>
      </c>
      <c r="C399" s="966">
        <v>2932</v>
      </c>
      <c r="D399" s="966">
        <v>100.03</v>
      </c>
      <c r="E399" s="966">
        <v>100.02500000000001</v>
      </c>
      <c r="F399" s="966">
        <f t="shared" si="6"/>
        <v>3032.03</v>
      </c>
      <c r="G399" s="966">
        <f t="shared" si="6"/>
        <v>3032.0250000000001</v>
      </c>
    </row>
    <row r="400" spans="1:7" s="913" customFormat="1" ht="12.75" customHeight="1" x14ac:dyDescent="0.2">
      <c r="A400" s="965" t="s">
        <v>3943</v>
      </c>
      <c r="B400" s="966">
        <v>2641</v>
      </c>
      <c r="C400" s="966">
        <v>2641</v>
      </c>
      <c r="D400" s="966">
        <v>88.25</v>
      </c>
      <c r="E400" s="966">
        <v>88.25</v>
      </c>
      <c r="F400" s="966">
        <f t="shared" si="6"/>
        <v>2729.25</v>
      </c>
      <c r="G400" s="966">
        <f t="shared" si="6"/>
        <v>2729.25</v>
      </c>
    </row>
    <row r="401" spans="1:7" s="913" customFormat="1" ht="12.75" customHeight="1" x14ac:dyDescent="0.2">
      <c r="A401" s="965" t="s">
        <v>3944</v>
      </c>
      <c r="B401" s="966">
        <v>2905</v>
      </c>
      <c r="C401" s="966">
        <v>2905</v>
      </c>
      <c r="D401" s="966">
        <v>104.82000000000001</v>
      </c>
      <c r="E401" s="966">
        <v>104.821</v>
      </c>
      <c r="F401" s="966">
        <f t="shared" si="6"/>
        <v>3009.82</v>
      </c>
      <c r="G401" s="966">
        <f t="shared" si="6"/>
        <v>3009.8209999999999</v>
      </c>
    </row>
    <row r="402" spans="1:7" s="913" customFormat="1" ht="12.75" customHeight="1" x14ac:dyDescent="0.2">
      <c r="A402" s="965" t="s">
        <v>3945</v>
      </c>
      <c r="B402" s="966">
        <v>7460</v>
      </c>
      <c r="C402" s="966">
        <v>7460</v>
      </c>
      <c r="D402" s="966">
        <v>274.05</v>
      </c>
      <c r="E402" s="966">
        <v>274.04900000000004</v>
      </c>
      <c r="F402" s="966">
        <f t="shared" si="6"/>
        <v>7734.05</v>
      </c>
      <c r="G402" s="966">
        <f t="shared" si="6"/>
        <v>7734.049</v>
      </c>
    </row>
    <row r="403" spans="1:7" s="913" customFormat="1" ht="12.75" customHeight="1" x14ac:dyDescent="0.2">
      <c r="A403" s="965" t="s">
        <v>3946</v>
      </c>
      <c r="B403" s="966">
        <v>9845</v>
      </c>
      <c r="C403" s="966">
        <v>9845</v>
      </c>
      <c r="D403" s="966">
        <v>339.02</v>
      </c>
      <c r="E403" s="966">
        <v>339.02</v>
      </c>
      <c r="F403" s="966">
        <f t="shared" si="6"/>
        <v>10184.02</v>
      </c>
      <c r="G403" s="966">
        <f t="shared" si="6"/>
        <v>10184.02</v>
      </c>
    </row>
    <row r="404" spans="1:7" s="913" customFormat="1" ht="12.75" customHeight="1" x14ac:dyDescent="0.2">
      <c r="A404" s="965" t="s">
        <v>3947</v>
      </c>
      <c r="B404" s="966">
        <v>2818</v>
      </c>
      <c r="C404" s="966">
        <v>2818</v>
      </c>
      <c r="D404" s="966">
        <v>104.03</v>
      </c>
      <c r="E404" s="966">
        <v>104.03</v>
      </c>
      <c r="F404" s="966">
        <f t="shared" si="6"/>
        <v>2922.03</v>
      </c>
      <c r="G404" s="966">
        <f t="shared" si="6"/>
        <v>2922.03</v>
      </c>
    </row>
    <row r="405" spans="1:7" s="913" customFormat="1" ht="12.75" customHeight="1" x14ac:dyDescent="0.2">
      <c r="A405" s="965" t="s">
        <v>3948</v>
      </c>
      <c r="B405" s="966">
        <v>15031</v>
      </c>
      <c r="C405" s="966">
        <v>15031</v>
      </c>
      <c r="D405" s="966">
        <v>396.76</v>
      </c>
      <c r="E405" s="966">
        <v>396.76299999999998</v>
      </c>
      <c r="F405" s="966">
        <f t="shared" si="6"/>
        <v>15427.76</v>
      </c>
      <c r="G405" s="966">
        <f t="shared" si="6"/>
        <v>15427.763000000001</v>
      </c>
    </row>
    <row r="406" spans="1:7" s="913" customFormat="1" ht="12.75" customHeight="1" x14ac:dyDescent="0.2">
      <c r="A406" s="965" t="s">
        <v>3949</v>
      </c>
      <c r="B406" s="966">
        <v>2754</v>
      </c>
      <c r="C406" s="966">
        <v>2754</v>
      </c>
      <c r="D406" s="966">
        <v>96.440000000000012</v>
      </c>
      <c r="E406" s="966">
        <v>96.438999999999993</v>
      </c>
      <c r="F406" s="966">
        <f t="shared" si="6"/>
        <v>2850.44</v>
      </c>
      <c r="G406" s="966">
        <f t="shared" si="6"/>
        <v>2850.4389999999999</v>
      </c>
    </row>
    <row r="407" spans="1:7" s="913" customFormat="1" ht="12.75" customHeight="1" x14ac:dyDescent="0.2">
      <c r="A407" s="965" t="s">
        <v>3950</v>
      </c>
      <c r="B407" s="966">
        <v>10245</v>
      </c>
      <c r="C407" s="966">
        <v>10245</v>
      </c>
      <c r="D407" s="966">
        <v>503.56000000000006</v>
      </c>
      <c r="E407" s="966">
        <v>503.56400000000002</v>
      </c>
      <c r="F407" s="966">
        <f t="shared" si="6"/>
        <v>10748.56</v>
      </c>
      <c r="G407" s="966">
        <f t="shared" si="6"/>
        <v>10748.564</v>
      </c>
    </row>
    <row r="408" spans="1:7" s="913" customFormat="1" ht="12.75" customHeight="1" x14ac:dyDescent="0.2">
      <c r="A408" s="965" t="s">
        <v>3951</v>
      </c>
      <c r="B408" s="966">
        <v>3121</v>
      </c>
      <c r="C408" s="966">
        <v>3121</v>
      </c>
      <c r="D408" s="966">
        <v>98.33</v>
      </c>
      <c r="E408" s="966">
        <v>98.325000000000003</v>
      </c>
      <c r="F408" s="966">
        <f t="shared" si="6"/>
        <v>3219.33</v>
      </c>
      <c r="G408" s="966">
        <f t="shared" si="6"/>
        <v>3219.3249999999998</v>
      </c>
    </row>
    <row r="409" spans="1:7" s="913" customFormat="1" ht="12.75" customHeight="1" x14ac:dyDescent="0.2">
      <c r="A409" s="965" t="s">
        <v>3952</v>
      </c>
      <c r="B409" s="966">
        <v>5523</v>
      </c>
      <c r="C409" s="966">
        <v>5523</v>
      </c>
      <c r="D409" s="966">
        <v>147.11000000000001</v>
      </c>
      <c r="E409" s="966">
        <v>147.10499999999999</v>
      </c>
      <c r="F409" s="966">
        <f t="shared" si="6"/>
        <v>5670.11</v>
      </c>
      <c r="G409" s="966">
        <f t="shared" si="6"/>
        <v>5670.1049999999996</v>
      </c>
    </row>
    <row r="410" spans="1:7" s="913" customFormat="1" ht="12.75" customHeight="1" x14ac:dyDescent="0.2">
      <c r="A410" s="965" t="s">
        <v>3953</v>
      </c>
      <c r="B410" s="966">
        <v>3170</v>
      </c>
      <c r="C410" s="966">
        <v>3170</v>
      </c>
      <c r="D410" s="966">
        <v>104.03</v>
      </c>
      <c r="E410" s="966">
        <v>104.02799999999999</v>
      </c>
      <c r="F410" s="966">
        <f t="shared" si="6"/>
        <v>3274.03</v>
      </c>
      <c r="G410" s="966">
        <f t="shared" si="6"/>
        <v>3274.0279999999998</v>
      </c>
    </row>
    <row r="411" spans="1:7" s="913" customFormat="1" ht="12.75" customHeight="1" x14ac:dyDescent="0.2">
      <c r="A411" s="965" t="s">
        <v>3954</v>
      </c>
      <c r="B411" s="966">
        <v>7605</v>
      </c>
      <c r="C411" s="966">
        <v>7605</v>
      </c>
      <c r="D411" s="966">
        <v>264.36</v>
      </c>
      <c r="E411" s="966">
        <v>264.35199999999998</v>
      </c>
      <c r="F411" s="966">
        <f t="shared" si="6"/>
        <v>7869.36</v>
      </c>
      <c r="G411" s="966">
        <f t="shared" si="6"/>
        <v>7869.3519999999999</v>
      </c>
    </row>
    <row r="412" spans="1:7" s="913" customFormat="1" ht="22.5" customHeight="1" x14ac:dyDescent="0.2">
      <c r="A412" s="965" t="s">
        <v>3955</v>
      </c>
      <c r="B412" s="966">
        <v>12794</v>
      </c>
      <c r="C412" s="966">
        <v>12794</v>
      </c>
      <c r="D412" s="966">
        <v>420.58</v>
      </c>
      <c r="E412" s="966">
        <v>420.57499999999999</v>
      </c>
      <c r="F412" s="966">
        <f t="shared" si="6"/>
        <v>13214.58</v>
      </c>
      <c r="G412" s="966">
        <f t="shared" si="6"/>
        <v>13214.575000000001</v>
      </c>
    </row>
    <row r="413" spans="1:7" s="913" customFormat="1" ht="12.75" customHeight="1" x14ac:dyDescent="0.2">
      <c r="A413" s="965" t="s">
        <v>3956</v>
      </c>
      <c r="B413" s="966">
        <v>13487</v>
      </c>
      <c r="C413" s="966">
        <v>13487</v>
      </c>
      <c r="D413" s="966">
        <v>472.7</v>
      </c>
      <c r="E413" s="966">
        <v>472.69600000000003</v>
      </c>
      <c r="F413" s="966">
        <f t="shared" si="6"/>
        <v>13959.7</v>
      </c>
      <c r="G413" s="966">
        <f t="shared" si="6"/>
        <v>13959.696</v>
      </c>
    </row>
    <row r="414" spans="1:7" s="913" customFormat="1" ht="12.75" customHeight="1" x14ac:dyDescent="0.2">
      <c r="A414" s="965" t="s">
        <v>3957</v>
      </c>
      <c r="B414" s="966">
        <v>4596</v>
      </c>
      <c r="C414" s="966">
        <v>4596</v>
      </c>
      <c r="D414" s="966">
        <v>270.39</v>
      </c>
      <c r="E414" s="966">
        <v>243.41300000000001</v>
      </c>
      <c r="F414" s="966">
        <f t="shared" si="6"/>
        <v>4866.3900000000003</v>
      </c>
      <c r="G414" s="966">
        <f t="shared" si="6"/>
        <v>4839.4130000000005</v>
      </c>
    </row>
    <row r="415" spans="1:7" s="913" customFormat="1" ht="12.75" customHeight="1" x14ac:dyDescent="0.2">
      <c r="A415" s="965" t="s">
        <v>3958</v>
      </c>
      <c r="B415" s="966">
        <v>12284</v>
      </c>
      <c r="C415" s="966">
        <v>12284</v>
      </c>
      <c r="D415" s="966">
        <v>313.04000000000002</v>
      </c>
      <c r="E415" s="966">
        <v>313.036</v>
      </c>
      <c r="F415" s="966">
        <f t="shared" si="6"/>
        <v>12597.04</v>
      </c>
      <c r="G415" s="966">
        <f t="shared" si="6"/>
        <v>12597.036</v>
      </c>
    </row>
    <row r="416" spans="1:7" s="913" customFormat="1" ht="12.75" customHeight="1" x14ac:dyDescent="0.2">
      <c r="A416" s="965" t="s">
        <v>3959</v>
      </c>
      <c r="B416" s="966">
        <v>6756</v>
      </c>
      <c r="C416" s="966">
        <v>6756</v>
      </c>
      <c r="D416" s="966">
        <v>217.93</v>
      </c>
      <c r="E416" s="966">
        <v>217.93</v>
      </c>
      <c r="F416" s="966">
        <f t="shared" si="6"/>
        <v>6973.93</v>
      </c>
      <c r="G416" s="966">
        <f t="shared" si="6"/>
        <v>6973.93</v>
      </c>
    </row>
    <row r="417" spans="1:7" s="913" customFormat="1" ht="12.75" customHeight="1" x14ac:dyDescent="0.2">
      <c r="A417" s="965" t="s">
        <v>3960</v>
      </c>
      <c r="B417" s="966">
        <v>11968</v>
      </c>
      <c r="C417" s="966">
        <v>11968</v>
      </c>
      <c r="D417" s="966">
        <v>371.41</v>
      </c>
      <c r="E417" s="966">
        <v>371.40600000000001</v>
      </c>
      <c r="F417" s="966">
        <f t="shared" si="6"/>
        <v>12339.41</v>
      </c>
      <c r="G417" s="966">
        <f t="shared" si="6"/>
        <v>12339.406000000001</v>
      </c>
    </row>
    <row r="418" spans="1:7" s="913" customFormat="1" ht="12.75" customHeight="1" x14ac:dyDescent="0.2">
      <c r="A418" s="965" t="s">
        <v>3961</v>
      </c>
      <c r="B418" s="966">
        <v>3856</v>
      </c>
      <c r="C418" s="966">
        <v>3856</v>
      </c>
      <c r="D418" s="966">
        <v>127.92</v>
      </c>
      <c r="E418" s="966">
        <v>127.916</v>
      </c>
      <c r="F418" s="966">
        <f t="shared" si="6"/>
        <v>3983.92</v>
      </c>
      <c r="G418" s="966">
        <f t="shared" si="6"/>
        <v>3983.9160000000002</v>
      </c>
    </row>
    <row r="419" spans="1:7" s="913" customFormat="1" ht="12.75" customHeight="1" x14ac:dyDescent="0.2">
      <c r="A419" s="965" t="s">
        <v>3962</v>
      </c>
      <c r="B419" s="966">
        <v>6061</v>
      </c>
      <c r="C419" s="966">
        <v>6061</v>
      </c>
      <c r="D419" s="966">
        <v>191.42000000000002</v>
      </c>
      <c r="E419" s="966">
        <v>191.41499999999999</v>
      </c>
      <c r="F419" s="966">
        <f t="shared" si="6"/>
        <v>6252.42</v>
      </c>
      <c r="G419" s="966">
        <f t="shared" si="6"/>
        <v>6252.415</v>
      </c>
    </row>
    <row r="420" spans="1:7" s="913" customFormat="1" ht="12.75" customHeight="1" x14ac:dyDescent="0.2">
      <c r="A420" s="965" t="s">
        <v>3963</v>
      </c>
      <c r="B420" s="966">
        <v>7243</v>
      </c>
      <c r="C420" s="966">
        <v>7243</v>
      </c>
      <c r="D420" s="966">
        <v>205.10999999999999</v>
      </c>
      <c r="E420" s="966">
        <v>205.113</v>
      </c>
      <c r="F420" s="966">
        <f t="shared" si="6"/>
        <v>7448.11</v>
      </c>
      <c r="G420" s="966">
        <f t="shared" si="6"/>
        <v>7448.1130000000003</v>
      </c>
    </row>
    <row r="421" spans="1:7" s="913" customFormat="1" ht="12.75" customHeight="1" x14ac:dyDescent="0.2">
      <c r="A421" s="965" t="s">
        <v>3964</v>
      </c>
      <c r="B421" s="966">
        <v>12822</v>
      </c>
      <c r="C421" s="966">
        <v>12822</v>
      </c>
      <c r="D421" s="966">
        <v>401.29</v>
      </c>
      <c r="E421" s="966">
        <v>401.28700000000003</v>
      </c>
      <c r="F421" s="966">
        <f t="shared" si="6"/>
        <v>13223.29</v>
      </c>
      <c r="G421" s="966">
        <f t="shared" si="6"/>
        <v>13223.287</v>
      </c>
    </row>
    <row r="422" spans="1:7" s="913" customFormat="1" ht="12.75" customHeight="1" x14ac:dyDescent="0.2">
      <c r="A422" s="965" t="s">
        <v>3965</v>
      </c>
      <c r="B422" s="966">
        <v>6300</v>
      </c>
      <c r="C422" s="966">
        <v>6300</v>
      </c>
      <c r="D422" s="966">
        <v>319.83000000000004</v>
      </c>
      <c r="E422" s="966">
        <v>319.82299999999998</v>
      </c>
      <c r="F422" s="966">
        <f t="shared" si="6"/>
        <v>6619.83</v>
      </c>
      <c r="G422" s="966">
        <f t="shared" si="6"/>
        <v>6619.8230000000003</v>
      </c>
    </row>
    <row r="423" spans="1:7" s="913" customFormat="1" ht="12.75" customHeight="1" x14ac:dyDescent="0.2">
      <c r="A423" s="965" t="s">
        <v>3966</v>
      </c>
      <c r="B423" s="966">
        <v>10114</v>
      </c>
      <c r="C423" s="966">
        <v>10114</v>
      </c>
      <c r="D423" s="966">
        <v>419.66</v>
      </c>
      <c r="E423" s="966">
        <v>419.66200000000003</v>
      </c>
      <c r="F423" s="966">
        <f t="shared" si="6"/>
        <v>10533.66</v>
      </c>
      <c r="G423" s="966">
        <f t="shared" si="6"/>
        <v>10533.662</v>
      </c>
    </row>
    <row r="424" spans="1:7" s="913" customFormat="1" ht="12.75" customHeight="1" x14ac:dyDescent="0.2">
      <c r="A424" s="965" t="s">
        <v>3967</v>
      </c>
      <c r="B424" s="966">
        <v>8423</v>
      </c>
      <c r="C424" s="966">
        <v>8423</v>
      </c>
      <c r="D424" s="966">
        <v>288.62</v>
      </c>
      <c r="E424" s="966">
        <v>288.61500000000001</v>
      </c>
      <c r="F424" s="966">
        <f t="shared" si="6"/>
        <v>8711.6200000000008</v>
      </c>
      <c r="G424" s="966">
        <f t="shared" si="6"/>
        <v>8711.6149999999998</v>
      </c>
    </row>
    <row r="425" spans="1:7" s="913" customFormat="1" ht="12.75" customHeight="1" x14ac:dyDescent="0.2">
      <c r="A425" s="965" t="s">
        <v>3968</v>
      </c>
      <c r="B425" s="966">
        <v>2167</v>
      </c>
      <c r="C425" s="966">
        <v>2167</v>
      </c>
      <c r="D425" s="966">
        <v>83.9</v>
      </c>
      <c r="E425" s="966">
        <v>83.896000000000001</v>
      </c>
      <c r="F425" s="966">
        <f t="shared" si="6"/>
        <v>2250.9</v>
      </c>
      <c r="G425" s="966">
        <f t="shared" si="6"/>
        <v>2250.8960000000002</v>
      </c>
    </row>
    <row r="426" spans="1:7" s="913" customFormat="1" ht="12.75" customHeight="1" x14ac:dyDescent="0.2">
      <c r="A426" s="965" t="s">
        <v>3969</v>
      </c>
      <c r="B426" s="966">
        <v>11873</v>
      </c>
      <c r="C426" s="966">
        <v>11873</v>
      </c>
      <c r="D426" s="966">
        <v>436.51</v>
      </c>
      <c r="E426" s="966">
        <v>436.512</v>
      </c>
      <c r="F426" s="966">
        <f t="shared" si="6"/>
        <v>12309.51</v>
      </c>
      <c r="G426" s="966">
        <f t="shared" si="6"/>
        <v>12309.512000000001</v>
      </c>
    </row>
    <row r="427" spans="1:7" s="913" customFormat="1" ht="12.75" customHeight="1" x14ac:dyDescent="0.2">
      <c r="A427" s="965" t="s">
        <v>3970</v>
      </c>
      <c r="B427" s="966">
        <v>15257</v>
      </c>
      <c r="C427" s="966">
        <v>15257</v>
      </c>
      <c r="D427" s="966">
        <v>456.91999999999996</v>
      </c>
      <c r="E427" s="966">
        <v>456.91800000000001</v>
      </c>
      <c r="F427" s="966">
        <f t="shared" si="6"/>
        <v>15713.92</v>
      </c>
      <c r="G427" s="966">
        <f t="shared" si="6"/>
        <v>15713.918</v>
      </c>
    </row>
    <row r="428" spans="1:7" s="913" customFormat="1" ht="12.75" customHeight="1" x14ac:dyDescent="0.2">
      <c r="A428" s="965" t="s">
        <v>3971</v>
      </c>
      <c r="B428" s="966">
        <v>15569</v>
      </c>
      <c r="C428" s="966">
        <v>15569</v>
      </c>
      <c r="D428" s="966">
        <v>501.09</v>
      </c>
      <c r="E428" s="966">
        <v>501.08299999999997</v>
      </c>
      <c r="F428" s="966">
        <f t="shared" si="6"/>
        <v>16070.09</v>
      </c>
      <c r="G428" s="966">
        <f t="shared" si="6"/>
        <v>16070.083000000001</v>
      </c>
    </row>
    <row r="429" spans="1:7" s="913" customFormat="1" ht="12.75" customHeight="1" x14ac:dyDescent="0.2">
      <c r="A429" s="965" t="s">
        <v>3972</v>
      </c>
      <c r="B429" s="966">
        <v>18586</v>
      </c>
      <c r="C429" s="966">
        <v>18586</v>
      </c>
      <c r="D429" s="966">
        <v>590.35</v>
      </c>
      <c r="E429" s="966">
        <v>590.34900000000005</v>
      </c>
      <c r="F429" s="966">
        <f t="shared" si="6"/>
        <v>19176.349999999999</v>
      </c>
      <c r="G429" s="966">
        <f t="shared" si="6"/>
        <v>19176.348999999998</v>
      </c>
    </row>
    <row r="430" spans="1:7" s="913" customFormat="1" ht="12.75" customHeight="1" x14ac:dyDescent="0.2">
      <c r="A430" s="965" t="s">
        <v>3973</v>
      </c>
      <c r="B430" s="966">
        <v>20506</v>
      </c>
      <c r="C430" s="966">
        <v>20506</v>
      </c>
      <c r="D430" s="966">
        <v>697.49</v>
      </c>
      <c r="E430" s="966">
        <v>697.48799999999994</v>
      </c>
      <c r="F430" s="966">
        <f t="shared" si="6"/>
        <v>21203.49</v>
      </c>
      <c r="G430" s="966">
        <f t="shared" si="6"/>
        <v>21203.488000000001</v>
      </c>
    </row>
    <row r="431" spans="1:7" s="913" customFormat="1" ht="12.75" customHeight="1" x14ac:dyDescent="0.2">
      <c r="A431" s="965" t="s">
        <v>3974</v>
      </c>
      <c r="B431" s="966">
        <v>17724</v>
      </c>
      <c r="C431" s="966">
        <v>17724</v>
      </c>
      <c r="D431" s="966">
        <v>625.66</v>
      </c>
      <c r="E431" s="966">
        <v>625.65600000000006</v>
      </c>
      <c r="F431" s="966">
        <f t="shared" si="6"/>
        <v>18349.66</v>
      </c>
      <c r="G431" s="966">
        <f t="shared" si="6"/>
        <v>18349.655999999999</v>
      </c>
    </row>
    <row r="432" spans="1:7" s="913" customFormat="1" ht="12.75" customHeight="1" x14ac:dyDescent="0.2">
      <c r="A432" s="965" t="s">
        <v>3975</v>
      </c>
      <c r="B432" s="966">
        <v>4685</v>
      </c>
      <c r="C432" s="966">
        <v>4685</v>
      </c>
      <c r="D432" s="966">
        <v>131.43</v>
      </c>
      <c r="E432" s="966">
        <v>131.42699999999999</v>
      </c>
      <c r="F432" s="966">
        <f t="shared" si="6"/>
        <v>4816.43</v>
      </c>
      <c r="G432" s="966">
        <f t="shared" si="6"/>
        <v>4816.4269999999997</v>
      </c>
    </row>
    <row r="433" spans="1:7" s="913" customFormat="1" ht="12.75" customHeight="1" x14ac:dyDescent="0.2">
      <c r="A433" s="965" t="s">
        <v>3976</v>
      </c>
      <c r="B433" s="966">
        <v>6264</v>
      </c>
      <c r="C433" s="966">
        <v>6264</v>
      </c>
      <c r="D433" s="966">
        <v>204.36</v>
      </c>
      <c r="E433" s="966">
        <v>204.363</v>
      </c>
      <c r="F433" s="966">
        <f t="shared" si="6"/>
        <v>6468.36</v>
      </c>
      <c r="G433" s="966">
        <f t="shared" si="6"/>
        <v>6468.3630000000003</v>
      </c>
    </row>
    <row r="434" spans="1:7" s="913" customFormat="1" ht="12.75" customHeight="1" x14ac:dyDescent="0.2">
      <c r="A434" s="965" t="s">
        <v>3977</v>
      </c>
      <c r="B434" s="966">
        <v>3832</v>
      </c>
      <c r="C434" s="966">
        <v>3832</v>
      </c>
      <c r="D434" s="966">
        <v>124.61999999999999</v>
      </c>
      <c r="E434" s="966">
        <v>124.62</v>
      </c>
      <c r="F434" s="966">
        <f t="shared" si="6"/>
        <v>3956.62</v>
      </c>
      <c r="G434" s="966">
        <f t="shared" si="6"/>
        <v>3956.62</v>
      </c>
    </row>
    <row r="435" spans="1:7" s="913" customFormat="1" ht="12.75" customHeight="1" x14ac:dyDescent="0.2">
      <c r="A435" s="965" t="s">
        <v>3978</v>
      </c>
      <c r="B435" s="966">
        <v>5924</v>
      </c>
      <c r="C435" s="966">
        <v>5924</v>
      </c>
      <c r="D435" s="966">
        <v>157.94999999999999</v>
      </c>
      <c r="E435" s="966">
        <v>157.95099999999999</v>
      </c>
      <c r="F435" s="966">
        <f t="shared" si="6"/>
        <v>6081.95</v>
      </c>
      <c r="G435" s="966">
        <f t="shared" si="6"/>
        <v>6081.951</v>
      </c>
    </row>
    <row r="436" spans="1:7" s="913" customFormat="1" ht="12.75" customHeight="1" x14ac:dyDescent="0.2">
      <c r="A436" s="965" t="s">
        <v>3979</v>
      </c>
      <c r="B436" s="966">
        <v>7113</v>
      </c>
      <c r="C436" s="966">
        <v>7113</v>
      </c>
      <c r="D436" s="966">
        <v>236.26</v>
      </c>
      <c r="E436" s="966">
        <v>236.26299999999998</v>
      </c>
      <c r="F436" s="966">
        <f t="shared" si="6"/>
        <v>7349.26</v>
      </c>
      <c r="G436" s="966">
        <f t="shared" si="6"/>
        <v>7349.2629999999999</v>
      </c>
    </row>
    <row r="437" spans="1:7" s="913" customFormat="1" ht="12.75" customHeight="1" x14ac:dyDescent="0.2">
      <c r="A437" s="965" t="s">
        <v>3980</v>
      </c>
      <c r="B437" s="966">
        <v>16938</v>
      </c>
      <c r="C437" s="966">
        <v>16938</v>
      </c>
      <c r="D437" s="966">
        <v>778.75</v>
      </c>
      <c r="E437" s="966">
        <v>778.75</v>
      </c>
      <c r="F437" s="966">
        <f t="shared" si="6"/>
        <v>17716.75</v>
      </c>
      <c r="G437" s="966">
        <f t="shared" si="6"/>
        <v>17716.75</v>
      </c>
    </row>
    <row r="438" spans="1:7" s="913" customFormat="1" ht="12.75" customHeight="1" x14ac:dyDescent="0.2">
      <c r="A438" s="965" t="s">
        <v>3981</v>
      </c>
      <c r="B438" s="966">
        <v>10246</v>
      </c>
      <c r="C438" s="966">
        <v>10246</v>
      </c>
      <c r="D438" s="966">
        <v>425.83</v>
      </c>
      <c r="E438" s="966">
        <v>425.834</v>
      </c>
      <c r="F438" s="966">
        <f t="shared" si="6"/>
        <v>10671.83</v>
      </c>
      <c r="G438" s="966">
        <f t="shared" si="6"/>
        <v>10671.834000000001</v>
      </c>
    </row>
    <row r="439" spans="1:7" s="913" customFormat="1" ht="12.75" customHeight="1" x14ac:dyDescent="0.2">
      <c r="A439" s="965" t="s">
        <v>3982</v>
      </c>
      <c r="B439" s="966">
        <v>4119</v>
      </c>
      <c r="C439" s="966">
        <v>4119</v>
      </c>
      <c r="D439" s="966">
        <v>130.31</v>
      </c>
      <c r="E439" s="966">
        <v>130.31200000000001</v>
      </c>
      <c r="F439" s="966">
        <f t="shared" si="6"/>
        <v>4249.3100000000004</v>
      </c>
      <c r="G439" s="966">
        <f t="shared" si="6"/>
        <v>4249.3119999999999</v>
      </c>
    </row>
    <row r="440" spans="1:7" s="913" customFormat="1" ht="12.75" customHeight="1" x14ac:dyDescent="0.2">
      <c r="A440" s="965" t="s">
        <v>3983</v>
      </c>
      <c r="B440" s="966">
        <v>8334</v>
      </c>
      <c r="C440" s="966">
        <v>8334</v>
      </c>
      <c r="D440" s="966">
        <v>240.98000000000002</v>
      </c>
      <c r="E440" s="966">
        <v>240.97</v>
      </c>
      <c r="F440" s="966">
        <f t="shared" si="6"/>
        <v>8574.98</v>
      </c>
      <c r="G440" s="966">
        <f t="shared" si="6"/>
        <v>8574.9699999999993</v>
      </c>
    </row>
    <row r="441" spans="1:7" s="913" customFormat="1" ht="12.75" customHeight="1" x14ac:dyDescent="0.2">
      <c r="A441" s="965" t="s">
        <v>3984</v>
      </c>
      <c r="B441" s="966">
        <v>19978</v>
      </c>
      <c r="C441" s="966">
        <v>19978</v>
      </c>
      <c r="D441" s="966">
        <v>626.41999999999996</v>
      </c>
      <c r="E441" s="966">
        <v>626.4190000000001</v>
      </c>
      <c r="F441" s="966">
        <f t="shared" si="6"/>
        <v>20604.419999999998</v>
      </c>
      <c r="G441" s="966">
        <f t="shared" si="6"/>
        <v>20604.419000000002</v>
      </c>
    </row>
    <row r="442" spans="1:7" s="913" customFormat="1" ht="12.75" customHeight="1" x14ac:dyDescent="0.2">
      <c r="A442" s="965" t="s">
        <v>3985</v>
      </c>
      <c r="B442" s="966">
        <v>10222</v>
      </c>
      <c r="C442" s="966">
        <v>10222</v>
      </c>
      <c r="D442" s="966">
        <v>307.78000000000003</v>
      </c>
      <c r="E442" s="966">
        <v>307.77500000000003</v>
      </c>
      <c r="F442" s="966">
        <f t="shared" si="6"/>
        <v>10529.78</v>
      </c>
      <c r="G442" s="966">
        <f t="shared" si="6"/>
        <v>10529.775</v>
      </c>
    </row>
    <row r="443" spans="1:7" s="913" customFormat="1" ht="12.75" customHeight="1" x14ac:dyDescent="0.2">
      <c r="A443" s="965" t="s">
        <v>3986</v>
      </c>
      <c r="B443" s="966">
        <v>10060</v>
      </c>
      <c r="C443" s="966">
        <v>10060</v>
      </c>
      <c r="D443" s="966">
        <v>344.77</v>
      </c>
      <c r="E443" s="966">
        <v>344.767</v>
      </c>
      <c r="F443" s="966">
        <f t="shared" si="6"/>
        <v>10404.77</v>
      </c>
      <c r="G443" s="966">
        <f t="shared" si="6"/>
        <v>10404.767</v>
      </c>
    </row>
    <row r="444" spans="1:7" s="913" customFormat="1" ht="12.75" customHeight="1" x14ac:dyDescent="0.2">
      <c r="A444" s="965" t="s">
        <v>3987</v>
      </c>
      <c r="B444" s="966">
        <v>3164</v>
      </c>
      <c r="C444" s="966">
        <v>3164</v>
      </c>
      <c r="D444" s="966">
        <v>93.65</v>
      </c>
      <c r="E444" s="966">
        <v>93.65100000000001</v>
      </c>
      <c r="F444" s="966">
        <f t="shared" si="6"/>
        <v>3257.65</v>
      </c>
      <c r="G444" s="966">
        <f t="shared" si="6"/>
        <v>3257.6509999999998</v>
      </c>
    </row>
    <row r="445" spans="1:7" s="913" customFormat="1" ht="12.75" customHeight="1" x14ac:dyDescent="0.2">
      <c r="A445" s="965" t="s">
        <v>3988</v>
      </c>
      <c r="B445" s="966">
        <v>6667</v>
      </c>
      <c r="C445" s="966">
        <v>6667</v>
      </c>
      <c r="D445" s="966">
        <v>164.04</v>
      </c>
      <c r="E445" s="966">
        <v>164.041</v>
      </c>
      <c r="F445" s="966">
        <f t="shared" si="6"/>
        <v>6831.04</v>
      </c>
      <c r="G445" s="966">
        <f t="shared" si="6"/>
        <v>6831.0410000000002</v>
      </c>
    </row>
    <row r="446" spans="1:7" s="913" customFormat="1" ht="12.75" customHeight="1" x14ac:dyDescent="0.2">
      <c r="A446" s="965" t="s">
        <v>3989</v>
      </c>
      <c r="B446" s="966">
        <v>9247</v>
      </c>
      <c r="C446" s="966">
        <v>9247</v>
      </c>
      <c r="D446" s="966">
        <v>266</v>
      </c>
      <c r="E446" s="966">
        <v>266.00200000000001</v>
      </c>
      <c r="F446" s="966">
        <f t="shared" si="6"/>
        <v>9513</v>
      </c>
      <c r="G446" s="966">
        <f t="shared" si="6"/>
        <v>9513.0020000000004</v>
      </c>
    </row>
    <row r="447" spans="1:7" s="913" customFormat="1" ht="12.75" customHeight="1" x14ac:dyDescent="0.2">
      <c r="A447" s="965" t="s">
        <v>3990</v>
      </c>
      <c r="B447" s="966">
        <v>13996</v>
      </c>
      <c r="C447" s="966">
        <v>13996</v>
      </c>
      <c r="D447" s="966">
        <v>396.54999999999995</v>
      </c>
      <c r="E447" s="966">
        <v>396.55099999999999</v>
      </c>
      <c r="F447" s="966">
        <f t="shared" si="6"/>
        <v>14392.55</v>
      </c>
      <c r="G447" s="966">
        <f t="shared" si="6"/>
        <v>14392.550999999999</v>
      </c>
    </row>
    <row r="448" spans="1:7" s="913" customFormat="1" ht="12.75" customHeight="1" x14ac:dyDescent="0.2">
      <c r="A448" s="965" t="s">
        <v>3991</v>
      </c>
      <c r="B448" s="966">
        <v>4636</v>
      </c>
      <c r="C448" s="966">
        <v>4636</v>
      </c>
      <c r="D448" s="966">
        <v>150.68</v>
      </c>
      <c r="E448" s="966">
        <v>150.68</v>
      </c>
      <c r="F448" s="966">
        <f t="shared" si="6"/>
        <v>4786.68</v>
      </c>
      <c r="G448" s="966">
        <f t="shared" si="6"/>
        <v>4786.68</v>
      </c>
    </row>
    <row r="449" spans="1:7" s="913" customFormat="1" ht="12.75" customHeight="1" x14ac:dyDescent="0.2">
      <c r="A449" s="965" t="s">
        <v>3992</v>
      </c>
      <c r="B449" s="966">
        <v>3027</v>
      </c>
      <c r="C449" s="966">
        <v>3027</v>
      </c>
      <c r="D449" s="966">
        <v>136.78</v>
      </c>
      <c r="E449" s="966">
        <v>136.77500000000001</v>
      </c>
      <c r="F449" s="966">
        <f t="shared" si="6"/>
        <v>3163.78</v>
      </c>
      <c r="G449" s="966">
        <f t="shared" si="6"/>
        <v>3163.7750000000001</v>
      </c>
    </row>
    <row r="450" spans="1:7" s="913" customFormat="1" ht="12.75" customHeight="1" x14ac:dyDescent="0.2">
      <c r="A450" s="965" t="s">
        <v>3993</v>
      </c>
      <c r="B450" s="966">
        <v>4306</v>
      </c>
      <c r="C450" s="966">
        <v>4306</v>
      </c>
      <c r="D450" s="966">
        <v>133.37</v>
      </c>
      <c r="E450" s="966">
        <v>133.36699999999999</v>
      </c>
      <c r="F450" s="966">
        <f t="shared" si="6"/>
        <v>4439.37</v>
      </c>
      <c r="G450" s="966">
        <f t="shared" si="6"/>
        <v>4439.3670000000002</v>
      </c>
    </row>
    <row r="451" spans="1:7" s="913" customFormat="1" ht="12.75" customHeight="1" x14ac:dyDescent="0.2">
      <c r="A451" s="965" t="s">
        <v>3994</v>
      </c>
      <c r="B451" s="966">
        <v>3163</v>
      </c>
      <c r="C451" s="966">
        <v>3163</v>
      </c>
      <c r="D451" s="966">
        <v>81.540000000000006</v>
      </c>
      <c r="E451" s="966">
        <v>81.531999999999996</v>
      </c>
      <c r="F451" s="966">
        <f t="shared" si="6"/>
        <v>3244.54</v>
      </c>
      <c r="G451" s="966">
        <f t="shared" si="6"/>
        <v>3244.5320000000002</v>
      </c>
    </row>
    <row r="452" spans="1:7" s="913" customFormat="1" ht="12.75" customHeight="1" x14ac:dyDescent="0.2">
      <c r="A452" s="965" t="s">
        <v>3995</v>
      </c>
      <c r="B452" s="966">
        <v>3032</v>
      </c>
      <c r="C452" s="966">
        <v>3032</v>
      </c>
      <c r="D452" s="966">
        <v>97.61</v>
      </c>
      <c r="E452" s="966">
        <v>97.604000000000013</v>
      </c>
      <c r="F452" s="966">
        <f t="shared" si="6"/>
        <v>3129.61</v>
      </c>
      <c r="G452" s="966">
        <f t="shared" si="6"/>
        <v>3129.6039999999998</v>
      </c>
    </row>
    <row r="453" spans="1:7" s="913" customFormat="1" ht="12.75" customHeight="1" x14ac:dyDescent="0.2">
      <c r="A453" s="965" t="s">
        <v>3996</v>
      </c>
      <c r="B453" s="966">
        <v>12106</v>
      </c>
      <c r="C453" s="966">
        <v>12106</v>
      </c>
      <c r="D453" s="966">
        <v>353.78</v>
      </c>
      <c r="E453" s="966">
        <v>353.78</v>
      </c>
      <c r="F453" s="966">
        <f t="shared" si="6"/>
        <v>12459.78</v>
      </c>
      <c r="G453" s="966">
        <f t="shared" si="6"/>
        <v>12459.78</v>
      </c>
    </row>
    <row r="454" spans="1:7" s="913" customFormat="1" ht="12.75" customHeight="1" x14ac:dyDescent="0.2">
      <c r="A454" s="965" t="s">
        <v>3997</v>
      </c>
      <c r="B454" s="966">
        <v>5675</v>
      </c>
      <c r="C454" s="966">
        <v>5675</v>
      </c>
      <c r="D454" s="966">
        <v>166.51999999999998</v>
      </c>
      <c r="E454" s="966">
        <v>166.517</v>
      </c>
      <c r="F454" s="966">
        <f t="shared" ref="F454:G517" si="7">B454+D454</f>
        <v>5841.52</v>
      </c>
      <c r="G454" s="966">
        <f t="shared" si="7"/>
        <v>5841.5169999999998</v>
      </c>
    </row>
    <row r="455" spans="1:7" s="913" customFormat="1" ht="12.75" customHeight="1" x14ac:dyDescent="0.2">
      <c r="A455" s="965" t="s">
        <v>3998</v>
      </c>
      <c r="B455" s="966">
        <v>5576</v>
      </c>
      <c r="C455" s="966">
        <v>5576</v>
      </c>
      <c r="D455" s="966">
        <v>196.79</v>
      </c>
      <c r="E455" s="966">
        <v>196.78700000000001</v>
      </c>
      <c r="F455" s="966">
        <f t="shared" si="7"/>
        <v>5772.79</v>
      </c>
      <c r="G455" s="966">
        <f t="shared" si="7"/>
        <v>5772.7870000000003</v>
      </c>
    </row>
    <row r="456" spans="1:7" s="913" customFormat="1" ht="12.75" customHeight="1" x14ac:dyDescent="0.2">
      <c r="A456" s="965" t="s">
        <v>3999</v>
      </c>
      <c r="B456" s="966">
        <v>8992</v>
      </c>
      <c r="C456" s="966">
        <v>8992</v>
      </c>
      <c r="D456" s="966">
        <v>306.86</v>
      </c>
      <c r="E456" s="966">
        <v>306.863</v>
      </c>
      <c r="F456" s="966">
        <f t="shared" si="7"/>
        <v>9298.86</v>
      </c>
      <c r="G456" s="966">
        <f t="shared" si="7"/>
        <v>9298.8629999999994</v>
      </c>
    </row>
    <row r="457" spans="1:7" s="913" customFormat="1" ht="12.75" customHeight="1" x14ac:dyDescent="0.2">
      <c r="A457" s="965" t="s">
        <v>4000</v>
      </c>
      <c r="B457" s="966">
        <v>17900</v>
      </c>
      <c r="C457" s="966">
        <v>17900</v>
      </c>
      <c r="D457" s="966">
        <v>587.88</v>
      </c>
      <c r="E457" s="966">
        <v>587.87900000000002</v>
      </c>
      <c r="F457" s="966">
        <f t="shared" si="7"/>
        <v>18487.88</v>
      </c>
      <c r="G457" s="966">
        <f t="shared" si="7"/>
        <v>18487.879000000001</v>
      </c>
    </row>
    <row r="458" spans="1:7" s="913" customFormat="1" ht="12.75" customHeight="1" x14ac:dyDescent="0.2">
      <c r="A458" s="965" t="s">
        <v>4001</v>
      </c>
      <c r="B458" s="966">
        <v>10705</v>
      </c>
      <c r="C458" s="966">
        <v>10705</v>
      </c>
      <c r="D458" s="966">
        <v>339.37</v>
      </c>
      <c r="E458" s="966">
        <v>339.37200000000001</v>
      </c>
      <c r="F458" s="966">
        <f t="shared" si="7"/>
        <v>11044.37</v>
      </c>
      <c r="G458" s="966">
        <f t="shared" si="7"/>
        <v>11044.371999999999</v>
      </c>
    </row>
    <row r="459" spans="1:7" s="913" customFormat="1" ht="12.75" customHeight="1" x14ac:dyDescent="0.2">
      <c r="A459" s="965" t="s">
        <v>4002</v>
      </c>
      <c r="B459" s="966">
        <v>10748</v>
      </c>
      <c r="C459" s="966">
        <v>10748</v>
      </c>
      <c r="D459" s="966">
        <v>364.88</v>
      </c>
      <c r="E459" s="966">
        <v>364.87800000000004</v>
      </c>
      <c r="F459" s="966">
        <f t="shared" si="7"/>
        <v>11112.88</v>
      </c>
      <c r="G459" s="966">
        <f t="shared" si="7"/>
        <v>11112.878000000001</v>
      </c>
    </row>
    <row r="460" spans="1:7" s="913" customFormat="1" ht="12.75" customHeight="1" x14ac:dyDescent="0.2">
      <c r="A460" s="965" t="s">
        <v>4003</v>
      </c>
      <c r="B460" s="966">
        <v>4174</v>
      </c>
      <c r="C460" s="966">
        <v>4174</v>
      </c>
      <c r="D460" s="966">
        <v>121.26</v>
      </c>
      <c r="E460" s="966">
        <v>121.26299999999999</v>
      </c>
      <c r="F460" s="966">
        <f t="shared" si="7"/>
        <v>4295.26</v>
      </c>
      <c r="G460" s="966">
        <f t="shared" si="7"/>
        <v>4295.2629999999999</v>
      </c>
    </row>
    <row r="461" spans="1:7" s="913" customFormat="1" ht="12.75" customHeight="1" x14ac:dyDescent="0.2">
      <c r="A461" s="965" t="s">
        <v>4004</v>
      </c>
      <c r="B461" s="966">
        <v>17991</v>
      </c>
      <c r="C461" s="966">
        <v>17991</v>
      </c>
      <c r="D461" s="966">
        <v>779.61999999999989</v>
      </c>
      <c r="E461" s="966">
        <v>779.62300000000005</v>
      </c>
      <c r="F461" s="966">
        <f t="shared" si="7"/>
        <v>18770.62</v>
      </c>
      <c r="G461" s="966">
        <f t="shared" si="7"/>
        <v>18770.623</v>
      </c>
    </row>
    <row r="462" spans="1:7" s="913" customFormat="1" ht="12.75" customHeight="1" x14ac:dyDescent="0.2">
      <c r="A462" s="965" t="s">
        <v>4005</v>
      </c>
      <c r="B462" s="966">
        <v>26525</v>
      </c>
      <c r="C462" s="966">
        <v>26525</v>
      </c>
      <c r="D462" s="966">
        <v>1379.6</v>
      </c>
      <c r="E462" s="966">
        <v>1379.6010000000001</v>
      </c>
      <c r="F462" s="966">
        <f t="shared" si="7"/>
        <v>27904.6</v>
      </c>
      <c r="G462" s="966">
        <f t="shared" si="7"/>
        <v>27904.600999999999</v>
      </c>
    </row>
    <row r="463" spans="1:7" s="913" customFormat="1" ht="12.75" customHeight="1" x14ac:dyDescent="0.2">
      <c r="A463" s="965" t="s">
        <v>4006</v>
      </c>
      <c r="B463" s="966">
        <v>3395</v>
      </c>
      <c r="C463" s="966">
        <v>3395</v>
      </c>
      <c r="D463" s="966">
        <v>97.22</v>
      </c>
      <c r="E463" s="966">
        <v>97.224999999999994</v>
      </c>
      <c r="F463" s="966">
        <f t="shared" si="7"/>
        <v>3492.22</v>
      </c>
      <c r="G463" s="966">
        <f t="shared" si="7"/>
        <v>3492.2249999999999</v>
      </c>
    </row>
    <row r="464" spans="1:7" s="913" customFormat="1" ht="12.75" customHeight="1" x14ac:dyDescent="0.2">
      <c r="A464" s="965" t="s">
        <v>4007</v>
      </c>
      <c r="B464" s="966">
        <v>7051</v>
      </c>
      <c r="C464" s="966">
        <v>7051</v>
      </c>
      <c r="D464" s="966">
        <v>193.47</v>
      </c>
      <c r="E464" s="966">
        <v>193.471</v>
      </c>
      <c r="F464" s="966">
        <f t="shared" si="7"/>
        <v>7244.47</v>
      </c>
      <c r="G464" s="966">
        <f t="shared" si="7"/>
        <v>7244.4709999999995</v>
      </c>
    </row>
    <row r="465" spans="1:7" s="913" customFormat="1" ht="12.75" customHeight="1" x14ac:dyDescent="0.2">
      <c r="A465" s="965" t="s">
        <v>4008</v>
      </c>
      <c r="B465" s="966">
        <v>15448</v>
      </c>
      <c r="C465" s="966">
        <v>15448</v>
      </c>
      <c r="D465" s="966">
        <v>774.96999999999991</v>
      </c>
      <c r="E465" s="966">
        <v>774.96300000000008</v>
      </c>
      <c r="F465" s="966">
        <f t="shared" si="7"/>
        <v>16222.97</v>
      </c>
      <c r="G465" s="966">
        <f t="shared" si="7"/>
        <v>16222.963</v>
      </c>
    </row>
    <row r="466" spans="1:7" s="913" customFormat="1" ht="12.75" customHeight="1" x14ac:dyDescent="0.2">
      <c r="A466" s="965" t="s">
        <v>4009</v>
      </c>
      <c r="B466" s="966">
        <v>17827</v>
      </c>
      <c r="C466" s="966">
        <v>17827</v>
      </c>
      <c r="D466" s="966">
        <v>571.76</v>
      </c>
      <c r="E466" s="966">
        <v>571.75800000000004</v>
      </c>
      <c r="F466" s="966">
        <f t="shared" si="7"/>
        <v>18398.759999999998</v>
      </c>
      <c r="G466" s="966">
        <f t="shared" si="7"/>
        <v>18398.758000000002</v>
      </c>
    </row>
    <row r="467" spans="1:7" s="913" customFormat="1" ht="12.75" customHeight="1" x14ac:dyDescent="0.2">
      <c r="A467" s="965" t="s">
        <v>4010</v>
      </c>
      <c r="B467" s="966">
        <v>25536</v>
      </c>
      <c r="C467" s="966">
        <v>25536</v>
      </c>
      <c r="D467" s="966">
        <v>973.06999999999994</v>
      </c>
      <c r="E467" s="966">
        <v>972.67300000000012</v>
      </c>
      <c r="F467" s="966">
        <f t="shared" si="7"/>
        <v>26509.07</v>
      </c>
      <c r="G467" s="966">
        <f t="shared" si="7"/>
        <v>26508.672999999999</v>
      </c>
    </row>
    <row r="468" spans="1:7" s="913" customFormat="1" ht="12.75" customHeight="1" x14ac:dyDescent="0.2">
      <c r="A468" s="965" t="s">
        <v>4011</v>
      </c>
      <c r="B468" s="966">
        <v>17205</v>
      </c>
      <c r="C468" s="966">
        <v>17205</v>
      </c>
      <c r="D468" s="966">
        <v>569.04999999999995</v>
      </c>
      <c r="E468" s="966">
        <v>569.04899999999998</v>
      </c>
      <c r="F468" s="966">
        <f t="shared" si="7"/>
        <v>17774.05</v>
      </c>
      <c r="G468" s="966">
        <f t="shared" si="7"/>
        <v>17774.048999999999</v>
      </c>
    </row>
    <row r="469" spans="1:7" s="913" customFormat="1" ht="12.75" customHeight="1" x14ac:dyDescent="0.2">
      <c r="A469" s="965" t="s">
        <v>4012</v>
      </c>
      <c r="B469" s="966">
        <v>11326</v>
      </c>
      <c r="C469" s="966">
        <v>11326</v>
      </c>
      <c r="D469" s="966">
        <v>757.66</v>
      </c>
      <c r="E469" s="966">
        <v>757.65499999999997</v>
      </c>
      <c r="F469" s="966">
        <f t="shared" si="7"/>
        <v>12083.66</v>
      </c>
      <c r="G469" s="966">
        <f t="shared" si="7"/>
        <v>12083.655000000001</v>
      </c>
    </row>
    <row r="470" spans="1:7" s="913" customFormat="1" ht="12.75" customHeight="1" x14ac:dyDescent="0.2">
      <c r="A470" s="965" t="s">
        <v>4013</v>
      </c>
      <c r="B470" s="966">
        <v>10013</v>
      </c>
      <c r="C470" s="966">
        <v>10013</v>
      </c>
      <c r="D470" s="966">
        <v>360.38</v>
      </c>
      <c r="E470" s="966">
        <v>360.38300000000004</v>
      </c>
      <c r="F470" s="966">
        <f t="shared" si="7"/>
        <v>10373.379999999999</v>
      </c>
      <c r="G470" s="966">
        <f t="shared" si="7"/>
        <v>10373.383</v>
      </c>
    </row>
    <row r="471" spans="1:7" s="913" customFormat="1" ht="12.75" customHeight="1" x14ac:dyDescent="0.2">
      <c r="A471" s="965" t="s">
        <v>4014</v>
      </c>
      <c r="B471" s="966">
        <v>9635</v>
      </c>
      <c r="C471" s="966">
        <v>9635</v>
      </c>
      <c r="D471" s="966">
        <v>566.68000000000006</v>
      </c>
      <c r="E471" s="966">
        <v>566.67499999999995</v>
      </c>
      <c r="F471" s="966">
        <f t="shared" si="7"/>
        <v>10201.68</v>
      </c>
      <c r="G471" s="966">
        <f t="shared" si="7"/>
        <v>10201.674999999999</v>
      </c>
    </row>
    <row r="472" spans="1:7" s="913" customFormat="1" ht="12.75" customHeight="1" x14ac:dyDescent="0.2">
      <c r="A472" s="965" t="s">
        <v>4015</v>
      </c>
      <c r="B472" s="966">
        <v>10043</v>
      </c>
      <c r="C472" s="966">
        <v>10043</v>
      </c>
      <c r="D472" s="966">
        <v>356.44</v>
      </c>
      <c r="E472" s="966">
        <v>356.43900000000002</v>
      </c>
      <c r="F472" s="966">
        <f t="shared" si="7"/>
        <v>10399.44</v>
      </c>
      <c r="G472" s="966">
        <f t="shared" si="7"/>
        <v>10399.439</v>
      </c>
    </row>
    <row r="473" spans="1:7" s="913" customFormat="1" ht="12.75" customHeight="1" x14ac:dyDescent="0.2">
      <c r="A473" s="965" t="s">
        <v>4016</v>
      </c>
      <c r="B473" s="966">
        <v>18128</v>
      </c>
      <c r="C473" s="966">
        <v>18128</v>
      </c>
      <c r="D473" s="966">
        <v>1094.1500000000001</v>
      </c>
      <c r="E473" s="966">
        <v>1094.133</v>
      </c>
      <c r="F473" s="966">
        <f t="shared" si="7"/>
        <v>19222.150000000001</v>
      </c>
      <c r="G473" s="966">
        <f t="shared" si="7"/>
        <v>19222.133000000002</v>
      </c>
    </row>
    <row r="474" spans="1:7" s="913" customFormat="1" ht="12.75" customHeight="1" x14ac:dyDescent="0.2">
      <c r="A474" s="965" t="s">
        <v>4017</v>
      </c>
      <c r="B474" s="966">
        <v>3301</v>
      </c>
      <c r="C474" s="966">
        <v>3301</v>
      </c>
      <c r="D474" s="966">
        <v>91.95</v>
      </c>
      <c r="E474" s="966">
        <v>91.948999999999998</v>
      </c>
      <c r="F474" s="966">
        <f t="shared" si="7"/>
        <v>3392.95</v>
      </c>
      <c r="G474" s="966">
        <f t="shared" si="7"/>
        <v>3392.9490000000001</v>
      </c>
    </row>
    <row r="475" spans="1:7" s="913" customFormat="1" ht="12.75" customHeight="1" x14ac:dyDescent="0.2">
      <c r="A475" s="965" t="s">
        <v>4018</v>
      </c>
      <c r="B475" s="966">
        <v>14392</v>
      </c>
      <c r="C475" s="966">
        <v>14392</v>
      </c>
      <c r="D475" s="966">
        <v>477.33</v>
      </c>
      <c r="E475" s="966">
        <v>477.32299999999998</v>
      </c>
      <c r="F475" s="966">
        <f t="shared" si="7"/>
        <v>14869.33</v>
      </c>
      <c r="G475" s="966">
        <f t="shared" si="7"/>
        <v>14869.323</v>
      </c>
    </row>
    <row r="476" spans="1:7" s="913" customFormat="1" ht="12.75" customHeight="1" x14ac:dyDescent="0.2">
      <c r="A476" s="965" t="s">
        <v>4019</v>
      </c>
      <c r="B476" s="966">
        <v>19066</v>
      </c>
      <c r="C476" s="966">
        <v>19066</v>
      </c>
      <c r="D476" s="966">
        <v>626.53</v>
      </c>
      <c r="E476" s="966">
        <v>626.529</v>
      </c>
      <c r="F476" s="966">
        <f t="shared" si="7"/>
        <v>19692.53</v>
      </c>
      <c r="G476" s="966">
        <f t="shared" si="7"/>
        <v>19692.528999999999</v>
      </c>
    </row>
    <row r="477" spans="1:7" s="913" customFormat="1" ht="12.75" customHeight="1" x14ac:dyDescent="0.2">
      <c r="A477" s="965" t="s">
        <v>4020</v>
      </c>
      <c r="B477" s="966">
        <v>13714</v>
      </c>
      <c r="C477" s="966">
        <v>13714</v>
      </c>
      <c r="D477" s="966">
        <v>508.06</v>
      </c>
      <c r="E477" s="966">
        <v>508.06399999999996</v>
      </c>
      <c r="F477" s="966">
        <f t="shared" si="7"/>
        <v>14222.06</v>
      </c>
      <c r="G477" s="966">
        <f t="shared" si="7"/>
        <v>14222.064</v>
      </c>
    </row>
    <row r="478" spans="1:7" s="913" customFormat="1" ht="12.75" customHeight="1" x14ac:dyDescent="0.2">
      <c r="A478" s="965" t="s">
        <v>4021</v>
      </c>
      <c r="B478" s="966">
        <v>4248</v>
      </c>
      <c r="C478" s="966">
        <v>4248</v>
      </c>
      <c r="D478" s="966">
        <v>161.62</v>
      </c>
      <c r="E478" s="966">
        <v>161.62200000000001</v>
      </c>
      <c r="F478" s="966">
        <f t="shared" si="7"/>
        <v>4409.62</v>
      </c>
      <c r="G478" s="966">
        <f t="shared" si="7"/>
        <v>4409.6220000000003</v>
      </c>
    </row>
    <row r="479" spans="1:7" s="913" customFormat="1" ht="12.75" customHeight="1" x14ac:dyDescent="0.2">
      <c r="A479" s="965" t="s">
        <v>4022</v>
      </c>
      <c r="B479" s="966">
        <v>5481</v>
      </c>
      <c r="C479" s="966">
        <v>5481</v>
      </c>
      <c r="D479" s="966">
        <v>195.36</v>
      </c>
      <c r="E479" s="966">
        <v>195.364</v>
      </c>
      <c r="F479" s="966">
        <f t="shared" si="7"/>
        <v>5676.36</v>
      </c>
      <c r="G479" s="966">
        <f t="shared" si="7"/>
        <v>5676.3639999999996</v>
      </c>
    </row>
    <row r="480" spans="1:7" s="913" customFormat="1" ht="12.75" customHeight="1" x14ac:dyDescent="0.2">
      <c r="A480" s="965" t="s">
        <v>4023</v>
      </c>
      <c r="B480" s="966">
        <v>16300</v>
      </c>
      <c r="C480" s="966">
        <v>16300</v>
      </c>
      <c r="D480" s="966">
        <v>924.86</v>
      </c>
      <c r="E480" s="966">
        <v>924.85799999999995</v>
      </c>
      <c r="F480" s="966">
        <f t="shared" si="7"/>
        <v>17224.86</v>
      </c>
      <c r="G480" s="966">
        <f t="shared" si="7"/>
        <v>17224.858</v>
      </c>
    </row>
    <row r="481" spans="1:7" s="913" customFormat="1" ht="12.75" customHeight="1" x14ac:dyDescent="0.2">
      <c r="A481" s="965" t="s">
        <v>4024</v>
      </c>
      <c r="B481" s="966">
        <v>8647</v>
      </c>
      <c r="C481" s="966">
        <v>8647</v>
      </c>
      <c r="D481" s="966">
        <v>357.34</v>
      </c>
      <c r="E481" s="966">
        <v>357.334</v>
      </c>
      <c r="F481" s="966">
        <f t="shared" si="7"/>
        <v>9004.34</v>
      </c>
      <c r="G481" s="966">
        <f t="shared" si="7"/>
        <v>9004.3340000000007</v>
      </c>
    </row>
    <row r="482" spans="1:7" s="913" customFormat="1" ht="12.75" customHeight="1" x14ac:dyDescent="0.2">
      <c r="A482" s="965" t="s">
        <v>4025</v>
      </c>
      <c r="B482" s="966">
        <v>17124</v>
      </c>
      <c r="C482" s="966">
        <v>17124</v>
      </c>
      <c r="D482" s="966">
        <v>911.4</v>
      </c>
      <c r="E482" s="966">
        <v>911.39499999999998</v>
      </c>
      <c r="F482" s="966">
        <f t="shared" si="7"/>
        <v>18035.400000000001</v>
      </c>
      <c r="G482" s="966">
        <f t="shared" si="7"/>
        <v>18035.395</v>
      </c>
    </row>
    <row r="483" spans="1:7" s="913" customFormat="1" ht="12.75" customHeight="1" x14ac:dyDescent="0.2">
      <c r="A483" s="965" t="s">
        <v>4026</v>
      </c>
      <c r="B483" s="966">
        <v>9457</v>
      </c>
      <c r="C483" s="966">
        <v>9457</v>
      </c>
      <c r="D483" s="966">
        <v>311.01</v>
      </c>
      <c r="E483" s="966">
        <v>311.01099999999997</v>
      </c>
      <c r="F483" s="966">
        <f t="shared" si="7"/>
        <v>9768.01</v>
      </c>
      <c r="G483" s="966">
        <f t="shared" si="7"/>
        <v>9768.0110000000004</v>
      </c>
    </row>
    <row r="484" spans="1:7" s="913" customFormat="1" ht="12.75" customHeight="1" x14ac:dyDescent="0.2">
      <c r="A484" s="965" t="s">
        <v>4027</v>
      </c>
      <c r="B484" s="966">
        <v>17465</v>
      </c>
      <c r="C484" s="966">
        <v>17465</v>
      </c>
      <c r="D484" s="966">
        <v>640.41</v>
      </c>
      <c r="E484" s="966">
        <v>640.40800000000002</v>
      </c>
      <c r="F484" s="966">
        <f t="shared" si="7"/>
        <v>18105.41</v>
      </c>
      <c r="G484" s="966">
        <f t="shared" si="7"/>
        <v>18105.407999999999</v>
      </c>
    </row>
    <row r="485" spans="1:7" s="913" customFormat="1" ht="12.75" customHeight="1" x14ac:dyDescent="0.2">
      <c r="A485" s="965" t="s">
        <v>4028</v>
      </c>
      <c r="B485" s="966">
        <v>32805</v>
      </c>
      <c r="C485" s="966">
        <v>32805</v>
      </c>
      <c r="D485" s="966">
        <v>1541.3</v>
      </c>
      <c r="E485" s="966">
        <v>1541.297</v>
      </c>
      <c r="F485" s="966">
        <f t="shared" si="7"/>
        <v>34346.300000000003</v>
      </c>
      <c r="G485" s="966">
        <f t="shared" si="7"/>
        <v>34346.296999999999</v>
      </c>
    </row>
    <row r="486" spans="1:7" s="913" customFormat="1" ht="12.75" customHeight="1" x14ac:dyDescent="0.2">
      <c r="A486" s="965" t="s">
        <v>4029</v>
      </c>
      <c r="B486" s="966">
        <v>17507</v>
      </c>
      <c r="C486" s="966">
        <v>17507</v>
      </c>
      <c r="D486" s="966">
        <v>663.7</v>
      </c>
      <c r="E486" s="966">
        <v>663.697</v>
      </c>
      <c r="F486" s="966">
        <f t="shared" si="7"/>
        <v>18170.7</v>
      </c>
      <c r="G486" s="966">
        <f t="shared" si="7"/>
        <v>18170.697</v>
      </c>
    </row>
    <row r="487" spans="1:7" s="913" customFormat="1" ht="12.75" customHeight="1" x14ac:dyDescent="0.2">
      <c r="A487" s="965" t="s">
        <v>4030</v>
      </c>
      <c r="B487" s="966">
        <v>20283</v>
      </c>
      <c r="C487" s="966">
        <v>20283</v>
      </c>
      <c r="D487" s="966">
        <v>850.96</v>
      </c>
      <c r="E487" s="966">
        <v>850.96100000000001</v>
      </c>
      <c r="F487" s="966">
        <f t="shared" si="7"/>
        <v>21133.96</v>
      </c>
      <c r="G487" s="966">
        <f t="shared" si="7"/>
        <v>21133.960999999999</v>
      </c>
    </row>
    <row r="488" spans="1:7" s="913" customFormat="1" ht="12.75" customHeight="1" x14ac:dyDescent="0.2">
      <c r="A488" s="965" t="s">
        <v>4031</v>
      </c>
      <c r="B488" s="966">
        <v>21155</v>
      </c>
      <c r="C488" s="966">
        <v>21155</v>
      </c>
      <c r="D488" s="966">
        <v>777.71</v>
      </c>
      <c r="E488" s="966">
        <v>777.70699999999999</v>
      </c>
      <c r="F488" s="966">
        <f t="shared" si="7"/>
        <v>21932.71</v>
      </c>
      <c r="G488" s="966">
        <f t="shared" si="7"/>
        <v>21932.706999999999</v>
      </c>
    </row>
    <row r="489" spans="1:7" s="913" customFormat="1" ht="12.75" customHeight="1" x14ac:dyDescent="0.2">
      <c r="A489" s="965" t="s">
        <v>4032</v>
      </c>
      <c r="B489" s="966">
        <v>18386</v>
      </c>
      <c r="C489" s="966">
        <v>18386</v>
      </c>
      <c r="D489" s="966">
        <v>588.02</v>
      </c>
      <c r="E489" s="966">
        <v>588.02</v>
      </c>
      <c r="F489" s="966">
        <f t="shared" si="7"/>
        <v>18974.02</v>
      </c>
      <c r="G489" s="966">
        <f t="shared" si="7"/>
        <v>18974.02</v>
      </c>
    </row>
    <row r="490" spans="1:7" s="913" customFormat="1" ht="12.75" customHeight="1" x14ac:dyDescent="0.2">
      <c r="A490" s="965" t="s">
        <v>4033</v>
      </c>
      <c r="B490" s="966">
        <v>21114</v>
      </c>
      <c r="C490" s="966">
        <v>21114</v>
      </c>
      <c r="D490" s="966">
        <v>825.73</v>
      </c>
      <c r="E490" s="966">
        <v>825.73299999999995</v>
      </c>
      <c r="F490" s="966">
        <f t="shared" si="7"/>
        <v>21939.73</v>
      </c>
      <c r="G490" s="966">
        <f t="shared" si="7"/>
        <v>21939.733</v>
      </c>
    </row>
    <row r="491" spans="1:7" s="913" customFormat="1" ht="12.75" customHeight="1" x14ac:dyDescent="0.2">
      <c r="A491" s="965" t="s">
        <v>4034</v>
      </c>
      <c r="B491" s="966">
        <v>12081</v>
      </c>
      <c r="C491" s="966">
        <v>12081</v>
      </c>
      <c r="D491" s="966">
        <v>332.97999999999996</v>
      </c>
      <c r="E491" s="966">
        <v>332.97199999999998</v>
      </c>
      <c r="F491" s="966">
        <f t="shared" si="7"/>
        <v>12413.98</v>
      </c>
      <c r="G491" s="966">
        <f t="shared" si="7"/>
        <v>12413.972</v>
      </c>
    </row>
    <row r="492" spans="1:7" s="913" customFormat="1" ht="12.75" customHeight="1" x14ac:dyDescent="0.2">
      <c r="A492" s="965" t="s">
        <v>4035</v>
      </c>
      <c r="B492" s="966">
        <v>14033</v>
      </c>
      <c r="C492" s="966">
        <v>14033</v>
      </c>
      <c r="D492" s="966">
        <v>503.99</v>
      </c>
      <c r="E492" s="966">
        <v>503.99299999999994</v>
      </c>
      <c r="F492" s="966">
        <f t="shared" si="7"/>
        <v>14536.99</v>
      </c>
      <c r="G492" s="966">
        <f t="shared" si="7"/>
        <v>14536.993</v>
      </c>
    </row>
    <row r="493" spans="1:7" s="913" customFormat="1" ht="12.75" customHeight="1" x14ac:dyDescent="0.2">
      <c r="A493" s="965" t="s">
        <v>4036</v>
      </c>
      <c r="B493" s="966">
        <v>8653</v>
      </c>
      <c r="C493" s="966">
        <v>8653</v>
      </c>
      <c r="D493" s="966">
        <v>343.92</v>
      </c>
      <c r="E493" s="966">
        <v>343.916</v>
      </c>
      <c r="F493" s="966">
        <f t="shared" si="7"/>
        <v>8996.92</v>
      </c>
      <c r="G493" s="966">
        <f t="shared" si="7"/>
        <v>8996.9159999999993</v>
      </c>
    </row>
    <row r="494" spans="1:7" s="913" customFormat="1" ht="12.75" customHeight="1" x14ac:dyDescent="0.2">
      <c r="A494" s="965" t="s">
        <v>4037</v>
      </c>
      <c r="B494" s="966">
        <v>25269</v>
      </c>
      <c r="C494" s="966">
        <v>25269</v>
      </c>
      <c r="D494" s="966">
        <v>979.74</v>
      </c>
      <c r="E494" s="966">
        <v>979.74199999999996</v>
      </c>
      <c r="F494" s="966">
        <f t="shared" si="7"/>
        <v>26248.74</v>
      </c>
      <c r="G494" s="966">
        <f t="shared" si="7"/>
        <v>26248.741999999998</v>
      </c>
    </row>
    <row r="495" spans="1:7" s="913" customFormat="1" ht="12.75" customHeight="1" x14ac:dyDescent="0.2">
      <c r="A495" s="965" t="s">
        <v>4038</v>
      </c>
      <c r="B495" s="966">
        <v>18306</v>
      </c>
      <c r="C495" s="966">
        <v>18306</v>
      </c>
      <c r="D495" s="966">
        <v>648.56999999999994</v>
      </c>
      <c r="E495" s="966">
        <v>648.56399999999996</v>
      </c>
      <c r="F495" s="966">
        <f t="shared" si="7"/>
        <v>18954.57</v>
      </c>
      <c r="G495" s="966">
        <f t="shared" si="7"/>
        <v>18954.563999999998</v>
      </c>
    </row>
    <row r="496" spans="1:7" s="913" customFormat="1" ht="12.75" customHeight="1" x14ac:dyDescent="0.2">
      <c r="A496" s="965" t="s">
        <v>4039</v>
      </c>
      <c r="B496" s="966">
        <v>14504</v>
      </c>
      <c r="C496" s="966">
        <v>14504</v>
      </c>
      <c r="D496" s="966">
        <v>568.11</v>
      </c>
      <c r="E496" s="966">
        <v>568.11300000000006</v>
      </c>
      <c r="F496" s="966">
        <f t="shared" si="7"/>
        <v>15072.11</v>
      </c>
      <c r="G496" s="966">
        <f t="shared" si="7"/>
        <v>15072.112999999999</v>
      </c>
    </row>
    <row r="497" spans="1:7" s="913" customFormat="1" ht="12.75" customHeight="1" x14ac:dyDescent="0.2">
      <c r="A497" s="965" t="s">
        <v>4040</v>
      </c>
      <c r="B497" s="966">
        <v>15923</v>
      </c>
      <c r="C497" s="966">
        <v>15923</v>
      </c>
      <c r="D497" s="966">
        <v>564.01</v>
      </c>
      <c r="E497" s="966">
        <v>564.01499999999999</v>
      </c>
      <c r="F497" s="966">
        <f t="shared" si="7"/>
        <v>16487.009999999998</v>
      </c>
      <c r="G497" s="966">
        <f t="shared" si="7"/>
        <v>16487.014999999999</v>
      </c>
    </row>
    <row r="498" spans="1:7" s="913" customFormat="1" ht="12.75" customHeight="1" x14ac:dyDescent="0.2">
      <c r="A498" s="965" t="s">
        <v>4041</v>
      </c>
      <c r="B498" s="966">
        <v>14347</v>
      </c>
      <c r="C498" s="966">
        <v>14347</v>
      </c>
      <c r="D498" s="966">
        <v>491.23</v>
      </c>
      <c r="E498" s="966">
        <v>491.226</v>
      </c>
      <c r="F498" s="966">
        <f t="shared" si="7"/>
        <v>14838.23</v>
      </c>
      <c r="G498" s="966">
        <f t="shared" si="7"/>
        <v>14838.226000000001</v>
      </c>
    </row>
    <row r="499" spans="1:7" s="913" customFormat="1" ht="12.75" customHeight="1" x14ac:dyDescent="0.2">
      <c r="A499" s="965" t="s">
        <v>4042</v>
      </c>
      <c r="B499" s="966">
        <v>22615</v>
      </c>
      <c r="C499" s="966">
        <v>22615</v>
      </c>
      <c r="D499" s="966">
        <v>721.18</v>
      </c>
      <c r="E499" s="966">
        <v>721.178</v>
      </c>
      <c r="F499" s="966">
        <f t="shared" si="7"/>
        <v>23336.18</v>
      </c>
      <c r="G499" s="966">
        <f t="shared" si="7"/>
        <v>23336.178</v>
      </c>
    </row>
    <row r="500" spans="1:7" s="913" customFormat="1" ht="12.75" customHeight="1" x14ac:dyDescent="0.2">
      <c r="A500" s="965" t="s">
        <v>4043</v>
      </c>
      <c r="B500" s="966">
        <v>20191</v>
      </c>
      <c r="C500" s="966">
        <v>20191</v>
      </c>
      <c r="D500" s="966">
        <v>885.03</v>
      </c>
      <c r="E500" s="966">
        <v>885.029</v>
      </c>
      <c r="F500" s="966">
        <f t="shared" si="7"/>
        <v>21076.03</v>
      </c>
      <c r="G500" s="966">
        <f t="shared" si="7"/>
        <v>21076.028999999999</v>
      </c>
    </row>
    <row r="501" spans="1:7" s="913" customFormat="1" ht="12.75" customHeight="1" x14ac:dyDescent="0.2">
      <c r="A501" s="965" t="s">
        <v>4044</v>
      </c>
      <c r="B501" s="966">
        <v>14091</v>
      </c>
      <c r="C501" s="966">
        <v>14091</v>
      </c>
      <c r="D501" s="966">
        <v>588.27</v>
      </c>
      <c r="E501" s="966">
        <v>588.27300000000002</v>
      </c>
      <c r="F501" s="966">
        <f t="shared" si="7"/>
        <v>14679.27</v>
      </c>
      <c r="G501" s="966">
        <f t="shared" si="7"/>
        <v>14679.272999999999</v>
      </c>
    </row>
    <row r="502" spans="1:7" s="913" customFormat="1" ht="12.75" customHeight="1" x14ac:dyDescent="0.2">
      <c r="A502" s="965" t="s">
        <v>4045</v>
      </c>
      <c r="B502" s="966">
        <v>7952</v>
      </c>
      <c r="C502" s="966">
        <v>7952</v>
      </c>
      <c r="D502" s="966">
        <v>334.53999999999996</v>
      </c>
      <c r="E502" s="966">
        <v>334.536</v>
      </c>
      <c r="F502" s="966">
        <f t="shared" si="7"/>
        <v>8286.5400000000009</v>
      </c>
      <c r="G502" s="966">
        <f t="shared" si="7"/>
        <v>8286.5360000000001</v>
      </c>
    </row>
    <row r="503" spans="1:7" s="913" customFormat="1" ht="12.75" customHeight="1" x14ac:dyDescent="0.2">
      <c r="A503" s="965" t="s">
        <v>4046</v>
      </c>
      <c r="B503" s="966">
        <v>15418</v>
      </c>
      <c r="C503" s="966">
        <v>15418</v>
      </c>
      <c r="D503" s="966">
        <v>563.42999999999995</v>
      </c>
      <c r="E503" s="966">
        <v>563.43499999999995</v>
      </c>
      <c r="F503" s="966">
        <f t="shared" si="7"/>
        <v>15981.43</v>
      </c>
      <c r="G503" s="966">
        <f t="shared" si="7"/>
        <v>15981.434999999999</v>
      </c>
    </row>
    <row r="504" spans="1:7" s="913" customFormat="1" ht="12.75" customHeight="1" x14ac:dyDescent="0.2">
      <c r="A504" s="965" t="s">
        <v>4047</v>
      </c>
      <c r="B504" s="966">
        <v>8203</v>
      </c>
      <c r="C504" s="966">
        <v>8203</v>
      </c>
      <c r="D504" s="966">
        <v>267.19</v>
      </c>
      <c r="E504" s="966">
        <v>267.19299999999998</v>
      </c>
      <c r="F504" s="966">
        <f t="shared" si="7"/>
        <v>8470.19</v>
      </c>
      <c r="G504" s="966">
        <f t="shared" si="7"/>
        <v>8470.1929999999993</v>
      </c>
    </row>
    <row r="505" spans="1:7" s="913" customFormat="1" ht="12.75" customHeight="1" x14ac:dyDescent="0.2">
      <c r="A505" s="965" t="s">
        <v>4048</v>
      </c>
      <c r="B505" s="966">
        <v>18597</v>
      </c>
      <c r="C505" s="966">
        <v>18597</v>
      </c>
      <c r="D505" s="966">
        <v>1098.1099999999999</v>
      </c>
      <c r="E505" s="966">
        <v>1065.2939999999999</v>
      </c>
      <c r="F505" s="966">
        <f t="shared" si="7"/>
        <v>19695.11</v>
      </c>
      <c r="G505" s="966">
        <f t="shared" si="7"/>
        <v>19662.294000000002</v>
      </c>
    </row>
    <row r="506" spans="1:7" s="913" customFormat="1" ht="12.75" customHeight="1" x14ac:dyDescent="0.2">
      <c r="A506" s="965" t="s">
        <v>4049</v>
      </c>
      <c r="B506" s="966">
        <v>14873</v>
      </c>
      <c r="C506" s="966">
        <v>14873</v>
      </c>
      <c r="D506" s="966">
        <v>540.89</v>
      </c>
      <c r="E506" s="966">
        <v>540.88300000000004</v>
      </c>
      <c r="F506" s="966">
        <f t="shared" si="7"/>
        <v>15413.89</v>
      </c>
      <c r="G506" s="966">
        <f t="shared" si="7"/>
        <v>15413.883</v>
      </c>
    </row>
    <row r="507" spans="1:7" s="913" customFormat="1" ht="12.75" customHeight="1" x14ac:dyDescent="0.2">
      <c r="A507" s="965" t="s">
        <v>4050</v>
      </c>
      <c r="B507" s="966">
        <v>1362</v>
      </c>
      <c r="C507" s="966">
        <v>1362</v>
      </c>
      <c r="D507" s="966">
        <v>60.8</v>
      </c>
      <c r="E507" s="966">
        <v>60.798000000000002</v>
      </c>
      <c r="F507" s="966">
        <f t="shared" si="7"/>
        <v>1422.8</v>
      </c>
      <c r="G507" s="966">
        <f t="shared" si="7"/>
        <v>1422.798</v>
      </c>
    </row>
    <row r="508" spans="1:7" s="913" customFormat="1" ht="12.75" customHeight="1" x14ac:dyDescent="0.2">
      <c r="A508" s="965" t="s">
        <v>4051</v>
      </c>
      <c r="B508" s="966">
        <v>16767</v>
      </c>
      <c r="C508" s="966">
        <v>16767</v>
      </c>
      <c r="D508" s="966">
        <v>604.15</v>
      </c>
      <c r="E508" s="966">
        <v>604.14300000000003</v>
      </c>
      <c r="F508" s="966">
        <f t="shared" si="7"/>
        <v>17371.150000000001</v>
      </c>
      <c r="G508" s="966">
        <f t="shared" si="7"/>
        <v>17371.143</v>
      </c>
    </row>
    <row r="509" spans="1:7" s="913" customFormat="1" ht="12.75" customHeight="1" x14ac:dyDescent="0.2">
      <c r="A509" s="965" t="s">
        <v>4052</v>
      </c>
      <c r="B509" s="966">
        <v>27083</v>
      </c>
      <c r="C509" s="966">
        <v>27083</v>
      </c>
      <c r="D509" s="966">
        <v>1318.71</v>
      </c>
      <c r="E509" s="966">
        <v>1318.71</v>
      </c>
      <c r="F509" s="966">
        <f t="shared" si="7"/>
        <v>28401.71</v>
      </c>
      <c r="G509" s="966">
        <f t="shared" si="7"/>
        <v>28401.71</v>
      </c>
    </row>
    <row r="510" spans="1:7" s="913" customFormat="1" ht="12.75" customHeight="1" x14ac:dyDescent="0.2">
      <c r="A510" s="965" t="s">
        <v>4053</v>
      </c>
      <c r="B510" s="966">
        <v>3459</v>
      </c>
      <c r="C510" s="966">
        <v>3459</v>
      </c>
      <c r="D510" s="966">
        <v>147.68</v>
      </c>
      <c r="E510" s="966">
        <v>147.67500000000001</v>
      </c>
      <c r="F510" s="966">
        <f t="shared" si="7"/>
        <v>3606.68</v>
      </c>
      <c r="G510" s="966">
        <f t="shared" si="7"/>
        <v>3606.6750000000002</v>
      </c>
    </row>
    <row r="511" spans="1:7" s="913" customFormat="1" ht="12.75" customHeight="1" x14ac:dyDescent="0.2">
      <c r="A511" s="965" t="s">
        <v>4054</v>
      </c>
      <c r="B511" s="966">
        <v>12798</v>
      </c>
      <c r="C511" s="966">
        <v>12798</v>
      </c>
      <c r="D511" s="966">
        <v>705.28</v>
      </c>
      <c r="E511" s="966">
        <v>660.04700000000003</v>
      </c>
      <c r="F511" s="966">
        <f t="shared" si="7"/>
        <v>13503.28</v>
      </c>
      <c r="G511" s="966">
        <f t="shared" si="7"/>
        <v>13458.047</v>
      </c>
    </row>
    <row r="512" spans="1:7" s="913" customFormat="1" ht="12.75" customHeight="1" x14ac:dyDescent="0.2">
      <c r="A512" s="965" t="s">
        <v>4055</v>
      </c>
      <c r="B512" s="966">
        <v>12871</v>
      </c>
      <c r="C512" s="966">
        <v>12871</v>
      </c>
      <c r="D512" s="966">
        <v>586.58000000000004</v>
      </c>
      <c r="E512" s="966">
        <v>586.57799999999997</v>
      </c>
      <c r="F512" s="966">
        <f t="shared" si="7"/>
        <v>13457.58</v>
      </c>
      <c r="G512" s="966">
        <f t="shared" si="7"/>
        <v>13457.578</v>
      </c>
    </row>
    <row r="513" spans="1:7" s="913" customFormat="1" ht="12.75" customHeight="1" x14ac:dyDescent="0.2">
      <c r="A513" s="965" t="s">
        <v>4056</v>
      </c>
      <c r="B513" s="966">
        <v>13869</v>
      </c>
      <c r="C513" s="966">
        <v>13869</v>
      </c>
      <c r="D513" s="966">
        <v>577.92000000000007</v>
      </c>
      <c r="E513" s="966">
        <v>577.91600000000005</v>
      </c>
      <c r="F513" s="966">
        <f t="shared" si="7"/>
        <v>14446.92</v>
      </c>
      <c r="G513" s="966">
        <f t="shared" si="7"/>
        <v>14446.915999999999</v>
      </c>
    </row>
    <row r="514" spans="1:7" s="913" customFormat="1" ht="12.75" customHeight="1" x14ac:dyDescent="0.2">
      <c r="A514" s="965" t="s">
        <v>4057</v>
      </c>
      <c r="B514" s="966">
        <v>21458</v>
      </c>
      <c r="C514" s="966">
        <v>21458</v>
      </c>
      <c r="D514" s="966">
        <v>1358.1100000000001</v>
      </c>
      <c r="E514" s="966">
        <v>1358.106</v>
      </c>
      <c r="F514" s="966">
        <f t="shared" si="7"/>
        <v>22816.11</v>
      </c>
      <c r="G514" s="966">
        <f t="shared" si="7"/>
        <v>22816.106</v>
      </c>
    </row>
    <row r="515" spans="1:7" s="913" customFormat="1" ht="12.75" customHeight="1" x14ac:dyDescent="0.2">
      <c r="A515" s="965" t="s">
        <v>4058</v>
      </c>
      <c r="B515" s="966">
        <v>9612</v>
      </c>
      <c r="C515" s="966">
        <v>9612</v>
      </c>
      <c r="D515" s="966">
        <v>346.46000000000004</v>
      </c>
      <c r="E515" s="966">
        <v>346.45500000000004</v>
      </c>
      <c r="F515" s="966">
        <f t="shared" si="7"/>
        <v>9958.4599999999991</v>
      </c>
      <c r="G515" s="966">
        <f t="shared" si="7"/>
        <v>9958.4549999999999</v>
      </c>
    </row>
    <row r="516" spans="1:7" s="913" customFormat="1" ht="12.75" customHeight="1" x14ac:dyDescent="0.2">
      <c r="A516" s="965" t="s">
        <v>4059</v>
      </c>
      <c r="B516" s="966">
        <v>1973</v>
      </c>
      <c r="C516" s="966">
        <v>1973</v>
      </c>
      <c r="D516" s="966">
        <v>75.399999999999991</v>
      </c>
      <c r="E516" s="966">
        <v>75.400999999999996</v>
      </c>
      <c r="F516" s="966">
        <f t="shared" si="7"/>
        <v>2048.4</v>
      </c>
      <c r="G516" s="966">
        <f t="shared" si="7"/>
        <v>2048.4009999999998</v>
      </c>
    </row>
    <row r="517" spans="1:7" s="913" customFormat="1" ht="12.75" customHeight="1" x14ac:dyDescent="0.2">
      <c r="A517" s="965" t="s">
        <v>4060</v>
      </c>
      <c r="B517" s="966">
        <v>8652</v>
      </c>
      <c r="C517" s="966">
        <v>8652</v>
      </c>
      <c r="D517" s="966">
        <v>474.31</v>
      </c>
      <c r="E517" s="966">
        <v>474.30900000000003</v>
      </c>
      <c r="F517" s="966">
        <f t="shared" si="7"/>
        <v>9126.31</v>
      </c>
      <c r="G517" s="966">
        <f t="shared" si="7"/>
        <v>9126.3089999999993</v>
      </c>
    </row>
    <row r="518" spans="1:7" s="913" customFormat="1" ht="12.75" customHeight="1" x14ac:dyDescent="0.2">
      <c r="A518" s="965" t="s">
        <v>4061</v>
      </c>
      <c r="B518" s="966">
        <v>17239</v>
      </c>
      <c r="C518" s="966">
        <v>17239</v>
      </c>
      <c r="D518" s="966">
        <v>783.39</v>
      </c>
      <c r="E518" s="966">
        <v>747.39199999999994</v>
      </c>
      <c r="F518" s="966">
        <f t="shared" ref="F518:G581" si="8">B518+D518</f>
        <v>18022.39</v>
      </c>
      <c r="G518" s="966">
        <f t="shared" si="8"/>
        <v>17986.392</v>
      </c>
    </row>
    <row r="519" spans="1:7" s="913" customFormat="1" ht="12.75" customHeight="1" x14ac:dyDescent="0.2">
      <c r="A519" s="965" t="s">
        <v>4062</v>
      </c>
      <c r="B519" s="966">
        <v>15115</v>
      </c>
      <c r="C519" s="966">
        <v>15115</v>
      </c>
      <c r="D519" s="966">
        <v>623.35</v>
      </c>
      <c r="E519" s="966">
        <v>623.35500000000002</v>
      </c>
      <c r="F519" s="966">
        <f t="shared" si="8"/>
        <v>15738.35</v>
      </c>
      <c r="G519" s="966">
        <f t="shared" si="8"/>
        <v>15738.355</v>
      </c>
    </row>
    <row r="520" spans="1:7" s="913" customFormat="1" ht="12.75" customHeight="1" x14ac:dyDescent="0.2">
      <c r="A520" s="965" t="s">
        <v>4063</v>
      </c>
      <c r="B520" s="966">
        <v>4815</v>
      </c>
      <c r="C520" s="966">
        <v>4815</v>
      </c>
      <c r="D520" s="966">
        <v>215.89</v>
      </c>
      <c r="E520" s="966">
        <v>215.88299999999998</v>
      </c>
      <c r="F520" s="966">
        <f t="shared" si="8"/>
        <v>5030.8900000000003</v>
      </c>
      <c r="G520" s="966">
        <f t="shared" si="8"/>
        <v>5030.8829999999998</v>
      </c>
    </row>
    <row r="521" spans="1:7" s="913" customFormat="1" ht="12.75" customHeight="1" x14ac:dyDescent="0.2">
      <c r="A521" s="965" t="s">
        <v>4064</v>
      </c>
      <c r="B521" s="966">
        <v>3346</v>
      </c>
      <c r="C521" s="966">
        <v>3346</v>
      </c>
      <c r="D521" s="966">
        <v>103.47</v>
      </c>
      <c r="E521" s="966">
        <v>103.462</v>
      </c>
      <c r="F521" s="966">
        <f t="shared" si="8"/>
        <v>3449.47</v>
      </c>
      <c r="G521" s="966">
        <f t="shared" si="8"/>
        <v>3449.462</v>
      </c>
    </row>
    <row r="522" spans="1:7" s="913" customFormat="1" ht="12.75" customHeight="1" x14ac:dyDescent="0.2">
      <c r="A522" s="965" t="s">
        <v>4065</v>
      </c>
      <c r="B522" s="966">
        <v>15896</v>
      </c>
      <c r="C522" s="966">
        <v>15896</v>
      </c>
      <c r="D522" s="966">
        <v>590.66999999999996</v>
      </c>
      <c r="E522" s="966">
        <v>590.66899999999998</v>
      </c>
      <c r="F522" s="966">
        <f t="shared" si="8"/>
        <v>16486.669999999998</v>
      </c>
      <c r="G522" s="966">
        <f t="shared" si="8"/>
        <v>16486.669000000002</v>
      </c>
    </row>
    <row r="523" spans="1:7" s="913" customFormat="1" ht="12.75" customHeight="1" x14ac:dyDescent="0.2">
      <c r="A523" s="965" t="s">
        <v>4066</v>
      </c>
      <c r="B523" s="966">
        <v>4467</v>
      </c>
      <c r="C523" s="966">
        <v>4467</v>
      </c>
      <c r="D523" s="966">
        <v>135.54</v>
      </c>
      <c r="E523" s="966">
        <v>135.536</v>
      </c>
      <c r="F523" s="966">
        <f t="shared" si="8"/>
        <v>4602.54</v>
      </c>
      <c r="G523" s="966">
        <f t="shared" si="8"/>
        <v>4602.5360000000001</v>
      </c>
    </row>
    <row r="524" spans="1:7" s="913" customFormat="1" ht="12.75" customHeight="1" x14ac:dyDescent="0.2">
      <c r="A524" s="965" t="s">
        <v>4067</v>
      </c>
      <c r="B524" s="966">
        <v>12474</v>
      </c>
      <c r="C524" s="966">
        <v>12474</v>
      </c>
      <c r="D524" s="966">
        <v>655.08999999999992</v>
      </c>
      <c r="E524" s="966">
        <v>655.09300000000007</v>
      </c>
      <c r="F524" s="966">
        <f t="shared" si="8"/>
        <v>13129.09</v>
      </c>
      <c r="G524" s="966">
        <f t="shared" si="8"/>
        <v>13129.093000000001</v>
      </c>
    </row>
    <row r="525" spans="1:7" s="913" customFormat="1" ht="12.75" customHeight="1" x14ac:dyDescent="0.2">
      <c r="A525" s="965" t="s">
        <v>4068</v>
      </c>
      <c r="B525" s="966">
        <v>24273</v>
      </c>
      <c r="C525" s="966">
        <v>24273</v>
      </c>
      <c r="D525" s="966">
        <v>1303.72</v>
      </c>
      <c r="E525" s="966">
        <v>1303.7180000000001</v>
      </c>
      <c r="F525" s="966">
        <f t="shared" si="8"/>
        <v>25576.720000000001</v>
      </c>
      <c r="G525" s="966">
        <f t="shared" si="8"/>
        <v>25576.718000000001</v>
      </c>
    </row>
    <row r="526" spans="1:7" s="913" customFormat="1" ht="12.75" customHeight="1" x14ac:dyDescent="0.2">
      <c r="A526" s="965" t="s">
        <v>4069</v>
      </c>
      <c r="B526" s="966">
        <v>15461</v>
      </c>
      <c r="C526" s="966">
        <v>15461</v>
      </c>
      <c r="D526" s="966">
        <v>773.5</v>
      </c>
      <c r="E526" s="966">
        <v>773.5</v>
      </c>
      <c r="F526" s="966">
        <f t="shared" si="8"/>
        <v>16234.5</v>
      </c>
      <c r="G526" s="966">
        <f t="shared" si="8"/>
        <v>16234.5</v>
      </c>
    </row>
    <row r="527" spans="1:7" s="913" customFormat="1" ht="12.75" customHeight="1" x14ac:dyDescent="0.2">
      <c r="A527" s="965" t="s">
        <v>4070</v>
      </c>
      <c r="B527" s="966">
        <v>19370</v>
      </c>
      <c r="C527" s="966">
        <v>19370</v>
      </c>
      <c r="D527" s="966">
        <v>788.90000000000009</v>
      </c>
      <c r="E527" s="966">
        <v>788.89600000000007</v>
      </c>
      <c r="F527" s="966">
        <f t="shared" si="8"/>
        <v>20158.900000000001</v>
      </c>
      <c r="G527" s="966">
        <f t="shared" si="8"/>
        <v>20158.896000000001</v>
      </c>
    </row>
    <row r="528" spans="1:7" s="913" customFormat="1" ht="12.75" customHeight="1" x14ac:dyDescent="0.2">
      <c r="A528" s="965" t="s">
        <v>4071</v>
      </c>
      <c r="B528" s="966">
        <v>1425</v>
      </c>
      <c r="C528" s="966">
        <v>1425</v>
      </c>
      <c r="D528" s="966">
        <v>51.1</v>
      </c>
      <c r="E528" s="966">
        <v>51.096999999999994</v>
      </c>
      <c r="F528" s="966">
        <f t="shared" si="8"/>
        <v>1476.1</v>
      </c>
      <c r="G528" s="966">
        <f t="shared" si="8"/>
        <v>1476.097</v>
      </c>
    </row>
    <row r="529" spans="1:7" s="913" customFormat="1" ht="12.75" customHeight="1" x14ac:dyDescent="0.2">
      <c r="A529" s="965" t="s">
        <v>4072</v>
      </c>
      <c r="B529" s="966">
        <v>3986</v>
      </c>
      <c r="C529" s="966">
        <v>3986</v>
      </c>
      <c r="D529" s="966">
        <v>119.07</v>
      </c>
      <c r="E529" s="966">
        <v>119.071</v>
      </c>
      <c r="F529" s="966">
        <f t="shared" si="8"/>
        <v>4105.07</v>
      </c>
      <c r="G529" s="966">
        <f t="shared" si="8"/>
        <v>4105.0709999999999</v>
      </c>
    </row>
    <row r="530" spans="1:7" s="913" customFormat="1" ht="12.75" customHeight="1" x14ac:dyDescent="0.2">
      <c r="A530" s="965" t="s">
        <v>4073</v>
      </c>
      <c r="B530" s="966">
        <v>13832</v>
      </c>
      <c r="C530" s="966">
        <v>13832</v>
      </c>
      <c r="D530" s="966">
        <v>537.67999999999995</v>
      </c>
      <c r="E530" s="966">
        <v>537.678</v>
      </c>
      <c r="F530" s="966">
        <f t="shared" si="8"/>
        <v>14369.68</v>
      </c>
      <c r="G530" s="966">
        <f t="shared" si="8"/>
        <v>14369.678</v>
      </c>
    </row>
    <row r="531" spans="1:7" s="913" customFormat="1" ht="12.75" customHeight="1" x14ac:dyDescent="0.2">
      <c r="A531" s="965" t="s">
        <v>4074</v>
      </c>
      <c r="B531" s="966">
        <v>5659</v>
      </c>
      <c r="C531" s="966">
        <v>5659</v>
      </c>
      <c r="D531" s="966">
        <v>187.28</v>
      </c>
      <c r="E531" s="966">
        <v>187.28300000000002</v>
      </c>
      <c r="F531" s="966">
        <f t="shared" si="8"/>
        <v>5846.28</v>
      </c>
      <c r="G531" s="966">
        <f t="shared" si="8"/>
        <v>5846.2830000000004</v>
      </c>
    </row>
    <row r="532" spans="1:7" s="913" customFormat="1" ht="12.75" customHeight="1" x14ac:dyDescent="0.2">
      <c r="A532" s="965" t="s">
        <v>4075</v>
      </c>
      <c r="B532" s="966">
        <v>5087</v>
      </c>
      <c r="C532" s="966">
        <v>5087</v>
      </c>
      <c r="D532" s="966">
        <v>150.19</v>
      </c>
      <c r="E532" s="966">
        <v>150.18600000000001</v>
      </c>
      <c r="F532" s="966">
        <f t="shared" si="8"/>
        <v>5237.1899999999996</v>
      </c>
      <c r="G532" s="966">
        <f t="shared" si="8"/>
        <v>5237.1859999999997</v>
      </c>
    </row>
    <row r="533" spans="1:7" s="913" customFormat="1" ht="12.75" customHeight="1" x14ac:dyDescent="0.2">
      <c r="A533" s="965" t="s">
        <v>4076</v>
      </c>
      <c r="B533" s="966">
        <v>2666</v>
      </c>
      <c r="C533" s="966">
        <v>2666</v>
      </c>
      <c r="D533" s="966">
        <v>96.55</v>
      </c>
      <c r="E533" s="966">
        <v>96.543000000000006</v>
      </c>
      <c r="F533" s="966">
        <f t="shared" si="8"/>
        <v>2762.55</v>
      </c>
      <c r="G533" s="966">
        <f t="shared" si="8"/>
        <v>2762.5430000000001</v>
      </c>
    </row>
    <row r="534" spans="1:7" s="913" customFormat="1" ht="12.75" customHeight="1" x14ac:dyDescent="0.2">
      <c r="A534" s="965" t="s">
        <v>4077</v>
      </c>
      <c r="B534" s="966">
        <v>27616</v>
      </c>
      <c r="C534" s="966">
        <v>27616</v>
      </c>
      <c r="D534" s="966">
        <v>1222.3499999999999</v>
      </c>
      <c r="E534" s="966">
        <v>1222.3430000000001</v>
      </c>
      <c r="F534" s="966">
        <f t="shared" si="8"/>
        <v>28838.35</v>
      </c>
      <c r="G534" s="966">
        <f t="shared" si="8"/>
        <v>28838.343000000001</v>
      </c>
    </row>
    <row r="535" spans="1:7" s="913" customFormat="1" ht="12.75" customHeight="1" x14ac:dyDescent="0.2">
      <c r="A535" s="965" t="s">
        <v>4078</v>
      </c>
      <c r="B535" s="966">
        <v>29908</v>
      </c>
      <c r="C535" s="966">
        <v>29908</v>
      </c>
      <c r="D535" s="966">
        <v>1069.23</v>
      </c>
      <c r="E535" s="966">
        <v>1069.2280000000001</v>
      </c>
      <c r="F535" s="966">
        <f t="shared" si="8"/>
        <v>30977.23</v>
      </c>
      <c r="G535" s="966">
        <f t="shared" si="8"/>
        <v>30977.227999999999</v>
      </c>
    </row>
    <row r="536" spans="1:7" s="913" customFormat="1" ht="12.75" customHeight="1" x14ac:dyDescent="0.2">
      <c r="A536" s="965" t="s">
        <v>4079</v>
      </c>
      <c r="B536" s="966">
        <v>23661</v>
      </c>
      <c r="C536" s="966">
        <v>23661</v>
      </c>
      <c r="D536" s="966">
        <v>1246.6300000000001</v>
      </c>
      <c r="E536" s="966">
        <v>1246.6329999999998</v>
      </c>
      <c r="F536" s="966">
        <f t="shared" si="8"/>
        <v>24907.63</v>
      </c>
      <c r="G536" s="966">
        <f t="shared" si="8"/>
        <v>24907.633000000002</v>
      </c>
    </row>
    <row r="537" spans="1:7" s="913" customFormat="1" ht="12.75" customHeight="1" x14ac:dyDescent="0.2">
      <c r="A537" s="965" t="s">
        <v>4080</v>
      </c>
      <c r="B537" s="966">
        <v>20653</v>
      </c>
      <c r="C537" s="966">
        <v>20653</v>
      </c>
      <c r="D537" s="966">
        <v>885</v>
      </c>
      <c r="E537" s="966">
        <v>885</v>
      </c>
      <c r="F537" s="966">
        <f t="shared" si="8"/>
        <v>21538</v>
      </c>
      <c r="G537" s="966">
        <f t="shared" si="8"/>
        <v>21538</v>
      </c>
    </row>
    <row r="538" spans="1:7" s="913" customFormat="1" ht="12.75" customHeight="1" x14ac:dyDescent="0.2">
      <c r="A538" s="965" t="s">
        <v>4081</v>
      </c>
      <c r="B538" s="966">
        <v>23251</v>
      </c>
      <c r="C538" s="966">
        <v>23251</v>
      </c>
      <c r="D538" s="966">
        <v>864.6099999999999</v>
      </c>
      <c r="E538" s="966">
        <v>864.60700000000008</v>
      </c>
      <c r="F538" s="966">
        <f t="shared" si="8"/>
        <v>24115.61</v>
      </c>
      <c r="G538" s="966">
        <f t="shared" si="8"/>
        <v>24115.607</v>
      </c>
    </row>
    <row r="539" spans="1:7" s="913" customFormat="1" ht="12.75" customHeight="1" x14ac:dyDescent="0.2">
      <c r="A539" s="965" t="s">
        <v>4082</v>
      </c>
      <c r="B539" s="966">
        <v>2529</v>
      </c>
      <c r="C539" s="966">
        <v>2529</v>
      </c>
      <c r="D539" s="966">
        <v>53.099999999999994</v>
      </c>
      <c r="E539" s="966">
        <v>53.100999999999999</v>
      </c>
      <c r="F539" s="966">
        <f t="shared" si="8"/>
        <v>2582.1</v>
      </c>
      <c r="G539" s="966">
        <f t="shared" si="8"/>
        <v>2582.1010000000001</v>
      </c>
    </row>
    <row r="540" spans="1:7" s="913" customFormat="1" ht="12.75" customHeight="1" x14ac:dyDescent="0.2">
      <c r="A540" s="965" t="s">
        <v>4083</v>
      </c>
      <c r="B540" s="966">
        <v>16384</v>
      </c>
      <c r="C540" s="966">
        <v>16384</v>
      </c>
      <c r="D540" s="966">
        <v>645.41999999999996</v>
      </c>
      <c r="E540" s="966">
        <v>645.41500000000008</v>
      </c>
      <c r="F540" s="966">
        <f t="shared" si="8"/>
        <v>17029.419999999998</v>
      </c>
      <c r="G540" s="966">
        <f t="shared" si="8"/>
        <v>17029.415000000001</v>
      </c>
    </row>
    <row r="541" spans="1:7" s="913" customFormat="1" ht="12.75" customHeight="1" x14ac:dyDescent="0.2">
      <c r="A541" s="965" t="s">
        <v>4084</v>
      </c>
      <c r="B541" s="966">
        <v>21116</v>
      </c>
      <c r="C541" s="966">
        <v>21116</v>
      </c>
      <c r="D541" s="966">
        <v>930.95</v>
      </c>
      <c r="E541" s="966">
        <v>930.95</v>
      </c>
      <c r="F541" s="966">
        <f t="shared" si="8"/>
        <v>22046.95</v>
      </c>
      <c r="G541" s="966">
        <f t="shared" si="8"/>
        <v>22046.95</v>
      </c>
    </row>
    <row r="542" spans="1:7" s="913" customFormat="1" ht="12.75" customHeight="1" x14ac:dyDescent="0.2">
      <c r="A542" s="965" t="s">
        <v>4085</v>
      </c>
      <c r="B542" s="966">
        <v>13081</v>
      </c>
      <c r="C542" s="966">
        <v>13081</v>
      </c>
      <c r="D542" s="966">
        <v>513.26</v>
      </c>
      <c r="E542" s="966">
        <v>513.26299999999992</v>
      </c>
      <c r="F542" s="966">
        <f t="shared" si="8"/>
        <v>13594.26</v>
      </c>
      <c r="G542" s="966">
        <f t="shared" si="8"/>
        <v>13594.262999999999</v>
      </c>
    </row>
    <row r="543" spans="1:7" s="913" customFormat="1" ht="12.75" customHeight="1" x14ac:dyDescent="0.2">
      <c r="A543" s="965" t="s">
        <v>4086</v>
      </c>
      <c r="B543" s="966">
        <v>6039</v>
      </c>
      <c r="C543" s="966">
        <v>6039</v>
      </c>
      <c r="D543" s="966">
        <v>211.65</v>
      </c>
      <c r="E543" s="966">
        <v>211.649</v>
      </c>
      <c r="F543" s="966">
        <f t="shared" si="8"/>
        <v>6250.65</v>
      </c>
      <c r="G543" s="966">
        <f t="shared" si="8"/>
        <v>6250.6490000000003</v>
      </c>
    </row>
    <row r="544" spans="1:7" s="913" customFormat="1" ht="12.75" customHeight="1" x14ac:dyDescent="0.2">
      <c r="A544" s="965" t="s">
        <v>4087</v>
      </c>
      <c r="B544" s="966">
        <v>18758</v>
      </c>
      <c r="C544" s="966">
        <v>18758</v>
      </c>
      <c r="D544" s="966">
        <v>753.81999999999994</v>
      </c>
      <c r="E544" s="966">
        <v>753.81799999999998</v>
      </c>
      <c r="F544" s="966">
        <f t="shared" si="8"/>
        <v>19511.82</v>
      </c>
      <c r="G544" s="966">
        <f t="shared" si="8"/>
        <v>19511.817999999999</v>
      </c>
    </row>
    <row r="545" spans="1:7" s="913" customFormat="1" ht="12.75" customHeight="1" x14ac:dyDescent="0.2">
      <c r="A545" s="965" t="s">
        <v>4088</v>
      </c>
      <c r="B545" s="966">
        <v>18839</v>
      </c>
      <c r="C545" s="966">
        <v>18839</v>
      </c>
      <c r="D545" s="966">
        <v>1083.1600000000001</v>
      </c>
      <c r="E545" s="966">
        <v>1083.1579999999999</v>
      </c>
      <c r="F545" s="966">
        <f t="shared" si="8"/>
        <v>19922.16</v>
      </c>
      <c r="G545" s="966">
        <f t="shared" si="8"/>
        <v>19922.157999999999</v>
      </c>
    </row>
    <row r="546" spans="1:7" s="913" customFormat="1" ht="12.75" customHeight="1" x14ac:dyDescent="0.2">
      <c r="A546" s="965" t="s">
        <v>4089</v>
      </c>
      <c r="B546" s="966">
        <v>16422</v>
      </c>
      <c r="C546" s="966">
        <v>16422</v>
      </c>
      <c r="D546" s="966">
        <v>687.31000000000006</v>
      </c>
      <c r="E546" s="966">
        <v>687.30899999999997</v>
      </c>
      <c r="F546" s="966">
        <f t="shared" si="8"/>
        <v>17109.310000000001</v>
      </c>
      <c r="G546" s="966">
        <f t="shared" si="8"/>
        <v>17109.309000000001</v>
      </c>
    </row>
    <row r="547" spans="1:7" s="913" customFormat="1" ht="12.75" customHeight="1" x14ac:dyDescent="0.2">
      <c r="A547" s="965" t="s">
        <v>4090</v>
      </c>
      <c r="B547" s="966">
        <v>22979</v>
      </c>
      <c r="C547" s="966">
        <v>22979</v>
      </c>
      <c r="D547" s="966">
        <v>839.45</v>
      </c>
      <c r="E547" s="966">
        <v>839.45</v>
      </c>
      <c r="F547" s="966">
        <f t="shared" si="8"/>
        <v>23818.45</v>
      </c>
      <c r="G547" s="966">
        <f t="shared" si="8"/>
        <v>23818.45</v>
      </c>
    </row>
    <row r="548" spans="1:7" s="913" customFormat="1" ht="12.75" customHeight="1" x14ac:dyDescent="0.2">
      <c r="A548" s="965" t="s">
        <v>4091</v>
      </c>
      <c r="B548" s="966">
        <v>17490</v>
      </c>
      <c r="C548" s="966">
        <v>17490</v>
      </c>
      <c r="D548" s="966">
        <v>1032.56</v>
      </c>
      <c r="E548" s="966">
        <v>1032.5609999999999</v>
      </c>
      <c r="F548" s="966">
        <f t="shared" si="8"/>
        <v>18522.560000000001</v>
      </c>
      <c r="G548" s="966">
        <f t="shared" si="8"/>
        <v>18522.561000000002</v>
      </c>
    </row>
    <row r="549" spans="1:7" s="913" customFormat="1" ht="12.75" customHeight="1" x14ac:dyDescent="0.2">
      <c r="A549" s="965" t="s">
        <v>4092</v>
      </c>
      <c r="B549" s="966">
        <v>18585</v>
      </c>
      <c r="C549" s="966">
        <v>18585</v>
      </c>
      <c r="D549" s="966">
        <v>699.28</v>
      </c>
      <c r="E549" s="966">
        <v>699.28499999999997</v>
      </c>
      <c r="F549" s="966">
        <f t="shared" si="8"/>
        <v>19284.28</v>
      </c>
      <c r="G549" s="966">
        <f t="shared" si="8"/>
        <v>19284.285</v>
      </c>
    </row>
    <row r="550" spans="1:7" s="913" customFormat="1" ht="12.75" customHeight="1" x14ac:dyDescent="0.2">
      <c r="A550" s="965" t="s">
        <v>4093</v>
      </c>
      <c r="B550" s="966">
        <v>15927</v>
      </c>
      <c r="C550" s="966">
        <v>15927</v>
      </c>
      <c r="D550" s="966">
        <v>780.93999999999994</v>
      </c>
      <c r="E550" s="966">
        <v>780.8359999999999</v>
      </c>
      <c r="F550" s="966">
        <f t="shared" si="8"/>
        <v>16707.939999999999</v>
      </c>
      <c r="G550" s="966">
        <f t="shared" si="8"/>
        <v>16707.835999999999</v>
      </c>
    </row>
    <row r="551" spans="1:7" s="913" customFormat="1" ht="12.75" customHeight="1" x14ac:dyDescent="0.2">
      <c r="A551" s="965" t="s">
        <v>4094</v>
      </c>
      <c r="B551" s="966">
        <v>19331</v>
      </c>
      <c r="C551" s="966">
        <v>19331</v>
      </c>
      <c r="D551" s="966">
        <v>1116.4299999999998</v>
      </c>
      <c r="E551" s="966">
        <v>1100.0001500000001</v>
      </c>
      <c r="F551" s="966">
        <f t="shared" si="8"/>
        <v>20447.43</v>
      </c>
      <c r="G551" s="966">
        <f t="shared" si="8"/>
        <v>20431.00015</v>
      </c>
    </row>
    <row r="552" spans="1:7" s="913" customFormat="1" ht="12.75" customHeight="1" x14ac:dyDescent="0.2">
      <c r="A552" s="965" t="s">
        <v>4095</v>
      </c>
      <c r="B552" s="966">
        <v>17668</v>
      </c>
      <c r="C552" s="966">
        <v>17668</v>
      </c>
      <c r="D552" s="966">
        <v>733.27</v>
      </c>
      <c r="E552" s="966">
        <v>733.27</v>
      </c>
      <c r="F552" s="966">
        <f t="shared" si="8"/>
        <v>18401.27</v>
      </c>
      <c r="G552" s="966">
        <f t="shared" si="8"/>
        <v>18401.27</v>
      </c>
    </row>
    <row r="553" spans="1:7" s="913" customFormat="1" ht="12.75" customHeight="1" x14ac:dyDescent="0.2">
      <c r="A553" s="965" t="s">
        <v>4096</v>
      </c>
      <c r="B553" s="966">
        <v>16153</v>
      </c>
      <c r="C553" s="966">
        <v>16153</v>
      </c>
      <c r="D553" s="966">
        <v>588.55999999999995</v>
      </c>
      <c r="E553" s="966">
        <v>588.55700000000002</v>
      </c>
      <c r="F553" s="966">
        <f t="shared" si="8"/>
        <v>16741.560000000001</v>
      </c>
      <c r="G553" s="966">
        <f t="shared" si="8"/>
        <v>16741.557000000001</v>
      </c>
    </row>
    <row r="554" spans="1:7" s="913" customFormat="1" ht="12.75" customHeight="1" x14ac:dyDescent="0.2">
      <c r="A554" s="965" t="s">
        <v>4097</v>
      </c>
      <c r="B554" s="966">
        <v>12038</v>
      </c>
      <c r="C554" s="966">
        <v>12038</v>
      </c>
      <c r="D554" s="966">
        <v>474.81</v>
      </c>
      <c r="E554" s="966">
        <v>474.80799999999999</v>
      </c>
      <c r="F554" s="966">
        <f t="shared" si="8"/>
        <v>12512.81</v>
      </c>
      <c r="G554" s="966">
        <f t="shared" si="8"/>
        <v>12512.808000000001</v>
      </c>
    </row>
    <row r="555" spans="1:7" s="913" customFormat="1" ht="12.75" customHeight="1" x14ac:dyDescent="0.2">
      <c r="A555" s="965" t="s">
        <v>4098</v>
      </c>
      <c r="B555" s="966">
        <v>28759</v>
      </c>
      <c r="C555" s="966">
        <v>28759</v>
      </c>
      <c r="D555" s="966">
        <v>1669.11</v>
      </c>
      <c r="E555" s="966">
        <v>1669.1030000000001</v>
      </c>
      <c r="F555" s="966">
        <f t="shared" si="8"/>
        <v>30428.11</v>
      </c>
      <c r="G555" s="966">
        <f t="shared" si="8"/>
        <v>30428.102999999999</v>
      </c>
    </row>
    <row r="556" spans="1:7" s="913" customFormat="1" ht="12.75" customHeight="1" x14ac:dyDescent="0.2">
      <c r="A556" s="965" t="s">
        <v>4099</v>
      </c>
      <c r="B556" s="966">
        <v>15849</v>
      </c>
      <c r="C556" s="966">
        <v>15849</v>
      </c>
      <c r="D556" s="966">
        <v>600.52</v>
      </c>
      <c r="E556" s="966">
        <v>600.52099999999996</v>
      </c>
      <c r="F556" s="966">
        <f t="shared" si="8"/>
        <v>16449.52</v>
      </c>
      <c r="G556" s="966">
        <f t="shared" si="8"/>
        <v>16449.521000000001</v>
      </c>
    </row>
    <row r="557" spans="1:7" s="913" customFormat="1" ht="12.75" customHeight="1" x14ac:dyDescent="0.2">
      <c r="A557" s="965" t="s">
        <v>4100</v>
      </c>
      <c r="B557" s="966">
        <v>11719</v>
      </c>
      <c r="C557" s="966">
        <v>11719</v>
      </c>
      <c r="D557" s="966">
        <v>996.21</v>
      </c>
      <c r="E557" s="966">
        <v>996.2059999999999</v>
      </c>
      <c r="F557" s="966">
        <f t="shared" si="8"/>
        <v>12715.21</v>
      </c>
      <c r="G557" s="966">
        <f t="shared" si="8"/>
        <v>12715.206</v>
      </c>
    </row>
    <row r="558" spans="1:7" s="913" customFormat="1" ht="12.75" customHeight="1" x14ac:dyDescent="0.2">
      <c r="A558" s="965" t="s">
        <v>4101</v>
      </c>
      <c r="B558" s="966">
        <v>10144</v>
      </c>
      <c r="C558" s="966">
        <v>10144</v>
      </c>
      <c r="D558" s="966">
        <v>355.81</v>
      </c>
      <c r="E558" s="966">
        <v>355.81299999999999</v>
      </c>
      <c r="F558" s="966">
        <f t="shared" si="8"/>
        <v>10499.81</v>
      </c>
      <c r="G558" s="966">
        <f t="shared" si="8"/>
        <v>10499.813</v>
      </c>
    </row>
    <row r="559" spans="1:7" s="913" customFormat="1" ht="12.75" customHeight="1" x14ac:dyDescent="0.2">
      <c r="A559" s="965" t="s">
        <v>4102</v>
      </c>
      <c r="B559" s="966">
        <v>7757</v>
      </c>
      <c r="C559" s="966">
        <v>7757</v>
      </c>
      <c r="D559" s="966">
        <v>243.24</v>
      </c>
      <c r="E559" s="966">
        <v>243.23700000000002</v>
      </c>
      <c r="F559" s="966">
        <f t="shared" si="8"/>
        <v>8000.24</v>
      </c>
      <c r="G559" s="966">
        <f t="shared" si="8"/>
        <v>8000.2370000000001</v>
      </c>
    </row>
    <row r="560" spans="1:7" s="913" customFormat="1" ht="12.75" customHeight="1" x14ac:dyDescent="0.2">
      <c r="A560" s="965" t="s">
        <v>4103</v>
      </c>
      <c r="B560" s="966">
        <v>17304</v>
      </c>
      <c r="C560" s="966">
        <v>17304</v>
      </c>
      <c r="D560" s="966">
        <v>2043.46</v>
      </c>
      <c r="E560" s="966">
        <v>2043.4549999999999</v>
      </c>
      <c r="F560" s="966">
        <f t="shared" si="8"/>
        <v>19347.46</v>
      </c>
      <c r="G560" s="966">
        <f t="shared" si="8"/>
        <v>19347.455000000002</v>
      </c>
    </row>
    <row r="561" spans="1:7" s="913" customFormat="1" ht="12.75" customHeight="1" x14ac:dyDescent="0.2">
      <c r="A561" s="965" t="s">
        <v>4104</v>
      </c>
      <c r="B561" s="966">
        <v>21270</v>
      </c>
      <c r="C561" s="966">
        <v>21270</v>
      </c>
      <c r="D561" s="966">
        <v>767.59999999999991</v>
      </c>
      <c r="E561" s="966">
        <v>767.6</v>
      </c>
      <c r="F561" s="966">
        <f t="shared" si="8"/>
        <v>22037.599999999999</v>
      </c>
      <c r="G561" s="966">
        <f t="shared" si="8"/>
        <v>22037.599999999999</v>
      </c>
    </row>
    <row r="562" spans="1:7" s="913" customFormat="1" ht="12.75" customHeight="1" x14ac:dyDescent="0.2">
      <c r="A562" s="965" t="s">
        <v>4105</v>
      </c>
      <c r="B562" s="966">
        <v>30209</v>
      </c>
      <c r="C562" s="966">
        <v>30209</v>
      </c>
      <c r="D562" s="966">
        <v>1286.3400000000001</v>
      </c>
      <c r="E562" s="966">
        <v>1286.3399999999999</v>
      </c>
      <c r="F562" s="966">
        <f t="shared" si="8"/>
        <v>31495.34</v>
      </c>
      <c r="G562" s="966">
        <f t="shared" si="8"/>
        <v>31495.34</v>
      </c>
    </row>
    <row r="563" spans="1:7" s="913" customFormat="1" ht="12.75" customHeight="1" x14ac:dyDescent="0.2">
      <c r="A563" s="965" t="s">
        <v>4106</v>
      </c>
      <c r="B563" s="966">
        <v>12069</v>
      </c>
      <c r="C563" s="966">
        <v>12069</v>
      </c>
      <c r="D563" s="966">
        <v>447.61</v>
      </c>
      <c r="E563" s="966">
        <v>447.60500000000002</v>
      </c>
      <c r="F563" s="966">
        <f t="shared" si="8"/>
        <v>12516.61</v>
      </c>
      <c r="G563" s="966">
        <f t="shared" si="8"/>
        <v>12516.605</v>
      </c>
    </row>
    <row r="564" spans="1:7" s="913" customFormat="1" ht="12.75" customHeight="1" x14ac:dyDescent="0.2">
      <c r="A564" s="965" t="s">
        <v>4107</v>
      </c>
      <c r="B564" s="966">
        <v>20470</v>
      </c>
      <c r="C564" s="966">
        <v>20470</v>
      </c>
      <c r="D564" s="966">
        <v>651.39</v>
      </c>
      <c r="E564" s="966">
        <v>651.38900000000001</v>
      </c>
      <c r="F564" s="966">
        <f t="shared" si="8"/>
        <v>21121.39</v>
      </c>
      <c r="G564" s="966">
        <f t="shared" si="8"/>
        <v>21121.388999999999</v>
      </c>
    </row>
    <row r="565" spans="1:7" s="913" customFormat="1" ht="12.75" customHeight="1" x14ac:dyDescent="0.2">
      <c r="A565" s="965" t="s">
        <v>4108</v>
      </c>
      <c r="B565" s="966">
        <v>17052</v>
      </c>
      <c r="C565" s="966">
        <v>17052</v>
      </c>
      <c r="D565" s="966">
        <v>623.72</v>
      </c>
      <c r="E565" s="966">
        <v>623.721</v>
      </c>
      <c r="F565" s="966">
        <f t="shared" si="8"/>
        <v>17675.72</v>
      </c>
      <c r="G565" s="966">
        <f t="shared" si="8"/>
        <v>17675.721000000001</v>
      </c>
    </row>
    <row r="566" spans="1:7" s="913" customFormat="1" ht="12.75" customHeight="1" x14ac:dyDescent="0.2">
      <c r="A566" s="965" t="s">
        <v>4109</v>
      </c>
      <c r="B566" s="966">
        <v>15293</v>
      </c>
      <c r="C566" s="966">
        <v>15293</v>
      </c>
      <c r="D566" s="966">
        <v>526.82000000000005</v>
      </c>
      <c r="E566" s="966">
        <v>526.81899999999996</v>
      </c>
      <c r="F566" s="966">
        <f t="shared" si="8"/>
        <v>15819.82</v>
      </c>
      <c r="G566" s="966">
        <f t="shared" si="8"/>
        <v>15819.819</v>
      </c>
    </row>
    <row r="567" spans="1:7" s="913" customFormat="1" ht="12.75" customHeight="1" x14ac:dyDescent="0.2">
      <c r="A567" s="965" t="s">
        <v>4110</v>
      </c>
      <c r="B567" s="966">
        <v>15375</v>
      </c>
      <c r="C567" s="966">
        <v>15375</v>
      </c>
      <c r="D567" s="966">
        <v>546.32000000000005</v>
      </c>
      <c r="E567" s="966">
        <v>546.31700000000001</v>
      </c>
      <c r="F567" s="966">
        <f t="shared" si="8"/>
        <v>15921.32</v>
      </c>
      <c r="G567" s="966">
        <f t="shared" si="8"/>
        <v>15921.316999999999</v>
      </c>
    </row>
    <row r="568" spans="1:7" s="913" customFormat="1" ht="12.75" customHeight="1" x14ac:dyDescent="0.2">
      <c r="A568" s="965" t="s">
        <v>4111</v>
      </c>
      <c r="B568" s="966">
        <v>17408</v>
      </c>
      <c r="C568" s="966">
        <v>17408</v>
      </c>
      <c r="D568" s="966">
        <v>1126.3699999999999</v>
      </c>
      <c r="E568" s="966">
        <v>1096.9749999999999</v>
      </c>
      <c r="F568" s="966">
        <f t="shared" si="8"/>
        <v>18534.37</v>
      </c>
      <c r="G568" s="966">
        <f t="shared" si="8"/>
        <v>18504.974999999999</v>
      </c>
    </row>
    <row r="569" spans="1:7" s="913" customFormat="1" ht="12.75" customHeight="1" x14ac:dyDescent="0.2">
      <c r="A569" s="965" t="s">
        <v>4112</v>
      </c>
      <c r="B569" s="966">
        <v>9823</v>
      </c>
      <c r="C569" s="966">
        <v>9823</v>
      </c>
      <c r="D569" s="966">
        <v>677.93000000000006</v>
      </c>
      <c r="E569" s="966">
        <v>677.92799999999988</v>
      </c>
      <c r="F569" s="966">
        <f t="shared" si="8"/>
        <v>10500.93</v>
      </c>
      <c r="G569" s="966">
        <f t="shared" si="8"/>
        <v>10500.928</v>
      </c>
    </row>
    <row r="570" spans="1:7" s="913" customFormat="1" ht="12.75" customHeight="1" x14ac:dyDescent="0.2">
      <c r="A570" s="965" t="s">
        <v>4113</v>
      </c>
      <c r="B570" s="966">
        <v>17075</v>
      </c>
      <c r="C570" s="966">
        <v>17075</v>
      </c>
      <c r="D570" s="966">
        <v>617.61</v>
      </c>
      <c r="E570" s="966">
        <v>617.6</v>
      </c>
      <c r="F570" s="966">
        <f t="shared" si="8"/>
        <v>17692.61</v>
      </c>
      <c r="G570" s="966">
        <f t="shared" si="8"/>
        <v>17692.599999999999</v>
      </c>
    </row>
    <row r="571" spans="1:7" s="913" customFormat="1" ht="12.75" customHeight="1" x14ac:dyDescent="0.2">
      <c r="A571" s="965" t="s">
        <v>4114</v>
      </c>
      <c r="B571" s="966">
        <v>13466</v>
      </c>
      <c r="C571" s="966">
        <v>13466</v>
      </c>
      <c r="D571" s="966">
        <v>510.96</v>
      </c>
      <c r="E571" s="966">
        <v>510.95899999999995</v>
      </c>
      <c r="F571" s="966">
        <f t="shared" si="8"/>
        <v>13976.96</v>
      </c>
      <c r="G571" s="966">
        <f t="shared" si="8"/>
        <v>13976.959000000001</v>
      </c>
    </row>
    <row r="572" spans="1:7" s="913" customFormat="1" ht="12.75" customHeight="1" x14ac:dyDescent="0.2">
      <c r="A572" s="965" t="s">
        <v>4115</v>
      </c>
      <c r="B572" s="966">
        <v>9360</v>
      </c>
      <c r="C572" s="966">
        <v>9360</v>
      </c>
      <c r="D572" s="966">
        <v>335.8</v>
      </c>
      <c r="E572" s="966">
        <v>335.79699999999997</v>
      </c>
      <c r="F572" s="966">
        <f t="shared" si="8"/>
        <v>9695.7999999999993</v>
      </c>
      <c r="G572" s="966">
        <f t="shared" si="8"/>
        <v>9695.7970000000005</v>
      </c>
    </row>
    <row r="573" spans="1:7" s="913" customFormat="1" ht="12.75" customHeight="1" x14ac:dyDescent="0.2">
      <c r="A573" s="965" t="s">
        <v>4116</v>
      </c>
      <c r="B573" s="966">
        <v>4928</v>
      </c>
      <c r="C573" s="966">
        <v>4928</v>
      </c>
      <c r="D573" s="966">
        <v>160.80000000000001</v>
      </c>
      <c r="E573" s="966">
        <v>160.80000000000001</v>
      </c>
      <c r="F573" s="966">
        <f t="shared" si="8"/>
        <v>5088.8</v>
      </c>
      <c r="G573" s="966">
        <f t="shared" si="8"/>
        <v>5088.8</v>
      </c>
    </row>
    <row r="574" spans="1:7" s="913" customFormat="1" ht="12.75" customHeight="1" x14ac:dyDescent="0.2">
      <c r="A574" s="965" t="s">
        <v>4117</v>
      </c>
      <c r="B574" s="966">
        <v>14464</v>
      </c>
      <c r="C574" s="966">
        <v>14464</v>
      </c>
      <c r="D574" s="966">
        <v>493.03</v>
      </c>
      <c r="E574" s="966">
        <v>493.03100000000001</v>
      </c>
      <c r="F574" s="966">
        <f t="shared" si="8"/>
        <v>14957.03</v>
      </c>
      <c r="G574" s="966">
        <f t="shared" si="8"/>
        <v>14957.031000000001</v>
      </c>
    </row>
    <row r="575" spans="1:7" s="913" customFormat="1" ht="12.75" customHeight="1" x14ac:dyDescent="0.2">
      <c r="A575" s="965" t="s">
        <v>4118</v>
      </c>
      <c r="B575" s="966">
        <v>18547</v>
      </c>
      <c r="C575" s="966">
        <v>18547</v>
      </c>
      <c r="D575" s="966">
        <v>644</v>
      </c>
      <c r="E575" s="966">
        <v>643.99400000000003</v>
      </c>
      <c r="F575" s="966">
        <f t="shared" si="8"/>
        <v>19191</v>
      </c>
      <c r="G575" s="966">
        <f t="shared" si="8"/>
        <v>19190.993999999999</v>
      </c>
    </row>
    <row r="576" spans="1:7" s="913" customFormat="1" ht="12.75" customHeight="1" x14ac:dyDescent="0.2">
      <c r="A576" s="965" t="s">
        <v>4119</v>
      </c>
      <c r="B576" s="966">
        <v>18318</v>
      </c>
      <c r="C576" s="966">
        <v>18318</v>
      </c>
      <c r="D576" s="966">
        <v>608.92999999999995</v>
      </c>
      <c r="E576" s="966">
        <v>608.92999999999995</v>
      </c>
      <c r="F576" s="966">
        <f t="shared" si="8"/>
        <v>18926.93</v>
      </c>
      <c r="G576" s="966">
        <f t="shared" si="8"/>
        <v>18926.93</v>
      </c>
    </row>
    <row r="577" spans="1:7" s="913" customFormat="1" ht="12.75" customHeight="1" x14ac:dyDescent="0.2">
      <c r="A577" s="965" t="s">
        <v>4120</v>
      </c>
      <c r="B577" s="966">
        <v>17720</v>
      </c>
      <c r="C577" s="966">
        <v>17720</v>
      </c>
      <c r="D577" s="966">
        <v>807.69</v>
      </c>
      <c r="E577" s="966">
        <v>789.13199999999995</v>
      </c>
      <c r="F577" s="966">
        <f t="shared" si="8"/>
        <v>18527.689999999999</v>
      </c>
      <c r="G577" s="966">
        <f t="shared" si="8"/>
        <v>18509.132000000001</v>
      </c>
    </row>
    <row r="578" spans="1:7" s="913" customFormat="1" ht="12.75" customHeight="1" x14ac:dyDescent="0.2">
      <c r="A578" s="965" t="s">
        <v>4121</v>
      </c>
      <c r="B578" s="966">
        <v>19725</v>
      </c>
      <c r="C578" s="966">
        <v>19725</v>
      </c>
      <c r="D578" s="966">
        <v>705.82999999999993</v>
      </c>
      <c r="E578" s="966">
        <v>705.83</v>
      </c>
      <c r="F578" s="966">
        <f t="shared" si="8"/>
        <v>20430.830000000002</v>
      </c>
      <c r="G578" s="966">
        <f t="shared" si="8"/>
        <v>20430.830000000002</v>
      </c>
    </row>
    <row r="579" spans="1:7" s="913" customFormat="1" ht="12.75" customHeight="1" x14ac:dyDescent="0.2">
      <c r="A579" s="965" t="s">
        <v>4122</v>
      </c>
      <c r="B579" s="966">
        <v>13829</v>
      </c>
      <c r="C579" s="966">
        <v>13829</v>
      </c>
      <c r="D579" s="966">
        <v>494.69</v>
      </c>
      <c r="E579" s="966">
        <v>494.68699999999995</v>
      </c>
      <c r="F579" s="966">
        <f t="shared" si="8"/>
        <v>14323.69</v>
      </c>
      <c r="G579" s="966">
        <f t="shared" si="8"/>
        <v>14323.687</v>
      </c>
    </row>
    <row r="580" spans="1:7" s="913" customFormat="1" ht="12.75" customHeight="1" x14ac:dyDescent="0.2">
      <c r="A580" s="965" t="s">
        <v>4123</v>
      </c>
      <c r="B580" s="966">
        <v>17694</v>
      </c>
      <c r="C580" s="966">
        <v>17694</v>
      </c>
      <c r="D580" s="966">
        <v>626.91999999999996</v>
      </c>
      <c r="E580" s="966">
        <v>626.91199999999992</v>
      </c>
      <c r="F580" s="966">
        <f t="shared" si="8"/>
        <v>18320.919999999998</v>
      </c>
      <c r="G580" s="966">
        <f t="shared" si="8"/>
        <v>18320.912</v>
      </c>
    </row>
    <row r="581" spans="1:7" s="913" customFormat="1" ht="12.75" customHeight="1" x14ac:dyDescent="0.2">
      <c r="A581" s="965" t="s">
        <v>4124</v>
      </c>
      <c r="B581" s="966">
        <v>17088</v>
      </c>
      <c r="C581" s="966">
        <v>17088</v>
      </c>
      <c r="D581" s="966">
        <v>623.17999999999995</v>
      </c>
      <c r="E581" s="966">
        <v>623.17999999999995</v>
      </c>
      <c r="F581" s="966">
        <f t="shared" si="8"/>
        <v>17711.18</v>
      </c>
      <c r="G581" s="966">
        <f t="shared" si="8"/>
        <v>17711.18</v>
      </c>
    </row>
    <row r="582" spans="1:7" s="913" customFormat="1" ht="12.75" customHeight="1" x14ac:dyDescent="0.2">
      <c r="A582" s="965" t="s">
        <v>4125</v>
      </c>
      <c r="B582" s="966">
        <v>17280</v>
      </c>
      <c r="C582" s="966">
        <v>17280</v>
      </c>
      <c r="D582" s="966">
        <v>582.17000000000007</v>
      </c>
      <c r="E582" s="966">
        <v>582.173</v>
      </c>
      <c r="F582" s="966">
        <f t="shared" ref="F582:G636" si="9">B582+D582</f>
        <v>17862.169999999998</v>
      </c>
      <c r="G582" s="966">
        <f t="shared" si="9"/>
        <v>17862.172999999999</v>
      </c>
    </row>
    <row r="583" spans="1:7" s="913" customFormat="1" ht="12.75" customHeight="1" x14ac:dyDescent="0.2">
      <c r="A583" s="965" t="s">
        <v>4126</v>
      </c>
      <c r="B583" s="966">
        <v>24932</v>
      </c>
      <c r="C583" s="966">
        <v>24932</v>
      </c>
      <c r="D583" s="966">
        <v>909.98</v>
      </c>
      <c r="E583" s="966">
        <v>909.97900000000004</v>
      </c>
      <c r="F583" s="966">
        <f t="shared" si="9"/>
        <v>25841.98</v>
      </c>
      <c r="G583" s="966">
        <f t="shared" si="9"/>
        <v>25841.978999999999</v>
      </c>
    </row>
    <row r="584" spans="1:7" s="913" customFormat="1" ht="12.75" customHeight="1" x14ac:dyDescent="0.2">
      <c r="A584" s="965" t="s">
        <v>4127</v>
      </c>
      <c r="B584" s="966">
        <v>22798</v>
      </c>
      <c r="C584" s="966">
        <v>22798</v>
      </c>
      <c r="D584" s="966">
        <v>854.81999999999994</v>
      </c>
      <c r="E584" s="966">
        <v>854.822</v>
      </c>
      <c r="F584" s="966">
        <f t="shared" si="9"/>
        <v>23652.82</v>
      </c>
      <c r="G584" s="966">
        <f t="shared" si="9"/>
        <v>23652.822</v>
      </c>
    </row>
    <row r="585" spans="1:7" s="913" customFormat="1" ht="12.75" customHeight="1" x14ac:dyDescent="0.2">
      <c r="A585" s="965" t="s">
        <v>4128</v>
      </c>
      <c r="B585" s="966">
        <v>13415</v>
      </c>
      <c r="C585" s="966">
        <v>13415</v>
      </c>
      <c r="D585" s="966">
        <v>474.6</v>
      </c>
      <c r="E585" s="966">
        <v>474.59999999999997</v>
      </c>
      <c r="F585" s="966">
        <f t="shared" si="9"/>
        <v>13889.6</v>
      </c>
      <c r="G585" s="966">
        <f t="shared" si="9"/>
        <v>13889.6</v>
      </c>
    </row>
    <row r="586" spans="1:7" s="913" customFormat="1" ht="12.75" customHeight="1" x14ac:dyDescent="0.2">
      <c r="A586" s="965" t="s">
        <v>4129</v>
      </c>
      <c r="B586" s="966">
        <v>17561</v>
      </c>
      <c r="C586" s="966">
        <v>17561</v>
      </c>
      <c r="D586" s="966">
        <v>1091.81</v>
      </c>
      <c r="E586" s="966">
        <v>1091.8130000000001</v>
      </c>
      <c r="F586" s="966">
        <f t="shared" si="9"/>
        <v>18652.810000000001</v>
      </c>
      <c r="G586" s="966">
        <f t="shared" si="9"/>
        <v>18652.813000000002</v>
      </c>
    </row>
    <row r="587" spans="1:7" s="913" customFormat="1" ht="12.75" customHeight="1" x14ac:dyDescent="0.2">
      <c r="A587" s="965" t="s">
        <v>4130</v>
      </c>
      <c r="B587" s="966">
        <v>16049</v>
      </c>
      <c r="C587" s="966">
        <v>16049</v>
      </c>
      <c r="D587" s="966">
        <v>666.66000000000008</v>
      </c>
      <c r="E587" s="966">
        <v>666.65700000000004</v>
      </c>
      <c r="F587" s="966">
        <f t="shared" si="9"/>
        <v>16715.66</v>
      </c>
      <c r="G587" s="966">
        <f t="shared" si="9"/>
        <v>16715.656999999999</v>
      </c>
    </row>
    <row r="588" spans="1:7" s="913" customFormat="1" ht="12.75" customHeight="1" x14ac:dyDescent="0.2">
      <c r="A588" s="965" t="s">
        <v>4131</v>
      </c>
      <c r="B588" s="966">
        <v>10575</v>
      </c>
      <c r="C588" s="966">
        <v>10575</v>
      </c>
      <c r="D588" s="966">
        <v>347.68</v>
      </c>
      <c r="E588" s="966">
        <v>347.68</v>
      </c>
      <c r="F588" s="966">
        <f t="shared" si="9"/>
        <v>10922.68</v>
      </c>
      <c r="G588" s="966">
        <f t="shared" si="9"/>
        <v>10922.68</v>
      </c>
    </row>
    <row r="589" spans="1:7" s="913" customFormat="1" ht="12.75" customHeight="1" x14ac:dyDescent="0.2">
      <c r="A589" s="965" t="s">
        <v>4132</v>
      </c>
      <c r="B589" s="966">
        <v>17713</v>
      </c>
      <c r="C589" s="966">
        <v>17713</v>
      </c>
      <c r="D589" s="966">
        <v>549.34</v>
      </c>
      <c r="E589" s="966">
        <v>549.33399999999995</v>
      </c>
      <c r="F589" s="966">
        <f t="shared" si="9"/>
        <v>18262.34</v>
      </c>
      <c r="G589" s="966">
        <f t="shared" si="9"/>
        <v>18262.333999999999</v>
      </c>
    </row>
    <row r="590" spans="1:7" s="913" customFormat="1" ht="12.75" customHeight="1" x14ac:dyDescent="0.2">
      <c r="A590" s="965" t="s">
        <v>4133</v>
      </c>
      <c r="B590" s="966">
        <v>14289</v>
      </c>
      <c r="C590" s="966">
        <v>14289</v>
      </c>
      <c r="D590" s="966">
        <v>1185.6600000000001</v>
      </c>
      <c r="E590" s="966">
        <v>1185.6579999999999</v>
      </c>
      <c r="F590" s="966">
        <f t="shared" si="9"/>
        <v>15474.66</v>
      </c>
      <c r="G590" s="966">
        <f t="shared" si="9"/>
        <v>15474.657999999999</v>
      </c>
    </row>
    <row r="591" spans="1:7" s="913" customFormat="1" ht="12.75" customHeight="1" x14ac:dyDescent="0.2">
      <c r="A591" s="965" t="s">
        <v>4134</v>
      </c>
      <c r="B591" s="966">
        <v>14651</v>
      </c>
      <c r="C591" s="966">
        <v>14651</v>
      </c>
      <c r="D591" s="966">
        <v>568.96</v>
      </c>
      <c r="E591" s="966">
        <v>568.96</v>
      </c>
      <c r="F591" s="966">
        <f t="shared" si="9"/>
        <v>15219.96</v>
      </c>
      <c r="G591" s="966">
        <f t="shared" si="9"/>
        <v>15219.96</v>
      </c>
    </row>
    <row r="592" spans="1:7" s="913" customFormat="1" ht="12.75" customHeight="1" x14ac:dyDescent="0.2">
      <c r="A592" s="965" t="s">
        <v>4135</v>
      </c>
      <c r="B592" s="966">
        <v>13762</v>
      </c>
      <c r="C592" s="966">
        <v>13762</v>
      </c>
      <c r="D592" s="966">
        <v>1075.99</v>
      </c>
      <c r="E592" s="966">
        <v>1075.981</v>
      </c>
      <c r="F592" s="966">
        <f t="shared" si="9"/>
        <v>14837.99</v>
      </c>
      <c r="G592" s="966">
        <f t="shared" si="9"/>
        <v>14837.981</v>
      </c>
    </row>
    <row r="593" spans="1:7" s="913" customFormat="1" ht="12.75" customHeight="1" x14ac:dyDescent="0.2">
      <c r="A593" s="965" t="s">
        <v>4136</v>
      </c>
      <c r="B593" s="966">
        <v>15789</v>
      </c>
      <c r="C593" s="966">
        <v>15789</v>
      </c>
      <c r="D593" s="966">
        <v>543.13</v>
      </c>
      <c r="E593" s="966">
        <v>543.13</v>
      </c>
      <c r="F593" s="966">
        <f t="shared" si="9"/>
        <v>16332.13</v>
      </c>
      <c r="G593" s="966">
        <f t="shared" si="9"/>
        <v>16332.13</v>
      </c>
    </row>
    <row r="594" spans="1:7" s="913" customFormat="1" ht="12.75" customHeight="1" x14ac:dyDescent="0.2">
      <c r="A594" s="965" t="s">
        <v>4137</v>
      </c>
      <c r="B594" s="966">
        <v>12631</v>
      </c>
      <c r="C594" s="966">
        <v>12631</v>
      </c>
      <c r="D594" s="966">
        <v>519.63</v>
      </c>
      <c r="E594" s="966">
        <v>519.63400000000001</v>
      </c>
      <c r="F594" s="966">
        <f t="shared" si="9"/>
        <v>13150.63</v>
      </c>
      <c r="G594" s="966">
        <f t="shared" si="9"/>
        <v>13150.634</v>
      </c>
    </row>
    <row r="595" spans="1:7" s="913" customFormat="1" ht="12.75" customHeight="1" x14ac:dyDescent="0.2">
      <c r="A595" s="965" t="s">
        <v>4138</v>
      </c>
      <c r="B595" s="966">
        <v>13044</v>
      </c>
      <c r="C595" s="966">
        <v>13044</v>
      </c>
      <c r="D595" s="966">
        <v>411.08</v>
      </c>
      <c r="E595" s="966">
        <v>411.07600000000002</v>
      </c>
      <c r="F595" s="966">
        <f t="shared" si="9"/>
        <v>13455.08</v>
      </c>
      <c r="G595" s="966">
        <f t="shared" si="9"/>
        <v>13455.076000000001</v>
      </c>
    </row>
    <row r="596" spans="1:7" s="913" customFormat="1" ht="12.75" customHeight="1" x14ac:dyDescent="0.2">
      <c r="A596" s="965" t="s">
        <v>4139</v>
      </c>
      <c r="B596" s="966">
        <v>13571</v>
      </c>
      <c r="C596" s="966">
        <v>13571</v>
      </c>
      <c r="D596" s="966">
        <v>457.77</v>
      </c>
      <c r="E596" s="966">
        <v>457.76600000000002</v>
      </c>
      <c r="F596" s="966">
        <f t="shared" si="9"/>
        <v>14028.77</v>
      </c>
      <c r="G596" s="966">
        <f t="shared" si="9"/>
        <v>14028.766</v>
      </c>
    </row>
    <row r="597" spans="1:7" s="913" customFormat="1" ht="12.75" customHeight="1" x14ac:dyDescent="0.2">
      <c r="A597" s="965" t="s">
        <v>4140</v>
      </c>
      <c r="B597" s="966">
        <v>13902</v>
      </c>
      <c r="C597" s="966">
        <v>13902</v>
      </c>
      <c r="D597" s="966">
        <v>511.71000000000004</v>
      </c>
      <c r="E597" s="966">
        <v>511.71000000000004</v>
      </c>
      <c r="F597" s="966">
        <f t="shared" si="9"/>
        <v>14413.71</v>
      </c>
      <c r="G597" s="966">
        <f t="shared" si="9"/>
        <v>14413.71</v>
      </c>
    </row>
    <row r="598" spans="1:7" s="913" customFormat="1" ht="12.75" customHeight="1" x14ac:dyDescent="0.2">
      <c r="A598" s="965" t="s">
        <v>4141</v>
      </c>
      <c r="B598" s="966">
        <v>17869</v>
      </c>
      <c r="C598" s="966">
        <v>17869</v>
      </c>
      <c r="D598" s="966">
        <v>630.80000000000007</v>
      </c>
      <c r="E598" s="966">
        <v>630.80500000000006</v>
      </c>
      <c r="F598" s="966">
        <f t="shared" si="9"/>
        <v>18499.8</v>
      </c>
      <c r="G598" s="966">
        <f t="shared" si="9"/>
        <v>18499.805</v>
      </c>
    </row>
    <row r="599" spans="1:7" s="913" customFormat="1" ht="12.75" customHeight="1" x14ac:dyDescent="0.2">
      <c r="A599" s="965" t="s">
        <v>4142</v>
      </c>
      <c r="B599" s="966">
        <v>27726</v>
      </c>
      <c r="C599" s="966">
        <v>27726</v>
      </c>
      <c r="D599" s="966">
        <v>940.52</v>
      </c>
      <c r="E599" s="966">
        <v>940.51599999999996</v>
      </c>
      <c r="F599" s="966">
        <f t="shared" si="9"/>
        <v>28666.52</v>
      </c>
      <c r="G599" s="966">
        <f t="shared" si="9"/>
        <v>28666.516</v>
      </c>
    </row>
    <row r="600" spans="1:7" s="913" customFormat="1" ht="12.75" customHeight="1" x14ac:dyDescent="0.2">
      <c r="A600" s="965" t="s">
        <v>4143</v>
      </c>
      <c r="B600" s="966">
        <v>3226</v>
      </c>
      <c r="C600" s="966">
        <v>3226</v>
      </c>
      <c r="D600" s="966">
        <v>97.33</v>
      </c>
      <c r="E600" s="966">
        <v>97.324000000000012</v>
      </c>
      <c r="F600" s="966">
        <f t="shared" si="9"/>
        <v>3323.33</v>
      </c>
      <c r="G600" s="966">
        <f t="shared" si="9"/>
        <v>3323.3240000000001</v>
      </c>
    </row>
    <row r="601" spans="1:7" s="913" customFormat="1" ht="22.5" customHeight="1" x14ac:dyDescent="0.2">
      <c r="A601" s="965" t="s">
        <v>4144</v>
      </c>
      <c r="B601" s="966">
        <v>27769</v>
      </c>
      <c r="C601" s="966">
        <v>27769</v>
      </c>
      <c r="D601" s="966">
        <v>735.09</v>
      </c>
      <c r="E601" s="966">
        <v>735.08799999999997</v>
      </c>
      <c r="F601" s="966">
        <f t="shared" si="9"/>
        <v>28504.09</v>
      </c>
      <c r="G601" s="966">
        <f t="shared" si="9"/>
        <v>28504.088</v>
      </c>
    </row>
    <row r="602" spans="1:7" s="913" customFormat="1" ht="22.5" customHeight="1" x14ac:dyDescent="0.2">
      <c r="A602" s="965" t="s">
        <v>4145</v>
      </c>
      <c r="B602" s="966">
        <v>3592</v>
      </c>
      <c r="C602" s="966">
        <v>3592</v>
      </c>
      <c r="D602" s="966">
        <v>114.35</v>
      </c>
      <c r="E602" s="966">
        <v>114.348</v>
      </c>
      <c r="F602" s="966">
        <f t="shared" si="9"/>
        <v>3706.35</v>
      </c>
      <c r="G602" s="966">
        <f t="shared" si="9"/>
        <v>3706.348</v>
      </c>
    </row>
    <row r="603" spans="1:7" s="913" customFormat="1" ht="12.75" customHeight="1" x14ac:dyDescent="0.2">
      <c r="A603" s="965" t="s">
        <v>4146</v>
      </c>
      <c r="B603" s="966">
        <v>2036</v>
      </c>
      <c r="C603" s="966">
        <v>2036</v>
      </c>
      <c r="D603" s="966">
        <v>71.2</v>
      </c>
      <c r="E603" s="966">
        <v>71.203000000000003</v>
      </c>
      <c r="F603" s="966">
        <f t="shared" si="9"/>
        <v>2107.1999999999998</v>
      </c>
      <c r="G603" s="966">
        <f t="shared" si="9"/>
        <v>2107.203</v>
      </c>
    </row>
    <row r="604" spans="1:7" s="913" customFormat="1" ht="12.75" customHeight="1" x14ac:dyDescent="0.2">
      <c r="A604" s="965" t="s">
        <v>4147</v>
      </c>
      <c r="B604" s="966">
        <v>12799</v>
      </c>
      <c r="C604" s="966">
        <v>12799</v>
      </c>
      <c r="D604" s="966">
        <v>461.39</v>
      </c>
      <c r="E604" s="966">
        <v>461.38699999999994</v>
      </c>
      <c r="F604" s="966">
        <f t="shared" si="9"/>
        <v>13260.39</v>
      </c>
      <c r="G604" s="966">
        <f t="shared" si="9"/>
        <v>13260.387000000001</v>
      </c>
    </row>
    <row r="605" spans="1:7" s="913" customFormat="1" ht="12.75" customHeight="1" x14ac:dyDescent="0.2">
      <c r="A605" s="965" t="s">
        <v>4148</v>
      </c>
      <c r="B605" s="966">
        <v>9362</v>
      </c>
      <c r="C605" s="966">
        <v>9362</v>
      </c>
      <c r="D605" s="966">
        <v>288.66999999999996</v>
      </c>
      <c r="E605" s="966">
        <v>288.666</v>
      </c>
      <c r="F605" s="966">
        <f t="shared" si="9"/>
        <v>9650.67</v>
      </c>
      <c r="G605" s="966">
        <f t="shared" si="9"/>
        <v>9650.6659999999993</v>
      </c>
    </row>
    <row r="606" spans="1:7" s="913" customFormat="1" ht="12.75" customHeight="1" x14ac:dyDescent="0.2">
      <c r="A606" s="965" t="s">
        <v>4149</v>
      </c>
      <c r="B606" s="966">
        <v>13006</v>
      </c>
      <c r="C606" s="966">
        <v>13006</v>
      </c>
      <c r="D606" s="966">
        <v>486.72999999999996</v>
      </c>
      <c r="E606" s="966">
        <v>486.73199999999997</v>
      </c>
      <c r="F606" s="966">
        <f t="shared" si="9"/>
        <v>13492.73</v>
      </c>
      <c r="G606" s="966">
        <f t="shared" si="9"/>
        <v>13492.732</v>
      </c>
    </row>
    <row r="607" spans="1:7" s="913" customFormat="1" ht="12.75" customHeight="1" x14ac:dyDescent="0.2">
      <c r="A607" s="965" t="s">
        <v>4150</v>
      </c>
      <c r="B607" s="966">
        <v>10337</v>
      </c>
      <c r="C607" s="966">
        <v>10337</v>
      </c>
      <c r="D607" s="966">
        <v>424.33</v>
      </c>
      <c r="E607" s="966">
        <v>424.32899999999995</v>
      </c>
      <c r="F607" s="966">
        <f t="shared" si="9"/>
        <v>10761.33</v>
      </c>
      <c r="G607" s="966">
        <f t="shared" si="9"/>
        <v>10761.329</v>
      </c>
    </row>
    <row r="608" spans="1:7" s="913" customFormat="1" ht="12.75" customHeight="1" x14ac:dyDescent="0.2">
      <c r="A608" s="965" t="s">
        <v>4151</v>
      </c>
      <c r="B608" s="966">
        <v>1582</v>
      </c>
      <c r="C608" s="966">
        <v>1582</v>
      </c>
      <c r="D608" s="966">
        <v>77.8</v>
      </c>
      <c r="E608" s="966">
        <v>77.801999999999992</v>
      </c>
      <c r="F608" s="966">
        <f t="shared" si="9"/>
        <v>1659.8</v>
      </c>
      <c r="G608" s="966">
        <f t="shared" si="9"/>
        <v>1659.8019999999999</v>
      </c>
    </row>
    <row r="609" spans="1:7" s="913" customFormat="1" ht="12.75" customHeight="1" x14ac:dyDescent="0.2">
      <c r="A609" s="965" t="s">
        <v>4152</v>
      </c>
      <c r="B609" s="966">
        <v>28352</v>
      </c>
      <c r="C609" s="966">
        <v>28352</v>
      </c>
      <c r="D609" s="966">
        <v>1000.89</v>
      </c>
      <c r="E609" s="966">
        <v>1000.8869999999999</v>
      </c>
      <c r="F609" s="966">
        <f t="shared" si="9"/>
        <v>29352.89</v>
      </c>
      <c r="G609" s="966">
        <f t="shared" si="9"/>
        <v>29352.886999999999</v>
      </c>
    </row>
    <row r="610" spans="1:7" s="913" customFormat="1" ht="12.75" customHeight="1" x14ac:dyDescent="0.2">
      <c r="A610" s="965" t="s">
        <v>4153</v>
      </c>
      <c r="B610" s="966">
        <v>5212</v>
      </c>
      <c r="C610" s="966">
        <v>5212</v>
      </c>
      <c r="D610" s="966">
        <v>154.53</v>
      </c>
      <c r="E610" s="966">
        <v>154.52799999999999</v>
      </c>
      <c r="F610" s="966">
        <f t="shared" si="9"/>
        <v>5366.53</v>
      </c>
      <c r="G610" s="966">
        <f t="shared" si="9"/>
        <v>5366.5280000000002</v>
      </c>
    </row>
    <row r="611" spans="1:7" s="913" customFormat="1" ht="12.75" customHeight="1" x14ac:dyDescent="0.2">
      <c r="A611" s="965" t="s">
        <v>4154</v>
      </c>
      <c r="B611" s="966">
        <v>5920</v>
      </c>
      <c r="C611" s="966">
        <v>5920</v>
      </c>
      <c r="D611" s="966">
        <v>829.57</v>
      </c>
      <c r="E611" s="966">
        <v>829.57299999999998</v>
      </c>
      <c r="F611" s="966">
        <f t="shared" si="9"/>
        <v>6749.57</v>
      </c>
      <c r="G611" s="966">
        <f t="shared" si="9"/>
        <v>6749.5730000000003</v>
      </c>
    </row>
    <row r="612" spans="1:7" s="913" customFormat="1" ht="12.75" customHeight="1" x14ac:dyDescent="0.2">
      <c r="A612" s="965" t="s">
        <v>4155</v>
      </c>
      <c r="B612" s="966">
        <v>5609</v>
      </c>
      <c r="C612" s="966">
        <v>5609</v>
      </c>
      <c r="D612" s="966">
        <v>268.81</v>
      </c>
      <c r="E612" s="966">
        <v>268.81400000000002</v>
      </c>
      <c r="F612" s="966">
        <f t="shared" si="9"/>
        <v>5877.81</v>
      </c>
      <c r="G612" s="966">
        <f t="shared" si="9"/>
        <v>5877.8140000000003</v>
      </c>
    </row>
    <row r="613" spans="1:7" s="913" customFormat="1" ht="12.75" customHeight="1" x14ac:dyDescent="0.2">
      <c r="A613" s="965" t="s">
        <v>4156</v>
      </c>
      <c r="B613" s="966">
        <v>5580</v>
      </c>
      <c r="C613" s="966">
        <v>5580</v>
      </c>
      <c r="D613" s="966">
        <v>180.51</v>
      </c>
      <c r="E613" s="966">
        <v>180.50199999999998</v>
      </c>
      <c r="F613" s="966">
        <f t="shared" si="9"/>
        <v>5760.51</v>
      </c>
      <c r="G613" s="966">
        <f t="shared" si="9"/>
        <v>5760.5020000000004</v>
      </c>
    </row>
    <row r="614" spans="1:7" s="913" customFormat="1" ht="12.75" customHeight="1" x14ac:dyDescent="0.2">
      <c r="A614" s="965" t="s">
        <v>4157</v>
      </c>
      <c r="B614" s="966">
        <v>23768</v>
      </c>
      <c r="C614" s="966">
        <v>23768</v>
      </c>
      <c r="D614" s="966">
        <v>845.77</v>
      </c>
      <c r="E614" s="966">
        <v>845.77300000000002</v>
      </c>
      <c r="F614" s="966">
        <f t="shared" si="9"/>
        <v>24613.77</v>
      </c>
      <c r="G614" s="966">
        <f t="shared" si="9"/>
        <v>24613.773000000001</v>
      </c>
    </row>
    <row r="615" spans="1:7" s="913" customFormat="1" ht="12.75" customHeight="1" x14ac:dyDescent="0.2">
      <c r="A615" s="965" t="s">
        <v>4158</v>
      </c>
      <c r="B615" s="966">
        <v>12469</v>
      </c>
      <c r="C615" s="966">
        <v>12469</v>
      </c>
      <c r="D615" s="966">
        <v>405.17</v>
      </c>
      <c r="E615" s="966">
        <v>405.16500000000002</v>
      </c>
      <c r="F615" s="966">
        <f t="shared" si="9"/>
        <v>12874.17</v>
      </c>
      <c r="G615" s="966">
        <f t="shared" si="9"/>
        <v>12874.165000000001</v>
      </c>
    </row>
    <row r="616" spans="1:7" s="913" customFormat="1" ht="12.75" customHeight="1" x14ac:dyDescent="0.2">
      <c r="A616" s="965" t="s">
        <v>4159</v>
      </c>
      <c r="B616" s="966">
        <v>2751</v>
      </c>
      <c r="C616" s="966">
        <v>2751</v>
      </c>
      <c r="D616" s="966">
        <v>63.92</v>
      </c>
      <c r="E616" s="966">
        <v>63.911000000000001</v>
      </c>
      <c r="F616" s="966">
        <f t="shared" si="9"/>
        <v>2814.92</v>
      </c>
      <c r="G616" s="966">
        <f t="shared" si="9"/>
        <v>2814.9110000000001</v>
      </c>
    </row>
    <row r="617" spans="1:7" s="913" customFormat="1" ht="12.75" customHeight="1" x14ac:dyDescent="0.2">
      <c r="A617" s="965" t="s">
        <v>4160</v>
      </c>
      <c r="B617" s="966">
        <v>8011</v>
      </c>
      <c r="C617" s="966">
        <v>8011</v>
      </c>
      <c r="D617" s="966">
        <v>231.14999999999998</v>
      </c>
      <c r="E617" s="966">
        <v>231.154</v>
      </c>
      <c r="F617" s="966">
        <f t="shared" si="9"/>
        <v>8242.15</v>
      </c>
      <c r="G617" s="966">
        <f t="shared" si="9"/>
        <v>8242.1540000000005</v>
      </c>
    </row>
    <row r="618" spans="1:7" s="913" customFormat="1" ht="12.75" customHeight="1" x14ac:dyDescent="0.2">
      <c r="A618" s="965" t="s">
        <v>4161</v>
      </c>
      <c r="B618" s="966">
        <v>12947</v>
      </c>
      <c r="C618" s="966">
        <v>12947</v>
      </c>
      <c r="D618" s="966">
        <v>434.83</v>
      </c>
      <c r="E618" s="966">
        <v>434.83199999999999</v>
      </c>
      <c r="F618" s="966">
        <f t="shared" si="9"/>
        <v>13381.83</v>
      </c>
      <c r="G618" s="966">
        <f t="shared" si="9"/>
        <v>13381.832</v>
      </c>
    </row>
    <row r="619" spans="1:7" s="913" customFormat="1" ht="12.75" customHeight="1" x14ac:dyDescent="0.2">
      <c r="A619" s="965" t="s">
        <v>4162</v>
      </c>
      <c r="B619" s="966">
        <v>15563</v>
      </c>
      <c r="C619" s="966">
        <v>15563</v>
      </c>
      <c r="D619" s="966">
        <v>512.28</v>
      </c>
      <c r="E619" s="966">
        <v>512.28300000000002</v>
      </c>
      <c r="F619" s="966">
        <f t="shared" si="9"/>
        <v>16075.28</v>
      </c>
      <c r="G619" s="966">
        <f t="shared" si="9"/>
        <v>16075.282999999999</v>
      </c>
    </row>
    <row r="620" spans="1:7" s="913" customFormat="1" ht="12.75" customHeight="1" x14ac:dyDescent="0.2">
      <c r="A620" s="965" t="s">
        <v>4163</v>
      </c>
      <c r="B620" s="966">
        <v>16391</v>
      </c>
      <c r="C620" s="966">
        <v>16391</v>
      </c>
      <c r="D620" s="966">
        <v>532.55999999999995</v>
      </c>
      <c r="E620" s="966">
        <v>532.553</v>
      </c>
      <c r="F620" s="966">
        <f t="shared" si="9"/>
        <v>16923.560000000001</v>
      </c>
      <c r="G620" s="966">
        <f t="shared" si="9"/>
        <v>16923.553</v>
      </c>
    </row>
    <row r="621" spans="1:7" s="913" customFormat="1" ht="12.75" customHeight="1" x14ac:dyDescent="0.2">
      <c r="A621" s="965" t="s">
        <v>4164</v>
      </c>
      <c r="B621" s="966">
        <v>9694</v>
      </c>
      <c r="C621" s="966">
        <v>9694</v>
      </c>
      <c r="D621" s="966">
        <v>326.58999999999997</v>
      </c>
      <c r="E621" s="966">
        <v>326.59100000000001</v>
      </c>
      <c r="F621" s="966">
        <f t="shared" si="9"/>
        <v>10020.59</v>
      </c>
      <c r="G621" s="966">
        <f t="shared" si="9"/>
        <v>10020.591</v>
      </c>
    </row>
    <row r="622" spans="1:7" s="913" customFormat="1" ht="12.75" customHeight="1" x14ac:dyDescent="0.2">
      <c r="A622" s="965" t="s">
        <v>4165</v>
      </c>
      <c r="B622" s="966">
        <v>2784</v>
      </c>
      <c r="C622" s="966">
        <v>2784</v>
      </c>
      <c r="D622" s="966">
        <v>100.64</v>
      </c>
      <c r="E622" s="966">
        <v>100.633</v>
      </c>
      <c r="F622" s="966">
        <f t="shared" si="9"/>
        <v>2884.64</v>
      </c>
      <c r="G622" s="966">
        <f t="shared" si="9"/>
        <v>2884.6329999999998</v>
      </c>
    </row>
    <row r="623" spans="1:7" s="913" customFormat="1" ht="12.75" customHeight="1" x14ac:dyDescent="0.2">
      <c r="A623" s="965" t="s">
        <v>4166</v>
      </c>
      <c r="B623" s="966">
        <v>15605</v>
      </c>
      <c r="C623" s="966">
        <v>15605</v>
      </c>
      <c r="D623" s="966">
        <v>627.66999999999996</v>
      </c>
      <c r="E623" s="966">
        <v>627.66600000000005</v>
      </c>
      <c r="F623" s="966">
        <f t="shared" si="9"/>
        <v>16232.67</v>
      </c>
      <c r="G623" s="966">
        <f t="shared" si="9"/>
        <v>16232.665999999999</v>
      </c>
    </row>
    <row r="624" spans="1:7" s="913" customFormat="1" ht="12.75" customHeight="1" x14ac:dyDescent="0.2">
      <c r="A624" s="965" t="s">
        <v>4167</v>
      </c>
      <c r="B624" s="966">
        <v>6384</v>
      </c>
      <c r="C624" s="966">
        <v>6384</v>
      </c>
      <c r="D624" s="966">
        <v>167.98</v>
      </c>
      <c r="E624" s="966">
        <v>160.01799999999997</v>
      </c>
      <c r="F624" s="966">
        <f t="shared" si="9"/>
        <v>6551.98</v>
      </c>
      <c r="G624" s="966">
        <f t="shared" si="9"/>
        <v>6544.018</v>
      </c>
    </row>
    <row r="625" spans="1:7" s="913" customFormat="1" ht="12.75" customHeight="1" x14ac:dyDescent="0.2">
      <c r="A625" s="965" t="s">
        <v>4168</v>
      </c>
      <c r="B625" s="966">
        <v>2519</v>
      </c>
      <c r="C625" s="966">
        <v>2519</v>
      </c>
      <c r="D625" s="966">
        <v>119.24000000000001</v>
      </c>
      <c r="E625" s="966">
        <v>119.23399999999999</v>
      </c>
      <c r="F625" s="966">
        <f t="shared" si="9"/>
        <v>2638.24</v>
      </c>
      <c r="G625" s="966">
        <f t="shared" si="9"/>
        <v>2638.2339999999999</v>
      </c>
    </row>
    <row r="626" spans="1:7" s="913" customFormat="1" ht="12.75" customHeight="1" x14ac:dyDescent="0.2">
      <c r="A626" s="965" t="s">
        <v>4169</v>
      </c>
      <c r="B626" s="966">
        <v>24391</v>
      </c>
      <c r="C626" s="966">
        <v>24391</v>
      </c>
      <c r="D626" s="966">
        <v>863</v>
      </c>
      <c r="E626" s="966">
        <v>862.99099999999999</v>
      </c>
      <c r="F626" s="966">
        <f t="shared" si="9"/>
        <v>25254</v>
      </c>
      <c r="G626" s="966">
        <f t="shared" si="9"/>
        <v>25253.991000000002</v>
      </c>
    </row>
    <row r="627" spans="1:7" s="913" customFormat="1" ht="12.75" customHeight="1" x14ac:dyDescent="0.2">
      <c r="A627" s="965" t="s">
        <v>4170</v>
      </c>
      <c r="B627" s="966">
        <v>20977</v>
      </c>
      <c r="C627" s="966">
        <v>20977</v>
      </c>
      <c r="D627" s="966">
        <v>819.96</v>
      </c>
      <c r="E627" s="966">
        <v>819.9559999999999</v>
      </c>
      <c r="F627" s="966">
        <f t="shared" si="9"/>
        <v>21796.959999999999</v>
      </c>
      <c r="G627" s="966">
        <f t="shared" si="9"/>
        <v>21796.955999999998</v>
      </c>
    </row>
    <row r="628" spans="1:7" s="913" customFormat="1" ht="12.75" customHeight="1" x14ac:dyDescent="0.2">
      <c r="A628" s="965" t="s">
        <v>4171</v>
      </c>
      <c r="B628" s="966">
        <v>6678</v>
      </c>
      <c r="C628" s="966">
        <v>6678</v>
      </c>
      <c r="D628" s="966">
        <v>248.66</v>
      </c>
      <c r="E628" s="966">
        <v>248.66399999999999</v>
      </c>
      <c r="F628" s="966">
        <f t="shared" si="9"/>
        <v>6926.66</v>
      </c>
      <c r="G628" s="966">
        <f t="shared" si="9"/>
        <v>6926.6639999999998</v>
      </c>
    </row>
    <row r="629" spans="1:7" s="913" customFormat="1" ht="12.75" customHeight="1" x14ac:dyDescent="0.2">
      <c r="A629" s="965" t="s">
        <v>4172</v>
      </c>
      <c r="B629" s="966">
        <v>5258</v>
      </c>
      <c r="C629" s="966">
        <v>5258</v>
      </c>
      <c r="D629" s="966">
        <v>201.05</v>
      </c>
      <c r="E629" s="966">
        <v>201.04599999999999</v>
      </c>
      <c r="F629" s="966">
        <f t="shared" si="9"/>
        <v>5459.05</v>
      </c>
      <c r="G629" s="966">
        <f t="shared" si="9"/>
        <v>5459.0460000000003</v>
      </c>
    </row>
    <row r="630" spans="1:7" s="913" customFormat="1" ht="12.75" customHeight="1" x14ac:dyDescent="0.2">
      <c r="A630" s="965" t="s">
        <v>4173</v>
      </c>
      <c r="B630" s="966">
        <v>3637</v>
      </c>
      <c r="C630" s="966">
        <v>3637</v>
      </c>
      <c r="D630" s="966">
        <v>139.34</v>
      </c>
      <c r="E630" s="966">
        <v>139.34100000000001</v>
      </c>
      <c r="F630" s="966">
        <f t="shared" si="9"/>
        <v>3776.34</v>
      </c>
      <c r="G630" s="966">
        <f t="shared" si="9"/>
        <v>3776.3409999999999</v>
      </c>
    </row>
    <row r="631" spans="1:7" s="913" customFormat="1" ht="12.75" customHeight="1" x14ac:dyDescent="0.2">
      <c r="A631" s="965" t="s">
        <v>4174</v>
      </c>
      <c r="B631" s="966">
        <v>7879</v>
      </c>
      <c r="C631" s="966">
        <v>7879</v>
      </c>
      <c r="D631" s="966">
        <v>280.68</v>
      </c>
      <c r="E631" s="966">
        <v>280.68099999999998</v>
      </c>
      <c r="F631" s="966">
        <f t="shared" si="9"/>
        <v>8159.68</v>
      </c>
      <c r="G631" s="966">
        <f t="shared" si="9"/>
        <v>8159.6809999999996</v>
      </c>
    </row>
    <row r="632" spans="1:7" s="913" customFormat="1" ht="12.75" customHeight="1" x14ac:dyDescent="0.2">
      <c r="A632" s="965" t="s">
        <v>4175</v>
      </c>
      <c r="B632" s="966">
        <v>6845</v>
      </c>
      <c r="C632" s="966">
        <v>6845</v>
      </c>
      <c r="D632" s="966">
        <v>267.14999999999998</v>
      </c>
      <c r="E632" s="966">
        <v>267.14400000000001</v>
      </c>
      <c r="F632" s="966">
        <f t="shared" si="9"/>
        <v>7112.15</v>
      </c>
      <c r="G632" s="966">
        <f t="shared" si="9"/>
        <v>7112.1440000000002</v>
      </c>
    </row>
    <row r="633" spans="1:7" s="913" customFormat="1" ht="12.75" customHeight="1" x14ac:dyDescent="0.2">
      <c r="A633" s="965" t="s">
        <v>4176</v>
      </c>
      <c r="B633" s="966">
        <v>1546</v>
      </c>
      <c r="C633" s="966">
        <v>1546</v>
      </c>
      <c r="D633" s="966">
        <v>61.67</v>
      </c>
      <c r="E633" s="966">
        <v>61.662000000000006</v>
      </c>
      <c r="F633" s="966">
        <f t="shared" si="9"/>
        <v>1607.67</v>
      </c>
      <c r="G633" s="966">
        <f t="shared" si="9"/>
        <v>1607.662</v>
      </c>
    </row>
    <row r="634" spans="1:7" s="913" customFormat="1" ht="12.75" customHeight="1" x14ac:dyDescent="0.2">
      <c r="A634" s="965" t="s">
        <v>4177</v>
      </c>
      <c r="B634" s="966">
        <v>20943</v>
      </c>
      <c r="C634" s="966">
        <v>20943</v>
      </c>
      <c r="D634" s="966">
        <v>735.38000000000011</v>
      </c>
      <c r="E634" s="966">
        <v>735.38199999999995</v>
      </c>
      <c r="F634" s="966">
        <f t="shared" si="9"/>
        <v>21678.38</v>
      </c>
      <c r="G634" s="966">
        <f t="shared" si="9"/>
        <v>21678.382000000001</v>
      </c>
    </row>
    <row r="635" spans="1:7" s="913" customFormat="1" ht="12.75" customHeight="1" x14ac:dyDescent="0.2">
      <c r="A635" s="965" t="s">
        <v>4178</v>
      </c>
      <c r="B635" s="966">
        <v>3081</v>
      </c>
      <c r="C635" s="966">
        <v>3081</v>
      </c>
      <c r="D635" s="966">
        <v>113.03999999999999</v>
      </c>
      <c r="E635" s="966">
        <v>113.04</v>
      </c>
      <c r="F635" s="966">
        <f t="shared" si="9"/>
        <v>3194.04</v>
      </c>
      <c r="G635" s="966">
        <f t="shared" si="9"/>
        <v>3194.04</v>
      </c>
    </row>
    <row r="636" spans="1:7" s="968" customFormat="1" x14ac:dyDescent="0.2">
      <c r="A636" s="967" t="s">
        <v>10</v>
      </c>
      <c r="B636" s="878">
        <v>5975537</v>
      </c>
      <c r="C636" s="878">
        <v>5975537</v>
      </c>
      <c r="D636" s="878">
        <v>219239.02</v>
      </c>
      <c r="E636" s="878">
        <v>218898.77914999981</v>
      </c>
      <c r="F636" s="878">
        <f t="shared" si="9"/>
        <v>6194776.0199999996</v>
      </c>
      <c r="G636" s="878">
        <f t="shared" si="9"/>
        <v>6194435.7791499998</v>
      </c>
    </row>
    <row r="637" spans="1:7" s="969" customFormat="1" ht="12.75" x14ac:dyDescent="0.2"/>
    <row r="638" spans="1:7" s="969" customFormat="1" ht="12.75" x14ac:dyDescent="0.2"/>
    <row r="639" spans="1:7" s="904" customFormat="1" ht="12.75" x14ac:dyDescent="0.2">
      <c r="A639" s="867" t="s">
        <v>3540</v>
      </c>
      <c r="B639" s="970"/>
      <c r="C639" s="970"/>
      <c r="D639" s="970"/>
      <c r="E639" s="970"/>
      <c r="F639" s="970"/>
      <c r="G639" s="970"/>
    </row>
    <row r="640" spans="1:7" s="904" customFormat="1" ht="12.75" x14ac:dyDescent="0.2">
      <c r="A640" s="867" t="s">
        <v>4179</v>
      </c>
      <c r="B640" s="970"/>
      <c r="C640" s="970"/>
      <c r="D640" s="970"/>
      <c r="E640" s="970"/>
      <c r="F640" s="970"/>
      <c r="G640" s="970"/>
    </row>
    <row r="641" spans="1:7" s="904" customFormat="1" ht="12.75" x14ac:dyDescent="0.2">
      <c r="A641" s="971"/>
      <c r="B641" s="970"/>
      <c r="C641" s="970"/>
      <c r="D641" s="970"/>
      <c r="E641" s="970"/>
      <c r="F641" s="970"/>
      <c r="G641" s="970"/>
    </row>
    <row r="642" spans="1:7" s="904" customFormat="1" ht="12.75" x14ac:dyDescent="0.2">
      <c r="A642" s="972" t="s">
        <v>4180</v>
      </c>
      <c r="B642" s="970"/>
      <c r="C642" s="970"/>
      <c r="D642" s="970"/>
      <c r="E642" s="970"/>
      <c r="F642" s="970"/>
      <c r="G642" s="970"/>
    </row>
    <row r="643" spans="1:7" s="904" customFormat="1" ht="12.75" x14ac:dyDescent="0.2">
      <c r="A643" s="973" t="s">
        <v>2598</v>
      </c>
      <c r="B643" s="970"/>
      <c r="C643" s="970"/>
      <c r="D643" s="970"/>
      <c r="E643" s="970"/>
      <c r="F643" s="970"/>
      <c r="G643" s="970"/>
    </row>
    <row r="644" spans="1:7" s="904" customFormat="1" ht="12.75" x14ac:dyDescent="0.2">
      <c r="A644" s="973" t="s">
        <v>4181</v>
      </c>
      <c r="B644" s="970"/>
      <c r="C644" s="970"/>
      <c r="D644" s="970"/>
      <c r="E644" s="970"/>
      <c r="F644" s="970"/>
      <c r="G644" s="970"/>
    </row>
    <row r="645" spans="1:7" s="904" customFormat="1" ht="12.75" x14ac:dyDescent="0.2">
      <c r="A645" s="973" t="s">
        <v>1447</v>
      </c>
      <c r="B645" s="970"/>
      <c r="C645" s="970"/>
      <c r="D645" s="970"/>
      <c r="E645" s="970"/>
      <c r="F645" s="970"/>
      <c r="G645" s="970"/>
    </row>
    <row r="646" spans="1:7" s="904" customFormat="1" ht="12.75" x14ac:dyDescent="0.2">
      <c r="A646" s="973" t="s">
        <v>1449</v>
      </c>
      <c r="B646" s="970"/>
      <c r="C646" s="970"/>
      <c r="D646" s="970"/>
      <c r="E646" s="970"/>
      <c r="F646" s="970"/>
      <c r="G646" s="970"/>
    </row>
    <row r="647" spans="1:7" s="904" customFormat="1" ht="12.75" x14ac:dyDescent="0.2">
      <c r="A647" s="974" t="s">
        <v>4182</v>
      </c>
      <c r="B647" s="970"/>
      <c r="C647" s="970"/>
      <c r="D647" s="970"/>
      <c r="E647" s="970"/>
      <c r="F647" s="970"/>
      <c r="G647" s="970"/>
    </row>
    <row r="648" spans="1:7" s="904" customFormat="1" ht="12.75" x14ac:dyDescent="0.2">
      <c r="A648" s="974" t="s">
        <v>1452</v>
      </c>
      <c r="B648" s="970"/>
      <c r="C648" s="970"/>
      <c r="D648" s="970"/>
      <c r="E648" s="970"/>
      <c r="F648" s="970"/>
      <c r="G648" s="970"/>
    </row>
    <row r="649" spans="1:7" s="904" customFormat="1" ht="12.75" x14ac:dyDescent="0.2">
      <c r="A649" s="974" t="s">
        <v>1450</v>
      </c>
      <c r="B649" s="970"/>
      <c r="C649" s="970"/>
      <c r="D649" s="970"/>
      <c r="E649" s="970"/>
      <c r="F649" s="970"/>
      <c r="G649" s="970"/>
    </row>
    <row r="650" spans="1:7" s="904" customFormat="1" ht="12.75" x14ac:dyDescent="0.2">
      <c r="A650" s="974" t="s">
        <v>1461</v>
      </c>
      <c r="B650" s="970"/>
      <c r="C650" s="970"/>
      <c r="D650" s="970"/>
      <c r="E650" s="970"/>
      <c r="F650" s="970"/>
      <c r="G650" s="970"/>
    </row>
    <row r="651" spans="1:7" s="904" customFormat="1" ht="12.75" x14ac:dyDescent="0.2">
      <c r="A651" s="974" t="s">
        <v>2600</v>
      </c>
      <c r="B651" s="970"/>
      <c r="C651" s="970"/>
      <c r="D651" s="970"/>
      <c r="E651" s="970"/>
      <c r="F651" s="970"/>
      <c r="G651" s="970"/>
    </row>
    <row r="652" spans="1:7" s="904" customFormat="1" ht="12.75" x14ac:dyDescent="0.2">
      <c r="A652" s="974" t="s">
        <v>1456</v>
      </c>
      <c r="B652" s="970"/>
      <c r="C652" s="970"/>
      <c r="D652" s="970"/>
      <c r="E652" s="970"/>
      <c r="F652" s="970"/>
      <c r="G652" s="970"/>
    </row>
    <row r="653" spans="1:7" s="969" customFormat="1" ht="12.75" x14ac:dyDescent="0.2">
      <c r="A653" s="974" t="s">
        <v>1453</v>
      </c>
    </row>
  </sheetData>
  <mergeCells count="5">
    <mergeCell ref="A1:G1"/>
    <mergeCell ref="A3:A4"/>
    <mergeCell ref="B3:C3"/>
    <mergeCell ref="D3:E3"/>
    <mergeCell ref="F3:G3"/>
  </mergeCells>
  <printOptions horizontalCentered="1"/>
  <pageMargins left="0.39370078740157483" right="0.39370078740157483" top="0.59055118110236227" bottom="0.39370078740157483" header="0.31496062992125984" footer="0.11811023622047245"/>
  <pageSetup paperSize="9" scale="90" firstPageNumber="440" fitToHeight="0" orientation="landscape" useFirstPageNumber="1" r:id="rId1"/>
  <headerFooter>
    <oddHeader>&amp;L&amp;"Tahoma,Kurzíva"Závěrečný účet za rok 2015&amp;R&amp;"Tahoma,Kurzíva"Tabulka č. 29</oddHeader>
    <oddFooter>&amp;C&amp;"Tahoma,Obyčejné"&amp;P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2"/>
  <sheetViews>
    <sheetView showGridLines="0" zoomScaleNormal="100" zoomScaleSheetLayoutView="100" workbookViewId="0">
      <selection activeCell="H5" sqref="H5"/>
    </sheetView>
  </sheetViews>
  <sheetFormatPr defaultRowHeight="12.75" x14ac:dyDescent="0.2"/>
  <cols>
    <col min="1" max="1" width="9.140625" style="211" customWidth="1"/>
    <col min="2" max="2" width="45.42578125" style="211" customWidth="1"/>
    <col min="3" max="3" width="8.5703125" style="211" customWidth="1"/>
    <col min="4" max="7" width="13.85546875" style="799" customWidth="1"/>
    <col min="8" max="8" width="9.140625" style="211" customWidth="1"/>
    <col min="9" max="16384" width="9.140625" style="211"/>
  </cols>
  <sheetData>
    <row r="1" spans="1:7" s="759" customFormat="1" ht="18" customHeight="1" x14ac:dyDescent="0.2">
      <c r="A1" s="1493" t="s">
        <v>1874</v>
      </c>
      <c r="B1" s="1493"/>
      <c r="C1" s="1493"/>
      <c r="D1" s="1493"/>
      <c r="E1" s="1493"/>
      <c r="F1" s="1493"/>
      <c r="G1" s="1493"/>
    </row>
    <row r="2" spans="1:7" s="759" customFormat="1" ht="18" customHeight="1" x14ac:dyDescent="0.2">
      <c r="A2" s="1494" t="s">
        <v>1875</v>
      </c>
      <c r="B2" s="1494"/>
      <c r="C2" s="1494"/>
      <c r="D2" s="1494"/>
      <c r="E2" s="1494"/>
      <c r="F2" s="1494"/>
      <c r="G2" s="1494"/>
    </row>
    <row r="3" spans="1:7" s="648" customFormat="1" x14ac:dyDescent="0.2">
      <c r="C3" s="546"/>
      <c r="D3" s="760"/>
      <c r="E3" s="760"/>
      <c r="F3" s="760"/>
      <c r="G3" s="760"/>
    </row>
    <row r="4" spans="1:7" s="764" customFormat="1" x14ac:dyDescent="0.2">
      <c r="A4" s="761"/>
      <c r="B4" s="761"/>
      <c r="C4" s="762"/>
      <c r="D4" s="763">
        <v>1</v>
      </c>
      <c r="E4" s="763">
        <v>2</v>
      </c>
      <c r="F4" s="763">
        <v>3</v>
      </c>
      <c r="G4" s="763">
        <v>4</v>
      </c>
    </row>
    <row r="5" spans="1:7" s="765" customFormat="1" ht="12.75" customHeight="1" x14ac:dyDescent="0.2">
      <c r="A5" s="1495" t="s">
        <v>1876</v>
      </c>
      <c r="B5" s="1496"/>
      <c r="C5" s="1501" t="s">
        <v>1877</v>
      </c>
      <c r="D5" s="1503" t="s">
        <v>1878</v>
      </c>
      <c r="E5" s="1503"/>
      <c r="F5" s="1503"/>
      <c r="G5" s="1503"/>
    </row>
    <row r="6" spans="1:7" s="765" customFormat="1" x14ac:dyDescent="0.2">
      <c r="A6" s="1497"/>
      <c r="B6" s="1498"/>
      <c r="C6" s="1502"/>
      <c r="D6" s="1504" t="s">
        <v>1879</v>
      </c>
      <c r="E6" s="1504"/>
      <c r="F6" s="1504"/>
      <c r="G6" s="1504" t="s">
        <v>1880</v>
      </c>
    </row>
    <row r="7" spans="1:7" s="765" customFormat="1" x14ac:dyDescent="0.2">
      <c r="A7" s="1499"/>
      <c r="B7" s="1500"/>
      <c r="C7" s="1502"/>
      <c r="D7" s="766" t="s">
        <v>1881</v>
      </c>
      <c r="E7" s="766" t="s">
        <v>1882</v>
      </c>
      <c r="F7" s="766" t="s">
        <v>1883</v>
      </c>
      <c r="G7" s="1505"/>
    </row>
    <row r="8" spans="1:7" s="765" customFormat="1" x14ac:dyDescent="0.2">
      <c r="A8" s="767"/>
      <c r="B8" s="767" t="s">
        <v>1884</v>
      </c>
      <c r="C8" s="768" t="s">
        <v>133</v>
      </c>
      <c r="D8" s="769">
        <v>63562459.385640003</v>
      </c>
      <c r="E8" s="769">
        <v>14832852.558979999</v>
      </c>
      <c r="F8" s="769">
        <v>48729606.826659992</v>
      </c>
      <c r="G8" s="769">
        <v>45743359.533809997</v>
      </c>
    </row>
    <row r="9" spans="1:7" s="765" customFormat="1" x14ac:dyDescent="0.2">
      <c r="A9" s="767" t="s">
        <v>1885</v>
      </c>
      <c r="B9" s="767" t="s">
        <v>1886</v>
      </c>
      <c r="C9" s="768" t="s">
        <v>133</v>
      </c>
      <c r="D9" s="769">
        <v>55848250.586610004</v>
      </c>
      <c r="E9" s="769">
        <v>14806775.302100001</v>
      </c>
      <c r="F9" s="769">
        <v>41041475.284510002</v>
      </c>
      <c r="G9" s="769">
        <v>38154333.171209998</v>
      </c>
    </row>
    <row r="10" spans="1:7" s="765" customFormat="1" x14ac:dyDescent="0.2">
      <c r="A10" s="767" t="s">
        <v>1887</v>
      </c>
      <c r="B10" s="767" t="s">
        <v>1888</v>
      </c>
      <c r="C10" s="768" t="s">
        <v>133</v>
      </c>
      <c r="D10" s="769">
        <v>550455.36433999997</v>
      </c>
      <c r="E10" s="769">
        <v>414393.65425999998</v>
      </c>
      <c r="F10" s="769">
        <v>136061.71007999999</v>
      </c>
      <c r="G10" s="769">
        <v>125767.67219000001</v>
      </c>
    </row>
    <row r="11" spans="1:7" s="648" customFormat="1" x14ac:dyDescent="0.2">
      <c r="A11" s="770" t="s">
        <v>1889</v>
      </c>
      <c r="B11" s="770" t="s">
        <v>1890</v>
      </c>
      <c r="C11" s="771" t="s">
        <v>1891</v>
      </c>
      <c r="D11" s="772">
        <v>275.25</v>
      </c>
      <c r="E11" s="772">
        <v>249.476</v>
      </c>
      <c r="F11" s="772">
        <v>25.774000000000001</v>
      </c>
      <c r="G11" s="772">
        <v>37.69</v>
      </c>
    </row>
    <row r="12" spans="1:7" s="648" customFormat="1" x14ac:dyDescent="0.2">
      <c r="A12" s="770" t="s">
        <v>1892</v>
      </c>
      <c r="B12" s="770" t="s">
        <v>1893</v>
      </c>
      <c r="C12" s="771" t="s">
        <v>1894</v>
      </c>
      <c r="D12" s="773">
        <v>331696.34542999999</v>
      </c>
      <c r="E12" s="773">
        <v>224549.80339000002</v>
      </c>
      <c r="F12" s="773">
        <v>107146.54204</v>
      </c>
      <c r="G12" s="773">
        <v>79758.111950000006</v>
      </c>
    </row>
    <row r="13" spans="1:7" s="648" customFormat="1" x14ac:dyDescent="0.2">
      <c r="A13" s="770" t="s">
        <v>1895</v>
      </c>
      <c r="B13" s="770" t="s">
        <v>320</v>
      </c>
      <c r="C13" s="771" t="s">
        <v>1896</v>
      </c>
      <c r="D13" s="773">
        <v>3525.12</v>
      </c>
      <c r="E13" s="773">
        <v>3357.201</v>
      </c>
      <c r="F13" s="773">
        <v>167.91900000000001</v>
      </c>
      <c r="G13" s="773">
        <v>213.20500000000001</v>
      </c>
    </row>
    <row r="14" spans="1:7" s="648" customFormat="1" x14ac:dyDescent="0.2">
      <c r="A14" s="770" t="s">
        <v>1897</v>
      </c>
      <c r="B14" s="770" t="s">
        <v>1898</v>
      </c>
      <c r="C14" s="771" t="s">
        <v>1899</v>
      </c>
      <c r="D14" s="773"/>
      <c r="E14" s="773"/>
      <c r="F14" s="773"/>
      <c r="G14" s="773"/>
    </row>
    <row r="15" spans="1:7" s="648" customFormat="1" x14ac:dyDescent="0.2">
      <c r="A15" s="770" t="s">
        <v>1900</v>
      </c>
      <c r="B15" s="770" t="s">
        <v>1901</v>
      </c>
      <c r="C15" s="771" t="s">
        <v>1902</v>
      </c>
      <c r="D15" s="773">
        <v>118330.54032</v>
      </c>
      <c r="E15" s="773">
        <v>118330.54032</v>
      </c>
      <c r="F15" s="773"/>
      <c r="G15" s="773"/>
    </row>
    <row r="16" spans="1:7" s="648" customFormat="1" x14ac:dyDescent="0.2">
      <c r="A16" s="770" t="s">
        <v>1903</v>
      </c>
      <c r="B16" s="770" t="s">
        <v>1904</v>
      </c>
      <c r="C16" s="771" t="s">
        <v>1905</v>
      </c>
      <c r="D16" s="773">
        <v>93247.837790000005</v>
      </c>
      <c r="E16" s="773">
        <v>67906.633549999999</v>
      </c>
      <c r="F16" s="773">
        <v>25341.204240000003</v>
      </c>
      <c r="G16" s="773">
        <v>37579.179839999997</v>
      </c>
    </row>
    <row r="17" spans="1:7" s="648" customFormat="1" x14ac:dyDescent="0.2">
      <c r="A17" s="770" t="s">
        <v>1906</v>
      </c>
      <c r="B17" s="770" t="s">
        <v>1907</v>
      </c>
      <c r="C17" s="771" t="s">
        <v>1908</v>
      </c>
      <c r="D17" s="773">
        <v>3380.2707999999998</v>
      </c>
      <c r="E17" s="773"/>
      <c r="F17" s="773">
        <v>3380.2707999999998</v>
      </c>
      <c r="G17" s="773">
        <v>7879.4853999999996</v>
      </c>
    </row>
    <row r="18" spans="1:7" s="648" customFormat="1" ht="21" x14ac:dyDescent="0.2">
      <c r="A18" s="770" t="s">
        <v>1909</v>
      </c>
      <c r="B18" s="770" t="s">
        <v>1910</v>
      </c>
      <c r="C18" s="771" t="s">
        <v>1911</v>
      </c>
      <c r="D18" s="773"/>
      <c r="E18" s="773"/>
      <c r="F18" s="773"/>
      <c r="G18" s="773"/>
    </row>
    <row r="19" spans="1:7" s="648" customFormat="1" x14ac:dyDescent="0.2">
      <c r="A19" s="770" t="s">
        <v>1912</v>
      </c>
      <c r="B19" s="770" t="s">
        <v>1913</v>
      </c>
      <c r="C19" s="771" t="s">
        <v>1914</v>
      </c>
      <c r="D19" s="773"/>
      <c r="E19" s="773"/>
      <c r="F19" s="773"/>
      <c r="G19" s="773">
        <v>300</v>
      </c>
    </row>
    <row r="20" spans="1:7" s="648" customFormat="1" x14ac:dyDescent="0.2">
      <c r="A20" s="770" t="s">
        <v>1915</v>
      </c>
      <c r="B20" s="770" t="s">
        <v>1916</v>
      </c>
      <c r="C20" s="771" t="s">
        <v>1917</v>
      </c>
      <c r="D20" s="773"/>
      <c r="E20" s="773"/>
      <c r="F20" s="773"/>
      <c r="G20" s="773"/>
    </row>
    <row r="21" spans="1:7" s="765" customFormat="1" x14ac:dyDescent="0.2">
      <c r="A21" s="767" t="s">
        <v>1918</v>
      </c>
      <c r="B21" s="767" t="s">
        <v>1919</v>
      </c>
      <c r="C21" s="768" t="s">
        <v>133</v>
      </c>
      <c r="D21" s="769">
        <v>53360711.575319998</v>
      </c>
      <c r="E21" s="769">
        <v>14269632.56081</v>
      </c>
      <c r="F21" s="769">
        <v>39091079.014509991</v>
      </c>
      <c r="G21" s="769">
        <v>35589413.84691</v>
      </c>
    </row>
    <row r="22" spans="1:7" s="648" customFormat="1" x14ac:dyDescent="0.2">
      <c r="A22" s="770" t="s">
        <v>1920</v>
      </c>
      <c r="B22" s="770" t="s">
        <v>264</v>
      </c>
      <c r="C22" s="771" t="s">
        <v>1921</v>
      </c>
      <c r="D22" s="773">
        <v>4572713.5807799995</v>
      </c>
      <c r="E22" s="773"/>
      <c r="F22" s="773">
        <v>4572713.5807799995</v>
      </c>
      <c r="G22" s="773">
        <v>4572403.3633099999</v>
      </c>
    </row>
    <row r="23" spans="1:7" s="648" customFormat="1" x14ac:dyDescent="0.2">
      <c r="A23" s="770" t="s">
        <v>1922</v>
      </c>
      <c r="B23" s="770" t="s">
        <v>1923</v>
      </c>
      <c r="C23" s="771" t="s">
        <v>1924</v>
      </c>
      <c r="D23" s="773">
        <v>22421.5484</v>
      </c>
      <c r="E23" s="773"/>
      <c r="F23" s="773">
        <v>22421.5484</v>
      </c>
      <c r="G23" s="773">
        <v>10990.3524</v>
      </c>
    </row>
    <row r="24" spans="1:7" s="648" customFormat="1" x14ac:dyDescent="0.2">
      <c r="A24" s="770" t="s">
        <v>1925</v>
      </c>
      <c r="B24" s="770" t="s">
        <v>1926</v>
      </c>
      <c r="C24" s="771" t="s">
        <v>1927</v>
      </c>
      <c r="D24" s="773">
        <v>36246218.127529994</v>
      </c>
      <c r="E24" s="773">
        <v>6372650.2098099999</v>
      </c>
      <c r="F24" s="773">
        <v>29873567.917720001</v>
      </c>
      <c r="G24" s="773">
        <v>26775522.436480001</v>
      </c>
    </row>
    <row r="25" spans="1:7" s="648" customFormat="1" ht="21" x14ac:dyDescent="0.2">
      <c r="A25" s="770" t="s">
        <v>1928</v>
      </c>
      <c r="B25" s="770" t="s">
        <v>1929</v>
      </c>
      <c r="C25" s="771" t="s">
        <v>1930</v>
      </c>
      <c r="D25" s="773">
        <v>7690294.15386</v>
      </c>
      <c r="E25" s="773">
        <v>4974650.0236599995</v>
      </c>
      <c r="F25" s="773">
        <v>2715644.1301999995</v>
      </c>
      <c r="G25" s="773">
        <v>1764476.4769600001</v>
      </c>
    </row>
    <row r="26" spans="1:7" s="648" customFormat="1" x14ac:dyDescent="0.2">
      <c r="A26" s="770" t="s">
        <v>1931</v>
      </c>
      <c r="B26" s="770" t="s">
        <v>1932</v>
      </c>
      <c r="C26" s="771" t="s">
        <v>1933</v>
      </c>
      <c r="D26" s="773"/>
      <c r="E26" s="773"/>
      <c r="F26" s="773"/>
      <c r="G26" s="773"/>
    </row>
    <row r="27" spans="1:7" s="648" customFormat="1" x14ac:dyDescent="0.2">
      <c r="A27" s="770" t="s">
        <v>1934</v>
      </c>
      <c r="B27" s="770" t="s">
        <v>1935</v>
      </c>
      <c r="C27" s="771" t="s">
        <v>1936</v>
      </c>
      <c r="D27" s="773">
        <v>2922229.98734</v>
      </c>
      <c r="E27" s="773">
        <v>2922229.98734</v>
      </c>
      <c r="F27" s="773"/>
      <c r="G27" s="773"/>
    </row>
    <row r="28" spans="1:7" s="648" customFormat="1" x14ac:dyDescent="0.2">
      <c r="A28" s="770" t="s">
        <v>1937</v>
      </c>
      <c r="B28" s="770" t="s">
        <v>1938</v>
      </c>
      <c r="C28" s="771" t="s">
        <v>1939</v>
      </c>
      <c r="D28" s="773">
        <v>940.87201999999991</v>
      </c>
      <c r="E28" s="773">
        <v>102.34</v>
      </c>
      <c r="F28" s="773">
        <v>838.53201999999999</v>
      </c>
      <c r="G28" s="773">
        <v>178.68620999999999</v>
      </c>
    </row>
    <row r="29" spans="1:7" s="648" customFormat="1" x14ac:dyDescent="0.2">
      <c r="A29" s="770" t="s">
        <v>1940</v>
      </c>
      <c r="B29" s="770" t="s">
        <v>1941</v>
      </c>
      <c r="C29" s="771" t="s">
        <v>1942</v>
      </c>
      <c r="D29" s="773">
        <v>1876445.9859799999</v>
      </c>
      <c r="E29" s="773"/>
      <c r="F29" s="773">
        <v>1876445.9859799999</v>
      </c>
      <c r="G29" s="773">
        <v>2435179.14139</v>
      </c>
    </row>
    <row r="30" spans="1:7" s="648" customFormat="1" ht="21" x14ac:dyDescent="0.2">
      <c r="A30" s="770" t="s">
        <v>1943</v>
      </c>
      <c r="B30" s="770" t="s">
        <v>1944</v>
      </c>
      <c r="C30" s="771" t="s">
        <v>1945</v>
      </c>
      <c r="D30" s="773"/>
      <c r="E30" s="773"/>
      <c r="F30" s="773"/>
      <c r="G30" s="773"/>
    </row>
    <row r="31" spans="1:7" s="648" customFormat="1" x14ac:dyDescent="0.2">
      <c r="A31" s="770" t="s">
        <v>1946</v>
      </c>
      <c r="B31" s="770" t="s">
        <v>1947</v>
      </c>
      <c r="C31" s="771" t="s">
        <v>1948</v>
      </c>
      <c r="D31" s="773">
        <v>29447.31941</v>
      </c>
      <c r="E31" s="773"/>
      <c r="F31" s="773">
        <v>29447.31941</v>
      </c>
      <c r="G31" s="773">
        <v>30663.390159999999</v>
      </c>
    </row>
    <row r="32" spans="1:7" s="648" customFormat="1" x14ac:dyDescent="0.2">
      <c r="A32" s="770" t="s">
        <v>1949</v>
      </c>
      <c r="B32" s="770" t="s">
        <v>1950</v>
      </c>
      <c r="C32" s="771" t="s">
        <v>1951</v>
      </c>
      <c r="D32" s="773"/>
      <c r="E32" s="773"/>
      <c r="F32" s="773"/>
      <c r="G32" s="773"/>
    </row>
    <row r="33" spans="1:7" s="765" customFormat="1" x14ac:dyDescent="0.2">
      <c r="A33" s="767" t="s">
        <v>1952</v>
      </c>
      <c r="B33" s="767" t="s">
        <v>1953</v>
      </c>
      <c r="C33" s="768" t="s">
        <v>133</v>
      </c>
      <c r="D33" s="769">
        <v>971328.05192</v>
      </c>
      <c r="E33" s="769">
        <v>122746.87426000001</v>
      </c>
      <c r="F33" s="769">
        <v>848581.17765999993</v>
      </c>
      <c r="G33" s="769">
        <v>838174.03768000007</v>
      </c>
    </row>
    <row r="34" spans="1:7" s="648" customFormat="1" x14ac:dyDescent="0.2">
      <c r="A34" s="770" t="s">
        <v>1954</v>
      </c>
      <c r="B34" s="770" t="s">
        <v>1955</v>
      </c>
      <c r="C34" s="771" t="s">
        <v>1956</v>
      </c>
      <c r="D34" s="774">
        <v>947518.38236000005</v>
      </c>
      <c r="E34" s="774">
        <v>118700.01051000001</v>
      </c>
      <c r="F34" s="774">
        <v>828818.37185</v>
      </c>
      <c r="G34" s="774">
        <v>789604.26584999997</v>
      </c>
    </row>
    <row r="35" spans="1:7" s="648" customFormat="1" x14ac:dyDescent="0.2">
      <c r="A35" s="770" t="s">
        <v>1957</v>
      </c>
      <c r="B35" s="770" t="s">
        <v>1958</v>
      </c>
      <c r="C35" s="771" t="s">
        <v>1959</v>
      </c>
      <c r="D35" s="774">
        <v>17460</v>
      </c>
      <c r="E35" s="774">
        <v>4046.86375</v>
      </c>
      <c r="F35" s="774">
        <v>13413.13625</v>
      </c>
      <c r="G35" s="774">
        <v>13413.13625</v>
      </c>
    </row>
    <row r="36" spans="1:7" s="648" customFormat="1" x14ac:dyDescent="0.2">
      <c r="A36" s="770" t="s">
        <v>1960</v>
      </c>
      <c r="B36" s="770" t="s">
        <v>1961</v>
      </c>
      <c r="C36" s="771" t="s">
        <v>1962</v>
      </c>
      <c r="D36" s="774">
        <v>0</v>
      </c>
      <c r="E36" s="774">
        <v>0</v>
      </c>
      <c r="F36" s="774">
        <v>0</v>
      </c>
      <c r="G36" s="774">
        <v>0</v>
      </c>
    </row>
    <row r="37" spans="1:7" s="648" customFormat="1" x14ac:dyDescent="0.2">
      <c r="A37" s="770" t="s">
        <v>1963</v>
      </c>
      <c r="B37" s="770" t="s">
        <v>1964</v>
      </c>
      <c r="C37" s="771" t="s">
        <v>1965</v>
      </c>
      <c r="D37" s="773">
        <v>1041.6300000000001</v>
      </c>
      <c r="E37" s="773"/>
      <c r="F37" s="773">
        <v>1041.6300000000001</v>
      </c>
      <c r="G37" s="773">
        <v>347.21</v>
      </c>
    </row>
    <row r="38" spans="1:7" s="648" customFormat="1" x14ac:dyDescent="0.2">
      <c r="A38" s="770" t="s">
        <v>1966</v>
      </c>
      <c r="B38" s="770" t="s">
        <v>1967</v>
      </c>
      <c r="C38" s="771" t="s">
        <v>1968</v>
      </c>
      <c r="D38" s="774">
        <v>0</v>
      </c>
      <c r="E38" s="774">
        <v>0</v>
      </c>
      <c r="F38" s="774">
        <v>0</v>
      </c>
      <c r="G38" s="774">
        <v>0</v>
      </c>
    </row>
    <row r="39" spans="1:7" s="648" customFormat="1" x14ac:dyDescent="0.2">
      <c r="A39" s="770" t="s">
        <v>1969</v>
      </c>
      <c r="B39" s="770" t="s">
        <v>1970</v>
      </c>
      <c r="C39" s="771" t="s">
        <v>1971</v>
      </c>
      <c r="D39" s="774">
        <v>308.03955999999999</v>
      </c>
      <c r="E39" s="774">
        <v>0</v>
      </c>
      <c r="F39" s="774">
        <v>308.03955999999999</v>
      </c>
      <c r="G39" s="774">
        <v>293.42558000000002</v>
      </c>
    </row>
    <row r="40" spans="1:7" s="648" customFormat="1" x14ac:dyDescent="0.2">
      <c r="A40" s="770" t="s">
        <v>1972</v>
      </c>
      <c r="B40" s="770" t="s">
        <v>1973</v>
      </c>
      <c r="C40" s="771" t="s">
        <v>1974</v>
      </c>
      <c r="D40" s="773">
        <v>5000</v>
      </c>
      <c r="E40" s="773"/>
      <c r="F40" s="773">
        <v>5000</v>
      </c>
      <c r="G40" s="773">
        <v>34516</v>
      </c>
    </row>
    <row r="41" spans="1:7" s="648" customFormat="1" x14ac:dyDescent="0.2">
      <c r="A41" s="770" t="s">
        <v>1975</v>
      </c>
      <c r="B41" s="770" t="s">
        <v>1976</v>
      </c>
      <c r="C41" s="771" t="s">
        <v>1977</v>
      </c>
      <c r="D41" s="773"/>
      <c r="E41" s="773"/>
      <c r="F41" s="773"/>
      <c r="G41" s="773"/>
    </row>
    <row r="42" spans="1:7" s="648" customFormat="1" x14ac:dyDescent="0.2">
      <c r="A42" s="767" t="s">
        <v>1978</v>
      </c>
      <c r="B42" s="767" t="s">
        <v>1979</v>
      </c>
      <c r="C42" s="768" t="s">
        <v>133</v>
      </c>
      <c r="D42" s="769">
        <v>965755.59502999997</v>
      </c>
      <c r="E42" s="769">
        <v>2.2127699999999999</v>
      </c>
      <c r="F42" s="769">
        <v>965753.38225999998</v>
      </c>
      <c r="G42" s="769">
        <v>1600977.6144300001</v>
      </c>
    </row>
    <row r="43" spans="1:7" s="765" customFormat="1" x14ac:dyDescent="0.2">
      <c r="A43" s="770" t="s">
        <v>1980</v>
      </c>
      <c r="B43" s="770" t="s">
        <v>1981</v>
      </c>
      <c r="C43" s="771" t="s">
        <v>1982</v>
      </c>
      <c r="D43" s="774">
        <v>500</v>
      </c>
      <c r="E43" s="774">
        <v>0</v>
      </c>
      <c r="F43" s="774">
        <v>500</v>
      </c>
      <c r="G43" s="774">
        <v>0</v>
      </c>
    </row>
    <row r="44" spans="1:7" s="648" customFormat="1" x14ac:dyDescent="0.2">
      <c r="A44" s="770" t="s">
        <v>1983</v>
      </c>
      <c r="B44" s="770" t="s">
        <v>1984</v>
      </c>
      <c r="C44" s="771" t="s">
        <v>1985</v>
      </c>
      <c r="D44" s="774">
        <v>0</v>
      </c>
      <c r="E44" s="774">
        <v>0</v>
      </c>
      <c r="F44" s="774">
        <v>0</v>
      </c>
      <c r="G44" s="774">
        <v>0</v>
      </c>
    </row>
    <row r="45" spans="1:7" s="648" customFormat="1" x14ac:dyDescent="0.2">
      <c r="A45" s="770" t="s">
        <v>1986</v>
      </c>
      <c r="B45" s="770" t="s">
        <v>1987</v>
      </c>
      <c r="C45" s="771" t="s">
        <v>1988</v>
      </c>
      <c r="D45" s="774">
        <v>620.58031999999992</v>
      </c>
      <c r="E45" s="774">
        <v>0</v>
      </c>
      <c r="F45" s="774">
        <v>620.58031999999992</v>
      </c>
      <c r="G45" s="774">
        <v>3634.2503400000001</v>
      </c>
    </row>
    <row r="46" spans="1:7" s="648" customFormat="1" x14ac:dyDescent="0.2">
      <c r="A46" s="770" t="s">
        <v>1989</v>
      </c>
      <c r="B46" s="770" t="s">
        <v>1990</v>
      </c>
      <c r="C46" s="771" t="s">
        <v>1991</v>
      </c>
      <c r="D46" s="773"/>
      <c r="E46" s="773"/>
      <c r="F46" s="773"/>
      <c r="G46" s="773"/>
    </row>
    <row r="47" spans="1:7" s="648" customFormat="1" x14ac:dyDescent="0.2">
      <c r="A47" s="770" t="s">
        <v>1992</v>
      </c>
      <c r="B47" s="770" t="s">
        <v>1993</v>
      </c>
      <c r="C47" s="771" t="s">
        <v>1994</v>
      </c>
      <c r="D47" s="774">
        <v>793069.50261000008</v>
      </c>
      <c r="E47" s="774">
        <v>2.2127699999999999</v>
      </c>
      <c r="F47" s="774">
        <v>793067.28983999998</v>
      </c>
      <c r="G47" s="774">
        <v>752744.50601999997</v>
      </c>
    </row>
    <row r="48" spans="1:7" s="648" customFormat="1" x14ac:dyDescent="0.2">
      <c r="A48" s="775" t="s">
        <v>1995</v>
      </c>
      <c r="B48" s="770" t="s">
        <v>1996</v>
      </c>
      <c r="C48" s="771" t="s">
        <v>1997</v>
      </c>
      <c r="D48" s="774">
        <v>171565.51209999999</v>
      </c>
      <c r="E48" s="774">
        <v>0</v>
      </c>
      <c r="F48" s="774">
        <v>171565.51209999999</v>
      </c>
      <c r="G48" s="774">
        <v>844598.85807000007</v>
      </c>
    </row>
    <row r="49" spans="1:7" s="648" customFormat="1" x14ac:dyDescent="0.2">
      <c r="A49" s="770" t="s">
        <v>1998</v>
      </c>
      <c r="B49" s="770" t="s">
        <v>1999</v>
      </c>
      <c r="C49" s="776" t="s">
        <v>2000</v>
      </c>
      <c r="D49" s="774">
        <v>0</v>
      </c>
      <c r="E49" s="774">
        <v>0</v>
      </c>
      <c r="F49" s="774">
        <v>0</v>
      </c>
      <c r="G49" s="774">
        <v>0</v>
      </c>
    </row>
    <row r="50" spans="1:7" s="648" customFormat="1" x14ac:dyDescent="0.2">
      <c r="A50" s="767" t="s">
        <v>2001</v>
      </c>
      <c r="B50" s="767" t="s">
        <v>2002</v>
      </c>
      <c r="C50" s="768" t="s">
        <v>133</v>
      </c>
      <c r="D50" s="769">
        <v>7714208.7990300003</v>
      </c>
      <c r="E50" s="769">
        <v>26077.256880000001</v>
      </c>
      <c r="F50" s="769">
        <v>7688131.5421500001</v>
      </c>
      <c r="G50" s="769">
        <v>7589026.3625999996</v>
      </c>
    </row>
    <row r="51" spans="1:7" s="648" customFormat="1" x14ac:dyDescent="0.2">
      <c r="A51" s="767" t="s">
        <v>2003</v>
      </c>
      <c r="B51" s="767" t="s">
        <v>2004</v>
      </c>
      <c r="C51" s="768" t="s">
        <v>133</v>
      </c>
      <c r="D51" s="769">
        <v>338863.44645000005</v>
      </c>
      <c r="E51" s="769">
        <v>0</v>
      </c>
      <c r="F51" s="769">
        <v>338863.44645000005</v>
      </c>
      <c r="G51" s="769">
        <v>308466.27675999998</v>
      </c>
    </row>
    <row r="52" spans="1:7" s="648" customFormat="1" x14ac:dyDescent="0.2">
      <c r="A52" s="770" t="s">
        <v>2005</v>
      </c>
      <c r="B52" s="770" t="s">
        <v>2006</v>
      </c>
      <c r="C52" s="771" t="s">
        <v>2007</v>
      </c>
      <c r="D52" s="774">
        <v>0</v>
      </c>
      <c r="E52" s="774">
        <v>0</v>
      </c>
      <c r="F52" s="774">
        <v>0</v>
      </c>
      <c r="G52" s="774">
        <v>0</v>
      </c>
    </row>
    <row r="53" spans="1:7" s="648" customFormat="1" x14ac:dyDescent="0.2">
      <c r="A53" s="770" t="s">
        <v>2008</v>
      </c>
      <c r="B53" s="770" t="s">
        <v>2009</v>
      </c>
      <c r="C53" s="771" t="s">
        <v>2010</v>
      </c>
      <c r="D53" s="773">
        <v>274326.08422000002</v>
      </c>
      <c r="E53" s="773"/>
      <c r="F53" s="773">
        <v>274326.08422000002</v>
      </c>
      <c r="G53" s="773">
        <v>248484.23115000001</v>
      </c>
    </row>
    <row r="54" spans="1:7" s="648" customFormat="1" x14ac:dyDescent="0.2">
      <c r="A54" s="770" t="s">
        <v>2011</v>
      </c>
      <c r="B54" s="770" t="s">
        <v>2012</v>
      </c>
      <c r="C54" s="771" t="s">
        <v>2013</v>
      </c>
      <c r="D54" s="773">
        <v>931.51031999999998</v>
      </c>
      <c r="E54" s="773"/>
      <c r="F54" s="773">
        <v>931.51031999999998</v>
      </c>
      <c r="G54" s="773">
        <v>2183.8024500000001</v>
      </c>
    </row>
    <row r="55" spans="1:7" s="648" customFormat="1" x14ac:dyDescent="0.2">
      <c r="A55" s="770" t="s">
        <v>2014</v>
      </c>
      <c r="B55" s="770" t="s">
        <v>2015</v>
      </c>
      <c r="C55" s="771" t="s">
        <v>2016</v>
      </c>
      <c r="D55" s="773">
        <v>8678.2893499999991</v>
      </c>
      <c r="E55" s="773"/>
      <c r="F55" s="773">
        <v>8678.2893499999991</v>
      </c>
      <c r="G55" s="773">
        <v>7622.7198899999994</v>
      </c>
    </row>
    <row r="56" spans="1:7" s="648" customFormat="1" x14ac:dyDescent="0.2">
      <c r="A56" s="770" t="s">
        <v>2017</v>
      </c>
      <c r="B56" s="770" t="s">
        <v>2018</v>
      </c>
      <c r="C56" s="771" t="s">
        <v>2019</v>
      </c>
      <c r="D56" s="773"/>
      <c r="E56" s="773"/>
      <c r="F56" s="773"/>
      <c r="G56" s="773"/>
    </row>
    <row r="57" spans="1:7" s="648" customFormat="1" x14ac:dyDescent="0.2">
      <c r="A57" s="770" t="s">
        <v>2020</v>
      </c>
      <c r="B57" s="770" t="s">
        <v>2021</v>
      </c>
      <c r="C57" s="771" t="s">
        <v>2022</v>
      </c>
      <c r="D57" s="773">
        <v>17749.747600000002</v>
      </c>
      <c r="E57" s="773"/>
      <c r="F57" s="773">
        <v>17749.747600000002</v>
      </c>
      <c r="G57" s="773">
        <v>14348.062330000001</v>
      </c>
    </row>
    <row r="58" spans="1:7" s="648" customFormat="1" x14ac:dyDescent="0.2">
      <c r="A58" s="770" t="s">
        <v>2023</v>
      </c>
      <c r="B58" s="770" t="s">
        <v>2024</v>
      </c>
      <c r="C58" s="771" t="s">
        <v>2025</v>
      </c>
      <c r="D58" s="773"/>
      <c r="E58" s="773"/>
      <c r="F58" s="773"/>
      <c r="G58" s="773"/>
    </row>
    <row r="59" spans="1:7" s="648" customFormat="1" x14ac:dyDescent="0.2">
      <c r="A59" s="770" t="s">
        <v>2026</v>
      </c>
      <c r="B59" s="770" t="s">
        <v>2027</v>
      </c>
      <c r="C59" s="771" t="s">
        <v>2028</v>
      </c>
      <c r="D59" s="773">
        <v>34443.488499999999</v>
      </c>
      <c r="E59" s="773"/>
      <c r="F59" s="773">
        <v>34443.488499999999</v>
      </c>
      <c r="G59" s="773">
        <v>33310.478139999999</v>
      </c>
    </row>
    <row r="60" spans="1:7" s="648" customFormat="1" x14ac:dyDescent="0.2">
      <c r="A60" s="770" t="s">
        <v>2029</v>
      </c>
      <c r="B60" s="770" t="s">
        <v>2030</v>
      </c>
      <c r="C60" s="771" t="s">
        <v>2031</v>
      </c>
      <c r="D60" s="773">
        <v>5.4611000000000001</v>
      </c>
      <c r="E60" s="773"/>
      <c r="F60" s="773">
        <v>5.4611000000000001</v>
      </c>
      <c r="G60" s="773"/>
    </row>
    <row r="61" spans="1:7" s="648" customFormat="1" x14ac:dyDescent="0.2">
      <c r="A61" s="770" t="s">
        <v>2032</v>
      </c>
      <c r="B61" s="770" t="s">
        <v>2033</v>
      </c>
      <c r="C61" s="771" t="s">
        <v>2034</v>
      </c>
      <c r="D61" s="773">
        <v>2728.8653599999998</v>
      </c>
      <c r="E61" s="773"/>
      <c r="F61" s="773">
        <v>2728.8653599999998</v>
      </c>
      <c r="G61" s="773">
        <v>2516.9827999999998</v>
      </c>
    </row>
    <row r="62" spans="1:7" s="648" customFormat="1" x14ac:dyDescent="0.2">
      <c r="A62" s="767" t="s">
        <v>2035</v>
      </c>
      <c r="B62" s="767" t="s">
        <v>2036</v>
      </c>
      <c r="C62" s="768" t="s">
        <v>133</v>
      </c>
      <c r="D62" s="769">
        <v>3895202.2956099999</v>
      </c>
      <c r="E62" s="769">
        <v>26077.256880000001</v>
      </c>
      <c r="F62" s="769">
        <v>3869125.0387300001</v>
      </c>
      <c r="G62" s="769">
        <v>3220219.2295999997</v>
      </c>
    </row>
    <row r="63" spans="1:7" s="648" customFormat="1" x14ac:dyDescent="0.2">
      <c r="A63" s="770" t="s">
        <v>2037</v>
      </c>
      <c r="B63" s="770" t="s">
        <v>2038</v>
      </c>
      <c r="C63" s="771" t="s">
        <v>2039</v>
      </c>
      <c r="D63" s="772">
        <v>508602.89724999998</v>
      </c>
      <c r="E63" s="772">
        <v>9089.3348299999998</v>
      </c>
      <c r="F63" s="772">
        <v>499513.56242000003</v>
      </c>
      <c r="G63" s="772">
        <v>458637.93537000002</v>
      </c>
    </row>
    <row r="64" spans="1:7" s="648" customFormat="1" x14ac:dyDescent="0.2">
      <c r="A64" s="770" t="s">
        <v>2040</v>
      </c>
      <c r="B64" s="770" t="s">
        <v>2041</v>
      </c>
      <c r="C64" s="771" t="s">
        <v>2042</v>
      </c>
      <c r="D64" s="773"/>
      <c r="E64" s="773"/>
      <c r="F64" s="773"/>
      <c r="G64" s="773"/>
    </row>
    <row r="65" spans="1:7" s="648" customFormat="1" x14ac:dyDescent="0.2">
      <c r="A65" s="770" t="s">
        <v>2043</v>
      </c>
      <c r="B65" s="770" t="s">
        <v>2044</v>
      </c>
      <c r="C65" s="771" t="s">
        <v>2045</v>
      </c>
      <c r="D65" s="773"/>
      <c r="E65" s="773"/>
      <c r="F65" s="773"/>
      <c r="G65" s="773"/>
    </row>
    <row r="66" spans="1:7" s="648" customFormat="1" x14ac:dyDescent="0.2">
      <c r="A66" s="770" t="s">
        <v>2046</v>
      </c>
      <c r="B66" s="770" t="s">
        <v>2047</v>
      </c>
      <c r="C66" s="771" t="s">
        <v>2048</v>
      </c>
      <c r="D66" s="773">
        <v>41259.670940000004</v>
      </c>
      <c r="E66" s="773"/>
      <c r="F66" s="773">
        <v>41259.670940000004</v>
      </c>
      <c r="G66" s="773">
        <v>34084.547009999995</v>
      </c>
    </row>
    <row r="67" spans="1:7" s="648" customFormat="1" x14ac:dyDescent="0.2">
      <c r="A67" s="770" t="s">
        <v>2049</v>
      </c>
      <c r="B67" s="770" t="s">
        <v>2050</v>
      </c>
      <c r="C67" s="771" t="s">
        <v>2051</v>
      </c>
      <c r="D67" s="773">
        <v>48528.761769999997</v>
      </c>
      <c r="E67" s="773">
        <v>16104.29147</v>
      </c>
      <c r="F67" s="773">
        <v>32424.470300000001</v>
      </c>
      <c r="G67" s="773">
        <v>34440.752370000002</v>
      </c>
    </row>
    <row r="68" spans="1:7" s="648" customFormat="1" x14ac:dyDescent="0.2">
      <c r="A68" s="770" t="s">
        <v>2052</v>
      </c>
      <c r="B68" s="770" t="s">
        <v>2053</v>
      </c>
      <c r="C68" s="771" t="s">
        <v>2054</v>
      </c>
      <c r="D68" s="773">
        <v>9533.8415100000002</v>
      </c>
      <c r="E68" s="773"/>
      <c r="F68" s="773">
        <v>9533.8415100000002</v>
      </c>
      <c r="G68" s="773">
        <v>3000</v>
      </c>
    </row>
    <row r="69" spans="1:7" s="648" customFormat="1" x14ac:dyDescent="0.2">
      <c r="A69" s="770" t="s">
        <v>2055</v>
      </c>
      <c r="B69" s="770" t="s">
        <v>2056</v>
      </c>
      <c r="C69" s="771" t="s">
        <v>2057</v>
      </c>
      <c r="D69" s="774">
        <v>0</v>
      </c>
      <c r="E69" s="774">
        <v>0</v>
      </c>
      <c r="F69" s="774">
        <v>0</v>
      </c>
      <c r="G69" s="774">
        <v>0</v>
      </c>
    </row>
    <row r="70" spans="1:7" s="648" customFormat="1" x14ac:dyDescent="0.2">
      <c r="A70" s="770" t="s">
        <v>2058</v>
      </c>
      <c r="B70" s="770" t="s">
        <v>2059</v>
      </c>
      <c r="C70" s="771" t="s">
        <v>2060</v>
      </c>
      <c r="D70" s="774">
        <v>0</v>
      </c>
      <c r="E70" s="774">
        <v>0</v>
      </c>
      <c r="F70" s="774">
        <v>0</v>
      </c>
      <c r="G70" s="774">
        <v>0</v>
      </c>
    </row>
    <row r="71" spans="1:7" s="648" customFormat="1" x14ac:dyDescent="0.2">
      <c r="A71" s="770" t="s">
        <v>2061</v>
      </c>
      <c r="B71" s="770" t="s">
        <v>2062</v>
      </c>
      <c r="C71" s="771" t="s">
        <v>2063</v>
      </c>
      <c r="D71" s="774">
        <v>3396.75317</v>
      </c>
      <c r="E71" s="774">
        <v>0</v>
      </c>
      <c r="F71" s="774">
        <v>3396.75317</v>
      </c>
      <c r="G71" s="774">
        <v>3864.7279199999998</v>
      </c>
    </row>
    <row r="72" spans="1:7" s="648" customFormat="1" x14ac:dyDescent="0.2">
      <c r="A72" s="770" t="s">
        <v>2064</v>
      </c>
      <c r="B72" s="770" t="s">
        <v>2065</v>
      </c>
      <c r="C72" s="771" t="s">
        <v>2066</v>
      </c>
      <c r="D72" s="773"/>
      <c r="E72" s="773"/>
      <c r="F72" s="773"/>
      <c r="G72" s="773"/>
    </row>
    <row r="73" spans="1:7" s="648" customFormat="1" x14ac:dyDescent="0.2">
      <c r="A73" s="770" t="s">
        <v>2067</v>
      </c>
      <c r="B73" s="770" t="s">
        <v>2068</v>
      </c>
      <c r="C73" s="771" t="s">
        <v>2069</v>
      </c>
      <c r="D73" s="773"/>
      <c r="E73" s="773"/>
      <c r="F73" s="773"/>
      <c r="G73" s="773"/>
    </row>
    <row r="74" spans="1:7" s="648" customFormat="1" x14ac:dyDescent="0.2">
      <c r="A74" s="770" t="s">
        <v>2070</v>
      </c>
      <c r="B74" s="770" t="s">
        <v>2071</v>
      </c>
      <c r="C74" s="771" t="s">
        <v>2072</v>
      </c>
      <c r="D74" s="773"/>
      <c r="E74" s="773"/>
      <c r="F74" s="773"/>
      <c r="G74" s="773"/>
    </row>
    <row r="75" spans="1:7" s="648" customFormat="1" x14ac:dyDescent="0.2">
      <c r="A75" s="770" t="s">
        <v>2073</v>
      </c>
      <c r="B75" s="770" t="s">
        <v>2074</v>
      </c>
      <c r="C75" s="771" t="s">
        <v>2075</v>
      </c>
      <c r="D75" s="773">
        <v>1558.71</v>
      </c>
      <c r="E75" s="773"/>
      <c r="F75" s="773">
        <v>1558.71</v>
      </c>
      <c r="G75" s="773">
        <v>1752.4880000000001</v>
      </c>
    </row>
    <row r="76" spans="1:7" s="648" customFormat="1" x14ac:dyDescent="0.2">
      <c r="A76" s="770" t="s">
        <v>2076</v>
      </c>
      <c r="B76" s="770" t="s">
        <v>2077</v>
      </c>
      <c r="C76" s="771" t="s">
        <v>2078</v>
      </c>
      <c r="D76" s="773"/>
      <c r="E76" s="773"/>
      <c r="F76" s="773"/>
      <c r="G76" s="773"/>
    </row>
    <row r="77" spans="1:7" s="648" customFormat="1" x14ac:dyDescent="0.2">
      <c r="A77" s="770" t="s">
        <v>2079</v>
      </c>
      <c r="B77" s="770" t="s">
        <v>236</v>
      </c>
      <c r="C77" s="771" t="s">
        <v>2080</v>
      </c>
      <c r="D77" s="773">
        <v>3010.3704900000002</v>
      </c>
      <c r="E77" s="773"/>
      <c r="F77" s="773">
        <v>3010.3704900000002</v>
      </c>
      <c r="G77" s="773">
        <v>467.26188000000002</v>
      </c>
    </row>
    <row r="78" spans="1:7" s="648" customFormat="1" x14ac:dyDescent="0.2">
      <c r="A78" s="770" t="s">
        <v>2081</v>
      </c>
      <c r="B78" s="770" t="s">
        <v>2082</v>
      </c>
      <c r="C78" s="771" t="s">
        <v>2083</v>
      </c>
      <c r="D78" s="773">
        <v>501.98</v>
      </c>
      <c r="E78" s="773"/>
      <c r="F78" s="773">
        <v>501.98</v>
      </c>
      <c r="G78" s="773">
        <v>13.763</v>
      </c>
    </row>
    <row r="79" spans="1:7" s="648" customFormat="1" x14ac:dyDescent="0.2">
      <c r="A79" s="770" t="s">
        <v>2084</v>
      </c>
      <c r="B79" s="770" t="s">
        <v>2085</v>
      </c>
      <c r="C79" s="771" t="s">
        <v>2086</v>
      </c>
      <c r="D79" s="773">
        <v>4961.6231200000002</v>
      </c>
      <c r="E79" s="773"/>
      <c r="F79" s="773">
        <v>4961.6231200000002</v>
      </c>
      <c r="G79" s="773">
        <v>5836.8989099999999</v>
      </c>
    </row>
    <row r="80" spans="1:7" s="648" customFormat="1" x14ac:dyDescent="0.2">
      <c r="A80" s="770" t="s">
        <v>2087</v>
      </c>
      <c r="B80" s="770" t="s">
        <v>2088</v>
      </c>
      <c r="C80" s="771" t="s">
        <v>2089</v>
      </c>
      <c r="D80" s="773">
        <v>12347.855950000001</v>
      </c>
      <c r="E80" s="773"/>
      <c r="F80" s="773">
        <v>12347.855950000001</v>
      </c>
      <c r="G80" s="773">
        <v>37164.205410000002</v>
      </c>
    </row>
    <row r="81" spans="1:7" s="648" customFormat="1" x14ac:dyDescent="0.2">
      <c r="A81" s="770" t="s">
        <v>2090</v>
      </c>
      <c r="B81" s="770" t="s">
        <v>2091</v>
      </c>
      <c r="C81" s="771" t="s">
        <v>2092</v>
      </c>
      <c r="D81" s="774">
        <v>0</v>
      </c>
      <c r="E81" s="774">
        <v>0</v>
      </c>
      <c r="F81" s="774">
        <v>0</v>
      </c>
      <c r="G81" s="774">
        <v>0</v>
      </c>
    </row>
    <row r="82" spans="1:7" s="648" customFormat="1" x14ac:dyDescent="0.2">
      <c r="A82" s="770" t="s">
        <v>2093</v>
      </c>
      <c r="B82" s="770" t="s">
        <v>2094</v>
      </c>
      <c r="C82" s="771" t="s">
        <v>2095</v>
      </c>
      <c r="D82" s="774">
        <v>0</v>
      </c>
      <c r="E82" s="774">
        <v>0</v>
      </c>
      <c r="F82" s="774">
        <v>0</v>
      </c>
      <c r="G82" s="774">
        <v>0</v>
      </c>
    </row>
    <row r="83" spans="1:7" s="648" customFormat="1" x14ac:dyDescent="0.2">
      <c r="A83" s="770" t="s">
        <v>2096</v>
      </c>
      <c r="B83" s="770" t="s">
        <v>2097</v>
      </c>
      <c r="C83" s="771" t="s">
        <v>2098</v>
      </c>
      <c r="D83" s="774">
        <v>0</v>
      </c>
      <c r="E83" s="774">
        <v>0</v>
      </c>
      <c r="F83" s="774">
        <v>0</v>
      </c>
      <c r="G83" s="774">
        <v>0</v>
      </c>
    </row>
    <row r="84" spans="1:7" s="648" customFormat="1" x14ac:dyDescent="0.2">
      <c r="A84" s="770" t="s">
        <v>2099</v>
      </c>
      <c r="B84" s="770" t="s">
        <v>2100</v>
      </c>
      <c r="C84" s="771" t="s">
        <v>2101</v>
      </c>
      <c r="D84" s="774">
        <v>0</v>
      </c>
      <c r="E84" s="774">
        <v>0</v>
      </c>
      <c r="F84" s="774">
        <v>0</v>
      </c>
      <c r="G84" s="774">
        <v>0</v>
      </c>
    </row>
    <row r="85" spans="1:7" s="648" customFormat="1" x14ac:dyDescent="0.2">
      <c r="A85" s="770" t="s">
        <v>2102</v>
      </c>
      <c r="B85" s="770" t="s">
        <v>2103</v>
      </c>
      <c r="C85" s="771" t="s">
        <v>2104</v>
      </c>
      <c r="D85" s="774">
        <v>118431.58593</v>
      </c>
      <c r="E85" s="774">
        <v>0</v>
      </c>
      <c r="F85" s="774">
        <v>118431.58593</v>
      </c>
      <c r="G85" s="774">
        <v>60816.196840000004</v>
      </c>
    </row>
    <row r="86" spans="1:7" s="648" customFormat="1" x14ac:dyDescent="0.2">
      <c r="A86" s="770" t="s">
        <v>2105</v>
      </c>
      <c r="B86" s="770" t="s">
        <v>2106</v>
      </c>
      <c r="C86" s="776" t="s">
        <v>2107</v>
      </c>
      <c r="D86" s="774">
        <v>0</v>
      </c>
      <c r="E86" s="774">
        <v>0</v>
      </c>
      <c r="F86" s="774">
        <v>0</v>
      </c>
      <c r="G86" s="774">
        <v>0</v>
      </c>
    </row>
    <row r="87" spans="1:7" s="648" customFormat="1" x14ac:dyDescent="0.2">
      <c r="A87" s="770" t="s">
        <v>2108</v>
      </c>
      <c r="B87" s="770" t="s">
        <v>2109</v>
      </c>
      <c r="C87" s="771" t="s">
        <v>2110</v>
      </c>
      <c r="D87" s="774">
        <v>46535.248179999995</v>
      </c>
      <c r="E87" s="774">
        <v>0</v>
      </c>
      <c r="F87" s="774">
        <v>46535.248179999995</v>
      </c>
      <c r="G87" s="774">
        <v>62488.314899999998</v>
      </c>
    </row>
    <row r="88" spans="1:7" s="648" customFormat="1" x14ac:dyDescent="0.2">
      <c r="A88" s="770" t="s">
        <v>2111</v>
      </c>
      <c r="B88" s="770" t="s">
        <v>2112</v>
      </c>
      <c r="C88" s="771" t="s">
        <v>2113</v>
      </c>
      <c r="D88" s="774">
        <v>4555.6196900000004</v>
      </c>
      <c r="E88" s="774">
        <v>0</v>
      </c>
      <c r="F88" s="774">
        <v>4555.6196900000004</v>
      </c>
      <c r="G88" s="774">
        <v>9639.6151400000017</v>
      </c>
    </row>
    <row r="89" spans="1:7" s="765" customFormat="1" x14ac:dyDescent="0.2">
      <c r="A89" s="770" t="s">
        <v>2114</v>
      </c>
      <c r="B89" s="770" t="s">
        <v>2115</v>
      </c>
      <c r="C89" s="771" t="s">
        <v>2116</v>
      </c>
      <c r="D89" s="774">
        <v>3062024.2050899998</v>
      </c>
      <c r="E89" s="774">
        <v>0</v>
      </c>
      <c r="F89" s="774">
        <v>3062024.2050899998</v>
      </c>
      <c r="G89" s="774">
        <v>2476345.1461900002</v>
      </c>
    </row>
    <row r="90" spans="1:7" s="648" customFormat="1" x14ac:dyDescent="0.2">
      <c r="A90" s="770" t="s">
        <v>2117</v>
      </c>
      <c r="B90" s="770" t="s">
        <v>2118</v>
      </c>
      <c r="C90" s="776" t="s">
        <v>2119</v>
      </c>
      <c r="D90" s="774">
        <v>29953.172519999996</v>
      </c>
      <c r="E90" s="774">
        <v>883.63058000000001</v>
      </c>
      <c r="F90" s="774">
        <v>29069.541939999999</v>
      </c>
      <c r="G90" s="774">
        <v>31667.376659999998</v>
      </c>
    </row>
    <row r="91" spans="1:7" s="648" customFormat="1" x14ac:dyDescent="0.2">
      <c r="A91" s="767" t="s">
        <v>2120</v>
      </c>
      <c r="B91" s="767" t="s">
        <v>2121</v>
      </c>
      <c r="C91" s="768" t="s">
        <v>133</v>
      </c>
      <c r="D91" s="769">
        <v>3480143.0569700003</v>
      </c>
      <c r="E91" s="769">
        <v>0</v>
      </c>
      <c r="F91" s="769">
        <v>3480143.0569700003</v>
      </c>
      <c r="G91" s="769">
        <v>4060340.8562399996</v>
      </c>
    </row>
    <row r="92" spans="1:7" s="648" customFormat="1" x14ac:dyDescent="0.2">
      <c r="A92" s="770" t="s">
        <v>2122</v>
      </c>
      <c r="B92" s="770" t="s">
        <v>2123</v>
      </c>
      <c r="C92" s="771" t="s">
        <v>2124</v>
      </c>
      <c r="D92" s="773"/>
      <c r="E92" s="773"/>
      <c r="F92" s="773"/>
      <c r="G92" s="773"/>
    </row>
    <row r="93" spans="1:7" s="648" customFormat="1" ht="12.75" customHeight="1" x14ac:dyDescent="0.2">
      <c r="A93" s="770" t="s">
        <v>2125</v>
      </c>
      <c r="B93" s="770" t="s">
        <v>2126</v>
      </c>
      <c r="C93" s="771" t="s">
        <v>2127</v>
      </c>
      <c r="D93" s="773"/>
      <c r="E93" s="773"/>
      <c r="F93" s="773"/>
      <c r="G93" s="773"/>
    </row>
    <row r="94" spans="1:7" s="648" customFormat="1" x14ac:dyDescent="0.2">
      <c r="A94" s="770" t="s">
        <v>2128</v>
      </c>
      <c r="B94" s="770" t="s">
        <v>2129</v>
      </c>
      <c r="C94" s="771" t="s">
        <v>2130</v>
      </c>
      <c r="D94" s="773"/>
      <c r="E94" s="773"/>
      <c r="F94" s="773"/>
      <c r="G94" s="773"/>
    </row>
    <row r="95" spans="1:7" s="648" customFormat="1" x14ac:dyDescent="0.2">
      <c r="A95" s="770" t="s">
        <v>2131</v>
      </c>
      <c r="B95" s="770" t="s">
        <v>2132</v>
      </c>
      <c r="C95" s="771" t="s">
        <v>2133</v>
      </c>
      <c r="D95" s="773">
        <v>619696.13407000003</v>
      </c>
      <c r="E95" s="773"/>
      <c r="F95" s="773">
        <v>619696.13407000003</v>
      </c>
      <c r="G95" s="773">
        <v>543835.14876000001</v>
      </c>
    </row>
    <row r="96" spans="1:7" s="648" customFormat="1" x14ac:dyDescent="0.2">
      <c r="A96" s="770" t="s">
        <v>2134</v>
      </c>
      <c r="B96" s="770" t="s">
        <v>2135</v>
      </c>
      <c r="C96" s="771" t="s">
        <v>2136</v>
      </c>
      <c r="D96" s="773">
        <v>71026.664929999999</v>
      </c>
      <c r="E96" s="773"/>
      <c r="F96" s="773">
        <v>71026.664929999999</v>
      </c>
      <c r="G96" s="773">
        <v>99633.483759999988</v>
      </c>
    </row>
    <row r="97" spans="1:7" s="648" customFormat="1" x14ac:dyDescent="0.2">
      <c r="A97" s="770" t="s">
        <v>2137</v>
      </c>
      <c r="B97" s="770" t="s">
        <v>2138</v>
      </c>
      <c r="C97" s="771" t="s">
        <v>2139</v>
      </c>
      <c r="D97" s="773">
        <v>1566025.24997</v>
      </c>
      <c r="E97" s="773"/>
      <c r="F97" s="773">
        <v>1566025.24997</v>
      </c>
      <c r="G97" s="773">
        <v>1651266.2040800001</v>
      </c>
    </row>
    <row r="98" spans="1:7" s="648" customFormat="1" x14ac:dyDescent="0.2">
      <c r="A98" s="770" t="s">
        <v>2140</v>
      </c>
      <c r="B98" s="770" t="s">
        <v>2141</v>
      </c>
      <c r="C98" s="771" t="s">
        <v>2142</v>
      </c>
      <c r="D98" s="773">
        <v>26892.34302</v>
      </c>
      <c r="E98" s="773"/>
      <c r="F98" s="773">
        <v>26892.34302</v>
      </c>
      <c r="G98" s="773">
        <v>24248.205899999997</v>
      </c>
    </row>
    <row r="99" spans="1:7" s="648" customFormat="1" x14ac:dyDescent="0.2">
      <c r="A99" s="770" t="s">
        <v>2143</v>
      </c>
      <c r="B99" s="770" t="s">
        <v>2144</v>
      </c>
      <c r="C99" s="771" t="s">
        <v>2145</v>
      </c>
      <c r="D99" s="773">
        <v>1038943.3924400001</v>
      </c>
      <c r="E99" s="773"/>
      <c r="F99" s="773">
        <v>1038943.3924400001</v>
      </c>
      <c r="G99" s="773">
        <v>1548871.0055199999</v>
      </c>
    </row>
    <row r="100" spans="1:7" s="648" customFormat="1" x14ac:dyDescent="0.2">
      <c r="A100" s="770" t="s">
        <v>2146</v>
      </c>
      <c r="B100" s="770" t="s">
        <v>2147</v>
      </c>
      <c r="C100" s="771" t="s">
        <v>2148</v>
      </c>
      <c r="D100" s="773">
        <v>135649.00594999999</v>
      </c>
      <c r="E100" s="773"/>
      <c r="F100" s="773">
        <v>135649.00594999999</v>
      </c>
      <c r="G100" s="773">
        <v>179210.46599999999</v>
      </c>
    </row>
    <row r="101" spans="1:7" s="764" customFormat="1" x14ac:dyDescent="0.2">
      <c r="A101" s="770" t="s">
        <v>2149</v>
      </c>
      <c r="B101" s="770" t="s">
        <v>2150</v>
      </c>
      <c r="C101" s="771" t="s">
        <v>2151</v>
      </c>
      <c r="D101" s="773">
        <v>2268.9011400000004</v>
      </c>
      <c r="E101" s="773"/>
      <c r="F101" s="773">
        <v>2268.9011400000004</v>
      </c>
      <c r="G101" s="773">
        <v>2546.7036699999999</v>
      </c>
    </row>
    <row r="102" spans="1:7" s="764" customFormat="1" x14ac:dyDescent="0.2">
      <c r="A102" s="770" t="s">
        <v>2152</v>
      </c>
      <c r="B102" s="770" t="s">
        <v>2153</v>
      </c>
      <c r="C102" s="771" t="s">
        <v>2154</v>
      </c>
      <c r="D102" s="773">
        <v>8591.0127400000001</v>
      </c>
      <c r="E102" s="773"/>
      <c r="F102" s="773">
        <v>8591.0127400000001</v>
      </c>
      <c r="G102" s="773">
        <v>49.817059999999998</v>
      </c>
    </row>
    <row r="103" spans="1:7" s="764" customFormat="1" x14ac:dyDescent="0.2">
      <c r="A103" s="777" t="s">
        <v>2155</v>
      </c>
      <c r="B103" s="777" t="s">
        <v>2156</v>
      </c>
      <c r="C103" s="778" t="s">
        <v>2157</v>
      </c>
      <c r="D103" s="779">
        <v>11050.352710000001</v>
      </c>
      <c r="E103" s="779"/>
      <c r="F103" s="779">
        <v>11050.352710000001</v>
      </c>
      <c r="G103" s="779">
        <v>10679.82149</v>
      </c>
    </row>
    <row r="104" spans="1:7" s="764" customFormat="1" x14ac:dyDescent="0.2">
      <c r="A104" s="780"/>
      <c r="B104" s="780"/>
      <c r="C104" s="780"/>
      <c r="E104" s="781"/>
      <c r="F104" s="782"/>
      <c r="G104" s="783"/>
    </row>
    <row r="105" spans="1:7" s="764" customFormat="1" ht="12.75" customHeight="1" x14ac:dyDescent="0.2">
      <c r="A105" s="780"/>
      <c r="B105" s="780"/>
      <c r="C105" s="780"/>
      <c r="E105" s="784"/>
      <c r="F105" s="785"/>
      <c r="G105" s="783"/>
    </row>
    <row r="106" spans="1:7" s="765" customFormat="1" ht="12.75" customHeight="1" x14ac:dyDescent="0.2">
      <c r="A106" s="786"/>
      <c r="B106" s="787"/>
      <c r="C106" s="788"/>
      <c r="D106" s="789">
        <v>1</v>
      </c>
      <c r="E106" s="789">
        <v>2</v>
      </c>
      <c r="F106" s="790"/>
      <c r="G106" s="791"/>
    </row>
    <row r="107" spans="1:7" s="765" customFormat="1" ht="12.75" customHeight="1" x14ac:dyDescent="0.2">
      <c r="A107" s="1485" t="s">
        <v>1876</v>
      </c>
      <c r="B107" s="1486"/>
      <c r="C107" s="1489" t="s">
        <v>1877</v>
      </c>
      <c r="D107" s="1491" t="s">
        <v>1878</v>
      </c>
      <c r="E107" s="1492"/>
      <c r="F107" s="792"/>
      <c r="G107" s="793"/>
    </row>
    <row r="108" spans="1:7" s="765" customFormat="1" x14ac:dyDescent="0.2">
      <c r="A108" s="1487"/>
      <c r="B108" s="1488"/>
      <c r="C108" s="1490"/>
      <c r="D108" s="794" t="s">
        <v>1879</v>
      </c>
      <c r="E108" s="795" t="s">
        <v>1880</v>
      </c>
      <c r="F108" s="792"/>
      <c r="G108" s="793"/>
    </row>
    <row r="109" spans="1:7" s="765" customFormat="1" x14ac:dyDescent="0.2">
      <c r="A109" s="767"/>
      <c r="B109" s="767" t="s">
        <v>2158</v>
      </c>
      <c r="C109" s="768" t="s">
        <v>133</v>
      </c>
      <c r="D109" s="769">
        <v>48729606.826659992</v>
      </c>
      <c r="E109" s="769">
        <v>45743359.533809997</v>
      </c>
      <c r="F109" s="792"/>
      <c r="G109" s="793"/>
    </row>
    <row r="110" spans="1:7" s="765" customFormat="1" x14ac:dyDescent="0.2">
      <c r="A110" s="767" t="s">
        <v>2159</v>
      </c>
      <c r="B110" s="767" t="s">
        <v>2160</v>
      </c>
      <c r="C110" s="768" t="s">
        <v>133</v>
      </c>
      <c r="D110" s="769">
        <v>41266535.88972</v>
      </c>
      <c r="E110" s="769">
        <v>37782800.792999998</v>
      </c>
      <c r="F110" s="796"/>
      <c r="G110" s="783"/>
    </row>
    <row r="111" spans="1:7" s="648" customFormat="1" x14ac:dyDescent="0.2">
      <c r="A111" s="767" t="s">
        <v>2161</v>
      </c>
      <c r="B111" s="767" t="s">
        <v>2162</v>
      </c>
      <c r="C111" s="768" t="s">
        <v>133</v>
      </c>
      <c r="D111" s="769">
        <v>36999261.793010004</v>
      </c>
      <c r="E111" s="769">
        <v>34243081.453660004</v>
      </c>
      <c r="F111" s="792"/>
      <c r="G111" s="793"/>
    </row>
    <row r="112" spans="1:7" s="648" customFormat="1" x14ac:dyDescent="0.2">
      <c r="A112" s="770" t="s">
        <v>2163</v>
      </c>
      <c r="B112" s="770" t="s">
        <v>2164</v>
      </c>
      <c r="C112" s="771" t="s">
        <v>2165</v>
      </c>
      <c r="D112" s="773">
        <v>29913805.125909999</v>
      </c>
      <c r="E112" s="773">
        <v>29927449.14934</v>
      </c>
      <c r="F112" s="790"/>
      <c r="G112" s="791"/>
    </row>
    <row r="113" spans="1:7" s="648" customFormat="1" x14ac:dyDescent="0.2">
      <c r="A113" s="770" t="s">
        <v>2166</v>
      </c>
      <c r="B113" s="770" t="s">
        <v>2167</v>
      </c>
      <c r="C113" s="771" t="s">
        <v>2168</v>
      </c>
      <c r="D113" s="773">
        <v>8947226.8409099989</v>
      </c>
      <c r="E113" s="773">
        <v>6125873.7096999995</v>
      </c>
      <c r="F113" s="792"/>
      <c r="G113" s="783"/>
    </row>
    <row r="114" spans="1:7" s="648" customFormat="1" x14ac:dyDescent="0.2">
      <c r="A114" s="770" t="s">
        <v>2169</v>
      </c>
      <c r="B114" s="770" t="s">
        <v>2170</v>
      </c>
      <c r="C114" s="771" t="s">
        <v>2171</v>
      </c>
      <c r="D114" s="773"/>
      <c r="E114" s="773"/>
      <c r="F114" s="796"/>
      <c r="G114" s="793"/>
    </row>
    <row r="115" spans="1:7" s="648" customFormat="1" x14ac:dyDescent="0.2">
      <c r="A115" s="770" t="s">
        <v>2172</v>
      </c>
      <c r="B115" s="770" t="s">
        <v>2173</v>
      </c>
      <c r="C115" s="771" t="s">
        <v>2174</v>
      </c>
      <c r="D115" s="773">
        <v>-1871257.7271100003</v>
      </c>
      <c r="E115" s="773">
        <v>-1820771.8918900001</v>
      </c>
      <c r="F115" s="796"/>
      <c r="G115" s="783"/>
    </row>
    <row r="116" spans="1:7" s="648" customFormat="1" x14ac:dyDescent="0.2">
      <c r="A116" s="770" t="s">
        <v>2175</v>
      </c>
      <c r="B116" s="770" t="s">
        <v>2176</v>
      </c>
      <c r="C116" s="771" t="s">
        <v>2177</v>
      </c>
      <c r="D116" s="773"/>
      <c r="E116" s="773"/>
      <c r="F116" s="790"/>
      <c r="G116" s="791"/>
    </row>
    <row r="117" spans="1:7" s="765" customFormat="1" x14ac:dyDescent="0.2">
      <c r="A117" s="777" t="s">
        <v>2178</v>
      </c>
      <c r="B117" s="777" t="s">
        <v>2179</v>
      </c>
      <c r="C117" s="778" t="s">
        <v>2180</v>
      </c>
      <c r="D117" s="773">
        <v>9487.5532999999996</v>
      </c>
      <c r="E117" s="773">
        <v>10530.486509999999</v>
      </c>
      <c r="F117" s="790"/>
      <c r="G117" s="791"/>
    </row>
    <row r="118" spans="1:7" s="648" customFormat="1" x14ac:dyDescent="0.2">
      <c r="A118" s="767" t="s">
        <v>2181</v>
      </c>
      <c r="B118" s="767" t="s">
        <v>2182</v>
      </c>
      <c r="C118" s="768" t="s">
        <v>133</v>
      </c>
      <c r="D118" s="769">
        <v>1415215.7462500001</v>
      </c>
      <c r="E118" s="769">
        <v>1410046.09409</v>
      </c>
      <c r="F118" s="796"/>
      <c r="G118" s="783"/>
    </row>
    <row r="119" spans="1:7" s="765" customFormat="1" x14ac:dyDescent="0.2">
      <c r="A119" s="770" t="s">
        <v>2183</v>
      </c>
      <c r="B119" s="770" t="s">
        <v>2184</v>
      </c>
      <c r="C119" s="771" t="s">
        <v>2185</v>
      </c>
      <c r="D119" s="773">
        <v>59883.868979999999</v>
      </c>
      <c r="E119" s="773">
        <v>57220.690179999998</v>
      </c>
      <c r="F119" s="790"/>
      <c r="G119" s="791"/>
    </row>
    <row r="120" spans="1:7" s="648" customFormat="1" x14ac:dyDescent="0.2">
      <c r="A120" s="770" t="s">
        <v>2186</v>
      </c>
      <c r="B120" s="770" t="s">
        <v>2187</v>
      </c>
      <c r="C120" s="771" t="s">
        <v>2188</v>
      </c>
      <c r="D120" s="773">
        <v>29763.383949999999</v>
      </c>
      <c r="E120" s="773">
        <v>28682.654170000002</v>
      </c>
      <c r="F120" s="796"/>
      <c r="G120" s="783"/>
    </row>
    <row r="121" spans="1:7" s="648" customFormat="1" x14ac:dyDescent="0.2">
      <c r="A121" s="770" t="s">
        <v>2189</v>
      </c>
      <c r="B121" s="770" t="s">
        <v>2190</v>
      </c>
      <c r="C121" s="771" t="s">
        <v>2191</v>
      </c>
      <c r="D121" s="773">
        <v>212573.63541999998</v>
      </c>
      <c r="E121" s="773">
        <v>196172.85269</v>
      </c>
      <c r="F121" s="796"/>
      <c r="G121" s="783"/>
    </row>
    <row r="122" spans="1:7" s="648" customFormat="1" x14ac:dyDescent="0.2">
      <c r="A122" s="770" t="s">
        <v>2192</v>
      </c>
      <c r="B122" s="770" t="s">
        <v>2193</v>
      </c>
      <c r="C122" s="771" t="s">
        <v>2194</v>
      </c>
      <c r="D122" s="773">
        <v>45435.280429999999</v>
      </c>
      <c r="E122" s="773">
        <v>44650.101270000006</v>
      </c>
      <c r="F122" s="796"/>
      <c r="G122" s="783"/>
    </row>
    <row r="123" spans="1:7" s="765" customFormat="1" x14ac:dyDescent="0.2">
      <c r="A123" s="770" t="s">
        <v>2195</v>
      </c>
      <c r="B123" s="770" t="s">
        <v>2196</v>
      </c>
      <c r="C123" s="771" t="s">
        <v>2197</v>
      </c>
      <c r="D123" s="773">
        <v>930868.94151999999</v>
      </c>
      <c r="E123" s="773">
        <v>903968.57844000007</v>
      </c>
      <c r="F123" s="796"/>
      <c r="G123" s="783"/>
    </row>
    <row r="124" spans="1:7" s="765" customFormat="1" x14ac:dyDescent="0.2">
      <c r="A124" s="777" t="s">
        <v>2198</v>
      </c>
      <c r="B124" s="777" t="s">
        <v>2199</v>
      </c>
      <c r="C124" s="797" t="s">
        <v>2200</v>
      </c>
      <c r="D124" s="773">
        <v>136690.63595</v>
      </c>
      <c r="E124" s="773">
        <v>179351.21734</v>
      </c>
      <c r="F124" s="796"/>
      <c r="G124" s="783"/>
    </row>
    <row r="125" spans="1:7" s="648" customFormat="1" x14ac:dyDescent="0.2">
      <c r="A125" s="767" t="s">
        <v>2201</v>
      </c>
      <c r="B125" s="767" t="s">
        <v>2202</v>
      </c>
      <c r="C125" s="768" t="s">
        <v>133</v>
      </c>
      <c r="D125" s="769">
        <v>2852058.3504599999</v>
      </c>
      <c r="E125" s="769">
        <v>2129673.2452500002</v>
      </c>
      <c r="F125" s="796"/>
      <c r="G125" s="783"/>
    </row>
    <row r="126" spans="1:7" s="765" customFormat="1" x14ac:dyDescent="0.2">
      <c r="A126" s="770" t="s">
        <v>2203</v>
      </c>
      <c r="B126" s="770" t="s">
        <v>2204</v>
      </c>
      <c r="C126" s="771" t="s">
        <v>133</v>
      </c>
      <c r="D126" s="773">
        <v>748816.85019000003</v>
      </c>
      <c r="E126" s="773">
        <v>716773.34768000001</v>
      </c>
      <c r="F126" s="790"/>
      <c r="G126" s="791"/>
    </row>
    <row r="127" spans="1:7" s="648" customFormat="1" x14ac:dyDescent="0.2">
      <c r="A127" s="770" t="s">
        <v>2205</v>
      </c>
      <c r="B127" s="770" t="s">
        <v>2206</v>
      </c>
      <c r="C127" s="771" t="s">
        <v>2207</v>
      </c>
      <c r="D127" s="773"/>
      <c r="E127" s="773"/>
      <c r="F127" s="796"/>
      <c r="G127" s="783"/>
    </row>
    <row r="128" spans="1:7" s="648" customFormat="1" x14ac:dyDescent="0.2">
      <c r="A128" s="777" t="s">
        <v>2208</v>
      </c>
      <c r="B128" s="777" t="s">
        <v>2209</v>
      </c>
      <c r="C128" s="778" t="s">
        <v>2210</v>
      </c>
      <c r="D128" s="773">
        <v>2103241.5002700002</v>
      </c>
      <c r="E128" s="773">
        <v>1412899.89757</v>
      </c>
      <c r="F128" s="796"/>
      <c r="G128" s="783"/>
    </row>
    <row r="129" spans="1:7" s="648" customFormat="1" x14ac:dyDescent="0.2">
      <c r="A129" s="767" t="s">
        <v>2211</v>
      </c>
      <c r="B129" s="767" t="s">
        <v>2212</v>
      </c>
      <c r="C129" s="768" t="s">
        <v>133</v>
      </c>
      <c r="D129" s="769">
        <v>7463070.9369400013</v>
      </c>
      <c r="E129" s="769">
        <v>8006618.7408099994</v>
      </c>
      <c r="F129" s="792"/>
      <c r="G129" s="793"/>
    </row>
    <row r="130" spans="1:7" s="648" customFormat="1" x14ac:dyDescent="0.2">
      <c r="A130" s="767" t="s">
        <v>2213</v>
      </c>
      <c r="B130" s="767" t="s">
        <v>2214</v>
      </c>
      <c r="C130" s="768" t="s">
        <v>133</v>
      </c>
      <c r="D130" s="769">
        <v>17886.516</v>
      </c>
      <c r="E130" s="769">
        <v>23443.239000000001</v>
      </c>
      <c r="F130" s="792"/>
      <c r="G130" s="793"/>
    </row>
    <row r="131" spans="1:7" s="648" customFormat="1" x14ac:dyDescent="0.2">
      <c r="A131" s="770" t="s">
        <v>2215</v>
      </c>
      <c r="B131" s="770" t="s">
        <v>2214</v>
      </c>
      <c r="C131" s="771" t="s">
        <v>2216</v>
      </c>
      <c r="D131" s="774">
        <v>17886.516</v>
      </c>
      <c r="E131" s="774">
        <v>23443.239000000001</v>
      </c>
      <c r="F131" s="796"/>
      <c r="G131" s="783"/>
    </row>
    <row r="132" spans="1:7" s="648" customFormat="1" x14ac:dyDescent="0.2">
      <c r="A132" s="767" t="s">
        <v>2217</v>
      </c>
      <c r="B132" s="767" t="s">
        <v>2218</v>
      </c>
      <c r="C132" s="768" t="s">
        <v>133</v>
      </c>
      <c r="D132" s="769">
        <v>5410857.8017899999</v>
      </c>
      <c r="E132" s="769">
        <v>4870889.58818</v>
      </c>
      <c r="F132" s="792"/>
      <c r="G132" s="793"/>
    </row>
    <row r="133" spans="1:7" s="648" customFormat="1" x14ac:dyDescent="0.2">
      <c r="A133" s="770" t="s">
        <v>2219</v>
      </c>
      <c r="B133" s="770" t="s">
        <v>2220</v>
      </c>
      <c r="C133" s="771" t="s">
        <v>2221</v>
      </c>
      <c r="D133" s="774">
        <v>3885239.1370799998</v>
      </c>
      <c r="E133" s="774">
        <v>2668447.4974600002</v>
      </c>
      <c r="F133" s="792"/>
      <c r="G133" s="793"/>
    </row>
    <row r="134" spans="1:7" s="648" customFormat="1" x14ac:dyDescent="0.2">
      <c r="A134" s="770" t="s">
        <v>2222</v>
      </c>
      <c r="B134" s="770" t="s">
        <v>2223</v>
      </c>
      <c r="C134" s="771" t="s">
        <v>2224</v>
      </c>
      <c r="D134" s="774">
        <v>0</v>
      </c>
      <c r="E134" s="774">
        <v>0</v>
      </c>
      <c r="F134" s="792"/>
      <c r="G134" s="793"/>
    </row>
    <row r="135" spans="1:7" s="648" customFormat="1" x14ac:dyDescent="0.2">
      <c r="A135" s="770" t="s">
        <v>2225</v>
      </c>
      <c r="B135" s="770" t="s">
        <v>2226</v>
      </c>
      <c r="C135" s="771" t="s">
        <v>2227</v>
      </c>
      <c r="D135" s="773"/>
      <c r="E135" s="773"/>
      <c r="F135" s="792"/>
      <c r="G135" s="793"/>
    </row>
    <row r="136" spans="1:7" s="765" customFormat="1" x14ac:dyDescent="0.2">
      <c r="A136" s="770" t="s">
        <v>2228</v>
      </c>
      <c r="B136" s="770" t="s">
        <v>2229</v>
      </c>
      <c r="C136" s="771" t="s">
        <v>2230</v>
      </c>
      <c r="D136" s="774">
        <v>26766.181210000002</v>
      </c>
      <c r="E136" s="774">
        <v>27816.519579999996</v>
      </c>
      <c r="F136" s="792"/>
      <c r="G136" s="793"/>
    </row>
    <row r="137" spans="1:7" s="648" customFormat="1" x14ac:dyDescent="0.2">
      <c r="A137" s="770" t="s">
        <v>2231</v>
      </c>
      <c r="B137" s="770" t="s">
        <v>2232</v>
      </c>
      <c r="C137" s="771" t="s">
        <v>2233</v>
      </c>
      <c r="D137" s="773"/>
      <c r="E137" s="773"/>
      <c r="F137" s="796"/>
      <c r="G137" s="783"/>
    </row>
    <row r="138" spans="1:7" s="648" customFormat="1" x14ac:dyDescent="0.2">
      <c r="A138" s="770" t="s">
        <v>2234</v>
      </c>
      <c r="B138" s="770" t="s">
        <v>2235</v>
      </c>
      <c r="C138" s="771" t="s">
        <v>2236</v>
      </c>
      <c r="D138" s="773"/>
      <c r="E138" s="773"/>
      <c r="F138" s="792"/>
      <c r="G138" s="793"/>
    </row>
    <row r="139" spans="1:7" s="648" customFormat="1" x14ac:dyDescent="0.2">
      <c r="A139" s="770" t="s">
        <v>2237</v>
      </c>
      <c r="B139" s="770" t="s">
        <v>2238</v>
      </c>
      <c r="C139" s="771" t="s">
        <v>2239</v>
      </c>
      <c r="D139" s="774">
        <v>378914.28245</v>
      </c>
      <c r="E139" s="774">
        <v>429256.32092999999</v>
      </c>
      <c r="F139" s="796"/>
      <c r="G139" s="783"/>
    </row>
    <row r="140" spans="1:7" s="648" customFormat="1" x14ac:dyDescent="0.2">
      <c r="A140" s="770" t="s">
        <v>2240</v>
      </c>
      <c r="B140" s="770" t="s">
        <v>2241</v>
      </c>
      <c r="C140" s="771" t="s">
        <v>2242</v>
      </c>
      <c r="D140" s="774">
        <v>1119938.20105</v>
      </c>
      <c r="E140" s="774">
        <v>1739222.5394299999</v>
      </c>
      <c r="F140" s="792"/>
      <c r="G140" s="793"/>
    </row>
    <row r="141" spans="1:7" s="648" customFormat="1" x14ac:dyDescent="0.2">
      <c r="A141" s="770" t="s">
        <v>2243</v>
      </c>
      <c r="B141" s="770" t="s">
        <v>1999</v>
      </c>
      <c r="C141" s="776" t="s">
        <v>2000</v>
      </c>
      <c r="D141" s="774">
        <v>0</v>
      </c>
      <c r="E141" s="774">
        <v>6146.7107800000003</v>
      </c>
      <c r="F141" s="796"/>
      <c r="G141" s="783"/>
    </row>
    <row r="142" spans="1:7" s="648" customFormat="1" x14ac:dyDescent="0.2">
      <c r="A142" s="767" t="s">
        <v>2244</v>
      </c>
      <c r="B142" s="767" t="s">
        <v>2245</v>
      </c>
      <c r="C142" s="768" t="s">
        <v>133</v>
      </c>
      <c r="D142" s="769">
        <v>2034326.6191499999</v>
      </c>
      <c r="E142" s="769">
        <v>3112285.9136300003</v>
      </c>
      <c r="F142" s="792"/>
      <c r="G142" s="793"/>
    </row>
    <row r="143" spans="1:7" s="648" customFormat="1" x14ac:dyDescent="0.2">
      <c r="A143" s="770" t="s">
        <v>2246</v>
      </c>
      <c r="B143" s="770" t="s">
        <v>2247</v>
      </c>
      <c r="C143" s="771" t="s">
        <v>2248</v>
      </c>
      <c r="D143" s="774">
        <v>76000</v>
      </c>
      <c r="E143" s="774">
        <v>71484.982999999993</v>
      </c>
      <c r="F143" s="796"/>
      <c r="G143" s="783"/>
    </row>
    <row r="144" spans="1:7" s="648" customFormat="1" x14ac:dyDescent="0.2">
      <c r="A144" s="770" t="s">
        <v>2249</v>
      </c>
      <c r="B144" s="770" t="s">
        <v>2250</v>
      </c>
      <c r="C144" s="771" t="s">
        <v>2251</v>
      </c>
      <c r="D144" s="773"/>
      <c r="E144" s="773"/>
      <c r="F144" s="796"/>
      <c r="G144" s="783"/>
    </row>
    <row r="145" spans="1:7" s="648" customFormat="1" x14ac:dyDescent="0.2">
      <c r="A145" s="770" t="s">
        <v>2252</v>
      </c>
      <c r="B145" s="770" t="s">
        <v>2253</v>
      </c>
      <c r="C145" s="771" t="s">
        <v>2254</v>
      </c>
      <c r="D145" s="773"/>
      <c r="E145" s="773"/>
      <c r="F145" s="792"/>
      <c r="G145" s="793"/>
    </row>
    <row r="146" spans="1:7" s="648" customFormat="1" x14ac:dyDescent="0.2">
      <c r="A146" s="770" t="s">
        <v>2255</v>
      </c>
      <c r="B146" s="770" t="s">
        <v>2256</v>
      </c>
      <c r="C146" s="771" t="s">
        <v>2257</v>
      </c>
      <c r="D146" s="774">
        <v>0</v>
      </c>
      <c r="E146" s="774">
        <v>0</v>
      </c>
      <c r="F146" s="796"/>
      <c r="G146" s="783"/>
    </row>
    <row r="147" spans="1:7" s="648" customFormat="1" x14ac:dyDescent="0.2">
      <c r="A147" s="770" t="s">
        <v>2258</v>
      </c>
      <c r="B147" s="770" t="s">
        <v>2259</v>
      </c>
      <c r="C147" s="771" t="s">
        <v>2260</v>
      </c>
      <c r="D147" s="774">
        <v>464609.97918999998</v>
      </c>
      <c r="E147" s="774">
        <v>792636.85443000006</v>
      </c>
      <c r="F147" s="792"/>
      <c r="G147" s="793"/>
    </row>
    <row r="148" spans="1:7" s="648" customFormat="1" x14ac:dyDescent="0.2">
      <c r="A148" s="770" t="s">
        <v>2261</v>
      </c>
      <c r="B148" s="770" t="s">
        <v>2262</v>
      </c>
      <c r="C148" s="771" t="s">
        <v>2263</v>
      </c>
      <c r="D148" s="773"/>
      <c r="E148" s="773"/>
      <c r="F148" s="796"/>
      <c r="G148" s="783"/>
    </row>
    <row r="149" spans="1:7" s="648" customFormat="1" x14ac:dyDescent="0.2">
      <c r="A149" s="770" t="s">
        <v>2264</v>
      </c>
      <c r="B149" s="770" t="s">
        <v>2265</v>
      </c>
      <c r="C149" s="771" t="s">
        <v>2266</v>
      </c>
      <c r="D149" s="774">
        <v>57921.720520000003</v>
      </c>
      <c r="E149" s="774">
        <v>69769.464359999998</v>
      </c>
    </row>
    <row r="150" spans="1:7" s="648" customFormat="1" x14ac:dyDescent="0.2">
      <c r="A150" s="770" t="s">
        <v>2267</v>
      </c>
      <c r="B150" s="770" t="s">
        <v>2268</v>
      </c>
      <c r="C150" s="771" t="s">
        <v>2269</v>
      </c>
      <c r="D150" s="773"/>
      <c r="E150" s="773"/>
    </row>
    <row r="151" spans="1:7" s="648" customFormat="1" x14ac:dyDescent="0.2">
      <c r="A151" s="770" t="s">
        <v>2270</v>
      </c>
      <c r="B151" s="770" t="s">
        <v>2271</v>
      </c>
      <c r="C151" s="771" t="s">
        <v>2272</v>
      </c>
      <c r="D151" s="774">
        <v>5100</v>
      </c>
      <c r="E151" s="774">
        <v>3000</v>
      </c>
    </row>
    <row r="152" spans="1:7" s="648" customFormat="1" x14ac:dyDescent="0.2">
      <c r="A152" s="770" t="s">
        <v>2273</v>
      </c>
      <c r="B152" s="770" t="s">
        <v>2274</v>
      </c>
      <c r="C152" s="771" t="s">
        <v>2275</v>
      </c>
      <c r="D152" s="774">
        <v>328494.98949999997</v>
      </c>
      <c r="E152" s="774">
        <v>317727.97750000004</v>
      </c>
    </row>
    <row r="153" spans="1:7" s="648" customFormat="1" x14ac:dyDescent="0.2">
      <c r="A153" s="770" t="s">
        <v>2276</v>
      </c>
      <c r="B153" s="770" t="s">
        <v>2277</v>
      </c>
      <c r="C153" s="771" t="s">
        <v>2278</v>
      </c>
      <c r="D153" s="774">
        <v>61462.823000000004</v>
      </c>
      <c r="E153" s="774">
        <v>62972.760200000004</v>
      </c>
    </row>
    <row r="154" spans="1:7" s="648" customFormat="1" x14ac:dyDescent="0.2">
      <c r="A154" s="770" t="s">
        <v>2279</v>
      </c>
      <c r="B154" s="770" t="s">
        <v>2065</v>
      </c>
      <c r="C154" s="771" t="s">
        <v>2066</v>
      </c>
      <c r="D154" s="774">
        <v>161106.93393999999</v>
      </c>
      <c r="E154" s="774">
        <v>158894.90455000001</v>
      </c>
    </row>
    <row r="155" spans="1:7" s="648" customFormat="1" x14ac:dyDescent="0.2">
      <c r="A155" s="770" t="s">
        <v>2280</v>
      </c>
      <c r="B155" s="770" t="s">
        <v>2068</v>
      </c>
      <c r="C155" s="771" t="s">
        <v>2069</v>
      </c>
      <c r="D155" s="774">
        <v>70604.727209999997</v>
      </c>
      <c r="E155" s="774">
        <v>68513.683999999994</v>
      </c>
    </row>
    <row r="156" spans="1:7" s="648" customFormat="1" x14ac:dyDescent="0.2">
      <c r="A156" s="770" t="s">
        <v>2281</v>
      </c>
      <c r="B156" s="770" t="s">
        <v>2071</v>
      </c>
      <c r="C156" s="771" t="s">
        <v>2072</v>
      </c>
      <c r="D156" s="774">
        <v>553.48</v>
      </c>
      <c r="E156" s="774">
        <v>495.36600000000004</v>
      </c>
    </row>
    <row r="157" spans="1:7" s="648" customFormat="1" x14ac:dyDescent="0.2">
      <c r="A157" s="770" t="s">
        <v>2282</v>
      </c>
      <c r="B157" s="770" t="s">
        <v>2074</v>
      </c>
      <c r="C157" s="771" t="s">
        <v>2075</v>
      </c>
      <c r="D157" s="774">
        <v>11447.857</v>
      </c>
      <c r="E157" s="774">
        <v>12455.103999999999</v>
      </c>
    </row>
    <row r="158" spans="1:7" s="648" customFormat="1" x14ac:dyDescent="0.2">
      <c r="A158" s="770" t="s">
        <v>2283</v>
      </c>
      <c r="B158" s="770" t="s">
        <v>2077</v>
      </c>
      <c r="C158" s="771" t="s">
        <v>2078</v>
      </c>
      <c r="D158" s="774">
        <v>59665.097999999998</v>
      </c>
      <c r="E158" s="774">
        <v>57851.920000000006</v>
      </c>
    </row>
    <row r="159" spans="1:7" s="648" customFormat="1" x14ac:dyDescent="0.2">
      <c r="A159" s="770" t="s">
        <v>2284</v>
      </c>
      <c r="B159" s="770" t="s">
        <v>236</v>
      </c>
      <c r="C159" s="771" t="s">
        <v>2080</v>
      </c>
      <c r="D159" s="774">
        <v>15161.18822</v>
      </c>
      <c r="E159" s="774">
        <v>28182.034480000002</v>
      </c>
    </row>
    <row r="160" spans="1:7" s="648" customFormat="1" x14ac:dyDescent="0.2">
      <c r="A160" s="770" t="s">
        <v>2285</v>
      </c>
      <c r="B160" s="770" t="s">
        <v>2286</v>
      </c>
      <c r="C160" s="771" t="s">
        <v>2287</v>
      </c>
      <c r="D160" s="774">
        <v>5150.8750399999999</v>
      </c>
      <c r="E160" s="774">
        <v>18168.632409999998</v>
      </c>
    </row>
    <row r="161" spans="1:7" s="648" customFormat="1" x14ac:dyDescent="0.2">
      <c r="A161" s="770" t="s">
        <v>2288</v>
      </c>
      <c r="B161" s="770" t="s">
        <v>2289</v>
      </c>
      <c r="C161" s="771" t="s">
        <v>2290</v>
      </c>
      <c r="D161" s="774">
        <v>10598.473190000001</v>
      </c>
      <c r="E161" s="774">
        <v>4553.2387600000002</v>
      </c>
    </row>
    <row r="162" spans="1:7" s="648" customFormat="1" x14ac:dyDescent="0.2">
      <c r="A162" s="770" t="s">
        <v>2291</v>
      </c>
      <c r="B162" s="770" t="s">
        <v>2292</v>
      </c>
      <c r="C162" s="771" t="s">
        <v>2293</v>
      </c>
      <c r="D162" s="774">
        <v>13583.999680000001</v>
      </c>
      <c r="E162" s="774">
        <v>136472.18194000001</v>
      </c>
    </row>
    <row r="163" spans="1:7" s="648" customFormat="1" x14ac:dyDescent="0.2">
      <c r="A163" s="770" t="s">
        <v>2294</v>
      </c>
      <c r="B163" s="770" t="s">
        <v>2295</v>
      </c>
      <c r="C163" s="771" t="s">
        <v>2296</v>
      </c>
      <c r="D163" s="773"/>
      <c r="E163" s="773"/>
    </row>
    <row r="164" spans="1:7" s="648" customFormat="1" x14ac:dyDescent="0.2">
      <c r="A164" s="770" t="s">
        <v>2297</v>
      </c>
      <c r="B164" s="770" t="s">
        <v>2094</v>
      </c>
      <c r="C164" s="771" t="s">
        <v>2095</v>
      </c>
      <c r="D164" s="773">
        <v>1137.5</v>
      </c>
      <c r="E164" s="773">
        <v>1466.1111100000001</v>
      </c>
    </row>
    <row r="165" spans="1:7" s="648" customFormat="1" x14ac:dyDescent="0.2">
      <c r="A165" s="770" t="s">
        <v>2298</v>
      </c>
      <c r="B165" s="770" t="s">
        <v>2299</v>
      </c>
      <c r="C165" s="771" t="s">
        <v>2300</v>
      </c>
      <c r="D165" s="773"/>
      <c r="E165" s="773"/>
    </row>
    <row r="166" spans="1:7" s="648" customFormat="1" x14ac:dyDescent="0.2">
      <c r="A166" s="770" t="s">
        <v>2301</v>
      </c>
      <c r="B166" s="770" t="s">
        <v>2302</v>
      </c>
      <c r="C166" s="771" t="s">
        <v>2303</v>
      </c>
      <c r="D166" s="773">
        <v>3750</v>
      </c>
      <c r="E166" s="773">
        <v>17258</v>
      </c>
    </row>
    <row r="167" spans="1:7" s="648" customFormat="1" x14ac:dyDescent="0.2">
      <c r="A167" s="770" t="s">
        <v>2304</v>
      </c>
      <c r="B167" s="770" t="s">
        <v>2305</v>
      </c>
      <c r="C167" s="771" t="s">
        <v>2306</v>
      </c>
      <c r="D167" s="774">
        <v>63557.426480000002</v>
      </c>
      <c r="E167" s="774">
        <v>83239.721730000005</v>
      </c>
    </row>
    <row r="168" spans="1:7" s="764" customFormat="1" x14ac:dyDescent="0.2">
      <c r="A168" s="770" t="s">
        <v>2307</v>
      </c>
      <c r="B168" s="770" t="s">
        <v>2106</v>
      </c>
      <c r="C168" s="776" t="s">
        <v>2107</v>
      </c>
      <c r="D168" s="774">
        <v>17749.662069999998</v>
      </c>
      <c r="E168" s="774">
        <v>0</v>
      </c>
    </row>
    <row r="169" spans="1:7" s="764" customFormat="1" x14ac:dyDescent="0.2">
      <c r="A169" s="770" t="s">
        <v>2308</v>
      </c>
      <c r="B169" s="770" t="s">
        <v>2309</v>
      </c>
      <c r="C169" s="771" t="s">
        <v>2310</v>
      </c>
      <c r="D169" s="774">
        <v>11139.01138</v>
      </c>
      <c r="E169" s="774">
        <v>13435.19586</v>
      </c>
    </row>
    <row r="170" spans="1:7" s="764" customFormat="1" x14ac:dyDescent="0.2">
      <c r="A170" s="770" t="s">
        <v>2311</v>
      </c>
      <c r="B170" s="770" t="s">
        <v>2312</v>
      </c>
      <c r="C170" s="771" t="s">
        <v>2313</v>
      </c>
      <c r="D170" s="774">
        <v>27749.016100000001</v>
      </c>
      <c r="E170" s="774">
        <v>30230.98789</v>
      </c>
    </row>
    <row r="171" spans="1:7" s="764" customFormat="1" x14ac:dyDescent="0.2">
      <c r="A171" s="770" t="s">
        <v>2314</v>
      </c>
      <c r="B171" s="770" t="s">
        <v>2315</v>
      </c>
      <c r="C171" s="771" t="s">
        <v>2316</v>
      </c>
      <c r="D171" s="774">
        <v>457558.91717999999</v>
      </c>
      <c r="E171" s="774">
        <v>982197.44192999997</v>
      </c>
    </row>
    <row r="172" spans="1:7" s="764" customFormat="1" x14ac:dyDescent="0.2">
      <c r="A172" s="777" t="s">
        <v>2317</v>
      </c>
      <c r="B172" s="777" t="s">
        <v>2318</v>
      </c>
      <c r="C172" s="778" t="s">
        <v>2319</v>
      </c>
      <c r="D172" s="798">
        <v>110222.94145</v>
      </c>
      <c r="E172" s="798">
        <v>135219.34948</v>
      </c>
    </row>
    <row r="173" spans="1:7" s="764" customFormat="1" x14ac:dyDescent="0.2">
      <c r="F173" s="760"/>
      <c r="G173" s="760"/>
    </row>
    <row r="174" spans="1:7" s="764" customFormat="1" x14ac:dyDescent="0.2">
      <c r="F174" s="760"/>
      <c r="G174" s="760"/>
    </row>
    <row r="175" spans="1:7" s="764" customFormat="1" x14ac:dyDescent="0.2">
      <c r="D175" s="760"/>
      <c r="E175" s="760"/>
      <c r="F175" s="760"/>
      <c r="G175" s="760"/>
    </row>
    <row r="176" spans="1:7" s="764" customFormat="1" x14ac:dyDescent="0.2">
      <c r="D176" s="760"/>
      <c r="E176" s="760"/>
      <c r="F176" s="760"/>
      <c r="G176" s="760"/>
    </row>
    <row r="177" spans="4:7" s="764" customFormat="1" x14ac:dyDescent="0.2">
      <c r="D177" s="760"/>
      <c r="E177" s="760"/>
      <c r="F177" s="760"/>
      <c r="G177" s="760"/>
    </row>
    <row r="178" spans="4:7" s="764" customFormat="1" x14ac:dyDescent="0.2">
      <c r="D178" s="760"/>
      <c r="E178" s="760"/>
      <c r="F178" s="760"/>
      <c r="G178" s="760"/>
    </row>
    <row r="179" spans="4:7" s="764" customFormat="1" x14ac:dyDescent="0.2">
      <c r="D179" s="760"/>
      <c r="E179" s="760"/>
      <c r="F179" s="760"/>
      <c r="G179" s="760"/>
    </row>
    <row r="180" spans="4:7" s="764" customFormat="1" x14ac:dyDescent="0.2">
      <c r="D180" s="760"/>
      <c r="E180" s="760"/>
      <c r="F180" s="760"/>
      <c r="G180" s="760"/>
    </row>
    <row r="181" spans="4:7" s="764" customFormat="1" x14ac:dyDescent="0.2">
      <c r="D181" s="760"/>
      <c r="E181" s="760"/>
      <c r="F181" s="760"/>
      <c r="G181" s="760"/>
    </row>
    <row r="182" spans="4:7" s="764" customFormat="1" x14ac:dyDescent="0.2">
      <c r="D182" s="760"/>
      <c r="E182" s="760"/>
      <c r="F182" s="760"/>
      <c r="G182" s="760"/>
    </row>
    <row r="183" spans="4:7" s="764" customFormat="1" x14ac:dyDescent="0.2">
      <c r="D183" s="760"/>
      <c r="E183" s="760"/>
      <c r="F183" s="760"/>
      <c r="G183" s="760"/>
    </row>
    <row r="184" spans="4:7" s="764" customFormat="1" x14ac:dyDescent="0.2">
      <c r="D184" s="760"/>
      <c r="E184" s="760"/>
      <c r="F184" s="760"/>
      <c r="G184" s="760"/>
    </row>
    <row r="185" spans="4:7" s="764" customFormat="1" x14ac:dyDescent="0.2">
      <c r="D185" s="760"/>
      <c r="E185" s="760"/>
      <c r="F185" s="760"/>
      <c r="G185" s="760"/>
    </row>
    <row r="186" spans="4:7" s="764" customFormat="1" x14ac:dyDescent="0.2">
      <c r="D186" s="760"/>
      <c r="E186" s="760"/>
      <c r="F186" s="760"/>
      <c r="G186" s="760"/>
    </row>
    <row r="187" spans="4:7" s="764" customFormat="1" x14ac:dyDescent="0.2">
      <c r="D187" s="760"/>
      <c r="E187" s="760"/>
      <c r="F187" s="760"/>
      <c r="G187" s="760"/>
    </row>
    <row r="188" spans="4:7" s="764" customFormat="1" x14ac:dyDescent="0.2">
      <c r="D188" s="760"/>
      <c r="E188" s="760"/>
      <c r="F188" s="760"/>
      <c r="G188" s="760"/>
    </row>
    <row r="189" spans="4:7" s="764" customFormat="1" x14ac:dyDescent="0.2">
      <c r="D189" s="760"/>
      <c r="E189" s="760"/>
      <c r="F189" s="760"/>
      <c r="G189" s="760"/>
    </row>
    <row r="190" spans="4:7" s="764" customFormat="1" x14ac:dyDescent="0.2">
      <c r="D190" s="760"/>
      <c r="E190" s="760"/>
      <c r="F190" s="760"/>
      <c r="G190" s="760"/>
    </row>
    <row r="191" spans="4:7" s="764" customFormat="1" x14ac:dyDescent="0.2">
      <c r="D191" s="760"/>
      <c r="E191" s="760"/>
      <c r="F191" s="760"/>
      <c r="G191" s="760"/>
    </row>
    <row r="192" spans="4:7" s="764" customFormat="1" x14ac:dyDescent="0.2">
      <c r="D192" s="760"/>
      <c r="E192" s="760"/>
      <c r="F192" s="760"/>
      <c r="G192" s="760"/>
    </row>
    <row r="193" spans="4:7" s="764" customFormat="1" x14ac:dyDescent="0.2">
      <c r="D193" s="760"/>
      <c r="E193" s="760"/>
      <c r="F193" s="760"/>
      <c r="G193" s="760"/>
    </row>
    <row r="194" spans="4:7" s="764" customFormat="1" x14ac:dyDescent="0.2">
      <c r="D194" s="760"/>
      <c r="E194" s="760"/>
      <c r="F194" s="760"/>
      <c r="G194" s="760"/>
    </row>
    <row r="195" spans="4:7" s="764" customFormat="1" x14ac:dyDescent="0.2">
      <c r="D195" s="760"/>
      <c r="E195" s="760"/>
      <c r="F195" s="760"/>
      <c r="G195" s="760"/>
    </row>
    <row r="196" spans="4:7" s="764" customFormat="1" x14ac:dyDescent="0.2">
      <c r="D196" s="760"/>
      <c r="E196" s="760"/>
      <c r="F196" s="760"/>
      <c r="G196" s="760"/>
    </row>
    <row r="197" spans="4:7" s="764" customFormat="1" x14ac:dyDescent="0.2">
      <c r="D197" s="760"/>
      <c r="E197" s="760"/>
      <c r="F197" s="760"/>
      <c r="G197" s="760"/>
    </row>
    <row r="198" spans="4:7" s="764" customFormat="1" x14ac:dyDescent="0.2">
      <c r="D198" s="760"/>
      <c r="E198" s="760"/>
      <c r="F198" s="760"/>
      <c r="G198" s="760"/>
    </row>
    <row r="199" spans="4:7" s="764" customFormat="1" x14ac:dyDescent="0.2">
      <c r="D199" s="760"/>
      <c r="E199" s="760"/>
      <c r="F199" s="760"/>
      <c r="G199" s="760"/>
    </row>
    <row r="200" spans="4:7" s="764" customFormat="1" x14ac:dyDescent="0.2">
      <c r="D200" s="760"/>
      <c r="E200" s="760"/>
      <c r="F200" s="760"/>
      <c r="G200" s="760"/>
    </row>
    <row r="201" spans="4:7" s="764" customFormat="1" x14ac:dyDescent="0.2">
      <c r="D201" s="760"/>
      <c r="E201" s="760"/>
      <c r="F201" s="760"/>
      <c r="G201" s="760"/>
    </row>
    <row r="202" spans="4:7" s="764" customFormat="1" x14ac:dyDescent="0.2">
      <c r="D202" s="760"/>
      <c r="E202" s="760"/>
      <c r="F202" s="760"/>
      <c r="G202" s="760"/>
    </row>
    <row r="203" spans="4:7" s="764" customFormat="1" x14ac:dyDescent="0.2">
      <c r="D203" s="760"/>
      <c r="E203" s="760"/>
      <c r="F203" s="760"/>
      <c r="G203" s="760"/>
    </row>
    <row r="204" spans="4:7" s="764" customFormat="1" x14ac:dyDescent="0.2">
      <c r="D204" s="760"/>
      <c r="E204" s="760"/>
      <c r="F204" s="760"/>
      <c r="G204" s="760"/>
    </row>
    <row r="205" spans="4:7" s="764" customFormat="1" x14ac:dyDescent="0.2">
      <c r="D205" s="760"/>
      <c r="E205" s="760"/>
      <c r="F205" s="760"/>
      <c r="G205" s="760"/>
    </row>
    <row r="206" spans="4:7" s="764" customFormat="1" x14ac:dyDescent="0.2">
      <c r="D206" s="760"/>
      <c r="E206" s="760"/>
      <c r="F206" s="760"/>
      <c r="G206" s="760"/>
    </row>
    <row r="207" spans="4:7" s="764" customFormat="1" x14ac:dyDescent="0.2">
      <c r="D207" s="760"/>
      <c r="E207" s="760"/>
      <c r="F207" s="760"/>
      <c r="G207" s="760"/>
    </row>
    <row r="208" spans="4:7" s="764" customFormat="1" x14ac:dyDescent="0.2">
      <c r="D208" s="760"/>
      <c r="E208" s="760"/>
      <c r="F208" s="760"/>
      <c r="G208" s="760"/>
    </row>
    <row r="209" spans="4:7" s="764" customFormat="1" x14ac:dyDescent="0.2">
      <c r="D209" s="760"/>
      <c r="E209" s="760"/>
      <c r="F209" s="760"/>
      <c r="G209" s="760"/>
    </row>
    <row r="210" spans="4:7" s="764" customFormat="1" x14ac:dyDescent="0.2">
      <c r="D210" s="760"/>
      <c r="E210" s="760"/>
      <c r="F210" s="760"/>
      <c r="G210" s="760"/>
    </row>
    <row r="211" spans="4:7" s="764" customFormat="1" x14ac:dyDescent="0.2">
      <c r="D211" s="760"/>
      <c r="E211" s="760"/>
      <c r="F211" s="760"/>
      <c r="G211" s="760"/>
    </row>
    <row r="212" spans="4:7" s="764" customFormat="1" x14ac:dyDescent="0.2">
      <c r="D212" s="760"/>
      <c r="E212" s="760"/>
      <c r="F212" s="760"/>
      <c r="G212" s="760"/>
    </row>
    <row r="213" spans="4:7" s="764" customFormat="1" x14ac:dyDescent="0.2">
      <c r="D213" s="760"/>
      <c r="E213" s="760"/>
      <c r="F213" s="760"/>
      <c r="G213" s="760"/>
    </row>
    <row r="214" spans="4:7" s="764" customFormat="1" x14ac:dyDescent="0.2">
      <c r="D214" s="760"/>
      <c r="E214" s="760"/>
      <c r="F214" s="760"/>
      <c r="G214" s="760"/>
    </row>
    <row r="215" spans="4:7" s="764" customFormat="1" x14ac:dyDescent="0.2">
      <c r="D215" s="760"/>
      <c r="E215" s="760"/>
      <c r="F215" s="760"/>
      <c r="G215" s="760"/>
    </row>
    <row r="216" spans="4:7" s="764" customFormat="1" x14ac:dyDescent="0.2">
      <c r="D216" s="760"/>
      <c r="E216" s="760"/>
      <c r="F216" s="760"/>
      <c r="G216" s="760"/>
    </row>
    <row r="217" spans="4:7" s="764" customFormat="1" x14ac:dyDescent="0.2">
      <c r="D217" s="760"/>
      <c r="E217" s="760"/>
      <c r="F217" s="760"/>
      <c r="G217" s="760"/>
    </row>
    <row r="218" spans="4:7" s="764" customFormat="1" x14ac:dyDescent="0.2">
      <c r="D218" s="760"/>
      <c r="E218" s="760"/>
      <c r="F218" s="760"/>
      <c r="G218" s="760"/>
    </row>
    <row r="219" spans="4:7" s="764" customFormat="1" x14ac:dyDescent="0.2">
      <c r="D219" s="799"/>
      <c r="E219" s="799"/>
      <c r="F219" s="799"/>
      <c r="G219" s="799"/>
    </row>
    <row r="220" spans="4:7" s="764" customFormat="1" x14ac:dyDescent="0.2">
      <c r="D220" s="799"/>
      <c r="E220" s="799"/>
      <c r="F220" s="799"/>
      <c r="G220" s="799"/>
    </row>
    <row r="221" spans="4:7" s="764" customFormat="1" x14ac:dyDescent="0.2">
      <c r="D221" s="799"/>
      <c r="E221" s="799"/>
      <c r="F221" s="799"/>
      <c r="G221" s="799"/>
    </row>
    <row r="222" spans="4:7" s="764" customFormat="1" x14ac:dyDescent="0.2">
      <c r="D222" s="799"/>
      <c r="E222" s="799"/>
      <c r="F222" s="799"/>
      <c r="G222" s="799"/>
    </row>
    <row r="223" spans="4:7" s="764" customFormat="1" x14ac:dyDescent="0.2">
      <c r="D223" s="799"/>
      <c r="E223" s="799"/>
      <c r="F223" s="799"/>
      <c r="G223" s="799"/>
    </row>
    <row r="224" spans="4:7" s="764" customFormat="1" x14ac:dyDescent="0.2">
      <c r="D224" s="799"/>
      <c r="E224" s="799"/>
      <c r="F224" s="799"/>
      <c r="G224" s="799"/>
    </row>
    <row r="225" spans="4:7" s="764" customFormat="1" x14ac:dyDescent="0.2">
      <c r="D225" s="799"/>
      <c r="E225" s="799"/>
      <c r="F225" s="799"/>
      <c r="G225" s="799"/>
    </row>
    <row r="226" spans="4:7" s="764" customFormat="1" x14ac:dyDescent="0.2">
      <c r="D226" s="799"/>
      <c r="E226" s="799"/>
      <c r="F226" s="799"/>
      <c r="G226" s="799"/>
    </row>
    <row r="227" spans="4:7" s="764" customFormat="1" x14ac:dyDescent="0.2">
      <c r="D227" s="799"/>
      <c r="E227" s="799"/>
      <c r="F227" s="799"/>
      <c r="G227" s="799"/>
    </row>
    <row r="228" spans="4:7" s="764" customFormat="1" x14ac:dyDescent="0.2">
      <c r="D228" s="799"/>
      <c r="E228" s="799"/>
      <c r="F228" s="799"/>
      <c r="G228" s="799"/>
    </row>
    <row r="229" spans="4:7" s="764" customFormat="1" x14ac:dyDescent="0.2">
      <c r="D229" s="799"/>
      <c r="E229" s="799"/>
      <c r="F229" s="799"/>
      <c r="G229" s="799"/>
    </row>
    <row r="230" spans="4:7" s="764" customFormat="1" x14ac:dyDescent="0.2">
      <c r="D230" s="799"/>
      <c r="E230" s="799"/>
      <c r="F230" s="799"/>
      <c r="G230" s="799"/>
    </row>
    <row r="231" spans="4:7" s="764" customFormat="1" x14ac:dyDescent="0.2">
      <c r="D231" s="799"/>
      <c r="E231" s="799"/>
      <c r="F231" s="799"/>
      <c r="G231" s="799"/>
    </row>
    <row r="232" spans="4:7" s="764" customFormat="1" x14ac:dyDescent="0.2">
      <c r="D232" s="799"/>
      <c r="E232" s="799"/>
      <c r="F232" s="799"/>
      <c r="G232" s="799"/>
    </row>
    <row r="233" spans="4:7" s="764" customFormat="1" x14ac:dyDescent="0.2">
      <c r="D233" s="799"/>
      <c r="E233" s="799"/>
      <c r="F233" s="799"/>
      <c r="G233" s="799"/>
    </row>
    <row r="234" spans="4:7" s="764" customFormat="1" x14ac:dyDescent="0.2">
      <c r="D234" s="799"/>
      <c r="E234" s="799"/>
      <c r="F234" s="799"/>
      <c r="G234" s="799"/>
    </row>
    <row r="235" spans="4:7" s="764" customFormat="1" x14ac:dyDescent="0.2">
      <c r="D235" s="799"/>
      <c r="E235" s="799"/>
      <c r="F235" s="799"/>
      <c r="G235" s="799"/>
    </row>
    <row r="236" spans="4:7" s="764" customFormat="1" x14ac:dyDescent="0.2">
      <c r="D236" s="799"/>
      <c r="E236" s="799"/>
      <c r="F236" s="799"/>
      <c r="G236" s="799"/>
    </row>
    <row r="237" spans="4:7" s="764" customFormat="1" x14ac:dyDescent="0.2">
      <c r="D237" s="799"/>
      <c r="E237" s="799"/>
      <c r="F237" s="799"/>
      <c r="G237" s="799"/>
    </row>
    <row r="238" spans="4:7" s="764" customFormat="1" x14ac:dyDescent="0.2">
      <c r="D238" s="799"/>
      <c r="E238" s="799"/>
      <c r="F238" s="799"/>
      <c r="G238" s="799"/>
    </row>
    <row r="239" spans="4:7" s="764" customFormat="1" x14ac:dyDescent="0.2">
      <c r="D239" s="799"/>
      <c r="E239" s="799"/>
      <c r="F239" s="799"/>
      <c r="G239" s="799"/>
    </row>
    <row r="240" spans="4:7" s="764" customFormat="1" x14ac:dyDescent="0.2">
      <c r="D240" s="799"/>
      <c r="E240" s="799"/>
      <c r="F240" s="799"/>
      <c r="G240" s="799"/>
    </row>
    <row r="241" spans="4:7" s="764" customFormat="1" x14ac:dyDescent="0.2">
      <c r="D241" s="799"/>
      <c r="E241" s="799"/>
      <c r="F241" s="799"/>
      <c r="G241" s="799"/>
    </row>
    <row r="242" spans="4:7" s="764" customFormat="1" x14ac:dyDescent="0.2">
      <c r="D242" s="799"/>
      <c r="E242" s="799"/>
      <c r="F242" s="799"/>
      <c r="G242" s="799"/>
    </row>
    <row r="243" spans="4:7" s="764" customFormat="1" x14ac:dyDescent="0.2">
      <c r="D243" s="799"/>
      <c r="E243" s="799"/>
      <c r="F243" s="799"/>
      <c r="G243" s="799"/>
    </row>
    <row r="244" spans="4:7" s="764" customFormat="1" x14ac:dyDescent="0.2">
      <c r="D244" s="799"/>
      <c r="E244" s="799"/>
      <c r="F244" s="799"/>
      <c r="G244" s="799"/>
    </row>
    <row r="245" spans="4:7" s="764" customFormat="1" x14ac:dyDescent="0.2">
      <c r="D245" s="799"/>
      <c r="E245" s="799"/>
      <c r="F245" s="799"/>
      <c r="G245" s="799"/>
    </row>
    <row r="246" spans="4:7" s="764" customFormat="1" x14ac:dyDescent="0.2">
      <c r="D246" s="799"/>
      <c r="E246" s="799"/>
      <c r="F246" s="799"/>
      <c r="G246" s="799"/>
    </row>
    <row r="247" spans="4:7" s="764" customFormat="1" x14ac:dyDescent="0.2">
      <c r="D247" s="799"/>
      <c r="E247" s="799"/>
      <c r="F247" s="799"/>
      <c r="G247" s="799"/>
    </row>
    <row r="248" spans="4:7" s="764" customFormat="1" x14ac:dyDescent="0.2">
      <c r="D248" s="799"/>
      <c r="E248" s="799"/>
      <c r="F248" s="799"/>
      <c r="G248" s="799"/>
    </row>
    <row r="249" spans="4:7" s="764" customFormat="1" x14ac:dyDescent="0.2">
      <c r="D249" s="799"/>
      <c r="E249" s="799"/>
      <c r="F249" s="799"/>
      <c r="G249" s="799"/>
    </row>
    <row r="250" spans="4:7" s="764" customFormat="1" x14ac:dyDescent="0.2">
      <c r="D250" s="799"/>
      <c r="E250" s="799"/>
      <c r="F250" s="799"/>
      <c r="G250" s="799"/>
    </row>
    <row r="251" spans="4:7" s="764" customFormat="1" x14ac:dyDescent="0.2">
      <c r="D251" s="799"/>
      <c r="E251" s="799"/>
      <c r="F251" s="799"/>
      <c r="G251" s="799"/>
    </row>
    <row r="252" spans="4:7" s="764" customFormat="1" x14ac:dyDescent="0.2">
      <c r="D252" s="799"/>
      <c r="E252" s="799"/>
      <c r="F252" s="799"/>
      <c r="G252" s="799"/>
    </row>
    <row r="253" spans="4:7" s="764" customFormat="1" x14ac:dyDescent="0.2">
      <c r="D253" s="799"/>
      <c r="E253" s="799"/>
      <c r="F253" s="799"/>
      <c r="G253" s="799"/>
    </row>
    <row r="254" spans="4:7" s="764" customFormat="1" x14ac:dyDescent="0.2">
      <c r="D254" s="799"/>
      <c r="E254" s="799"/>
      <c r="F254" s="799"/>
      <c r="G254" s="799"/>
    </row>
    <row r="255" spans="4:7" s="764" customFormat="1" x14ac:dyDescent="0.2">
      <c r="D255" s="799"/>
      <c r="E255" s="799"/>
      <c r="F255" s="799"/>
      <c r="G255" s="799"/>
    </row>
    <row r="256" spans="4:7" s="764" customFormat="1" x14ac:dyDescent="0.2">
      <c r="D256" s="799"/>
      <c r="E256" s="799"/>
      <c r="F256" s="799"/>
      <c r="G256" s="799"/>
    </row>
    <row r="257" spans="4:7" s="764" customFormat="1" x14ac:dyDescent="0.2">
      <c r="D257" s="799"/>
      <c r="E257" s="799"/>
      <c r="F257" s="799"/>
      <c r="G257" s="799"/>
    </row>
    <row r="258" spans="4:7" s="764" customFormat="1" x14ac:dyDescent="0.2">
      <c r="D258" s="799"/>
      <c r="E258" s="799"/>
      <c r="F258" s="799"/>
      <c r="G258" s="799"/>
    </row>
    <row r="259" spans="4:7" s="764" customFormat="1" x14ac:dyDescent="0.2">
      <c r="D259" s="799"/>
      <c r="E259" s="799"/>
      <c r="F259" s="799"/>
      <c r="G259" s="799"/>
    </row>
    <row r="260" spans="4:7" s="764" customFormat="1" x14ac:dyDescent="0.2">
      <c r="D260" s="799"/>
      <c r="E260" s="799"/>
      <c r="F260" s="799"/>
      <c r="G260" s="799"/>
    </row>
    <row r="261" spans="4:7" s="764" customFormat="1" x14ac:dyDescent="0.2">
      <c r="D261" s="799"/>
      <c r="E261" s="799"/>
      <c r="F261" s="799"/>
      <c r="G261" s="799"/>
    </row>
    <row r="262" spans="4:7" s="764" customFormat="1" x14ac:dyDescent="0.2">
      <c r="D262" s="799"/>
      <c r="E262" s="799"/>
      <c r="F262" s="799"/>
      <c r="G262" s="799"/>
    </row>
  </sheetData>
  <mergeCells count="10">
    <mergeCell ref="A107:B108"/>
    <mergeCell ref="C107:C108"/>
    <mergeCell ref="D107:E107"/>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67" firstPageNumber="456" fitToHeight="2" orientation="portrait" useFirstPageNumber="1" r:id="rId1"/>
  <headerFooter alignWithMargins="0">
    <oddHeader>&amp;L&amp;"Tahoma,Kurzíva"Závěrečný účet za rok 2015&amp;R&amp;"Tahoma,Kurzíva"Tabulka č. 30</oddHeader>
    <oddFooter>&amp;C&amp;"Tahoma,Obyčejné"&amp;P</oddFooter>
  </headerFooter>
  <rowBreaks count="1" manualBreakCount="1">
    <brk id="80" max="6"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2"/>
  <sheetViews>
    <sheetView showGridLines="0" zoomScaleNormal="100" zoomScaleSheetLayoutView="100" workbookViewId="0">
      <selection activeCell="I5" sqref="I5"/>
    </sheetView>
  </sheetViews>
  <sheetFormatPr defaultRowHeight="12.75" x14ac:dyDescent="0.2"/>
  <cols>
    <col min="1" max="1" width="9.140625" style="211"/>
    <col min="2" max="2" width="45.42578125" style="211" customWidth="1"/>
    <col min="3" max="3" width="8.5703125" style="211" customWidth="1"/>
    <col min="4" max="4" width="14" style="211" customWidth="1"/>
    <col min="5" max="5" width="13.7109375" style="211" customWidth="1"/>
    <col min="6" max="6" width="14" style="211" customWidth="1"/>
    <col min="7" max="7" width="13.140625" style="211" customWidth="1"/>
    <col min="8" max="16384" width="9.140625" style="211"/>
  </cols>
  <sheetData>
    <row r="1" spans="1:7" s="759" customFormat="1" ht="18" customHeight="1" x14ac:dyDescent="0.2">
      <c r="A1" s="1493" t="s">
        <v>2320</v>
      </c>
      <c r="B1" s="1493"/>
      <c r="C1" s="1493"/>
      <c r="D1" s="1493"/>
      <c r="E1" s="1493"/>
      <c r="F1" s="1493"/>
      <c r="G1" s="1493"/>
    </row>
    <row r="2" spans="1:7" s="759" customFormat="1" ht="18" customHeight="1" x14ac:dyDescent="0.2">
      <c r="A2" s="1494" t="s">
        <v>2321</v>
      </c>
      <c r="B2" s="1494"/>
      <c r="C2" s="1494"/>
      <c r="D2" s="1494"/>
      <c r="E2" s="1494"/>
      <c r="F2" s="1494"/>
      <c r="G2" s="1494"/>
    </row>
    <row r="3" spans="1:7" s="648" customFormat="1" x14ac:dyDescent="0.2">
      <c r="C3" s="546"/>
      <c r="D3" s="800"/>
      <c r="E3" s="801"/>
      <c r="F3" s="801"/>
      <c r="G3" s="801"/>
    </row>
    <row r="4" spans="1:7" s="764" customFormat="1" x14ac:dyDescent="0.2">
      <c r="A4" s="761"/>
      <c r="B4" s="761"/>
      <c r="C4" s="762"/>
      <c r="D4" s="802">
        <v>1</v>
      </c>
      <c r="E4" s="802">
        <v>2</v>
      </c>
      <c r="F4" s="802">
        <v>3</v>
      </c>
      <c r="G4" s="802">
        <v>4</v>
      </c>
    </row>
    <row r="5" spans="1:7" s="765" customFormat="1" ht="12.75" customHeight="1" x14ac:dyDescent="0.2">
      <c r="A5" s="1495" t="s">
        <v>1876</v>
      </c>
      <c r="B5" s="1496"/>
      <c r="C5" s="1501" t="s">
        <v>1877</v>
      </c>
      <c r="D5" s="1506" t="s">
        <v>1878</v>
      </c>
      <c r="E5" s="1507"/>
      <c r="F5" s="1507"/>
      <c r="G5" s="1508"/>
    </row>
    <row r="6" spans="1:7" s="765" customFormat="1" x14ac:dyDescent="0.2">
      <c r="A6" s="1497"/>
      <c r="B6" s="1498"/>
      <c r="C6" s="1502"/>
      <c r="D6" s="1509" t="s">
        <v>1879</v>
      </c>
      <c r="E6" s="1510"/>
      <c r="F6" s="1511"/>
      <c r="G6" s="1512" t="s">
        <v>1880</v>
      </c>
    </row>
    <row r="7" spans="1:7" s="765" customFormat="1" x14ac:dyDescent="0.2">
      <c r="A7" s="1499"/>
      <c r="B7" s="1500"/>
      <c r="C7" s="1502"/>
      <c r="D7" s="803" t="s">
        <v>1881</v>
      </c>
      <c r="E7" s="803" t="s">
        <v>1882</v>
      </c>
      <c r="F7" s="803" t="s">
        <v>1883</v>
      </c>
      <c r="G7" s="1513"/>
    </row>
    <row r="8" spans="1:7" s="765" customFormat="1" x14ac:dyDescent="0.2">
      <c r="A8" s="804"/>
      <c r="B8" s="804" t="s">
        <v>1884</v>
      </c>
      <c r="C8" s="805" t="s">
        <v>133</v>
      </c>
      <c r="D8" s="769">
        <v>12642055.55899</v>
      </c>
      <c r="E8" s="769">
        <v>1646257.4390399999</v>
      </c>
      <c r="F8" s="769">
        <v>10995798.11995</v>
      </c>
      <c r="G8" s="769">
        <v>11041741.543540001</v>
      </c>
    </row>
    <row r="9" spans="1:7" s="765" customFormat="1" x14ac:dyDescent="0.2">
      <c r="A9" s="804" t="s">
        <v>1885</v>
      </c>
      <c r="B9" s="804" t="s">
        <v>1886</v>
      </c>
      <c r="C9" s="805" t="s">
        <v>133</v>
      </c>
      <c r="D9" s="769">
        <v>7742341.5646400005</v>
      </c>
      <c r="E9" s="769">
        <v>1623533.65707</v>
      </c>
      <c r="F9" s="769">
        <v>6118807.9075699998</v>
      </c>
      <c r="G9" s="769">
        <v>6493537.6509600002</v>
      </c>
    </row>
    <row r="10" spans="1:7" s="765" customFormat="1" x14ac:dyDescent="0.2">
      <c r="A10" s="804" t="s">
        <v>1887</v>
      </c>
      <c r="B10" s="804" t="s">
        <v>1888</v>
      </c>
      <c r="C10" s="805" t="s">
        <v>133</v>
      </c>
      <c r="D10" s="769">
        <v>280814.15031</v>
      </c>
      <c r="E10" s="769">
        <v>191188.39041999998</v>
      </c>
      <c r="F10" s="769">
        <v>89625.759890000001</v>
      </c>
      <c r="G10" s="769">
        <v>94728.883000000002</v>
      </c>
    </row>
    <row r="11" spans="1:7" s="648" customFormat="1" x14ac:dyDescent="0.2">
      <c r="A11" s="770" t="s">
        <v>1889</v>
      </c>
      <c r="B11" s="770" t="s">
        <v>1890</v>
      </c>
      <c r="C11" s="776" t="s">
        <v>1891</v>
      </c>
      <c r="D11" s="806"/>
      <c r="E11" s="807">
        <v>0</v>
      </c>
      <c r="F11" s="806"/>
      <c r="G11" s="806"/>
    </row>
    <row r="12" spans="1:7" s="648" customFormat="1" x14ac:dyDescent="0.2">
      <c r="A12" s="770" t="s">
        <v>1892</v>
      </c>
      <c r="B12" s="770" t="s">
        <v>1893</v>
      </c>
      <c r="C12" s="776" t="s">
        <v>1894</v>
      </c>
      <c r="D12" s="806">
        <v>160086.60702000002</v>
      </c>
      <c r="E12" s="807">
        <v>95122.226769999994</v>
      </c>
      <c r="F12" s="806">
        <v>64964.380250000002</v>
      </c>
      <c r="G12" s="806">
        <v>52321.172259999999</v>
      </c>
    </row>
    <row r="13" spans="1:7" s="648" customFormat="1" x14ac:dyDescent="0.2">
      <c r="A13" s="770" t="s">
        <v>1895</v>
      </c>
      <c r="B13" s="770" t="s">
        <v>320</v>
      </c>
      <c r="C13" s="776" t="s">
        <v>1896</v>
      </c>
      <c r="D13" s="806">
        <v>3525.12</v>
      </c>
      <c r="E13" s="806">
        <v>3357.201</v>
      </c>
      <c r="F13" s="806">
        <v>167.91900000000001</v>
      </c>
      <c r="G13" s="806">
        <v>213.20500000000001</v>
      </c>
    </row>
    <row r="14" spans="1:7" s="648" customFormat="1" x14ac:dyDescent="0.2">
      <c r="A14" s="770" t="s">
        <v>1897</v>
      </c>
      <c r="B14" s="770" t="s">
        <v>1898</v>
      </c>
      <c r="C14" s="776" t="s">
        <v>1899</v>
      </c>
      <c r="D14" s="806"/>
      <c r="E14" s="806"/>
      <c r="F14" s="806"/>
      <c r="G14" s="806"/>
    </row>
    <row r="15" spans="1:7" s="648" customFormat="1" x14ac:dyDescent="0.2">
      <c r="A15" s="770" t="s">
        <v>1900</v>
      </c>
      <c r="B15" s="770" t="s">
        <v>1901</v>
      </c>
      <c r="C15" s="776" t="s">
        <v>1902</v>
      </c>
      <c r="D15" s="806">
        <v>30666.524600000001</v>
      </c>
      <c r="E15" s="806">
        <v>30666.524600000001</v>
      </c>
      <c r="F15" s="806"/>
      <c r="G15" s="806"/>
    </row>
    <row r="16" spans="1:7" s="648" customFormat="1" x14ac:dyDescent="0.2">
      <c r="A16" s="770" t="s">
        <v>1903</v>
      </c>
      <c r="B16" s="770" t="s">
        <v>1904</v>
      </c>
      <c r="C16" s="776" t="s">
        <v>1905</v>
      </c>
      <c r="D16" s="806">
        <v>86535.898690000002</v>
      </c>
      <c r="E16" s="806">
        <v>62042.438049999997</v>
      </c>
      <c r="F16" s="806">
        <v>24493.460640000001</v>
      </c>
      <c r="G16" s="806">
        <v>36920.728139999999</v>
      </c>
    </row>
    <row r="17" spans="1:7" s="648" customFormat="1" x14ac:dyDescent="0.2">
      <c r="A17" s="770" t="s">
        <v>1906</v>
      </c>
      <c r="B17" s="770" t="s">
        <v>1907</v>
      </c>
      <c r="C17" s="776" t="s">
        <v>1908</v>
      </c>
      <c r="D17" s="806"/>
      <c r="E17" s="806"/>
      <c r="F17" s="806"/>
      <c r="G17" s="806">
        <v>4973.7775999999994</v>
      </c>
    </row>
    <row r="18" spans="1:7" s="648" customFormat="1" ht="21" x14ac:dyDescent="0.2">
      <c r="A18" s="770" t="s">
        <v>1909</v>
      </c>
      <c r="B18" s="808" t="s">
        <v>1910</v>
      </c>
      <c r="C18" s="776" t="s">
        <v>1911</v>
      </c>
      <c r="D18" s="806"/>
      <c r="E18" s="806"/>
      <c r="F18" s="806"/>
      <c r="G18" s="806"/>
    </row>
    <row r="19" spans="1:7" s="648" customFormat="1" x14ac:dyDescent="0.2">
      <c r="A19" s="770" t="s">
        <v>1912</v>
      </c>
      <c r="B19" s="770" t="s">
        <v>1913</v>
      </c>
      <c r="C19" s="776" t="s">
        <v>1914</v>
      </c>
      <c r="D19" s="807">
        <v>0</v>
      </c>
      <c r="E19" s="807">
        <v>0</v>
      </c>
      <c r="F19" s="807">
        <v>0</v>
      </c>
      <c r="G19" s="806">
        <v>300</v>
      </c>
    </row>
    <row r="20" spans="1:7" s="648" customFormat="1" x14ac:dyDescent="0.2">
      <c r="A20" s="770" t="s">
        <v>1915</v>
      </c>
      <c r="B20" s="770" t="s">
        <v>1916</v>
      </c>
      <c r="C20" s="776" t="s">
        <v>1917</v>
      </c>
      <c r="D20" s="806"/>
      <c r="E20" s="807"/>
      <c r="F20" s="806"/>
      <c r="G20" s="806"/>
    </row>
    <row r="21" spans="1:7" s="765" customFormat="1" x14ac:dyDescent="0.2">
      <c r="A21" s="809" t="s">
        <v>1918</v>
      </c>
      <c r="B21" s="809" t="s">
        <v>1919</v>
      </c>
      <c r="C21" s="810" t="s">
        <v>133</v>
      </c>
      <c r="D21" s="769">
        <v>5526624.1614300003</v>
      </c>
      <c r="E21" s="811">
        <v>1309596.1796199998</v>
      </c>
      <c r="F21" s="769">
        <v>4217027.9818099998</v>
      </c>
      <c r="G21" s="769">
        <v>3962417.21894</v>
      </c>
    </row>
    <row r="22" spans="1:7" s="648" customFormat="1" x14ac:dyDescent="0.2">
      <c r="A22" s="770" t="s">
        <v>1920</v>
      </c>
      <c r="B22" s="770" t="s">
        <v>264</v>
      </c>
      <c r="C22" s="776" t="s">
        <v>1921</v>
      </c>
      <c r="D22" s="806">
        <v>129839.28573</v>
      </c>
      <c r="E22" s="807">
        <v>0</v>
      </c>
      <c r="F22" s="806">
        <v>129839.28573</v>
      </c>
      <c r="G22" s="806">
        <v>122434.88797</v>
      </c>
    </row>
    <row r="23" spans="1:7" s="648" customFormat="1" x14ac:dyDescent="0.2">
      <c r="A23" s="770" t="s">
        <v>1922</v>
      </c>
      <c r="B23" s="770" t="s">
        <v>1923</v>
      </c>
      <c r="C23" s="776" t="s">
        <v>1924</v>
      </c>
      <c r="D23" s="806">
        <v>11569</v>
      </c>
      <c r="E23" s="807">
        <v>0</v>
      </c>
      <c r="F23" s="806">
        <v>11569</v>
      </c>
      <c r="G23" s="806">
        <v>129</v>
      </c>
    </row>
    <row r="24" spans="1:7" s="648" customFormat="1" x14ac:dyDescent="0.2">
      <c r="A24" s="770" t="s">
        <v>1925</v>
      </c>
      <c r="B24" s="770" t="s">
        <v>1926</v>
      </c>
      <c r="C24" s="776" t="s">
        <v>1927</v>
      </c>
      <c r="D24" s="806">
        <v>2175247.4243200002</v>
      </c>
      <c r="E24" s="807">
        <v>516699.33055000001</v>
      </c>
      <c r="F24" s="806">
        <v>1658548.0937699999</v>
      </c>
      <c r="G24" s="806">
        <v>1433649.9391900001</v>
      </c>
    </row>
    <row r="25" spans="1:7" s="648" customFormat="1" ht="21" x14ac:dyDescent="0.2">
      <c r="A25" s="770" t="s">
        <v>1928</v>
      </c>
      <c r="B25" s="770" t="s">
        <v>1929</v>
      </c>
      <c r="C25" s="776" t="s">
        <v>1930</v>
      </c>
      <c r="D25" s="806">
        <v>1658369.0393099999</v>
      </c>
      <c r="E25" s="806">
        <v>598979.57766999991</v>
      </c>
      <c r="F25" s="806">
        <v>1059389.4616399999</v>
      </c>
      <c r="G25" s="806">
        <v>469464.96270999999</v>
      </c>
    </row>
    <row r="26" spans="1:7" s="648" customFormat="1" x14ac:dyDescent="0.2">
      <c r="A26" s="770" t="s">
        <v>1931</v>
      </c>
      <c r="B26" s="770" t="s">
        <v>1932</v>
      </c>
      <c r="C26" s="776" t="s">
        <v>1933</v>
      </c>
      <c r="D26" s="806"/>
      <c r="E26" s="807">
        <v>0</v>
      </c>
      <c r="F26" s="806"/>
      <c r="G26" s="806"/>
    </row>
    <row r="27" spans="1:7" s="648" customFormat="1" x14ac:dyDescent="0.2">
      <c r="A27" s="770" t="s">
        <v>1934</v>
      </c>
      <c r="B27" s="770" t="s">
        <v>1935</v>
      </c>
      <c r="C27" s="776" t="s">
        <v>1936</v>
      </c>
      <c r="D27" s="806">
        <v>193907.52340000001</v>
      </c>
      <c r="E27" s="806">
        <v>193907.52340000001</v>
      </c>
      <c r="F27" s="806"/>
      <c r="G27" s="806"/>
    </row>
    <row r="28" spans="1:7" s="648" customFormat="1" x14ac:dyDescent="0.2">
      <c r="A28" s="770" t="s">
        <v>1937</v>
      </c>
      <c r="B28" s="770" t="s">
        <v>1938</v>
      </c>
      <c r="C28" s="776" t="s">
        <v>1939</v>
      </c>
      <c r="D28" s="806">
        <v>701.8</v>
      </c>
      <c r="E28" s="807">
        <v>9.7479999999999993</v>
      </c>
      <c r="F28" s="806">
        <v>692.05200000000002</v>
      </c>
      <c r="G28" s="806"/>
    </row>
    <row r="29" spans="1:7" s="648" customFormat="1" x14ac:dyDescent="0.2">
      <c r="A29" s="770" t="s">
        <v>1940</v>
      </c>
      <c r="B29" s="770" t="s">
        <v>1941</v>
      </c>
      <c r="C29" s="776" t="s">
        <v>1942</v>
      </c>
      <c r="D29" s="806">
        <v>1328209.0196700001</v>
      </c>
      <c r="E29" s="806"/>
      <c r="F29" s="806">
        <v>1328209.0196700001</v>
      </c>
      <c r="G29" s="806">
        <v>1908203.6610699999</v>
      </c>
    </row>
    <row r="30" spans="1:7" s="648" customFormat="1" ht="21" x14ac:dyDescent="0.2">
      <c r="A30" s="770" t="s">
        <v>1943</v>
      </c>
      <c r="B30" s="808" t="s">
        <v>1944</v>
      </c>
      <c r="C30" s="776" t="s">
        <v>1945</v>
      </c>
      <c r="D30" s="806"/>
      <c r="E30" s="807"/>
      <c r="F30" s="806"/>
      <c r="G30" s="806"/>
    </row>
    <row r="31" spans="1:7" s="648" customFormat="1" x14ac:dyDescent="0.2">
      <c r="A31" s="770" t="s">
        <v>1946</v>
      </c>
      <c r="B31" s="770" t="s">
        <v>1947</v>
      </c>
      <c r="C31" s="776" t="s">
        <v>1948</v>
      </c>
      <c r="D31" s="806">
        <v>28781.069</v>
      </c>
      <c r="E31" s="806"/>
      <c r="F31" s="806">
        <v>28781.069</v>
      </c>
      <c r="G31" s="806">
        <v>28534.768</v>
      </c>
    </row>
    <row r="32" spans="1:7" s="648" customFormat="1" x14ac:dyDescent="0.2">
      <c r="A32" s="770" t="s">
        <v>1949</v>
      </c>
      <c r="B32" s="770" t="s">
        <v>1950</v>
      </c>
      <c r="C32" s="776" t="s">
        <v>1951</v>
      </c>
      <c r="D32" s="806"/>
      <c r="E32" s="807">
        <v>0</v>
      </c>
      <c r="F32" s="806"/>
      <c r="G32" s="806"/>
    </row>
    <row r="33" spans="1:7" s="765" customFormat="1" x14ac:dyDescent="0.2">
      <c r="A33" s="804" t="s">
        <v>1952</v>
      </c>
      <c r="B33" s="804" t="s">
        <v>1953</v>
      </c>
      <c r="C33" s="805" t="s">
        <v>133</v>
      </c>
      <c r="D33" s="769">
        <v>971031.09186000004</v>
      </c>
      <c r="E33" s="811">
        <v>122746.87426000001</v>
      </c>
      <c r="F33" s="769">
        <v>848284.21759999997</v>
      </c>
      <c r="G33" s="769">
        <v>837891.69160000002</v>
      </c>
    </row>
    <row r="34" spans="1:7" s="648" customFormat="1" x14ac:dyDescent="0.2">
      <c r="A34" s="770" t="s">
        <v>1954</v>
      </c>
      <c r="B34" s="770" t="s">
        <v>1955</v>
      </c>
      <c r="C34" s="776" t="s">
        <v>1956</v>
      </c>
      <c r="D34" s="806">
        <v>947518.38236000005</v>
      </c>
      <c r="E34" s="807">
        <v>118700.01051000001</v>
      </c>
      <c r="F34" s="806">
        <v>828818.37185</v>
      </c>
      <c r="G34" s="806">
        <v>789604.26584999997</v>
      </c>
    </row>
    <row r="35" spans="1:7" s="648" customFormat="1" x14ac:dyDescent="0.2">
      <c r="A35" s="770" t="s">
        <v>1957</v>
      </c>
      <c r="B35" s="770" t="s">
        <v>1958</v>
      </c>
      <c r="C35" s="776" t="s">
        <v>1959</v>
      </c>
      <c r="D35" s="806">
        <v>17460</v>
      </c>
      <c r="E35" s="807">
        <v>4046.86375</v>
      </c>
      <c r="F35" s="806">
        <v>13413.13625</v>
      </c>
      <c r="G35" s="806">
        <v>13413.13625</v>
      </c>
    </row>
    <row r="36" spans="1:7" s="648" customFormat="1" x14ac:dyDescent="0.2">
      <c r="A36" s="770" t="s">
        <v>1960</v>
      </c>
      <c r="B36" s="770" t="s">
        <v>1961</v>
      </c>
      <c r="C36" s="776" t="s">
        <v>1962</v>
      </c>
      <c r="D36" s="806"/>
      <c r="E36" s="807">
        <v>0</v>
      </c>
      <c r="F36" s="806"/>
      <c r="G36" s="806"/>
    </row>
    <row r="37" spans="1:7" s="648" customFormat="1" x14ac:dyDescent="0.2">
      <c r="A37" s="770" t="s">
        <v>1963</v>
      </c>
      <c r="B37" s="770" t="s">
        <v>1964</v>
      </c>
      <c r="C37" s="776" t="s">
        <v>1965</v>
      </c>
      <c r="D37" s="806">
        <v>1041.6300000000001</v>
      </c>
      <c r="E37" s="807">
        <v>0</v>
      </c>
      <c r="F37" s="806">
        <v>1041.6300000000001</v>
      </c>
      <c r="G37" s="806">
        <v>347.21</v>
      </c>
    </row>
    <row r="38" spans="1:7" s="648" customFormat="1" x14ac:dyDescent="0.2">
      <c r="A38" s="770" t="s">
        <v>1966</v>
      </c>
      <c r="B38" s="770" t="s">
        <v>1967</v>
      </c>
      <c r="C38" s="776" t="s">
        <v>1968</v>
      </c>
      <c r="D38" s="806"/>
      <c r="E38" s="807">
        <v>0</v>
      </c>
      <c r="F38" s="806"/>
      <c r="G38" s="806"/>
    </row>
    <row r="39" spans="1:7" s="648" customFormat="1" x14ac:dyDescent="0.2">
      <c r="A39" s="770" t="s">
        <v>1969</v>
      </c>
      <c r="B39" s="770" t="s">
        <v>1970</v>
      </c>
      <c r="C39" s="776" t="s">
        <v>1971</v>
      </c>
      <c r="D39" s="806">
        <v>11.079499999999999</v>
      </c>
      <c r="E39" s="807">
        <v>0</v>
      </c>
      <c r="F39" s="806">
        <v>11.079499999999999</v>
      </c>
      <c r="G39" s="806">
        <v>11.079499999999999</v>
      </c>
    </row>
    <row r="40" spans="1:7" s="648" customFormat="1" x14ac:dyDescent="0.2">
      <c r="A40" s="770" t="s">
        <v>1972</v>
      </c>
      <c r="B40" s="770" t="s">
        <v>1973</v>
      </c>
      <c r="C40" s="776" t="s">
        <v>1974</v>
      </c>
      <c r="D40" s="806">
        <v>5000</v>
      </c>
      <c r="E40" s="807">
        <v>0</v>
      </c>
      <c r="F40" s="806">
        <v>5000</v>
      </c>
      <c r="G40" s="806">
        <v>34516</v>
      </c>
    </row>
    <row r="41" spans="1:7" s="648" customFormat="1" x14ac:dyDescent="0.2">
      <c r="A41" s="770" t="s">
        <v>1975</v>
      </c>
      <c r="B41" s="770" t="s">
        <v>1976</v>
      </c>
      <c r="C41" s="776" t="s">
        <v>1977</v>
      </c>
      <c r="D41" s="806"/>
      <c r="E41" s="807">
        <v>0</v>
      </c>
      <c r="F41" s="806"/>
      <c r="G41" s="806"/>
    </row>
    <row r="42" spans="1:7" s="648" customFormat="1" x14ac:dyDescent="0.2">
      <c r="A42" s="767" t="s">
        <v>1978</v>
      </c>
      <c r="B42" s="767" t="s">
        <v>1979</v>
      </c>
      <c r="C42" s="812" t="s">
        <v>133</v>
      </c>
      <c r="D42" s="813">
        <v>963872.16103999992</v>
      </c>
      <c r="E42" s="814">
        <v>2.2127699999999999</v>
      </c>
      <c r="F42" s="813">
        <v>963869.94826999994</v>
      </c>
      <c r="G42" s="813">
        <v>1598499.85742</v>
      </c>
    </row>
    <row r="43" spans="1:7" s="765" customFormat="1" x14ac:dyDescent="0.2">
      <c r="A43" s="775" t="s">
        <v>1980</v>
      </c>
      <c r="B43" s="775" t="s">
        <v>1981</v>
      </c>
      <c r="C43" s="815" t="s">
        <v>1982</v>
      </c>
      <c r="D43" s="773">
        <v>500</v>
      </c>
      <c r="E43" s="774">
        <v>0</v>
      </c>
      <c r="F43" s="773">
        <v>500</v>
      </c>
      <c r="G43" s="773"/>
    </row>
    <row r="44" spans="1:7" s="648" customFormat="1" x14ac:dyDescent="0.2">
      <c r="A44" s="770" t="s">
        <v>1983</v>
      </c>
      <c r="B44" s="770" t="s">
        <v>1984</v>
      </c>
      <c r="C44" s="776" t="s">
        <v>1985</v>
      </c>
      <c r="D44" s="806"/>
      <c r="E44" s="807">
        <v>0</v>
      </c>
      <c r="F44" s="806"/>
      <c r="G44" s="806"/>
    </row>
    <row r="45" spans="1:7" s="648" customFormat="1" x14ac:dyDescent="0.2">
      <c r="A45" s="770" t="s">
        <v>1986</v>
      </c>
      <c r="B45" s="770" t="s">
        <v>1987</v>
      </c>
      <c r="C45" s="776" t="s">
        <v>1988</v>
      </c>
      <c r="D45" s="806"/>
      <c r="E45" s="807">
        <v>0</v>
      </c>
      <c r="F45" s="806"/>
      <c r="G45" s="806">
        <v>2981.4870000000001</v>
      </c>
    </row>
    <row r="46" spans="1:7" s="648" customFormat="1" x14ac:dyDescent="0.2">
      <c r="A46" s="770" t="s">
        <v>1989</v>
      </c>
      <c r="B46" s="770" t="s">
        <v>1990</v>
      </c>
      <c r="C46" s="776" t="s">
        <v>1991</v>
      </c>
      <c r="D46" s="806"/>
      <c r="E46" s="807">
        <v>0</v>
      </c>
      <c r="F46" s="806"/>
      <c r="G46" s="806"/>
    </row>
    <row r="47" spans="1:7" s="648" customFormat="1" x14ac:dyDescent="0.2">
      <c r="A47" s="770" t="s">
        <v>1992</v>
      </c>
      <c r="B47" s="770" t="s">
        <v>1993</v>
      </c>
      <c r="C47" s="776" t="s">
        <v>1994</v>
      </c>
      <c r="D47" s="806">
        <v>791806.6489400001</v>
      </c>
      <c r="E47" s="807">
        <v>2.2127699999999999</v>
      </c>
      <c r="F47" s="806">
        <v>791804.43617</v>
      </c>
      <c r="G47" s="806">
        <v>750919.51234999998</v>
      </c>
    </row>
    <row r="48" spans="1:7" s="648" customFormat="1" x14ac:dyDescent="0.2">
      <c r="A48" s="770" t="s">
        <v>1995</v>
      </c>
      <c r="B48" s="770" t="s">
        <v>1996</v>
      </c>
      <c r="C48" s="776" t="s">
        <v>1997</v>
      </c>
      <c r="D48" s="806">
        <v>171565.51209999999</v>
      </c>
      <c r="E48" s="807">
        <v>0</v>
      </c>
      <c r="F48" s="806">
        <v>171565.51209999999</v>
      </c>
      <c r="G48" s="806">
        <v>844598.85807000007</v>
      </c>
    </row>
    <row r="49" spans="1:7" s="648" customFormat="1" x14ac:dyDescent="0.2">
      <c r="A49" s="770" t="s">
        <v>1998</v>
      </c>
      <c r="B49" s="770" t="s">
        <v>1999</v>
      </c>
      <c r="C49" s="776" t="s">
        <v>2000</v>
      </c>
      <c r="D49" s="806"/>
      <c r="E49" s="807">
        <v>0</v>
      </c>
      <c r="F49" s="806"/>
      <c r="G49" s="806"/>
    </row>
    <row r="50" spans="1:7" s="648" customFormat="1" x14ac:dyDescent="0.2">
      <c r="A50" s="767" t="s">
        <v>2001</v>
      </c>
      <c r="B50" s="767" t="s">
        <v>2002</v>
      </c>
      <c r="C50" s="812" t="s">
        <v>133</v>
      </c>
      <c r="D50" s="813">
        <v>4899713.9943500003</v>
      </c>
      <c r="E50" s="814">
        <v>22723.78197</v>
      </c>
      <c r="F50" s="813">
        <v>4876990.2123800004</v>
      </c>
      <c r="G50" s="813">
        <v>4548203.8925799998</v>
      </c>
    </row>
    <row r="51" spans="1:7" s="648" customFormat="1" x14ac:dyDescent="0.2">
      <c r="A51" s="767" t="s">
        <v>2003</v>
      </c>
      <c r="B51" s="767" t="s">
        <v>2004</v>
      </c>
      <c r="C51" s="812" t="s">
        <v>133</v>
      </c>
      <c r="D51" s="813">
        <v>3684.0329100000004</v>
      </c>
      <c r="E51" s="814">
        <v>0</v>
      </c>
      <c r="F51" s="813">
        <v>3684.0329100000004</v>
      </c>
      <c r="G51" s="813">
        <v>1884.24974</v>
      </c>
    </row>
    <row r="52" spans="1:7" s="648" customFormat="1" x14ac:dyDescent="0.2">
      <c r="A52" s="770" t="s">
        <v>2005</v>
      </c>
      <c r="B52" s="770" t="s">
        <v>2006</v>
      </c>
      <c r="C52" s="776" t="s">
        <v>2007</v>
      </c>
      <c r="D52" s="807">
        <v>0</v>
      </c>
      <c r="E52" s="807">
        <v>0</v>
      </c>
      <c r="F52" s="807">
        <v>0</v>
      </c>
      <c r="G52" s="807">
        <v>0</v>
      </c>
    </row>
    <row r="53" spans="1:7" s="648" customFormat="1" x14ac:dyDescent="0.2">
      <c r="A53" s="770" t="s">
        <v>2008</v>
      </c>
      <c r="B53" s="770" t="s">
        <v>2009</v>
      </c>
      <c r="C53" s="776" t="s">
        <v>2010</v>
      </c>
      <c r="D53" s="806">
        <v>3684.0329100000004</v>
      </c>
      <c r="E53" s="807">
        <v>0</v>
      </c>
      <c r="F53" s="806">
        <v>3684.0329100000004</v>
      </c>
      <c r="G53" s="806">
        <v>1884.24974</v>
      </c>
    </row>
    <row r="54" spans="1:7" s="648" customFormat="1" x14ac:dyDescent="0.2">
      <c r="A54" s="770" t="s">
        <v>2011</v>
      </c>
      <c r="B54" s="770" t="s">
        <v>2012</v>
      </c>
      <c r="C54" s="776" t="s">
        <v>2013</v>
      </c>
      <c r="D54" s="807">
        <v>0</v>
      </c>
      <c r="E54" s="807">
        <v>0</v>
      </c>
      <c r="F54" s="807">
        <v>0</v>
      </c>
      <c r="G54" s="807">
        <v>0</v>
      </c>
    </row>
    <row r="55" spans="1:7" s="648" customFormat="1" x14ac:dyDescent="0.2">
      <c r="A55" s="770" t="s">
        <v>2014</v>
      </c>
      <c r="B55" s="770" t="s">
        <v>2015</v>
      </c>
      <c r="C55" s="776" t="s">
        <v>2016</v>
      </c>
      <c r="D55" s="806"/>
      <c r="E55" s="807">
        <v>0</v>
      </c>
      <c r="F55" s="806"/>
      <c r="G55" s="806"/>
    </row>
    <row r="56" spans="1:7" s="648" customFormat="1" x14ac:dyDescent="0.2">
      <c r="A56" s="770" t="s">
        <v>2017</v>
      </c>
      <c r="B56" s="770" t="s">
        <v>2018</v>
      </c>
      <c r="C56" s="776" t="s">
        <v>2019</v>
      </c>
      <c r="D56" s="806"/>
      <c r="E56" s="807">
        <v>0</v>
      </c>
      <c r="F56" s="806"/>
      <c r="G56" s="806"/>
    </row>
    <row r="57" spans="1:7" s="648" customFormat="1" x14ac:dyDescent="0.2">
      <c r="A57" s="770" t="s">
        <v>2020</v>
      </c>
      <c r="B57" s="770" t="s">
        <v>2021</v>
      </c>
      <c r="C57" s="776" t="s">
        <v>2022</v>
      </c>
      <c r="D57" s="806"/>
      <c r="E57" s="807">
        <v>0</v>
      </c>
      <c r="F57" s="806"/>
      <c r="G57" s="806"/>
    </row>
    <row r="58" spans="1:7" s="648" customFormat="1" x14ac:dyDescent="0.2">
      <c r="A58" s="770" t="s">
        <v>2023</v>
      </c>
      <c r="B58" s="770" t="s">
        <v>2024</v>
      </c>
      <c r="C58" s="776" t="s">
        <v>2025</v>
      </c>
      <c r="D58" s="806"/>
      <c r="E58" s="807">
        <v>0</v>
      </c>
      <c r="F58" s="806"/>
      <c r="G58" s="806"/>
    </row>
    <row r="59" spans="1:7" s="648" customFormat="1" x14ac:dyDescent="0.2">
      <c r="A59" s="770" t="s">
        <v>2026</v>
      </c>
      <c r="B59" s="770" t="s">
        <v>2027</v>
      </c>
      <c r="C59" s="776" t="s">
        <v>2028</v>
      </c>
      <c r="D59" s="806"/>
      <c r="E59" s="807">
        <v>0</v>
      </c>
      <c r="F59" s="806"/>
      <c r="G59" s="806"/>
    </row>
    <row r="60" spans="1:7" s="648" customFormat="1" x14ac:dyDescent="0.2">
      <c r="A60" s="770" t="s">
        <v>2029</v>
      </c>
      <c r="B60" s="770" t="s">
        <v>2030</v>
      </c>
      <c r="C60" s="776" t="s">
        <v>2031</v>
      </c>
      <c r="D60" s="806"/>
      <c r="E60" s="807">
        <v>0</v>
      </c>
      <c r="F60" s="806"/>
      <c r="G60" s="806"/>
    </row>
    <row r="61" spans="1:7" s="648" customFormat="1" x14ac:dyDescent="0.2">
      <c r="A61" s="770" t="s">
        <v>2032</v>
      </c>
      <c r="B61" s="770" t="s">
        <v>2033</v>
      </c>
      <c r="C61" s="776" t="s">
        <v>2034</v>
      </c>
      <c r="D61" s="806"/>
      <c r="E61" s="807">
        <v>0</v>
      </c>
      <c r="F61" s="806"/>
      <c r="G61" s="806"/>
    </row>
    <row r="62" spans="1:7" s="648" customFormat="1" x14ac:dyDescent="0.2">
      <c r="A62" s="767" t="s">
        <v>2035</v>
      </c>
      <c r="B62" s="767" t="s">
        <v>2036</v>
      </c>
      <c r="C62" s="812" t="s">
        <v>133</v>
      </c>
      <c r="D62" s="813">
        <v>3101484.00655</v>
      </c>
      <c r="E62" s="814">
        <v>22723.78197</v>
      </c>
      <c r="F62" s="813">
        <v>3078760.2245800002</v>
      </c>
      <c r="G62" s="813">
        <v>2285394.6862399997</v>
      </c>
    </row>
    <row r="63" spans="1:7" s="648" customFormat="1" x14ac:dyDescent="0.2">
      <c r="A63" s="770" t="s">
        <v>2037</v>
      </c>
      <c r="B63" s="770" t="s">
        <v>2038</v>
      </c>
      <c r="C63" s="776" t="s">
        <v>2039</v>
      </c>
      <c r="D63" s="807">
        <v>29932.1567</v>
      </c>
      <c r="E63" s="807">
        <v>6619.4904999999999</v>
      </c>
      <c r="F63" s="807">
        <v>23312.6662</v>
      </c>
      <c r="G63" s="807">
        <v>30774.477589999999</v>
      </c>
    </row>
    <row r="64" spans="1:7" s="648" customFormat="1" x14ac:dyDescent="0.2">
      <c r="A64" s="770" t="s">
        <v>2040</v>
      </c>
      <c r="B64" s="770" t="s">
        <v>2041</v>
      </c>
      <c r="C64" s="776" t="s">
        <v>2042</v>
      </c>
      <c r="D64" s="806"/>
      <c r="E64" s="807">
        <v>0</v>
      </c>
      <c r="F64" s="806"/>
      <c r="G64" s="806"/>
    </row>
    <row r="65" spans="1:7" s="648" customFormat="1" x14ac:dyDescent="0.2">
      <c r="A65" s="770" t="s">
        <v>2043</v>
      </c>
      <c r="B65" s="770" t="s">
        <v>2044</v>
      </c>
      <c r="C65" s="776" t="s">
        <v>2045</v>
      </c>
      <c r="D65" s="807">
        <v>0</v>
      </c>
      <c r="E65" s="807">
        <v>0</v>
      </c>
      <c r="F65" s="807">
        <v>0</v>
      </c>
      <c r="G65" s="807">
        <v>0</v>
      </c>
    </row>
    <row r="66" spans="1:7" s="648" customFormat="1" x14ac:dyDescent="0.2">
      <c r="A66" s="770" t="s">
        <v>2046</v>
      </c>
      <c r="B66" s="770" t="s">
        <v>2047</v>
      </c>
      <c r="C66" s="776" t="s">
        <v>2048</v>
      </c>
      <c r="D66" s="806">
        <v>4465.4493400000001</v>
      </c>
      <c r="E66" s="807">
        <v>0</v>
      </c>
      <c r="F66" s="806">
        <v>4465.4493400000001</v>
      </c>
      <c r="G66" s="806">
        <v>518.36239999999998</v>
      </c>
    </row>
    <row r="67" spans="1:7" s="648" customFormat="1" x14ac:dyDescent="0.2">
      <c r="A67" s="770" t="s">
        <v>2049</v>
      </c>
      <c r="B67" s="770" t="s">
        <v>2050</v>
      </c>
      <c r="C67" s="776" t="s">
        <v>2051</v>
      </c>
      <c r="D67" s="807">
        <v>33908.677539999997</v>
      </c>
      <c r="E67" s="807">
        <v>16104.29147</v>
      </c>
      <c r="F67" s="807">
        <v>17804.38607</v>
      </c>
      <c r="G67" s="807">
        <v>14730.23386</v>
      </c>
    </row>
    <row r="68" spans="1:7" s="648" customFormat="1" x14ac:dyDescent="0.2">
      <c r="A68" s="770" t="s">
        <v>2052</v>
      </c>
      <c r="B68" s="770" t="s">
        <v>2053</v>
      </c>
      <c r="C68" s="776" t="s">
        <v>2054</v>
      </c>
      <c r="D68" s="806">
        <v>9533.8415100000002</v>
      </c>
      <c r="E68" s="807">
        <v>0</v>
      </c>
      <c r="F68" s="806">
        <v>9533.8415100000002</v>
      </c>
      <c r="G68" s="806">
        <v>3000</v>
      </c>
    </row>
    <row r="69" spans="1:7" s="648" customFormat="1" x14ac:dyDescent="0.2">
      <c r="A69" s="770" t="s">
        <v>2055</v>
      </c>
      <c r="B69" s="770" t="s">
        <v>2056</v>
      </c>
      <c r="C69" s="776" t="s">
        <v>2057</v>
      </c>
      <c r="D69" s="807">
        <v>0</v>
      </c>
      <c r="E69" s="807">
        <v>0</v>
      </c>
      <c r="F69" s="807">
        <v>0</v>
      </c>
      <c r="G69" s="807">
        <v>0</v>
      </c>
    </row>
    <row r="70" spans="1:7" s="648" customFormat="1" x14ac:dyDescent="0.2">
      <c r="A70" s="770" t="s">
        <v>2058</v>
      </c>
      <c r="B70" s="770" t="s">
        <v>2059</v>
      </c>
      <c r="C70" s="776" t="s">
        <v>2060</v>
      </c>
      <c r="D70" s="806"/>
      <c r="E70" s="807">
        <v>0</v>
      </c>
      <c r="F70" s="806"/>
      <c r="G70" s="806"/>
    </row>
    <row r="71" spans="1:7" s="648" customFormat="1" x14ac:dyDescent="0.2">
      <c r="A71" s="770" t="s">
        <v>2061</v>
      </c>
      <c r="B71" s="770" t="s">
        <v>2062</v>
      </c>
      <c r="C71" s="776" t="s">
        <v>2063</v>
      </c>
      <c r="D71" s="807">
        <v>3.3809999999999998</v>
      </c>
      <c r="E71" s="807">
        <v>0</v>
      </c>
      <c r="F71" s="807">
        <v>3.3809999999999998</v>
      </c>
      <c r="G71" s="807">
        <v>11.85</v>
      </c>
    </row>
    <row r="72" spans="1:7" s="648" customFormat="1" x14ac:dyDescent="0.2">
      <c r="A72" s="770" t="s">
        <v>2064</v>
      </c>
      <c r="B72" s="770" t="s">
        <v>2065</v>
      </c>
      <c r="C72" s="776" t="s">
        <v>2066</v>
      </c>
      <c r="D72" s="806"/>
      <c r="E72" s="807">
        <v>0</v>
      </c>
      <c r="F72" s="806"/>
      <c r="G72" s="806"/>
    </row>
    <row r="73" spans="1:7" s="648" customFormat="1" x14ac:dyDescent="0.2">
      <c r="A73" s="770" t="s">
        <v>2067</v>
      </c>
      <c r="B73" s="770" t="s">
        <v>2068</v>
      </c>
      <c r="C73" s="776" t="s">
        <v>2069</v>
      </c>
      <c r="D73" s="807">
        <v>0</v>
      </c>
      <c r="E73" s="807">
        <v>0</v>
      </c>
      <c r="F73" s="807">
        <v>0</v>
      </c>
      <c r="G73" s="807">
        <v>0</v>
      </c>
    </row>
    <row r="74" spans="1:7" s="648" customFormat="1" x14ac:dyDescent="0.2">
      <c r="A74" s="770" t="s">
        <v>2070</v>
      </c>
      <c r="B74" s="770" t="s">
        <v>2071</v>
      </c>
      <c r="C74" s="776" t="s">
        <v>2072</v>
      </c>
      <c r="D74" s="806"/>
      <c r="E74" s="807">
        <v>0</v>
      </c>
      <c r="F74" s="806"/>
      <c r="G74" s="806"/>
    </row>
    <row r="75" spans="1:7" s="648" customFormat="1" x14ac:dyDescent="0.2">
      <c r="A75" s="770" t="s">
        <v>2073</v>
      </c>
      <c r="B75" s="770" t="s">
        <v>2074</v>
      </c>
      <c r="C75" s="776" t="s">
        <v>2075</v>
      </c>
      <c r="D75" s="807">
        <v>0</v>
      </c>
      <c r="E75" s="807">
        <v>0</v>
      </c>
      <c r="F75" s="807">
        <v>0</v>
      </c>
      <c r="G75" s="807">
        <v>0</v>
      </c>
    </row>
    <row r="76" spans="1:7" s="648" customFormat="1" x14ac:dyDescent="0.2">
      <c r="A76" s="770" t="s">
        <v>2076</v>
      </c>
      <c r="B76" s="770" t="s">
        <v>2077</v>
      </c>
      <c r="C76" s="776" t="s">
        <v>2078</v>
      </c>
      <c r="D76" s="806"/>
      <c r="E76" s="807">
        <v>0</v>
      </c>
      <c r="F76" s="806"/>
      <c r="G76" s="806"/>
    </row>
    <row r="77" spans="1:7" s="648" customFormat="1" x14ac:dyDescent="0.2">
      <c r="A77" s="770" t="s">
        <v>2079</v>
      </c>
      <c r="B77" s="770" t="s">
        <v>236</v>
      </c>
      <c r="C77" s="776" t="s">
        <v>2080</v>
      </c>
      <c r="D77" s="807">
        <v>0</v>
      </c>
      <c r="E77" s="807">
        <v>0</v>
      </c>
      <c r="F77" s="807">
        <v>0</v>
      </c>
      <c r="G77" s="807">
        <v>0</v>
      </c>
    </row>
    <row r="78" spans="1:7" s="648" customFormat="1" x14ac:dyDescent="0.2">
      <c r="A78" s="770" t="s">
        <v>2081</v>
      </c>
      <c r="B78" s="770" t="s">
        <v>2082</v>
      </c>
      <c r="C78" s="776" t="s">
        <v>2083</v>
      </c>
      <c r="D78" s="806"/>
      <c r="E78" s="807">
        <v>0</v>
      </c>
      <c r="F78" s="806"/>
      <c r="G78" s="806"/>
    </row>
    <row r="79" spans="1:7" s="648" customFormat="1" x14ac:dyDescent="0.2">
      <c r="A79" s="770" t="s">
        <v>2084</v>
      </c>
      <c r="B79" s="770" t="s">
        <v>2085</v>
      </c>
      <c r="C79" s="776" t="s">
        <v>2086</v>
      </c>
      <c r="D79" s="807">
        <v>40.06</v>
      </c>
      <c r="E79" s="807">
        <v>0</v>
      </c>
      <c r="F79" s="807">
        <v>40.06</v>
      </c>
      <c r="G79" s="807">
        <v>0</v>
      </c>
    </row>
    <row r="80" spans="1:7" s="648" customFormat="1" x14ac:dyDescent="0.2">
      <c r="A80" s="770" t="s">
        <v>2087</v>
      </c>
      <c r="B80" s="770" t="s">
        <v>2088</v>
      </c>
      <c r="C80" s="776" t="s">
        <v>2089</v>
      </c>
      <c r="D80" s="806">
        <v>226.58764000000002</v>
      </c>
      <c r="E80" s="807">
        <v>0</v>
      </c>
      <c r="F80" s="806">
        <v>226.58764000000002</v>
      </c>
      <c r="G80" s="806">
        <v>12.54148</v>
      </c>
    </row>
    <row r="81" spans="1:7" s="648" customFormat="1" x14ac:dyDescent="0.2">
      <c r="A81" s="808" t="s">
        <v>2090</v>
      </c>
      <c r="B81" s="808" t="s">
        <v>2091</v>
      </c>
      <c r="C81" s="816" t="s">
        <v>2092</v>
      </c>
      <c r="D81" s="807">
        <v>0</v>
      </c>
      <c r="E81" s="807">
        <v>0</v>
      </c>
      <c r="F81" s="807">
        <v>0</v>
      </c>
      <c r="G81" s="807">
        <v>0</v>
      </c>
    </row>
    <row r="82" spans="1:7" s="648" customFormat="1" x14ac:dyDescent="0.2">
      <c r="A82" s="808" t="s">
        <v>2093</v>
      </c>
      <c r="B82" s="808" t="s">
        <v>2094</v>
      </c>
      <c r="C82" s="816" t="s">
        <v>2095</v>
      </c>
      <c r="D82" s="806"/>
      <c r="E82" s="807"/>
      <c r="F82" s="806"/>
      <c r="G82" s="806"/>
    </row>
    <row r="83" spans="1:7" s="648" customFormat="1" x14ac:dyDescent="0.2">
      <c r="A83" s="808" t="s">
        <v>2096</v>
      </c>
      <c r="B83" s="808" t="s">
        <v>2097</v>
      </c>
      <c r="C83" s="816" t="s">
        <v>2098</v>
      </c>
      <c r="D83" s="807"/>
      <c r="E83" s="807"/>
      <c r="F83" s="807"/>
      <c r="G83" s="807"/>
    </row>
    <row r="84" spans="1:7" s="648" customFormat="1" x14ac:dyDescent="0.2">
      <c r="A84" s="808" t="s">
        <v>2099</v>
      </c>
      <c r="B84" s="808" t="s">
        <v>2100</v>
      </c>
      <c r="C84" s="816" t="s">
        <v>2101</v>
      </c>
      <c r="D84" s="806"/>
      <c r="E84" s="807"/>
      <c r="F84" s="806"/>
      <c r="G84" s="806"/>
    </row>
    <row r="85" spans="1:7" s="648" customFormat="1" x14ac:dyDescent="0.2">
      <c r="A85" s="770" t="s">
        <v>2102</v>
      </c>
      <c r="B85" s="770" t="s">
        <v>2103</v>
      </c>
      <c r="C85" s="776" t="s">
        <v>2104</v>
      </c>
      <c r="D85" s="807">
        <v>107854.2289</v>
      </c>
      <c r="E85" s="807">
        <v>0</v>
      </c>
      <c r="F85" s="807">
        <v>107854.2289</v>
      </c>
      <c r="G85" s="807">
        <v>49583.815840000003</v>
      </c>
    </row>
    <row r="86" spans="1:7" s="648" customFormat="1" x14ac:dyDescent="0.2">
      <c r="A86" s="770" t="s">
        <v>2105</v>
      </c>
      <c r="B86" s="770" t="s">
        <v>2106</v>
      </c>
      <c r="C86" s="776" t="s">
        <v>2107</v>
      </c>
      <c r="D86" s="806"/>
      <c r="E86" s="807"/>
      <c r="F86" s="806"/>
      <c r="G86" s="806"/>
    </row>
    <row r="87" spans="1:7" s="648" customFormat="1" x14ac:dyDescent="0.2">
      <c r="A87" s="770" t="s">
        <v>2108</v>
      </c>
      <c r="B87" s="770" t="s">
        <v>2109</v>
      </c>
      <c r="C87" s="776" t="s">
        <v>2110</v>
      </c>
      <c r="D87" s="807">
        <v>28329.180499999999</v>
      </c>
      <c r="E87" s="807">
        <v>0</v>
      </c>
      <c r="F87" s="807">
        <v>28329.180499999999</v>
      </c>
      <c r="G87" s="807">
        <v>47043.13809</v>
      </c>
    </row>
    <row r="88" spans="1:7" s="648" customFormat="1" x14ac:dyDescent="0.2">
      <c r="A88" s="770" t="s">
        <v>2111</v>
      </c>
      <c r="B88" s="770" t="s">
        <v>2112</v>
      </c>
      <c r="C88" s="776" t="s">
        <v>2113</v>
      </c>
      <c r="D88" s="806">
        <v>2082.3519700000002</v>
      </c>
      <c r="E88" s="807">
        <v>0</v>
      </c>
      <c r="F88" s="806">
        <v>2082.3519700000002</v>
      </c>
      <c r="G88" s="806">
        <v>5664.3982300000007</v>
      </c>
    </row>
    <row r="89" spans="1:7" s="765" customFormat="1" x14ac:dyDescent="0.2">
      <c r="A89" s="775" t="s">
        <v>2114</v>
      </c>
      <c r="B89" s="775" t="s">
        <v>2115</v>
      </c>
      <c r="C89" s="815" t="s">
        <v>2116</v>
      </c>
      <c r="D89" s="774">
        <v>2884330.73251</v>
      </c>
      <c r="E89" s="774">
        <v>0</v>
      </c>
      <c r="F89" s="774">
        <v>2884330.73251</v>
      </c>
      <c r="G89" s="774">
        <v>2132543.6779100001</v>
      </c>
    </row>
    <row r="90" spans="1:7" s="648" customFormat="1" x14ac:dyDescent="0.2">
      <c r="A90" s="770" t="s">
        <v>2117</v>
      </c>
      <c r="B90" s="770" t="s">
        <v>2118</v>
      </c>
      <c r="C90" s="776" t="s">
        <v>2119</v>
      </c>
      <c r="D90" s="806">
        <v>777.35893999999996</v>
      </c>
      <c r="E90" s="807">
        <v>0</v>
      </c>
      <c r="F90" s="806">
        <v>777.35893999999996</v>
      </c>
      <c r="G90" s="806">
        <v>1512.19084</v>
      </c>
    </row>
    <row r="91" spans="1:7" s="648" customFormat="1" x14ac:dyDescent="0.2">
      <c r="A91" s="767" t="s">
        <v>2120</v>
      </c>
      <c r="B91" s="767" t="s">
        <v>2121</v>
      </c>
      <c r="C91" s="812" t="s">
        <v>133</v>
      </c>
      <c r="D91" s="813">
        <v>1794545.9548900002</v>
      </c>
      <c r="E91" s="814">
        <v>0</v>
      </c>
      <c r="F91" s="813">
        <v>1794545.9548900002</v>
      </c>
      <c r="G91" s="813">
        <v>2260924.9565999997</v>
      </c>
    </row>
    <row r="92" spans="1:7" s="648" customFormat="1" x14ac:dyDescent="0.2">
      <c r="A92" s="770" t="s">
        <v>2122</v>
      </c>
      <c r="B92" s="770" t="s">
        <v>2123</v>
      </c>
      <c r="C92" s="776" t="s">
        <v>2124</v>
      </c>
      <c r="D92" s="807">
        <v>0</v>
      </c>
      <c r="E92" s="807">
        <v>0</v>
      </c>
      <c r="F92" s="807">
        <v>0</v>
      </c>
      <c r="G92" s="807">
        <v>0</v>
      </c>
    </row>
    <row r="93" spans="1:7" s="648" customFormat="1" x14ac:dyDescent="0.2">
      <c r="A93" s="770" t="s">
        <v>2125</v>
      </c>
      <c r="B93" s="770" t="s">
        <v>2126</v>
      </c>
      <c r="C93" s="776" t="s">
        <v>2127</v>
      </c>
      <c r="D93" s="806"/>
      <c r="E93" s="807"/>
      <c r="F93" s="806"/>
      <c r="G93" s="806"/>
    </row>
    <row r="94" spans="1:7" s="648" customFormat="1" x14ac:dyDescent="0.2">
      <c r="A94" s="770" t="s">
        <v>2128</v>
      </c>
      <c r="B94" s="770" t="s">
        <v>2129</v>
      </c>
      <c r="C94" s="776" t="s">
        <v>2130</v>
      </c>
      <c r="D94" s="806"/>
      <c r="E94" s="807"/>
      <c r="F94" s="806"/>
      <c r="G94" s="806"/>
    </row>
    <row r="95" spans="1:7" s="648" customFormat="1" x14ac:dyDescent="0.2">
      <c r="A95" s="770" t="s">
        <v>2131</v>
      </c>
      <c r="B95" s="770" t="s">
        <v>2132</v>
      </c>
      <c r="C95" s="776" t="s">
        <v>2133</v>
      </c>
      <c r="D95" s="806">
        <v>596184.61209000007</v>
      </c>
      <c r="E95" s="807">
        <v>0</v>
      </c>
      <c r="F95" s="806">
        <v>596184.61209000007</v>
      </c>
      <c r="G95" s="806">
        <v>515085.79820999998</v>
      </c>
    </row>
    <row r="96" spans="1:7" s="648" customFormat="1" x14ac:dyDescent="0.2">
      <c r="A96" s="770" t="s">
        <v>2134</v>
      </c>
      <c r="B96" s="770" t="s">
        <v>2135</v>
      </c>
      <c r="C96" s="776" t="s">
        <v>2136</v>
      </c>
      <c r="D96" s="806">
        <v>7843.76865</v>
      </c>
      <c r="E96" s="807">
        <v>0</v>
      </c>
      <c r="F96" s="806">
        <v>7843.76865</v>
      </c>
      <c r="G96" s="806">
        <v>17679.374690000001</v>
      </c>
    </row>
    <row r="97" spans="1:7" s="648" customFormat="1" x14ac:dyDescent="0.2">
      <c r="A97" s="770" t="s">
        <v>2137</v>
      </c>
      <c r="B97" s="770" t="s">
        <v>2138</v>
      </c>
      <c r="C97" s="776" t="s">
        <v>2139</v>
      </c>
      <c r="D97" s="806">
        <v>15891.831759999999</v>
      </c>
      <c r="E97" s="807">
        <v>0</v>
      </c>
      <c r="F97" s="806">
        <v>15891.831759999999</v>
      </c>
      <c r="G97" s="806">
        <v>33.990180000000002</v>
      </c>
    </row>
    <row r="98" spans="1:7" s="648" customFormat="1" x14ac:dyDescent="0.2">
      <c r="A98" s="770" t="s">
        <v>2143</v>
      </c>
      <c r="B98" s="770" t="s">
        <v>2144</v>
      </c>
      <c r="C98" s="776" t="s">
        <v>2145</v>
      </c>
      <c r="D98" s="806">
        <v>1038943.3924400001</v>
      </c>
      <c r="E98" s="807">
        <v>0</v>
      </c>
      <c r="F98" s="806">
        <v>1038943.3924400001</v>
      </c>
      <c r="G98" s="806">
        <v>1548871.0055199999</v>
      </c>
    </row>
    <row r="99" spans="1:7" s="648" customFormat="1" x14ac:dyDescent="0.2">
      <c r="A99" s="770" t="s">
        <v>2146</v>
      </c>
      <c r="B99" s="770" t="s">
        <v>2147</v>
      </c>
      <c r="C99" s="776" t="s">
        <v>2148</v>
      </c>
      <c r="D99" s="806">
        <v>135649.00594999999</v>
      </c>
      <c r="E99" s="807">
        <v>0</v>
      </c>
      <c r="F99" s="806">
        <v>135649.00594999999</v>
      </c>
      <c r="G99" s="806">
        <v>179210.46599999999</v>
      </c>
    </row>
    <row r="100" spans="1:7" s="648" customFormat="1" x14ac:dyDescent="0.2">
      <c r="A100" s="770" t="s">
        <v>2149</v>
      </c>
      <c r="B100" s="770" t="s">
        <v>2150</v>
      </c>
      <c r="C100" s="776" t="s">
        <v>2151</v>
      </c>
      <c r="D100" s="806">
        <v>33.344000000000001</v>
      </c>
      <c r="E100" s="807">
        <v>0</v>
      </c>
      <c r="F100" s="806">
        <v>33.344000000000001</v>
      </c>
      <c r="G100" s="806">
        <v>44.322000000000003</v>
      </c>
    </row>
    <row r="101" spans="1:7" s="764" customFormat="1" x14ac:dyDescent="0.2">
      <c r="A101" s="770" t="s">
        <v>2152</v>
      </c>
      <c r="B101" s="770" t="s">
        <v>2153</v>
      </c>
      <c r="C101" s="776" t="s">
        <v>2154</v>
      </c>
      <c r="D101" s="806"/>
      <c r="E101" s="807"/>
      <c r="F101" s="806"/>
      <c r="G101" s="806"/>
    </row>
    <row r="102" spans="1:7" s="764" customFormat="1" x14ac:dyDescent="0.2">
      <c r="A102" s="777" t="s">
        <v>2155</v>
      </c>
      <c r="B102" s="777" t="s">
        <v>2156</v>
      </c>
      <c r="C102" s="778" t="s">
        <v>2157</v>
      </c>
      <c r="D102" s="817"/>
      <c r="E102" s="818"/>
      <c r="F102" s="817"/>
      <c r="G102" s="817"/>
    </row>
    <row r="103" spans="1:7" s="764" customFormat="1" x14ac:dyDescent="0.2"/>
    <row r="104" spans="1:7" s="764" customFormat="1" x14ac:dyDescent="0.2"/>
    <row r="105" spans="1:7" s="764" customFormat="1" ht="12.75" customHeight="1" x14ac:dyDescent="0.2">
      <c r="A105" s="819"/>
      <c r="B105" s="820"/>
      <c r="C105" s="821"/>
      <c r="D105" s="822">
        <v>1</v>
      </c>
      <c r="E105" s="822">
        <v>2</v>
      </c>
      <c r="F105" s="648"/>
      <c r="G105" s="648"/>
    </row>
    <row r="106" spans="1:7" s="765" customFormat="1" ht="12.75" customHeight="1" x14ac:dyDescent="0.2">
      <c r="A106" s="1495" t="s">
        <v>1876</v>
      </c>
      <c r="B106" s="1496"/>
      <c r="C106" s="1501" t="s">
        <v>1877</v>
      </c>
      <c r="D106" s="1491" t="s">
        <v>1878</v>
      </c>
      <c r="E106" s="1492"/>
    </row>
    <row r="107" spans="1:7" s="765" customFormat="1" x14ac:dyDescent="0.2">
      <c r="A107" s="1499"/>
      <c r="B107" s="1500"/>
      <c r="C107" s="1502"/>
      <c r="D107" s="823" t="s">
        <v>1879</v>
      </c>
      <c r="E107" s="795" t="s">
        <v>1880</v>
      </c>
    </row>
    <row r="108" spans="1:7" s="765" customFormat="1" x14ac:dyDescent="0.2">
      <c r="A108" s="804"/>
      <c r="B108" s="804" t="s">
        <v>2158</v>
      </c>
      <c r="C108" s="805" t="s">
        <v>133</v>
      </c>
      <c r="D108" s="769">
        <v>10995798.11995</v>
      </c>
      <c r="E108" s="769">
        <v>11041741.543540001</v>
      </c>
    </row>
    <row r="109" spans="1:7" s="765" customFormat="1" x14ac:dyDescent="0.2">
      <c r="A109" s="804" t="s">
        <v>2159</v>
      </c>
      <c r="B109" s="804" t="s">
        <v>2160</v>
      </c>
      <c r="C109" s="805" t="s">
        <v>133</v>
      </c>
      <c r="D109" s="769">
        <v>5271547.4528900003</v>
      </c>
      <c r="E109" s="769">
        <v>4942061.0786300004</v>
      </c>
    </row>
    <row r="110" spans="1:7" s="765" customFormat="1" x14ac:dyDescent="0.2">
      <c r="A110" s="804" t="s">
        <v>2161</v>
      </c>
      <c r="B110" s="804" t="s">
        <v>2162</v>
      </c>
      <c r="C110" s="805" t="s">
        <v>133</v>
      </c>
      <c r="D110" s="769">
        <v>2187186.8051100001</v>
      </c>
      <c r="E110" s="769">
        <v>2570368.3102600002</v>
      </c>
    </row>
    <row r="111" spans="1:7" s="648" customFormat="1" x14ac:dyDescent="0.2">
      <c r="A111" s="770" t="s">
        <v>2163</v>
      </c>
      <c r="B111" s="770" t="s">
        <v>2164</v>
      </c>
      <c r="C111" s="776" t="s">
        <v>2165</v>
      </c>
      <c r="D111" s="806">
        <v>640249.71537999995</v>
      </c>
      <c r="E111" s="806">
        <v>1463118.2632500001</v>
      </c>
    </row>
    <row r="112" spans="1:7" s="648" customFormat="1" x14ac:dyDescent="0.2">
      <c r="A112" s="770" t="s">
        <v>2166</v>
      </c>
      <c r="B112" s="770" t="s">
        <v>2167</v>
      </c>
      <c r="C112" s="776" t="s">
        <v>2168</v>
      </c>
      <c r="D112" s="806">
        <v>2754496.7476399997</v>
      </c>
      <c r="E112" s="806">
        <v>2314809.7049199999</v>
      </c>
    </row>
    <row r="113" spans="1:5" s="648" customFormat="1" x14ac:dyDescent="0.2">
      <c r="A113" s="770" t="s">
        <v>2169</v>
      </c>
      <c r="B113" s="770" t="s">
        <v>2170</v>
      </c>
      <c r="C113" s="776" t="s">
        <v>2171</v>
      </c>
      <c r="D113" s="806"/>
      <c r="E113" s="806"/>
    </row>
    <row r="114" spans="1:5" s="648" customFormat="1" x14ac:dyDescent="0.2">
      <c r="A114" s="770" t="s">
        <v>2172</v>
      </c>
      <c r="B114" s="770" t="s">
        <v>2173</v>
      </c>
      <c r="C114" s="776" t="s">
        <v>2174</v>
      </c>
      <c r="D114" s="806">
        <v>-1201274.2319200002</v>
      </c>
      <c r="E114" s="806">
        <v>-1201274.2319200002</v>
      </c>
    </row>
    <row r="115" spans="1:5" s="648" customFormat="1" x14ac:dyDescent="0.2">
      <c r="A115" s="770" t="s">
        <v>2175</v>
      </c>
      <c r="B115" s="770" t="s">
        <v>2176</v>
      </c>
      <c r="C115" s="776" t="s">
        <v>2177</v>
      </c>
      <c r="D115" s="806"/>
      <c r="E115" s="806"/>
    </row>
    <row r="116" spans="1:5" s="648" customFormat="1" x14ac:dyDescent="0.2">
      <c r="A116" s="770" t="s">
        <v>2178</v>
      </c>
      <c r="B116" s="770" t="s">
        <v>2179</v>
      </c>
      <c r="C116" s="776" t="s">
        <v>2180</v>
      </c>
      <c r="D116" s="806">
        <v>-6285.4259900000006</v>
      </c>
      <c r="E116" s="806">
        <v>-6285.4259900000006</v>
      </c>
    </row>
    <row r="117" spans="1:5" s="765" customFormat="1" x14ac:dyDescent="0.2">
      <c r="A117" s="804" t="s">
        <v>2181</v>
      </c>
      <c r="B117" s="804" t="s">
        <v>2182</v>
      </c>
      <c r="C117" s="805" t="s">
        <v>133</v>
      </c>
      <c r="D117" s="824">
        <v>136690.63595</v>
      </c>
      <c r="E117" s="824">
        <v>179351.21734</v>
      </c>
    </row>
    <row r="118" spans="1:5" s="648" customFormat="1" x14ac:dyDescent="0.2">
      <c r="A118" s="770" t="s">
        <v>2198</v>
      </c>
      <c r="B118" s="770" t="s">
        <v>2199</v>
      </c>
      <c r="C118" s="776" t="s">
        <v>2200</v>
      </c>
      <c r="D118" s="806">
        <v>136690.63595</v>
      </c>
      <c r="E118" s="806">
        <v>179351.21734</v>
      </c>
    </row>
    <row r="119" spans="1:5" s="765" customFormat="1" x14ac:dyDescent="0.2">
      <c r="A119" s="804" t="s">
        <v>2201</v>
      </c>
      <c r="B119" s="804" t="s">
        <v>2202</v>
      </c>
      <c r="C119" s="805" t="s">
        <v>133</v>
      </c>
      <c r="D119" s="824">
        <v>2947670.0118299997</v>
      </c>
      <c r="E119" s="824">
        <v>2192341.5510300002</v>
      </c>
    </row>
    <row r="120" spans="1:5" s="648" customFormat="1" x14ac:dyDescent="0.2">
      <c r="A120" s="770" t="s">
        <v>2203</v>
      </c>
      <c r="B120" s="770" t="s">
        <v>2204</v>
      </c>
      <c r="C120" s="776" t="s">
        <v>133</v>
      </c>
      <c r="D120" s="806">
        <v>755328.4608</v>
      </c>
      <c r="E120" s="806">
        <v>668237.64058000001</v>
      </c>
    </row>
    <row r="121" spans="1:5" s="648" customFormat="1" x14ac:dyDescent="0.2">
      <c r="A121" s="770" t="s">
        <v>2205</v>
      </c>
      <c r="B121" s="770" t="s">
        <v>2206</v>
      </c>
      <c r="C121" s="776" t="s">
        <v>2207</v>
      </c>
      <c r="D121" s="806"/>
      <c r="E121" s="806"/>
    </row>
    <row r="122" spans="1:5" s="648" customFormat="1" x14ac:dyDescent="0.2">
      <c r="A122" s="770" t="s">
        <v>2208</v>
      </c>
      <c r="B122" s="770" t="s">
        <v>2209</v>
      </c>
      <c r="C122" s="776" t="s">
        <v>2210</v>
      </c>
      <c r="D122" s="806">
        <v>2192341.5510300002</v>
      </c>
      <c r="E122" s="806">
        <v>1524103.9104500001</v>
      </c>
    </row>
    <row r="123" spans="1:5" s="765" customFormat="1" x14ac:dyDescent="0.2">
      <c r="A123" s="804" t="s">
        <v>2211</v>
      </c>
      <c r="B123" s="804" t="s">
        <v>2212</v>
      </c>
      <c r="C123" s="805" t="s">
        <v>133</v>
      </c>
      <c r="D123" s="824">
        <v>5724250.6670600008</v>
      </c>
      <c r="E123" s="824">
        <v>6099680.4649099996</v>
      </c>
    </row>
    <row r="124" spans="1:5" s="765" customFormat="1" x14ac:dyDescent="0.2">
      <c r="A124" s="804" t="s">
        <v>2213</v>
      </c>
      <c r="B124" s="804" t="s">
        <v>2214</v>
      </c>
      <c r="C124" s="805" t="s">
        <v>133</v>
      </c>
      <c r="D124" s="824">
        <v>0</v>
      </c>
      <c r="E124" s="824">
        <v>0</v>
      </c>
    </row>
    <row r="125" spans="1:5" s="648" customFormat="1" x14ac:dyDescent="0.2">
      <c r="A125" s="770" t="s">
        <v>2215</v>
      </c>
      <c r="B125" s="770" t="s">
        <v>2214</v>
      </c>
      <c r="C125" s="776" t="s">
        <v>2216</v>
      </c>
      <c r="D125" s="806"/>
      <c r="E125" s="806"/>
    </row>
    <row r="126" spans="1:5" s="765" customFormat="1" x14ac:dyDescent="0.2">
      <c r="A126" s="804" t="s">
        <v>2217</v>
      </c>
      <c r="B126" s="804" t="s">
        <v>2218</v>
      </c>
      <c r="C126" s="805" t="s">
        <v>133</v>
      </c>
      <c r="D126" s="824">
        <v>5308207.4246199997</v>
      </c>
      <c r="E126" s="824">
        <v>4554360.4110300001</v>
      </c>
    </row>
    <row r="127" spans="1:5" s="648" customFormat="1" x14ac:dyDescent="0.2">
      <c r="A127" s="770" t="s">
        <v>2219</v>
      </c>
      <c r="B127" s="770" t="s">
        <v>2220</v>
      </c>
      <c r="C127" s="776" t="s">
        <v>2221</v>
      </c>
      <c r="D127" s="806">
        <v>3863779.4555199998</v>
      </c>
      <c r="E127" s="806">
        <v>2656080.4376300001</v>
      </c>
    </row>
    <row r="128" spans="1:5" s="648" customFormat="1" x14ac:dyDescent="0.2">
      <c r="A128" s="770" t="s">
        <v>2222</v>
      </c>
      <c r="B128" s="770" t="s">
        <v>2223</v>
      </c>
      <c r="C128" s="776" t="s">
        <v>2224</v>
      </c>
      <c r="D128" s="806"/>
      <c r="E128" s="806"/>
    </row>
    <row r="129" spans="1:5" s="648" customFormat="1" x14ac:dyDescent="0.2">
      <c r="A129" s="770" t="s">
        <v>2225</v>
      </c>
      <c r="B129" s="770" t="s">
        <v>2226</v>
      </c>
      <c r="C129" s="776" t="s">
        <v>2227</v>
      </c>
      <c r="D129" s="806"/>
      <c r="E129" s="806"/>
    </row>
    <row r="130" spans="1:5" s="648" customFormat="1" x14ac:dyDescent="0.2">
      <c r="A130" s="770" t="s">
        <v>2228</v>
      </c>
      <c r="B130" s="770" t="s">
        <v>2229</v>
      </c>
      <c r="C130" s="776" t="s">
        <v>2230</v>
      </c>
      <c r="D130" s="806"/>
      <c r="E130" s="806"/>
    </row>
    <row r="131" spans="1:5" s="648" customFormat="1" x14ac:dyDescent="0.2">
      <c r="A131" s="770" t="s">
        <v>2231</v>
      </c>
      <c r="B131" s="770" t="s">
        <v>2232</v>
      </c>
      <c r="C131" s="776" t="s">
        <v>2233</v>
      </c>
      <c r="D131" s="806"/>
      <c r="E131" s="806"/>
    </row>
    <row r="132" spans="1:5" s="648" customFormat="1" x14ac:dyDescent="0.2">
      <c r="A132" s="770" t="s">
        <v>2234</v>
      </c>
      <c r="B132" s="770" t="s">
        <v>2235</v>
      </c>
      <c r="C132" s="776" t="s">
        <v>2236</v>
      </c>
      <c r="D132" s="806"/>
      <c r="E132" s="806"/>
    </row>
    <row r="133" spans="1:5" s="648" customFormat="1" x14ac:dyDescent="0.2">
      <c r="A133" s="770" t="s">
        <v>2237</v>
      </c>
      <c r="B133" s="770" t="s">
        <v>2238</v>
      </c>
      <c r="C133" s="776" t="s">
        <v>2239</v>
      </c>
      <c r="D133" s="806">
        <v>361949.07439999998</v>
      </c>
      <c r="E133" s="806">
        <v>422071.14539999998</v>
      </c>
    </row>
    <row r="134" spans="1:5" s="648" customFormat="1" x14ac:dyDescent="0.2">
      <c r="A134" s="770" t="s">
        <v>2240</v>
      </c>
      <c r="B134" s="770" t="s">
        <v>2241</v>
      </c>
      <c r="C134" s="776" t="s">
        <v>2242</v>
      </c>
      <c r="D134" s="806">
        <v>1082478.8947000001</v>
      </c>
      <c r="E134" s="806">
        <v>1476208.828</v>
      </c>
    </row>
    <row r="135" spans="1:5" s="648" customFormat="1" x14ac:dyDescent="0.2">
      <c r="A135" s="770" t="s">
        <v>2243</v>
      </c>
      <c r="B135" s="770" t="s">
        <v>1999</v>
      </c>
      <c r="C135" s="776" t="s">
        <v>2000</v>
      </c>
      <c r="D135" s="806"/>
      <c r="E135" s="806"/>
    </row>
    <row r="136" spans="1:5" s="765" customFormat="1" x14ac:dyDescent="0.2">
      <c r="A136" s="804" t="s">
        <v>2244</v>
      </c>
      <c r="B136" s="804" t="s">
        <v>2245</v>
      </c>
      <c r="C136" s="805" t="s">
        <v>133</v>
      </c>
      <c r="D136" s="824">
        <v>416043.24244</v>
      </c>
      <c r="E136" s="824">
        <v>1545320.05388</v>
      </c>
    </row>
    <row r="137" spans="1:5" s="648" customFormat="1" x14ac:dyDescent="0.2">
      <c r="A137" s="770" t="s">
        <v>2246</v>
      </c>
      <c r="B137" s="770" t="s">
        <v>2247</v>
      </c>
      <c r="C137" s="776" t="s">
        <v>2248</v>
      </c>
      <c r="D137" s="806"/>
      <c r="E137" s="806"/>
    </row>
    <row r="138" spans="1:5" s="648" customFormat="1" x14ac:dyDescent="0.2">
      <c r="A138" s="770" t="s">
        <v>2249</v>
      </c>
      <c r="B138" s="770" t="s">
        <v>2250</v>
      </c>
      <c r="C138" s="776" t="s">
        <v>2251</v>
      </c>
      <c r="D138" s="806"/>
      <c r="E138" s="806"/>
    </row>
    <row r="139" spans="1:5" s="648" customFormat="1" x14ac:dyDescent="0.2">
      <c r="A139" s="770" t="s">
        <v>2252</v>
      </c>
      <c r="B139" s="770" t="s">
        <v>2253</v>
      </c>
      <c r="C139" s="776" t="s">
        <v>2254</v>
      </c>
      <c r="D139" s="806"/>
      <c r="E139" s="806"/>
    </row>
    <row r="140" spans="1:5" s="648" customFormat="1" x14ac:dyDescent="0.2">
      <c r="A140" s="770" t="s">
        <v>2255</v>
      </c>
      <c r="B140" s="770" t="s">
        <v>2256</v>
      </c>
      <c r="C140" s="776" t="s">
        <v>2257</v>
      </c>
      <c r="D140" s="806"/>
      <c r="E140" s="806"/>
    </row>
    <row r="141" spans="1:5" s="648" customFormat="1" x14ac:dyDescent="0.2">
      <c r="A141" s="770" t="s">
        <v>2258</v>
      </c>
      <c r="B141" s="770" t="s">
        <v>2259</v>
      </c>
      <c r="C141" s="776" t="s">
        <v>2260</v>
      </c>
      <c r="D141" s="806">
        <v>15202.132869999999</v>
      </c>
      <c r="E141" s="806">
        <v>396867.21070999996</v>
      </c>
    </row>
    <row r="142" spans="1:5" s="648" customFormat="1" x14ac:dyDescent="0.2">
      <c r="A142" s="770" t="s">
        <v>2261</v>
      </c>
      <c r="B142" s="770" t="s">
        <v>2262</v>
      </c>
      <c r="C142" s="776" t="s">
        <v>2263</v>
      </c>
      <c r="D142" s="806"/>
      <c r="E142" s="806"/>
    </row>
    <row r="143" spans="1:5" s="648" customFormat="1" x14ac:dyDescent="0.2">
      <c r="A143" s="770" t="s">
        <v>2264</v>
      </c>
      <c r="B143" s="770" t="s">
        <v>2265</v>
      </c>
      <c r="C143" s="776" t="s">
        <v>2266</v>
      </c>
      <c r="D143" s="806">
        <v>3628.2671600000003</v>
      </c>
      <c r="E143" s="806">
        <v>9231.7221799999988</v>
      </c>
    </row>
    <row r="144" spans="1:5" s="648" customFormat="1" x14ac:dyDescent="0.2">
      <c r="A144" s="770" t="s">
        <v>2267</v>
      </c>
      <c r="B144" s="770" t="s">
        <v>2268</v>
      </c>
      <c r="C144" s="776" t="s">
        <v>2269</v>
      </c>
      <c r="D144" s="806"/>
      <c r="E144" s="806"/>
    </row>
    <row r="145" spans="1:5" s="648" customFormat="1" x14ac:dyDescent="0.2">
      <c r="A145" s="770" t="s">
        <v>2270</v>
      </c>
      <c r="B145" s="770" t="s">
        <v>2271</v>
      </c>
      <c r="C145" s="776" t="s">
        <v>2272</v>
      </c>
      <c r="D145" s="806"/>
      <c r="E145" s="806"/>
    </row>
    <row r="146" spans="1:5" s="648" customFormat="1" x14ac:dyDescent="0.2">
      <c r="A146" s="770" t="s">
        <v>2273</v>
      </c>
      <c r="B146" s="770" t="s">
        <v>2274</v>
      </c>
      <c r="C146" s="776" t="s">
        <v>2275</v>
      </c>
      <c r="D146" s="806">
        <v>13.228999999999999</v>
      </c>
      <c r="E146" s="806">
        <v>43.741999999999997</v>
      </c>
    </row>
    <row r="147" spans="1:5" s="648" customFormat="1" x14ac:dyDescent="0.2">
      <c r="A147" s="770" t="s">
        <v>2276</v>
      </c>
      <c r="B147" s="770" t="s">
        <v>2277</v>
      </c>
      <c r="C147" s="776" t="s">
        <v>2278</v>
      </c>
      <c r="D147" s="806">
        <v>17037.113000000001</v>
      </c>
      <c r="E147" s="806">
        <v>17639.863000000001</v>
      </c>
    </row>
    <row r="148" spans="1:5" s="648" customFormat="1" x14ac:dyDescent="0.2">
      <c r="A148" s="770" t="s">
        <v>2279</v>
      </c>
      <c r="B148" s="770" t="s">
        <v>2065</v>
      </c>
      <c r="C148" s="776" t="s">
        <v>2066</v>
      </c>
      <c r="D148" s="806">
        <v>6579.4520000000002</v>
      </c>
      <c r="E148" s="806">
        <v>6826.6180000000004</v>
      </c>
    </row>
    <row r="149" spans="1:5" s="648" customFormat="1" x14ac:dyDescent="0.2">
      <c r="A149" s="770" t="s">
        <v>2280</v>
      </c>
      <c r="B149" s="770" t="s">
        <v>2068</v>
      </c>
      <c r="C149" s="776" t="s">
        <v>2069</v>
      </c>
      <c r="D149" s="806">
        <v>3018.6529999999998</v>
      </c>
      <c r="E149" s="806">
        <v>3115.19</v>
      </c>
    </row>
    <row r="150" spans="1:5" s="648" customFormat="1" x14ac:dyDescent="0.2">
      <c r="A150" s="770" t="s">
        <v>2281</v>
      </c>
      <c r="B150" s="770" t="s">
        <v>2071</v>
      </c>
      <c r="C150" s="776" t="s">
        <v>2072</v>
      </c>
      <c r="D150" s="806">
        <v>9.6760000000000002</v>
      </c>
      <c r="E150" s="806">
        <v>10.047000000000001</v>
      </c>
    </row>
    <row r="151" spans="1:5" s="648" customFormat="1" x14ac:dyDescent="0.2">
      <c r="A151" s="770" t="s">
        <v>2282</v>
      </c>
      <c r="B151" s="770" t="s">
        <v>2074</v>
      </c>
      <c r="C151" s="776" t="s">
        <v>2075</v>
      </c>
      <c r="D151" s="806"/>
      <c r="E151" s="806"/>
    </row>
    <row r="152" spans="1:5" s="648" customFormat="1" x14ac:dyDescent="0.2">
      <c r="A152" s="770" t="s">
        <v>2283</v>
      </c>
      <c r="B152" s="770" t="s">
        <v>2077</v>
      </c>
      <c r="C152" s="776" t="s">
        <v>2078</v>
      </c>
      <c r="D152" s="806">
        <v>3044.9940000000001</v>
      </c>
      <c r="E152" s="806">
        <v>2793.7979999999998</v>
      </c>
    </row>
    <row r="153" spans="1:5" s="648" customFormat="1" x14ac:dyDescent="0.2">
      <c r="A153" s="770" t="s">
        <v>2284</v>
      </c>
      <c r="B153" s="770" t="s">
        <v>236</v>
      </c>
      <c r="C153" s="776" t="s">
        <v>2080</v>
      </c>
      <c r="D153" s="806">
        <v>5551.1369999999997</v>
      </c>
      <c r="E153" s="806">
        <v>14925.768</v>
      </c>
    </row>
    <row r="154" spans="1:5" s="648" customFormat="1" x14ac:dyDescent="0.2">
      <c r="A154" s="770" t="s">
        <v>2285</v>
      </c>
      <c r="B154" s="770" t="s">
        <v>2286</v>
      </c>
      <c r="C154" s="776" t="s">
        <v>2287</v>
      </c>
      <c r="D154" s="806">
        <v>5142.3778899999998</v>
      </c>
      <c r="E154" s="806">
        <v>18150.298409999999</v>
      </c>
    </row>
    <row r="155" spans="1:5" s="648" customFormat="1" x14ac:dyDescent="0.2">
      <c r="A155" s="770" t="s">
        <v>2288</v>
      </c>
      <c r="B155" s="770" t="s">
        <v>2289</v>
      </c>
      <c r="C155" s="776" t="s">
        <v>2290</v>
      </c>
      <c r="D155" s="806">
        <v>10057.215</v>
      </c>
      <c r="E155" s="806">
        <v>3345.2730000000001</v>
      </c>
    </row>
    <row r="156" spans="1:5" s="648" customFormat="1" x14ac:dyDescent="0.2">
      <c r="A156" s="770" t="s">
        <v>2291</v>
      </c>
      <c r="B156" s="770" t="s">
        <v>2292</v>
      </c>
      <c r="C156" s="776" t="s">
        <v>2293</v>
      </c>
      <c r="D156" s="806">
        <v>12887.570750000001</v>
      </c>
      <c r="E156" s="806">
        <v>135331.67061</v>
      </c>
    </row>
    <row r="157" spans="1:5" s="648" customFormat="1" x14ac:dyDescent="0.2">
      <c r="A157" s="770" t="s">
        <v>2294</v>
      </c>
      <c r="B157" s="770" t="s">
        <v>2295</v>
      </c>
      <c r="C157" s="776" t="s">
        <v>2296</v>
      </c>
      <c r="D157" s="806"/>
      <c r="E157" s="806"/>
    </row>
    <row r="158" spans="1:5" s="648" customFormat="1" x14ac:dyDescent="0.2">
      <c r="A158" s="770" t="s">
        <v>2297</v>
      </c>
      <c r="B158" s="770" t="s">
        <v>2094</v>
      </c>
      <c r="C158" s="776" t="s">
        <v>2095</v>
      </c>
      <c r="D158" s="806">
        <v>1137.5</v>
      </c>
      <c r="E158" s="806">
        <v>1466.1111100000001</v>
      </c>
    </row>
    <row r="159" spans="1:5" s="648" customFormat="1" x14ac:dyDescent="0.2">
      <c r="A159" s="770" t="s">
        <v>2298</v>
      </c>
      <c r="B159" s="770" t="s">
        <v>2299</v>
      </c>
      <c r="C159" s="776" t="s">
        <v>2300</v>
      </c>
      <c r="D159" s="806"/>
      <c r="E159" s="806"/>
    </row>
    <row r="160" spans="1:5" s="648" customFormat="1" x14ac:dyDescent="0.2">
      <c r="A160" s="770" t="s">
        <v>2301</v>
      </c>
      <c r="B160" s="770" t="s">
        <v>2302</v>
      </c>
      <c r="C160" s="776" t="s">
        <v>2303</v>
      </c>
      <c r="D160" s="806">
        <v>3750</v>
      </c>
      <c r="E160" s="806">
        <v>17258</v>
      </c>
    </row>
    <row r="161" spans="1:5" s="648" customFormat="1" x14ac:dyDescent="0.2">
      <c r="A161" s="770" t="s">
        <v>2304</v>
      </c>
      <c r="B161" s="770" t="s">
        <v>2305</v>
      </c>
      <c r="C161" s="776" t="s">
        <v>2306</v>
      </c>
      <c r="D161" s="806">
        <v>1599.5390600000001</v>
      </c>
      <c r="E161" s="806">
        <v>2198.0953999999997</v>
      </c>
    </row>
    <row r="162" spans="1:5" s="648" customFormat="1" x14ac:dyDescent="0.2">
      <c r="A162" s="770" t="s">
        <v>2307</v>
      </c>
      <c r="B162" s="770" t="s">
        <v>2106</v>
      </c>
      <c r="C162" s="776" t="s">
        <v>2107</v>
      </c>
      <c r="D162" s="806">
        <v>17749.662069999998</v>
      </c>
      <c r="E162" s="806"/>
    </row>
    <row r="163" spans="1:5" s="648" customFormat="1" x14ac:dyDescent="0.2">
      <c r="A163" s="770" t="s">
        <v>2308</v>
      </c>
      <c r="B163" s="770" t="s">
        <v>2309</v>
      </c>
      <c r="C163" s="776" t="s">
        <v>2310</v>
      </c>
      <c r="D163" s="806">
        <v>198.72</v>
      </c>
      <c r="E163" s="806">
        <v>45</v>
      </c>
    </row>
    <row r="164" spans="1:5" s="648" customFormat="1" x14ac:dyDescent="0.2">
      <c r="A164" s="770" t="s">
        <v>2311</v>
      </c>
      <c r="B164" s="770" t="s">
        <v>2312</v>
      </c>
      <c r="C164" s="776" t="s">
        <v>2313</v>
      </c>
      <c r="D164" s="806"/>
      <c r="E164" s="806"/>
    </row>
    <row r="165" spans="1:5" s="648" customFormat="1" x14ac:dyDescent="0.2">
      <c r="A165" s="770" t="s">
        <v>2314</v>
      </c>
      <c r="B165" s="770" t="s">
        <v>2315</v>
      </c>
      <c r="C165" s="776" t="s">
        <v>2316</v>
      </c>
      <c r="D165" s="806">
        <v>301382.06449000002</v>
      </c>
      <c r="E165" s="806">
        <v>898216.90426999994</v>
      </c>
    </row>
    <row r="166" spans="1:5" s="648" customFormat="1" x14ac:dyDescent="0.2">
      <c r="A166" s="777" t="s">
        <v>2317</v>
      </c>
      <c r="B166" s="777" t="s">
        <v>2318</v>
      </c>
      <c r="C166" s="778" t="s">
        <v>2319</v>
      </c>
      <c r="D166" s="817">
        <v>8053.9391500000002</v>
      </c>
      <c r="E166" s="817">
        <v>17854.742190000001</v>
      </c>
    </row>
    <row r="167" spans="1:5" s="648" customFormat="1" x14ac:dyDescent="0.2">
      <c r="A167" s="764"/>
    </row>
    <row r="168" spans="1:5" s="764" customFormat="1" x14ac:dyDescent="0.2"/>
    <row r="169" spans="1:5" s="764" customFormat="1" x14ac:dyDescent="0.2"/>
    <row r="170" spans="1:5" s="764" customFormat="1" x14ac:dyDescent="0.2"/>
    <row r="171" spans="1:5" s="764" customFormat="1" x14ac:dyDescent="0.2"/>
    <row r="172" spans="1:5" s="764" customFormat="1" x14ac:dyDescent="0.2"/>
    <row r="173" spans="1:5" s="764" customFormat="1" x14ac:dyDescent="0.2"/>
    <row r="174" spans="1:5" s="764" customFormat="1" x14ac:dyDescent="0.2"/>
    <row r="175" spans="1:5" s="764" customFormat="1" x14ac:dyDescent="0.2"/>
    <row r="176" spans="1:5" s="764" customFormat="1" x14ac:dyDescent="0.2"/>
    <row r="177" s="764" customFormat="1" x14ac:dyDescent="0.2"/>
    <row r="178" s="764" customFormat="1" x14ac:dyDescent="0.2"/>
    <row r="179" s="764" customFormat="1" x14ac:dyDescent="0.2"/>
    <row r="180" s="764" customFormat="1" x14ac:dyDescent="0.2"/>
    <row r="181" s="764" customFormat="1" x14ac:dyDescent="0.2"/>
    <row r="182" s="764" customFormat="1" x14ac:dyDescent="0.2"/>
    <row r="183" s="764" customFormat="1" x14ac:dyDescent="0.2"/>
    <row r="184" s="764" customFormat="1" x14ac:dyDescent="0.2"/>
    <row r="185" s="764" customFormat="1" x14ac:dyDescent="0.2"/>
    <row r="186" s="764" customFormat="1" x14ac:dyDescent="0.2"/>
    <row r="187" s="764" customFormat="1" x14ac:dyDescent="0.2"/>
    <row r="188" s="764" customFormat="1" x14ac:dyDescent="0.2"/>
    <row r="189" s="764" customFormat="1" x14ac:dyDescent="0.2"/>
    <row r="190" s="764" customFormat="1" x14ac:dyDescent="0.2"/>
    <row r="191" s="764" customFormat="1" x14ac:dyDescent="0.2"/>
    <row r="192" s="764" customFormat="1" x14ac:dyDescent="0.2"/>
    <row r="193" s="764" customFormat="1" x14ac:dyDescent="0.2"/>
    <row r="194" s="764" customFormat="1" x14ac:dyDescent="0.2"/>
    <row r="195" s="764" customFormat="1" x14ac:dyDescent="0.2"/>
    <row r="196" s="764" customFormat="1" x14ac:dyDescent="0.2"/>
    <row r="197" s="764" customFormat="1" x14ac:dyDescent="0.2"/>
    <row r="198" s="764" customFormat="1" x14ac:dyDescent="0.2"/>
    <row r="199" s="764" customFormat="1" x14ac:dyDescent="0.2"/>
    <row r="200" s="764" customFormat="1" x14ac:dyDescent="0.2"/>
    <row r="201" s="764" customFormat="1" x14ac:dyDescent="0.2"/>
    <row r="202" s="764" customFormat="1" x14ac:dyDescent="0.2"/>
    <row r="203" s="764" customFormat="1" x14ac:dyDescent="0.2"/>
    <row r="204" s="764" customFormat="1" x14ac:dyDescent="0.2"/>
    <row r="205" s="764" customFormat="1" x14ac:dyDescent="0.2"/>
    <row r="206" s="764" customFormat="1" x14ac:dyDescent="0.2"/>
    <row r="207" s="764" customFormat="1" x14ac:dyDescent="0.2"/>
    <row r="208" s="764" customFormat="1" x14ac:dyDescent="0.2"/>
    <row r="209" s="764" customFormat="1" x14ac:dyDescent="0.2"/>
    <row r="210" s="764" customFormat="1" x14ac:dyDescent="0.2"/>
    <row r="211" s="764" customFormat="1" x14ac:dyDescent="0.2"/>
    <row r="212" s="764" customFormat="1" x14ac:dyDescent="0.2"/>
    <row r="213" s="764" customFormat="1" x14ac:dyDescent="0.2"/>
    <row r="214" s="764" customFormat="1" x14ac:dyDescent="0.2"/>
    <row r="215" s="764" customFormat="1" x14ac:dyDescent="0.2"/>
    <row r="216" s="764" customFormat="1" x14ac:dyDescent="0.2"/>
    <row r="217" s="764" customFormat="1" x14ac:dyDescent="0.2"/>
    <row r="218" s="764" customFormat="1" x14ac:dyDescent="0.2"/>
    <row r="219" s="764" customFormat="1" x14ac:dyDescent="0.2"/>
    <row r="220" s="764" customFormat="1" x14ac:dyDescent="0.2"/>
    <row r="221" s="764" customFormat="1" x14ac:dyDescent="0.2"/>
    <row r="222" s="764" customFormat="1" x14ac:dyDescent="0.2"/>
    <row r="223" s="764" customFormat="1" x14ac:dyDescent="0.2"/>
    <row r="224" s="764" customFormat="1" x14ac:dyDescent="0.2"/>
    <row r="225" s="764" customFormat="1" x14ac:dyDescent="0.2"/>
    <row r="226" s="764" customFormat="1" x14ac:dyDescent="0.2"/>
    <row r="227" s="764" customFormat="1" x14ac:dyDescent="0.2"/>
    <row r="228" s="764" customFormat="1" x14ac:dyDescent="0.2"/>
    <row r="229" s="764" customFormat="1" x14ac:dyDescent="0.2"/>
    <row r="230" s="764" customFormat="1" x14ac:dyDescent="0.2"/>
    <row r="231" s="764" customFormat="1" x14ac:dyDescent="0.2"/>
    <row r="232" s="764" customFormat="1" x14ac:dyDescent="0.2"/>
    <row r="233" s="764" customFormat="1" x14ac:dyDescent="0.2"/>
    <row r="234" s="764" customFormat="1" x14ac:dyDescent="0.2"/>
    <row r="235" s="764" customFormat="1" x14ac:dyDescent="0.2"/>
    <row r="236" s="764" customFormat="1" x14ac:dyDescent="0.2"/>
    <row r="237" s="764" customFormat="1" x14ac:dyDescent="0.2"/>
    <row r="238" s="764" customFormat="1" x14ac:dyDescent="0.2"/>
    <row r="239" s="764" customFormat="1" x14ac:dyDescent="0.2"/>
    <row r="240" s="764" customFormat="1" x14ac:dyDescent="0.2"/>
    <row r="241" s="764" customFormat="1" x14ac:dyDescent="0.2"/>
    <row r="242" s="764" customFormat="1" x14ac:dyDescent="0.2"/>
    <row r="243" s="764" customFormat="1" x14ac:dyDescent="0.2"/>
    <row r="244" s="764" customFormat="1" x14ac:dyDescent="0.2"/>
    <row r="245" s="764" customFormat="1" x14ac:dyDescent="0.2"/>
    <row r="246" s="764" customFormat="1" x14ac:dyDescent="0.2"/>
    <row r="247" s="764" customFormat="1" x14ac:dyDescent="0.2"/>
    <row r="248" s="764" customFormat="1" x14ac:dyDescent="0.2"/>
    <row r="249" s="764" customFormat="1" x14ac:dyDescent="0.2"/>
    <row r="250" s="764" customFormat="1" x14ac:dyDescent="0.2"/>
    <row r="251" s="764" customFormat="1" x14ac:dyDescent="0.2"/>
    <row r="252" s="764" customFormat="1" x14ac:dyDescent="0.2"/>
    <row r="253" s="764" customFormat="1" x14ac:dyDescent="0.2"/>
    <row r="254" s="764" customFormat="1" x14ac:dyDescent="0.2"/>
    <row r="255" s="764" customFormat="1" x14ac:dyDescent="0.2"/>
    <row r="256" s="764" customFormat="1" x14ac:dyDescent="0.2"/>
    <row r="257" s="764" customFormat="1" x14ac:dyDescent="0.2"/>
    <row r="258" s="764" customFormat="1" x14ac:dyDescent="0.2"/>
    <row r="259" s="764" customFormat="1" x14ac:dyDescent="0.2"/>
    <row r="260" s="764" customFormat="1" x14ac:dyDescent="0.2"/>
    <row r="261" s="764" customFormat="1" x14ac:dyDescent="0.2"/>
    <row r="262" s="764" customFormat="1" x14ac:dyDescent="0.2"/>
  </sheetData>
  <mergeCells count="10">
    <mergeCell ref="A106:B107"/>
    <mergeCell ref="C106:C107"/>
    <mergeCell ref="D106:E106"/>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70" firstPageNumber="458" fitToHeight="2" orientation="portrait" useFirstPageNumber="1" r:id="rId1"/>
  <headerFooter alignWithMargins="0">
    <oddHeader>&amp;L&amp;"Tahoma,Kurzíva"Závěrečný účet za rok 2015&amp;R&amp;"Tahoma,Kurzíva"Tabulka č. 31</oddHeader>
    <oddFooter>&amp;C&amp;"Tahoma,Obyčejné"&amp;P</oddFooter>
  </headerFooter>
  <rowBreaks count="1" manualBreakCount="1">
    <brk id="113" max="6"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7"/>
  <sheetViews>
    <sheetView showGridLines="0" zoomScaleNormal="100" zoomScaleSheetLayoutView="100" workbookViewId="0">
      <selection activeCell="I5" sqref="I5"/>
    </sheetView>
  </sheetViews>
  <sheetFormatPr defaultRowHeight="12.75" x14ac:dyDescent="0.2"/>
  <cols>
    <col min="1" max="1" width="7" style="836" customWidth="1"/>
    <col min="2" max="2" width="42.85546875" style="764" customWidth="1"/>
    <col min="3" max="3" width="8.7109375" style="835" customWidth="1"/>
    <col min="4" max="7" width="13.85546875" style="799" customWidth="1"/>
    <col min="8" max="8" width="9.140625" style="764" customWidth="1"/>
    <col min="9" max="16384" width="9.140625" style="764"/>
  </cols>
  <sheetData>
    <row r="1" spans="1:7" s="784" customFormat="1" ht="18" customHeight="1" x14ac:dyDescent="0.2">
      <c r="A1" s="1493" t="s">
        <v>1874</v>
      </c>
      <c r="B1" s="1493"/>
      <c r="C1" s="1493"/>
      <c r="D1" s="1493"/>
      <c r="E1" s="1493"/>
      <c r="F1" s="1493"/>
      <c r="G1" s="1493"/>
    </row>
    <row r="2" spans="1:7" s="784" customFormat="1" ht="18" customHeight="1" x14ac:dyDescent="0.2">
      <c r="A2" s="1494" t="s">
        <v>2322</v>
      </c>
      <c r="B2" s="1494"/>
      <c r="C2" s="1494"/>
      <c r="D2" s="1494"/>
      <c r="E2" s="1494"/>
      <c r="F2" s="1494"/>
      <c r="G2" s="1494"/>
    </row>
    <row r="3" spans="1:7" s="648" customFormat="1" x14ac:dyDescent="0.2">
      <c r="C3" s="546"/>
      <c r="D3" s="760"/>
      <c r="E3" s="760"/>
      <c r="F3" s="760"/>
      <c r="G3" s="760"/>
    </row>
    <row r="4" spans="1:7" x14ac:dyDescent="0.2">
      <c r="A4" s="761"/>
      <c r="B4" s="761"/>
      <c r="C4" s="762"/>
      <c r="D4" s="763">
        <v>1</v>
      </c>
      <c r="E4" s="763">
        <v>2</v>
      </c>
      <c r="F4" s="763">
        <v>3</v>
      </c>
      <c r="G4" s="763">
        <v>4</v>
      </c>
    </row>
    <row r="5" spans="1:7" s="825" customFormat="1" ht="12.75" customHeight="1" x14ac:dyDescent="0.2">
      <c r="A5" s="1495" t="s">
        <v>1876</v>
      </c>
      <c r="B5" s="1496"/>
      <c r="C5" s="1501" t="s">
        <v>1877</v>
      </c>
      <c r="D5" s="1506" t="s">
        <v>1878</v>
      </c>
      <c r="E5" s="1507"/>
      <c r="F5" s="1507"/>
      <c r="G5" s="1508"/>
    </row>
    <row r="6" spans="1:7" s="765" customFormat="1" x14ac:dyDescent="0.2">
      <c r="A6" s="1497"/>
      <c r="B6" s="1498"/>
      <c r="C6" s="1502"/>
      <c r="D6" s="1509" t="s">
        <v>1879</v>
      </c>
      <c r="E6" s="1510"/>
      <c r="F6" s="1511"/>
      <c r="G6" s="1512" t="s">
        <v>1880</v>
      </c>
    </row>
    <row r="7" spans="1:7" s="765" customFormat="1" x14ac:dyDescent="0.2">
      <c r="A7" s="1499"/>
      <c r="B7" s="1500"/>
      <c r="C7" s="1514"/>
      <c r="D7" s="803" t="s">
        <v>1881</v>
      </c>
      <c r="E7" s="803" t="s">
        <v>1882</v>
      </c>
      <c r="F7" s="803" t="s">
        <v>1883</v>
      </c>
      <c r="G7" s="1516"/>
    </row>
    <row r="8" spans="1:7" s="765" customFormat="1" x14ac:dyDescent="0.2">
      <c r="A8" s="804"/>
      <c r="B8" s="804" t="s">
        <v>1884</v>
      </c>
      <c r="C8" s="805" t="s">
        <v>133</v>
      </c>
      <c r="D8" s="769">
        <v>50920403.826650001</v>
      </c>
      <c r="E8" s="769">
        <v>13186595.11994</v>
      </c>
      <c r="F8" s="769">
        <v>37733808.706709996</v>
      </c>
      <c r="G8" s="769">
        <v>34701617.990269996</v>
      </c>
    </row>
    <row r="9" spans="1:7" s="826" customFormat="1" x14ac:dyDescent="0.2">
      <c r="A9" s="804" t="s">
        <v>1885</v>
      </c>
      <c r="B9" s="804" t="s">
        <v>1886</v>
      </c>
      <c r="C9" s="805" t="s">
        <v>133</v>
      </c>
      <c r="D9" s="769">
        <v>48105909.021970004</v>
      </c>
      <c r="E9" s="769">
        <v>13183241.645030001</v>
      </c>
      <c r="F9" s="769">
        <v>34922667.376940005</v>
      </c>
      <c r="G9" s="769">
        <v>31660795.52025</v>
      </c>
    </row>
    <row r="10" spans="1:7" s="826" customFormat="1" x14ac:dyDescent="0.2">
      <c r="A10" s="804" t="s">
        <v>1887</v>
      </c>
      <c r="B10" s="804" t="s">
        <v>1888</v>
      </c>
      <c r="C10" s="805" t="s">
        <v>133</v>
      </c>
      <c r="D10" s="769">
        <v>269641.21402999997</v>
      </c>
      <c r="E10" s="769">
        <v>223205.26384</v>
      </c>
      <c r="F10" s="769">
        <v>46435.950189999996</v>
      </c>
      <c r="G10" s="769">
        <v>31038.789190000003</v>
      </c>
    </row>
    <row r="11" spans="1:7" s="648" customFormat="1" x14ac:dyDescent="0.2">
      <c r="A11" s="770" t="s">
        <v>1889</v>
      </c>
      <c r="B11" s="770" t="s">
        <v>1890</v>
      </c>
      <c r="C11" s="776" t="s">
        <v>1891</v>
      </c>
      <c r="D11" s="772">
        <v>275.25</v>
      </c>
      <c r="E11" s="772">
        <v>249.476</v>
      </c>
      <c r="F11" s="772">
        <v>25.774000000000001</v>
      </c>
      <c r="G11" s="772">
        <v>37.69</v>
      </c>
    </row>
    <row r="12" spans="1:7" s="648" customFormat="1" x14ac:dyDescent="0.2">
      <c r="A12" s="770" t="s">
        <v>1892</v>
      </c>
      <c r="B12" s="770" t="s">
        <v>1893</v>
      </c>
      <c r="C12" s="776" t="s">
        <v>1894</v>
      </c>
      <c r="D12" s="773">
        <v>171609.73840999999</v>
      </c>
      <c r="E12" s="773">
        <v>129427.57662000001</v>
      </c>
      <c r="F12" s="773">
        <v>42182.161789999998</v>
      </c>
      <c r="G12" s="773">
        <v>27436.939690000003</v>
      </c>
    </row>
    <row r="13" spans="1:7" s="648" customFormat="1" x14ac:dyDescent="0.2">
      <c r="A13" s="770" t="s">
        <v>1895</v>
      </c>
      <c r="B13" s="770" t="s">
        <v>320</v>
      </c>
      <c r="C13" s="776" t="s">
        <v>1896</v>
      </c>
      <c r="D13" s="774">
        <v>0</v>
      </c>
      <c r="E13" s="774">
        <v>0</v>
      </c>
      <c r="F13" s="774">
        <v>0</v>
      </c>
      <c r="G13" s="774">
        <v>0</v>
      </c>
    </row>
    <row r="14" spans="1:7" s="648" customFormat="1" x14ac:dyDescent="0.2">
      <c r="A14" s="770" t="s">
        <v>1897</v>
      </c>
      <c r="B14" s="770" t="s">
        <v>1898</v>
      </c>
      <c r="C14" s="776" t="s">
        <v>1899</v>
      </c>
      <c r="D14" s="774">
        <v>0</v>
      </c>
      <c r="E14" s="774">
        <v>0</v>
      </c>
      <c r="F14" s="774">
        <v>0</v>
      </c>
      <c r="G14" s="774">
        <v>0</v>
      </c>
    </row>
    <row r="15" spans="1:7" s="648" customFormat="1" x14ac:dyDescent="0.2">
      <c r="A15" s="770" t="s">
        <v>1900</v>
      </c>
      <c r="B15" s="770" t="s">
        <v>1901</v>
      </c>
      <c r="C15" s="776" t="s">
        <v>1902</v>
      </c>
      <c r="D15" s="774">
        <v>87664.015719999996</v>
      </c>
      <c r="E15" s="774">
        <v>87664.015719999996</v>
      </c>
      <c r="F15" s="774">
        <v>0</v>
      </c>
      <c r="G15" s="774">
        <v>0</v>
      </c>
    </row>
    <row r="16" spans="1:7" s="648" customFormat="1" x14ac:dyDescent="0.2">
      <c r="A16" s="770" t="s">
        <v>1903</v>
      </c>
      <c r="B16" s="770" t="s">
        <v>1904</v>
      </c>
      <c r="C16" s="776" t="s">
        <v>1905</v>
      </c>
      <c r="D16" s="773">
        <v>6711.9390999999996</v>
      </c>
      <c r="E16" s="773">
        <v>5864.1954999999998</v>
      </c>
      <c r="F16" s="773">
        <v>847.74360000000001</v>
      </c>
      <c r="G16" s="773">
        <v>658.45169999999996</v>
      </c>
    </row>
    <row r="17" spans="1:7" s="648" customFormat="1" x14ac:dyDescent="0.2">
      <c r="A17" s="770" t="s">
        <v>1906</v>
      </c>
      <c r="B17" s="770" t="s">
        <v>1907</v>
      </c>
      <c r="C17" s="776" t="s">
        <v>1908</v>
      </c>
      <c r="D17" s="773">
        <v>3380.2707999999998</v>
      </c>
      <c r="E17" s="773"/>
      <c r="F17" s="773">
        <v>3380.2707999999998</v>
      </c>
      <c r="G17" s="773">
        <v>2905.7077999999997</v>
      </c>
    </row>
    <row r="18" spans="1:7" s="648" customFormat="1" ht="21" x14ac:dyDescent="0.2">
      <c r="A18" s="770" t="s">
        <v>1909</v>
      </c>
      <c r="B18" s="770" t="s">
        <v>1910</v>
      </c>
      <c r="C18" s="776" t="s">
        <v>1911</v>
      </c>
      <c r="D18" s="774">
        <v>0</v>
      </c>
      <c r="E18" s="774"/>
      <c r="F18" s="774">
        <v>0</v>
      </c>
      <c r="G18" s="774">
        <v>0</v>
      </c>
    </row>
    <row r="19" spans="1:7" s="648" customFormat="1" x14ac:dyDescent="0.2">
      <c r="A19" s="770" t="s">
        <v>1912</v>
      </c>
      <c r="B19" s="770" t="s">
        <v>1913</v>
      </c>
      <c r="C19" s="776" t="s">
        <v>1914</v>
      </c>
      <c r="D19" s="774">
        <v>0</v>
      </c>
      <c r="E19" s="773"/>
      <c r="F19" s="774">
        <v>0</v>
      </c>
      <c r="G19" s="773"/>
    </row>
    <row r="20" spans="1:7" s="648" customFormat="1" x14ac:dyDescent="0.2">
      <c r="A20" s="770" t="s">
        <v>1915</v>
      </c>
      <c r="B20" s="770" t="s">
        <v>1916</v>
      </c>
      <c r="C20" s="776" t="s">
        <v>1917</v>
      </c>
      <c r="D20" s="774">
        <v>0</v>
      </c>
      <c r="E20" s="773"/>
      <c r="F20" s="774">
        <v>0</v>
      </c>
      <c r="G20" s="773"/>
    </row>
    <row r="21" spans="1:7" s="826" customFormat="1" x14ac:dyDescent="0.2">
      <c r="A21" s="804" t="s">
        <v>1918</v>
      </c>
      <c r="B21" s="804" t="s">
        <v>1919</v>
      </c>
      <c r="C21" s="805" t="s">
        <v>133</v>
      </c>
      <c r="D21" s="769">
        <v>47834087.413889997</v>
      </c>
      <c r="E21" s="769">
        <v>12960036.38119</v>
      </c>
      <c r="F21" s="769">
        <v>34874051.032699995</v>
      </c>
      <c r="G21" s="769">
        <v>31626996.627970003</v>
      </c>
    </row>
    <row r="22" spans="1:7" s="648" customFormat="1" x14ac:dyDescent="0.2">
      <c r="A22" s="770" t="s">
        <v>1920</v>
      </c>
      <c r="B22" s="770" t="s">
        <v>264</v>
      </c>
      <c r="C22" s="776" t="s">
        <v>1921</v>
      </c>
      <c r="D22" s="773">
        <v>4442874.2950499998</v>
      </c>
      <c r="E22" s="773"/>
      <c r="F22" s="773">
        <v>4442874.2950499998</v>
      </c>
      <c r="G22" s="773">
        <v>4449968.4753400004</v>
      </c>
    </row>
    <row r="23" spans="1:7" s="648" customFormat="1" x14ac:dyDescent="0.2">
      <c r="A23" s="770" t="s">
        <v>1922</v>
      </c>
      <c r="B23" s="770" t="s">
        <v>1923</v>
      </c>
      <c r="C23" s="776" t="s">
        <v>1924</v>
      </c>
      <c r="D23" s="773">
        <v>10852.5484</v>
      </c>
      <c r="E23" s="773"/>
      <c r="F23" s="773">
        <v>10852.5484</v>
      </c>
      <c r="G23" s="773">
        <v>10861.3524</v>
      </c>
    </row>
    <row r="24" spans="1:7" s="648" customFormat="1" x14ac:dyDescent="0.2">
      <c r="A24" s="770" t="s">
        <v>1925</v>
      </c>
      <c r="B24" s="770" t="s">
        <v>1926</v>
      </c>
      <c r="C24" s="776" t="s">
        <v>1927</v>
      </c>
      <c r="D24" s="773">
        <v>34070970.703209996</v>
      </c>
      <c r="E24" s="773">
        <v>5855950.8792599998</v>
      </c>
      <c r="F24" s="773">
        <v>28215019.82395</v>
      </c>
      <c r="G24" s="773">
        <v>25341872.49729</v>
      </c>
    </row>
    <row r="25" spans="1:7" s="648" customFormat="1" ht="21" x14ac:dyDescent="0.2">
      <c r="A25" s="770" t="s">
        <v>1928</v>
      </c>
      <c r="B25" s="770" t="s">
        <v>1929</v>
      </c>
      <c r="C25" s="776" t="s">
        <v>1930</v>
      </c>
      <c r="D25" s="773">
        <v>6031925.1145500001</v>
      </c>
      <c r="E25" s="773">
        <v>4375670.4459899999</v>
      </c>
      <c r="F25" s="773">
        <v>1656254.6685599999</v>
      </c>
      <c r="G25" s="773">
        <v>1295011.51425</v>
      </c>
    </row>
    <row r="26" spans="1:7" s="648" customFormat="1" x14ac:dyDescent="0.2">
      <c r="A26" s="770" t="s">
        <v>1931</v>
      </c>
      <c r="B26" s="770" t="s">
        <v>1932</v>
      </c>
      <c r="C26" s="776" t="s">
        <v>1933</v>
      </c>
      <c r="D26" s="773"/>
      <c r="E26" s="773"/>
      <c r="F26" s="773"/>
      <c r="G26" s="773"/>
    </row>
    <row r="27" spans="1:7" s="648" customFormat="1" x14ac:dyDescent="0.2">
      <c r="A27" s="770" t="s">
        <v>1934</v>
      </c>
      <c r="B27" s="770" t="s">
        <v>1935</v>
      </c>
      <c r="C27" s="776" t="s">
        <v>1936</v>
      </c>
      <c r="D27" s="773">
        <v>2728322.4639400002</v>
      </c>
      <c r="E27" s="774">
        <v>2728322.4639400002</v>
      </c>
      <c r="F27" s="773"/>
      <c r="G27" s="774">
        <v>0</v>
      </c>
    </row>
    <row r="28" spans="1:7" s="648" customFormat="1" x14ac:dyDescent="0.2">
      <c r="A28" s="770" t="s">
        <v>1937</v>
      </c>
      <c r="B28" s="770" t="s">
        <v>1938</v>
      </c>
      <c r="C28" s="776" t="s">
        <v>1939</v>
      </c>
      <c r="D28" s="773">
        <v>239.07201999999998</v>
      </c>
      <c r="E28" s="773">
        <v>92.591999999999999</v>
      </c>
      <c r="F28" s="773">
        <v>146.48002</v>
      </c>
      <c r="G28" s="773">
        <v>178.68620999999999</v>
      </c>
    </row>
    <row r="29" spans="1:7" s="648" customFormat="1" x14ac:dyDescent="0.2">
      <c r="A29" s="770" t="s">
        <v>1940</v>
      </c>
      <c r="B29" s="770" t="s">
        <v>1941</v>
      </c>
      <c r="C29" s="776" t="s">
        <v>1942</v>
      </c>
      <c r="D29" s="773">
        <v>548236.96630999993</v>
      </c>
      <c r="E29" s="773"/>
      <c r="F29" s="773">
        <v>548236.96630999993</v>
      </c>
      <c r="G29" s="773">
        <v>526975.48031999997</v>
      </c>
    </row>
    <row r="30" spans="1:7" s="648" customFormat="1" ht="21" x14ac:dyDescent="0.2">
      <c r="A30" s="770" t="s">
        <v>1943</v>
      </c>
      <c r="B30" s="770" t="s">
        <v>1944</v>
      </c>
      <c r="C30" s="776" t="s">
        <v>1945</v>
      </c>
      <c r="D30" s="774">
        <v>0</v>
      </c>
      <c r="E30" s="773"/>
      <c r="F30" s="774">
        <v>0</v>
      </c>
      <c r="G30" s="773"/>
    </row>
    <row r="31" spans="1:7" s="648" customFormat="1" x14ac:dyDescent="0.2">
      <c r="A31" s="770" t="s">
        <v>1946</v>
      </c>
      <c r="B31" s="770" t="s">
        <v>1947</v>
      </c>
      <c r="C31" s="776" t="s">
        <v>1948</v>
      </c>
      <c r="D31" s="773">
        <v>666.25040999999999</v>
      </c>
      <c r="E31" s="773"/>
      <c r="F31" s="773">
        <v>666.25040999999999</v>
      </c>
      <c r="G31" s="773">
        <v>2128.6221600000003</v>
      </c>
    </row>
    <row r="32" spans="1:7" s="648" customFormat="1" x14ac:dyDescent="0.2">
      <c r="A32" s="770" t="s">
        <v>1949</v>
      </c>
      <c r="B32" s="770" t="s">
        <v>1950</v>
      </c>
      <c r="C32" s="776" t="s">
        <v>1951</v>
      </c>
      <c r="D32" s="773"/>
      <c r="E32" s="773"/>
      <c r="F32" s="773"/>
      <c r="G32" s="773"/>
    </row>
    <row r="33" spans="1:7" s="826" customFormat="1" x14ac:dyDescent="0.2">
      <c r="A33" s="804" t="s">
        <v>1952</v>
      </c>
      <c r="B33" s="804" t="s">
        <v>1953</v>
      </c>
      <c r="C33" s="805" t="s">
        <v>133</v>
      </c>
      <c r="D33" s="769">
        <v>296.96006</v>
      </c>
      <c r="E33" s="769">
        <v>0</v>
      </c>
      <c r="F33" s="769">
        <v>296.96006</v>
      </c>
      <c r="G33" s="769">
        <v>282.34608000000003</v>
      </c>
    </row>
    <row r="34" spans="1:7" s="648" customFormat="1" x14ac:dyDescent="0.2">
      <c r="A34" s="770" t="s">
        <v>1954</v>
      </c>
      <c r="B34" s="770" t="s">
        <v>1955</v>
      </c>
      <c r="C34" s="776" t="s">
        <v>1956</v>
      </c>
      <c r="D34" s="774">
        <v>0</v>
      </c>
      <c r="E34" s="774">
        <v>0</v>
      </c>
      <c r="F34" s="774">
        <v>0</v>
      </c>
      <c r="G34" s="774">
        <v>0</v>
      </c>
    </row>
    <row r="35" spans="1:7" s="648" customFormat="1" x14ac:dyDescent="0.2">
      <c r="A35" s="770" t="s">
        <v>1957</v>
      </c>
      <c r="B35" s="770" t="s">
        <v>1958</v>
      </c>
      <c r="C35" s="776" t="s">
        <v>1959</v>
      </c>
      <c r="D35" s="774">
        <v>0</v>
      </c>
      <c r="E35" s="774">
        <v>0</v>
      </c>
      <c r="F35" s="774">
        <v>0</v>
      </c>
      <c r="G35" s="774">
        <v>0</v>
      </c>
    </row>
    <row r="36" spans="1:7" s="648" customFormat="1" x14ac:dyDescent="0.2">
      <c r="A36" s="770" t="s">
        <v>1960</v>
      </c>
      <c r="B36" s="770" t="s">
        <v>1961</v>
      </c>
      <c r="C36" s="776" t="s">
        <v>1962</v>
      </c>
      <c r="D36" s="774">
        <v>0</v>
      </c>
      <c r="E36" s="774">
        <v>0</v>
      </c>
      <c r="F36" s="774">
        <v>0</v>
      </c>
      <c r="G36" s="774">
        <v>0</v>
      </c>
    </row>
    <row r="37" spans="1:7" s="648" customFormat="1" x14ac:dyDescent="0.2">
      <c r="A37" s="770" t="s">
        <v>1966</v>
      </c>
      <c r="B37" s="770" t="s">
        <v>1967</v>
      </c>
      <c r="C37" s="776" t="s">
        <v>1968</v>
      </c>
      <c r="D37" s="774">
        <v>0</v>
      </c>
      <c r="E37" s="774">
        <v>0</v>
      </c>
      <c r="F37" s="774">
        <v>0</v>
      </c>
      <c r="G37" s="774">
        <v>0</v>
      </c>
    </row>
    <row r="38" spans="1:7" s="648" customFormat="1" x14ac:dyDescent="0.2">
      <c r="A38" s="770" t="s">
        <v>1969</v>
      </c>
      <c r="B38" s="770" t="s">
        <v>1970</v>
      </c>
      <c r="C38" s="776" t="s">
        <v>1971</v>
      </c>
      <c r="D38" s="773">
        <v>296.96006</v>
      </c>
      <c r="E38" s="773"/>
      <c r="F38" s="773">
        <v>296.96006</v>
      </c>
      <c r="G38" s="773">
        <v>282.34608000000003</v>
      </c>
    </row>
    <row r="39" spans="1:7" s="826" customFormat="1" x14ac:dyDescent="0.2">
      <c r="A39" s="804" t="s">
        <v>1978</v>
      </c>
      <c r="B39" s="804" t="s">
        <v>1979</v>
      </c>
      <c r="C39" s="805" t="s">
        <v>133</v>
      </c>
      <c r="D39" s="769">
        <v>1883.43399</v>
      </c>
      <c r="E39" s="769">
        <v>0</v>
      </c>
      <c r="F39" s="769">
        <v>1883.43399</v>
      </c>
      <c r="G39" s="769">
        <v>2477.7570099999998</v>
      </c>
    </row>
    <row r="40" spans="1:7" s="648" customFormat="1" x14ac:dyDescent="0.2">
      <c r="A40" s="770" t="s">
        <v>1980</v>
      </c>
      <c r="B40" s="770" t="s">
        <v>1981</v>
      </c>
      <c r="C40" s="776" t="s">
        <v>1982</v>
      </c>
      <c r="D40" s="774">
        <v>0</v>
      </c>
      <c r="E40" s="774">
        <v>0</v>
      </c>
      <c r="F40" s="774">
        <v>0</v>
      </c>
      <c r="G40" s="774">
        <v>0</v>
      </c>
    </row>
    <row r="41" spans="1:7" s="648" customFormat="1" x14ac:dyDescent="0.2">
      <c r="A41" s="770" t="s">
        <v>1983</v>
      </c>
      <c r="B41" s="770" t="s">
        <v>1984</v>
      </c>
      <c r="C41" s="776" t="s">
        <v>1985</v>
      </c>
      <c r="D41" s="774">
        <v>0</v>
      </c>
      <c r="E41" s="774">
        <v>0</v>
      </c>
      <c r="F41" s="774">
        <v>0</v>
      </c>
      <c r="G41" s="774">
        <v>0</v>
      </c>
    </row>
    <row r="42" spans="1:7" s="648" customFormat="1" x14ac:dyDescent="0.2">
      <c r="A42" s="770" t="s">
        <v>1986</v>
      </c>
      <c r="B42" s="770" t="s">
        <v>1987</v>
      </c>
      <c r="C42" s="776" t="s">
        <v>1988</v>
      </c>
      <c r="D42" s="774">
        <v>620.58031999999992</v>
      </c>
      <c r="E42" s="774">
        <v>0</v>
      </c>
      <c r="F42" s="774">
        <v>620.58031999999992</v>
      </c>
      <c r="G42" s="774">
        <v>652.76333999999997</v>
      </c>
    </row>
    <row r="43" spans="1:7" s="648" customFormat="1" x14ac:dyDescent="0.2">
      <c r="A43" s="770" t="s">
        <v>1992</v>
      </c>
      <c r="B43" s="770" t="s">
        <v>1993</v>
      </c>
      <c r="C43" s="776" t="s">
        <v>1994</v>
      </c>
      <c r="D43" s="774">
        <v>1262.85367</v>
      </c>
      <c r="E43" s="774">
        <v>0</v>
      </c>
      <c r="F43" s="774">
        <v>1262.85367</v>
      </c>
      <c r="G43" s="774">
        <v>1824.9936699999998</v>
      </c>
    </row>
    <row r="44" spans="1:7" s="648" customFormat="1" x14ac:dyDescent="0.2">
      <c r="A44" s="770" t="s">
        <v>1995</v>
      </c>
      <c r="B44" s="775" t="s">
        <v>1996</v>
      </c>
      <c r="C44" s="815" t="s">
        <v>1997</v>
      </c>
      <c r="D44" s="774">
        <v>0</v>
      </c>
      <c r="E44" s="774">
        <v>0</v>
      </c>
      <c r="F44" s="774">
        <v>0</v>
      </c>
      <c r="G44" s="774">
        <v>0</v>
      </c>
    </row>
    <row r="45" spans="1:7" s="826" customFormat="1" x14ac:dyDescent="0.2">
      <c r="A45" s="775" t="s">
        <v>1998</v>
      </c>
      <c r="B45" s="775" t="s">
        <v>1999</v>
      </c>
      <c r="C45" s="815" t="s">
        <v>2000</v>
      </c>
      <c r="D45" s="773"/>
      <c r="E45" s="773"/>
      <c r="F45" s="773"/>
      <c r="G45" s="773"/>
    </row>
    <row r="46" spans="1:7" s="826" customFormat="1" x14ac:dyDescent="0.2">
      <c r="A46" s="804" t="s">
        <v>2001</v>
      </c>
      <c r="B46" s="804" t="s">
        <v>2002</v>
      </c>
      <c r="C46" s="805" t="s">
        <v>133</v>
      </c>
      <c r="D46" s="769">
        <v>2814494.8046800001</v>
      </c>
      <c r="E46" s="769">
        <v>3353.4749100000004</v>
      </c>
      <c r="F46" s="769">
        <v>2811141.3297700002</v>
      </c>
      <c r="G46" s="769">
        <v>3040822.4700199999</v>
      </c>
    </row>
    <row r="47" spans="1:7" s="648" customFormat="1" x14ac:dyDescent="0.2">
      <c r="A47" s="767" t="s">
        <v>2003</v>
      </c>
      <c r="B47" s="767" t="s">
        <v>2004</v>
      </c>
      <c r="C47" s="812" t="s">
        <v>133</v>
      </c>
      <c r="D47" s="769">
        <v>335179.41354000004</v>
      </c>
      <c r="E47" s="769">
        <v>0</v>
      </c>
      <c r="F47" s="769">
        <v>335179.41354000004</v>
      </c>
      <c r="G47" s="769">
        <v>306582.02701999998</v>
      </c>
    </row>
    <row r="48" spans="1:7" s="648" customFormat="1" x14ac:dyDescent="0.2">
      <c r="A48" s="770" t="s">
        <v>2005</v>
      </c>
      <c r="B48" s="770" t="s">
        <v>2006</v>
      </c>
      <c r="C48" s="776" t="s">
        <v>2007</v>
      </c>
      <c r="D48" s="774">
        <v>0</v>
      </c>
      <c r="E48" s="774">
        <v>0</v>
      </c>
      <c r="F48" s="774">
        <v>0</v>
      </c>
      <c r="G48" s="774">
        <v>0</v>
      </c>
    </row>
    <row r="49" spans="1:7" s="648" customFormat="1" x14ac:dyDescent="0.2">
      <c r="A49" s="770" t="s">
        <v>2008</v>
      </c>
      <c r="B49" s="770" t="s">
        <v>2009</v>
      </c>
      <c r="C49" s="776" t="s">
        <v>2010</v>
      </c>
      <c r="D49" s="773">
        <v>270642.05131000001</v>
      </c>
      <c r="E49" s="773"/>
      <c r="F49" s="773">
        <v>270642.05131000001</v>
      </c>
      <c r="G49" s="773">
        <v>246599.98141000001</v>
      </c>
    </row>
    <row r="50" spans="1:7" s="648" customFormat="1" x14ac:dyDescent="0.2">
      <c r="A50" s="770" t="s">
        <v>2011</v>
      </c>
      <c r="B50" s="770" t="s">
        <v>2012</v>
      </c>
      <c r="C50" s="776" t="s">
        <v>2013</v>
      </c>
      <c r="D50" s="773">
        <v>931.51031999999998</v>
      </c>
      <c r="E50" s="773"/>
      <c r="F50" s="773">
        <v>931.51031999999998</v>
      </c>
      <c r="G50" s="773">
        <v>2183.8024500000001</v>
      </c>
    </row>
    <row r="51" spans="1:7" s="648" customFormat="1" x14ac:dyDescent="0.2">
      <c r="A51" s="770" t="s">
        <v>2014</v>
      </c>
      <c r="B51" s="770" t="s">
        <v>2015</v>
      </c>
      <c r="C51" s="776" t="s">
        <v>2016</v>
      </c>
      <c r="D51" s="773">
        <v>8678.2893499999991</v>
      </c>
      <c r="E51" s="773"/>
      <c r="F51" s="773">
        <v>8678.2893499999991</v>
      </c>
      <c r="G51" s="773">
        <v>7622.7198899999994</v>
      </c>
    </row>
    <row r="52" spans="1:7" s="648" customFormat="1" x14ac:dyDescent="0.2">
      <c r="A52" s="770" t="s">
        <v>2017</v>
      </c>
      <c r="B52" s="770" t="s">
        <v>2018</v>
      </c>
      <c r="C52" s="776" t="s">
        <v>2019</v>
      </c>
      <c r="D52" s="774">
        <v>0</v>
      </c>
      <c r="E52" s="774"/>
      <c r="F52" s="774">
        <v>0</v>
      </c>
      <c r="G52" s="774">
        <v>0</v>
      </c>
    </row>
    <row r="53" spans="1:7" s="648" customFormat="1" x14ac:dyDescent="0.2">
      <c r="A53" s="770" t="s">
        <v>2020</v>
      </c>
      <c r="B53" s="770" t="s">
        <v>2021</v>
      </c>
      <c r="C53" s="776" t="s">
        <v>2022</v>
      </c>
      <c r="D53" s="773">
        <v>17749.747600000002</v>
      </c>
      <c r="E53" s="773"/>
      <c r="F53" s="773">
        <v>17749.747600000002</v>
      </c>
      <c r="G53" s="773">
        <v>14348.062330000001</v>
      </c>
    </row>
    <row r="54" spans="1:7" s="648" customFormat="1" x14ac:dyDescent="0.2">
      <c r="A54" s="770" t="s">
        <v>2023</v>
      </c>
      <c r="B54" s="770" t="s">
        <v>2024</v>
      </c>
      <c r="C54" s="776" t="s">
        <v>2025</v>
      </c>
      <c r="D54" s="774">
        <v>0</v>
      </c>
      <c r="E54" s="774"/>
      <c r="F54" s="774">
        <v>0</v>
      </c>
      <c r="G54" s="774">
        <v>0</v>
      </c>
    </row>
    <row r="55" spans="1:7" s="648" customFormat="1" x14ac:dyDescent="0.2">
      <c r="A55" s="770" t="s">
        <v>2026</v>
      </c>
      <c r="B55" s="770" t="s">
        <v>2027</v>
      </c>
      <c r="C55" s="776" t="s">
        <v>2028</v>
      </c>
      <c r="D55" s="773">
        <v>34443.488499999999</v>
      </c>
      <c r="E55" s="773"/>
      <c r="F55" s="773">
        <v>34443.488499999999</v>
      </c>
      <c r="G55" s="773">
        <v>33310.478139999999</v>
      </c>
    </row>
    <row r="56" spans="1:7" s="648" customFormat="1" x14ac:dyDescent="0.2">
      <c r="A56" s="770" t="s">
        <v>2029</v>
      </c>
      <c r="B56" s="770" t="s">
        <v>2030</v>
      </c>
      <c r="C56" s="776" t="s">
        <v>2031</v>
      </c>
      <c r="D56" s="773">
        <v>5.4611000000000001</v>
      </c>
      <c r="E56" s="773"/>
      <c r="F56" s="773">
        <v>5.4611000000000001</v>
      </c>
      <c r="G56" s="773"/>
    </row>
    <row r="57" spans="1:7" s="826" customFormat="1" x14ac:dyDescent="0.2">
      <c r="A57" s="775" t="s">
        <v>2032</v>
      </c>
      <c r="B57" s="775" t="s">
        <v>2033</v>
      </c>
      <c r="C57" s="815" t="s">
        <v>2034</v>
      </c>
      <c r="D57" s="773">
        <v>2728.8653599999998</v>
      </c>
      <c r="E57" s="773"/>
      <c r="F57" s="773">
        <v>2728.8653599999998</v>
      </c>
      <c r="G57" s="773">
        <v>2516.9827999999998</v>
      </c>
    </row>
    <row r="58" spans="1:7" s="648" customFormat="1" x14ac:dyDescent="0.2">
      <c r="A58" s="767" t="s">
        <v>2035</v>
      </c>
      <c r="B58" s="767" t="s">
        <v>2036</v>
      </c>
      <c r="C58" s="812" t="s">
        <v>133</v>
      </c>
      <c r="D58" s="769">
        <v>793718.28905999998</v>
      </c>
      <c r="E58" s="769">
        <v>3353.4749100000004</v>
      </c>
      <c r="F58" s="769">
        <v>790364.81414999999</v>
      </c>
      <c r="G58" s="769">
        <v>934824.54336000001</v>
      </c>
    </row>
    <row r="59" spans="1:7" s="648" customFormat="1" x14ac:dyDescent="0.2">
      <c r="A59" s="827" t="s">
        <v>2037</v>
      </c>
      <c r="B59" s="827" t="s">
        <v>2038</v>
      </c>
      <c r="C59" s="828" t="s">
        <v>2039</v>
      </c>
      <c r="D59" s="772">
        <v>478670.74054999999</v>
      </c>
      <c r="E59" s="772">
        <v>2469.8443299999999</v>
      </c>
      <c r="F59" s="772">
        <v>476200.89622000005</v>
      </c>
      <c r="G59" s="772">
        <v>427863.45778</v>
      </c>
    </row>
    <row r="60" spans="1:7" s="648" customFormat="1" x14ac:dyDescent="0.2">
      <c r="A60" s="770" t="s">
        <v>2046</v>
      </c>
      <c r="B60" s="770" t="s">
        <v>2047</v>
      </c>
      <c r="C60" s="776" t="s">
        <v>2048</v>
      </c>
      <c r="D60" s="773">
        <v>36794.221600000004</v>
      </c>
      <c r="E60" s="773"/>
      <c r="F60" s="773">
        <v>36794.221600000004</v>
      </c>
      <c r="G60" s="773">
        <v>33566.184609999997</v>
      </c>
    </row>
    <row r="61" spans="1:7" s="648" customFormat="1" x14ac:dyDescent="0.2">
      <c r="A61" s="770" t="s">
        <v>2049</v>
      </c>
      <c r="B61" s="770" t="s">
        <v>2050</v>
      </c>
      <c r="C61" s="776" t="s">
        <v>2051</v>
      </c>
      <c r="D61" s="773">
        <v>14620.08423</v>
      </c>
      <c r="E61" s="773"/>
      <c r="F61" s="773">
        <v>14620.08423</v>
      </c>
      <c r="G61" s="773">
        <v>19710.518510000002</v>
      </c>
    </row>
    <row r="62" spans="1:7" s="648" customFormat="1" x14ac:dyDescent="0.2">
      <c r="A62" s="770" t="s">
        <v>2052</v>
      </c>
      <c r="B62" s="770" t="s">
        <v>2053</v>
      </c>
      <c r="C62" s="776" t="s">
        <v>2054</v>
      </c>
      <c r="D62" s="774">
        <v>0</v>
      </c>
      <c r="E62" s="774"/>
      <c r="F62" s="774">
        <v>0</v>
      </c>
      <c r="G62" s="774">
        <v>0</v>
      </c>
    </row>
    <row r="63" spans="1:7" s="648" customFormat="1" x14ac:dyDescent="0.2">
      <c r="A63" s="770" t="s">
        <v>2061</v>
      </c>
      <c r="B63" s="770" t="s">
        <v>2062</v>
      </c>
      <c r="C63" s="776" t="s">
        <v>2063</v>
      </c>
      <c r="D63" s="774">
        <v>3393.3721700000001</v>
      </c>
      <c r="E63" s="774"/>
      <c r="F63" s="774">
        <v>3393.3721700000001</v>
      </c>
      <c r="G63" s="774">
        <v>3852.8779199999999</v>
      </c>
    </row>
    <row r="64" spans="1:7" s="648" customFormat="1" x14ac:dyDescent="0.2">
      <c r="A64" s="770" t="s">
        <v>2064</v>
      </c>
      <c r="B64" s="770" t="s">
        <v>2065</v>
      </c>
      <c r="C64" s="776" t="s">
        <v>2066</v>
      </c>
      <c r="D64" s="773"/>
      <c r="E64" s="773"/>
      <c r="F64" s="773"/>
      <c r="G64" s="773"/>
    </row>
    <row r="65" spans="1:7" s="648" customFormat="1" x14ac:dyDescent="0.2">
      <c r="A65" s="770" t="s">
        <v>2067</v>
      </c>
      <c r="B65" s="770" t="s">
        <v>2068</v>
      </c>
      <c r="C65" s="776" t="s">
        <v>2069</v>
      </c>
      <c r="D65" s="774">
        <v>0</v>
      </c>
      <c r="E65" s="774"/>
      <c r="F65" s="774">
        <v>0</v>
      </c>
      <c r="G65" s="774">
        <v>0</v>
      </c>
    </row>
    <row r="66" spans="1:7" s="648" customFormat="1" x14ac:dyDescent="0.2">
      <c r="A66" s="770" t="s">
        <v>2070</v>
      </c>
      <c r="B66" s="770" t="s">
        <v>2071</v>
      </c>
      <c r="C66" s="776" t="s">
        <v>2072</v>
      </c>
      <c r="D66" s="773"/>
      <c r="E66" s="773"/>
      <c r="F66" s="773"/>
      <c r="G66" s="773"/>
    </row>
    <row r="67" spans="1:7" s="648" customFormat="1" x14ac:dyDescent="0.2">
      <c r="A67" s="770" t="s">
        <v>2073</v>
      </c>
      <c r="B67" s="770" t="s">
        <v>2074</v>
      </c>
      <c r="C67" s="776" t="s">
        <v>2075</v>
      </c>
      <c r="D67" s="774">
        <v>1558.71</v>
      </c>
      <c r="E67" s="773"/>
      <c r="F67" s="774">
        <v>1558.71</v>
      </c>
      <c r="G67" s="773">
        <v>1752.4880000000001</v>
      </c>
    </row>
    <row r="68" spans="1:7" s="648" customFormat="1" x14ac:dyDescent="0.2">
      <c r="A68" s="770" t="s">
        <v>2076</v>
      </c>
      <c r="B68" s="770" t="s">
        <v>2077</v>
      </c>
      <c r="C68" s="776" t="s">
        <v>2078</v>
      </c>
      <c r="D68" s="773"/>
      <c r="E68" s="773"/>
      <c r="F68" s="773"/>
      <c r="G68" s="773"/>
    </row>
    <row r="69" spans="1:7" s="648" customFormat="1" x14ac:dyDescent="0.2">
      <c r="A69" s="770" t="s">
        <v>2079</v>
      </c>
      <c r="B69" s="770" t="s">
        <v>236</v>
      </c>
      <c r="C69" s="776" t="s">
        <v>2080</v>
      </c>
      <c r="D69" s="773">
        <v>3010.3704900000002</v>
      </c>
      <c r="E69" s="773"/>
      <c r="F69" s="773">
        <v>3010.3704900000002</v>
      </c>
      <c r="G69" s="773">
        <v>467.26188000000002</v>
      </c>
    </row>
    <row r="70" spans="1:7" s="648" customFormat="1" x14ac:dyDescent="0.2">
      <c r="A70" s="770" t="s">
        <v>2081</v>
      </c>
      <c r="B70" s="770" t="s">
        <v>2082</v>
      </c>
      <c r="C70" s="776" t="s">
        <v>2083</v>
      </c>
      <c r="D70" s="773">
        <v>501.98</v>
      </c>
      <c r="E70" s="773"/>
      <c r="F70" s="773">
        <v>501.98</v>
      </c>
      <c r="G70" s="773">
        <v>13.763</v>
      </c>
    </row>
    <row r="71" spans="1:7" s="648" customFormat="1" x14ac:dyDescent="0.2">
      <c r="A71" s="770" t="s">
        <v>2084</v>
      </c>
      <c r="B71" s="770" t="s">
        <v>2085</v>
      </c>
      <c r="C71" s="776" t="s">
        <v>2086</v>
      </c>
      <c r="D71" s="773">
        <v>4921.5631199999998</v>
      </c>
      <c r="E71" s="773"/>
      <c r="F71" s="773">
        <v>4921.5631199999998</v>
      </c>
      <c r="G71" s="773">
        <v>5836.8989099999999</v>
      </c>
    </row>
    <row r="72" spans="1:7" s="648" customFormat="1" x14ac:dyDescent="0.2">
      <c r="A72" s="770" t="s">
        <v>2087</v>
      </c>
      <c r="B72" s="770" t="s">
        <v>2088</v>
      </c>
      <c r="C72" s="776" t="s">
        <v>2089</v>
      </c>
      <c r="D72" s="774">
        <v>12121.268310000001</v>
      </c>
      <c r="E72" s="774"/>
      <c r="F72" s="774">
        <v>12121.268310000001</v>
      </c>
      <c r="G72" s="774">
        <v>37151.663930000002</v>
      </c>
    </row>
    <row r="73" spans="1:7" s="648" customFormat="1" x14ac:dyDescent="0.2">
      <c r="A73" s="770" t="s">
        <v>2102</v>
      </c>
      <c r="B73" s="770" t="s">
        <v>2103</v>
      </c>
      <c r="C73" s="776" t="s">
        <v>2104</v>
      </c>
      <c r="D73" s="774">
        <v>10577.357029999999</v>
      </c>
      <c r="E73" s="773"/>
      <c r="F73" s="774">
        <v>10577.357029999999</v>
      </c>
      <c r="G73" s="773">
        <v>11232.380999999999</v>
      </c>
    </row>
    <row r="74" spans="1:7" s="648" customFormat="1" x14ac:dyDescent="0.2">
      <c r="A74" s="770" t="s">
        <v>2105</v>
      </c>
      <c r="B74" s="648" t="s">
        <v>2106</v>
      </c>
      <c r="C74" s="776" t="s">
        <v>2107</v>
      </c>
      <c r="D74" s="774">
        <v>0</v>
      </c>
      <c r="E74" s="774"/>
      <c r="F74" s="774">
        <v>0</v>
      </c>
      <c r="G74" s="774">
        <v>0</v>
      </c>
    </row>
    <row r="75" spans="1:7" s="648" customFormat="1" x14ac:dyDescent="0.2">
      <c r="A75" s="770" t="s">
        <v>2108</v>
      </c>
      <c r="B75" s="770" t="s">
        <v>2109</v>
      </c>
      <c r="C75" s="776" t="s">
        <v>2110</v>
      </c>
      <c r="D75" s="774">
        <v>18206.06768</v>
      </c>
      <c r="E75" s="774">
        <v>0</v>
      </c>
      <c r="F75" s="774">
        <v>18206.06768</v>
      </c>
      <c r="G75" s="774">
        <v>15445.176810000001</v>
      </c>
    </row>
    <row r="76" spans="1:7" s="648" customFormat="1" x14ac:dyDescent="0.2">
      <c r="A76" s="770" t="s">
        <v>2111</v>
      </c>
      <c r="B76" s="770" t="s">
        <v>2112</v>
      </c>
      <c r="C76" s="776" t="s">
        <v>2113</v>
      </c>
      <c r="D76" s="773">
        <v>2473.2677200000003</v>
      </c>
      <c r="E76" s="773"/>
      <c r="F76" s="773">
        <v>2473.2677200000003</v>
      </c>
      <c r="G76" s="773">
        <v>3975.2169100000001</v>
      </c>
    </row>
    <row r="77" spans="1:7" s="648" customFormat="1" x14ac:dyDescent="0.2">
      <c r="A77" s="770" t="s">
        <v>2114</v>
      </c>
      <c r="B77" s="770" t="s">
        <v>2115</v>
      </c>
      <c r="C77" s="776" t="s">
        <v>2116</v>
      </c>
      <c r="D77" s="774">
        <v>177693.47258</v>
      </c>
      <c r="E77" s="774">
        <v>0</v>
      </c>
      <c r="F77" s="774">
        <v>177693.47258</v>
      </c>
      <c r="G77" s="774">
        <v>343801.46827999997</v>
      </c>
    </row>
    <row r="78" spans="1:7" s="826" customFormat="1" x14ac:dyDescent="0.2">
      <c r="A78" s="775" t="s">
        <v>2117</v>
      </c>
      <c r="B78" s="829" t="s">
        <v>2118</v>
      </c>
      <c r="C78" s="830" t="s">
        <v>2119</v>
      </c>
      <c r="D78" s="779">
        <v>29175.813579999998</v>
      </c>
      <c r="E78" s="779">
        <v>883.63058000000001</v>
      </c>
      <c r="F78" s="779">
        <v>28292.183000000001</v>
      </c>
      <c r="G78" s="779">
        <v>30155.185819999999</v>
      </c>
    </row>
    <row r="79" spans="1:7" s="826" customFormat="1" x14ac:dyDescent="0.2">
      <c r="A79" s="804" t="s">
        <v>2120</v>
      </c>
      <c r="B79" s="804" t="s">
        <v>2121</v>
      </c>
      <c r="C79" s="805" t="s">
        <v>133</v>
      </c>
      <c r="D79" s="769">
        <v>1685597.1020799999</v>
      </c>
      <c r="E79" s="769">
        <v>0</v>
      </c>
      <c r="F79" s="769">
        <v>1685597.1020799999</v>
      </c>
      <c r="G79" s="769">
        <v>1799415.8996400002</v>
      </c>
    </row>
    <row r="80" spans="1:7" s="826" customFormat="1" x14ac:dyDescent="0.2">
      <c r="A80" s="775" t="s">
        <v>2122</v>
      </c>
      <c r="B80" s="775" t="s">
        <v>2123</v>
      </c>
      <c r="C80" s="815" t="s">
        <v>2124</v>
      </c>
      <c r="D80" s="773"/>
      <c r="E80" s="773"/>
      <c r="F80" s="773"/>
      <c r="G80" s="773"/>
    </row>
    <row r="81" spans="1:7" s="648" customFormat="1" x14ac:dyDescent="0.2">
      <c r="A81" s="770" t="s">
        <v>2125</v>
      </c>
      <c r="B81" s="770" t="s">
        <v>2126</v>
      </c>
      <c r="C81" s="776" t="s">
        <v>2127</v>
      </c>
      <c r="D81" s="773"/>
      <c r="E81" s="773"/>
      <c r="F81" s="773"/>
      <c r="G81" s="773"/>
    </row>
    <row r="82" spans="1:7" s="648" customFormat="1" x14ac:dyDescent="0.2">
      <c r="A82" s="770" t="s">
        <v>2128</v>
      </c>
      <c r="B82" s="770" t="s">
        <v>2129</v>
      </c>
      <c r="C82" s="776" t="s">
        <v>2130</v>
      </c>
      <c r="D82" s="773"/>
      <c r="E82" s="773"/>
      <c r="F82" s="773"/>
      <c r="G82" s="773"/>
    </row>
    <row r="83" spans="1:7" s="648" customFormat="1" x14ac:dyDescent="0.2">
      <c r="A83" s="770" t="s">
        <v>2131</v>
      </c>
      <c r="B83" s="770" t="s">
        <v>2132</v>
      </c>
      <c r="C83" s="776" t="s">
        <v>2133</v>
      </c>
      <c r="D83" s="773">
        <v>23511.521980000001</v>
      </c>
      <c r="E83" s="773"/>
      <c r="F83" s="773">
        <v>23511.521980000001</v>
      </c>
      <c r="G83" s="773">
        <v>28749.350549999999</v>
      </c>
    </row>
    <row r="84" spans="1:7" s="648" customFormat="1" x14ac:dyDescent="0.2">
      <c r="A84" s="770" t="s">
        <v>2134</v>
      </c>
      <c r="B84" s="770" t="s">
        <v>2135</v>
      </c>
      <c r="C84" s="776" t="s">
        <v>2136</v>
      </c>
      <c r="D84" s="773">
        <v>63182.896280000001</v>
      </c>
      <c r="E84" s="773"/>
      <c r="F84" s="773">
        <v>63182.896280000001</v>
      </c>
      <c r="G84" s="773">
        <v>81954.109069999991</v>
      </c>
    </row>
    <row r="85" spans="1:7" s="648" customFormat="1" x14ac:dyDescent="0.2">
      <c r="A85" s="770" t="s">
        <v>2137</v>
      </c>
      <c r="B85" s="770" t="s">
        <v>2138</v>
      </c>
      <c r="C85" s="776" t="s">
        <v>2139</v>
      </c>
      <c r="D85" s="773">
        <v>1550133.41821</v>
      </c>
      <c r="E85" s="773"/>
      <c r="F85" s="773">
        <v>1550133.41821</v>
      </c>
      <c r="G85" s="773">
        <v>1651232.2139000001</v>
      </c>
    </row>
    <row r="86" spans="1:7" s="648" customFormat="1" x14ac:dyDescent="0.2">
      <c r="A86" s="770" t="s">
        <v>2140</v>
      </c>
      <c r="B86" s="770" t="s">
        <v>2141</v>
      </c>
      <c r="C86" s="776" t="s">
        <v>2142</v>
      </c>
      <c r="D86" s="773">
        <v>26892.34302</v>
      </c>
      <c r="E86" s="773"/>
      <c r="F86" s="773">
        <v>26892.34302</v>
      </c>
      <c r="G86" s="773">
        <v>24248.205899999997</v>
      </c>
    </row>
    <row r="87" spans="1:7" s="648" customFormat="1" x14ac:dyDescent="0.2">
      <c r="A87" s="770" t="s">
        <v>2149</v>
      </c>
      <c r="B87" s="770" t="s">
        <v>2150</v>
      </c>
      <c r="C87" s="776" t="s">
        <v>2151</v>
      </c>
      <c r="D87" s="773">
        <v>2235.5571400000003</v>
      </c>
      <c r="E87" s="773"/>
      <c r="F87" s="773">
        <v>2235.5571400000003</v>
      </c>
      <c r="G87" s="773">
        <v>2502.3816699999998</v>
      </c>
    </row>
    <row r="88" spans="1:7" s="648" customFormat="1" x14ac:dyDescent="0.2">
      <c r="A88" s="770" t="s">
        <v>2152</v>
      </c>
      <c r="B88" s="770" t="s">
        <v>2153</v>
      </c>
      <c r="C88" s="776" t="s">
        <v>2154</v>
      </c>
      <c r="D88" s="773">
        <v>8591.0127400000001</v>
      </c>
      <c r="E88" s="773"/>
      <c r="F88" s="773">
        <v>8591.0127400000001</v>
      </c>
      <c r="G88" s="773">
        <v>49.817059999999998</v>
      </c>
    </row>
    <row r="89" spans="1:7" s="648" customFormat="1" x14ac:dyDescent="0.2">
      <c r="A89" s="777" t="s">
        <v>2155</v>
      </c>
      <c r="B89" s="777" t="s">
        <v>2156</v>
      </c>
      <c r="C89" s="778" t="s">
        <v>2157</v>
      </c>
      <c r="D89" s="779">
        <v>11050.352710000001</v>
      </c>
      <c r="E89" s="779"/>
      <c r="F89" s="779">
        <v>11050.352710000001</v>
      </c>
      <c r="G89" s="779">
        <v>10679.82149</v>
      </c>
    </row>
    <row r="90" spans="1:7" s="834" customFormat="1" x14ac:dyDescent="0.2">
      <c r="A90" s="831"/>
      <c r="B90" s="831"/>
      <c r="C90" s="831"/>
      <c r="D90" s="832"/>
      <c r="E90" s="833"/>
      <c r="F90" s="832"/>
      <c r="G90" s="832"/>
    </row>
    <row r="91" spans="1:7" s="834" customFormat="1" x14ac:dyDescent="0.2">
      <c r="A91" s="831"/>
      <c r="B91" s="831"/>
      <c r="C91" s="831"/>
      <c r="D91" s="832"/>
      <c r="E91" s="833"/>
      <c r="F91" s="832"/>
      <c r="G91" s="832"/>
    </row>
    <row r="92" spans="1:7" ht="12.75" customHeight="1" x14ac:dyDescent="0.2">
      <c r="A92" s="819"/>
      <c r="B92" s="820"/>
      <c r="C92" s="821"/>
      <c r="D92" s="789">
        <v>1</v>
      </c>
      <c r="E92" s="789">
        <v>2</v>
      </c>
      <c r="F92" s="792"/>
      <c r="G92" s="793"/>
    </row>
    <row r="93" spans="1:7" s="765" customFormat="1" ht="14.25" customHeight="1" x14ac:dyDescent="0.2">
      <c r="A93" s="1495" t="s">
        <v>1876</v>
      </c>
      <c r="B93" s="1496"/>
      <c r="C93" s="1501" t="s">
        <v>1877</v>
      </c>
      <c r="D93" s="1515" t="s">
        <v>1878</v>
      </c>
      <c r="E93" s="1515"/>
      <c r="F93" s="792"/>
      <c r="G93" s="793"/>
    </row>
    <row r="94" spans="1:7" s="765" customFormat="1" x14ac:dyDescent="0.2">
      <c r="A94" s="1499"/>
      <c r="B94" s="1500"/>
      <c r="C94" s="1514"/>
      <c r="D94" s="794" t="s">
        <v>1879</v>
      </c>
      <c r="E94" s="795" t="s">
        <v>1880</v>
      </c>
      <c r="F94" s="792"/>
      <c r="G94" s="793"/>
    </row>
    <row r="95" spans="1:7" s="826" customFormat="1" x14ac:dyDescent="0.2">
      <c r="A95" s="804"/>
      <c r="B95" s="804" t="s">
        <v>2158</v>
      </c>
      <c r="C95" s="805" t="s">
        <v>133</v>
      </c>
      <c r="D95" s="769">
        <v>37733808.706709996</v>
      </c>
      <c r="E95" s="769">
        <v>34701617.990269996</v>
      </c>
      <c r="F95" s="790"/>
      <c r="G95" s="791"/>
    </row>
    <row r="96" spans="1:7" s="826" customFormat="1" x14ac:dyDescent="0.2">
      <c r="A96" s="804" t="s">
        <v>2159</v>
      </c>
      <c r="B96" s="804" t="s">
        <v>2160</v>
      </c>
      <c r="C96" s="805" t="s">
        <v>133</v>
      </c>
      <c r="D96" s="769">
        <v>35994988.436829999</v>
      </c>
      <c r="E96" s="769">
        <v>32840739.714369997</v>
      </c>
      <c r="F96" s="790"/>
      <c r="G96" s="791"/>
    </row>
    <row r="97" spans="1:7" s="826" customFormat="1" x14ac:dyDescent="0.2">
      <c r="A97" s="804" t="s">
        <v>2161</v>
      </c>
      <c r="B97" s="804" t="s">
        <v>2162</v>
      </c>
      <c r="C97" s="805" t="s">
        <v>133</v>
      </c>
      <c r="D97" s="769">
        <v>34812074.987900004</v>
      </c>
      <c r="E97" s="769">
        <v>31672713.143400002</v>
      </c>
      <c r="F97" s="790"/>
      <c r="G97" s="791"/>
    </row>
    <row r="98" spans="1:7" s="648" customFormat="1" x14ac:dyDescent="0.2">
      <c r="A98" s="770" t="s">
        <v>2163</v>
      </c>
      <c r="B98" s="770" t="s">
        <v>2164</v>
      </c>
      <c r="C98" s="776" t="s">
        <v>2165</v>
      </c>
      <c r="D98" s="773">
        <v>29273555.410529997</v>
      </c>
      <c r="E98" s="773">
        <v>28464330.886089999</v>
      </c>
      <c r="F98" s="792"/>
      <c r="G98" s="793"/>
    </row>
    <row r="99" spans="1:7" s="648" customFormat="1" x14ac:dyDescent="0.2">
      <c r="A99" s="770" t="s">
        <v>2166</v>
      </c>
      <c r="B99" s="770" t="s">
        <v>2167</v>
      </c>
      <c r="C99" s="776" t="s">
        <v>2168</v>
      </c>
      <c r="D99" s="774">
        <v>6192730.0932700001</v>
      </c>
      <c r="E99" s="774">
        <v>3811064.0047800001</v>
      </c>
      <c r="F99" s="792"/>
      <c r="G99" s="783"/>
    </row>
    <row r="100" spans="1:7" s="648" customFormat="1" x14ac:dyDescent="0.2">
      <c r="A100" s="770" t="s">
        <v>2169</v>
      </c>
      <c r="B100" s="770" t="s">
        <v>2170</v>
      </c>
      <c r="C100" s="776" t="s">
        <v>2171</v>
      </c>
      <c r="D100" s="774">
        <v>0</v>
      </c>
      <c r="E100" s="774">
        <v>0</v>
      </c>
      <c r="F100" s="796"/>
      <c r="G100" s="783"/>
    </row>
    <row r="101" spans="1:7" s="648" customFormat="1" x14ac:dyDescent="0.2">
      <c r="A101" s="770" t="s">
        <v>2172</v>
      </c>
      <c r="B101" s="770" t="s">
        <v>2173</v>
      </c>
      <c r="C101" s="776" t="s">
        <v>2174</v>
      </c>
      <c r="D101" s="774">
        <v>-669983.49519000005</v>
      </c>
      <c r="E101" s="774">
        <v>-619497.65997000004</v>
      </c>
      <c r="F101" s="796"/>
      <c r="G101" s="783"/>
    </row>
    <row r="102" spans="1:7" s="648" customFormat="1" x14ac:dyDescent="0.2">
      <c r="A102" s="770" t="s">
        <v>2175</v>
      </c>
      <c r="B102" s="770" t="s">
        <v>2176</v>
      </c>
      <c r="C102" s="776" t="s">
        <v>2177</v>
      </c>
      <c r="D102" s="774">
        <v>0</v>
      </c>
      <c r="E102" s="774">
        <v>0</v>
      </c>
      <c r="F102" s="796"/>
      <c r="G102" s="783"/>
    </row>
    <row r="103" spans="1:7" s="648" customFormat="1" x14ac:dyDescent="0.2">
      <c r="A103" s="770" t="s">
        <v>2178</v>
      </c>
      <c r="B103" s="770" t="s">
        <v>2179</v>
      </c>
      <c r="C103" s="776" t="s">
        <v>2180</v>
      </c>
      <c r="D103" s="779">
        <v>15772.979289999999</v>
      </c>
      <c r="E103" s="779">
        <v>16815.912499999999</v>
      </c>
      <c r="F103" s="796"/>
      <c r="G103" s="783"/>
    </row>
    <row r="104" spans="1:7" s="826" customFormat="1" x14ac:dyDescent="0.2">
      <c r="A104" s="804" t="s">
        <v>2181</v>
      </c>
      <c r="B104" s="804" t="s">
        <v>2182</v>
      </c>
      <c r="C104" s="805" t="s">
        <v>133</v>
      </c>
      <c r="D104" s="769">
        <v>1278525.1103000001</v>
      </c>
      <c r="E104" s="769">
        <v>1230694.8767500001</v>
      </c>
      <c r="F104" s="790"/>
      <c r="G104" s="791"/>
    </row>
    <row r="105" spans="1:7" s="648" customFormat="1" x14ac:dyDescent="0.2">
      <c r="A105" s="770" t="s">
        <v>2183</v>
      </c>
      <c r="B105" s="770" t="s">
        <v>2184</v>
      </c>
      <c r="C105" s="776" t="s">
        <v>2185</v>
      </c>
      <c r="D105" s="773">
        <v>59883.868979999999</v>
      </c>
      <c r="E105" s="773">
        <v>57220.690179999998</v>
      </c>
      <c r="F105" s="792"/>
      <c r="G105" s="793"/>
    </row>
    <row r="106" spans="1:7" s="648" customFormat="1" x14ac:dyDescent="0.2">
      <c r="A106" s="770" t="s">
        <v>2186</v>
      </c>
      <c r="B106" s="770" t="s">
        <v>2187</v>
      </c>
      <c r="C106" s="776" t="s">
        <v>2188</v>
      </c>
      <c r="D106" s="774">
        <v>29763.383949999999</v>
      </c>
      <c r="E106" s="774">
        <v>28682.654170000002</v>
      </c>
      <c r="F106" s="792"/>
      <c r="G106" s="793"/>
    </row>
    <row r="107" spans="1:7" s="648" customFormat="1" ht="13.5" customHeight="1" x14ac:dyDescent="0.2">
      <c r="A107" s="770" t="s">
        <v>2189</v>
      </c>
      <c r="B107" s="770" t="s">
        <v>2190</v>
      </c>
      <c r="C107" s="776" t="s">
        <v>2191</v>
      </c>
      <c r="D107" s="774">
        <v>212573.63541999998</v>
      </c>
      <c r="E107" s="774">
        <v>196172.85269</v>
      </c>
      <c r="F107" s="792"/>
      <c r="G107" s="793"/>
    </row>
    <row r="108" spans="1:7" s="648" customFormat="1" x14ac:dyDescent="0.2">
      <c r="A108" s="770" t="s">
        <v>2192</v>
      </c>
      <c r="B108" s="770" t="s">
        <v>2193</v>
      </c>
      <c r="C108" s="776" t="s">
        <v>2194</v>
      </c>
      <c r="D108" s="774">
        <v>45435.280429999999</v>
      </c>
      <c r="E108" s="774">
        <v>44650.101270000006</v>
      </c>
      <c r="F108" s="796"/>
      <c r="G108" s="783"/>
    </row>
    <row r="109" spans="1:7" s="648" customFormat="1" x14ac:dyDescent="0.2">
      <c r="A109" s="770" t="s">
        <v>2195</v>
      </c>
      <c r="B109" s="770" t="s">
        <v>2196</v>
      </c>
      <c r="C109" s="776" t="s">
        <v>2197</v>
      </c>
      <c r="D109" s="774">
        <v>930868.94151999999</v>
      </c>
      <c r="E109" s="774">
        <v>903968.57844000007</v>
      </c>
      <c r="F109" s="792"/>
      <c r="G109" s="793"/>
    </row>
    <row r="110" spans="1:7" s="826" customFormat="1" x14ac:dyDescent="0.2">
      <c r="A110" s="804" t="s">
        <v>2201</v>
      </c>
      <c r="B110" s="804" t="s">
        <v>2202</v>
      </c>
      <c r="C110" s="805" t="s">
        <v>133</v>
      </c>
      <c r="D110" s="769">
        <v>-95611.661370000002</v>
      </c>
      <c r="E110" s="769">
        <v>-62668.305780000002</v>
      </c>
      <c r="F110" s="790"/>
      <c r="G110" s="791"/>
    </row>
    <row r="111" spans="1:7" s="648" customFormat="1" x14ac:dyDescent="0.2">
      <c r="A111" s="770" t="s">
        <v>2203</v>
      </c>
      <c r="B111" s="770" t="s">
        <v>2204</v>
      </c>
      <c r="C111" s="776" t="s">
        <v>133</v>
      </c>
      <c r="D111" s="773">
        <v>-6511.6106100000006</v>
      </c>
      <c r="E111" s="773">
        <v>48535.7071</v>
      </c>
      <c r="F111" s="792"/>
      <c r="G111" s="783"/>
    </row>
    <row r="112" spans="1:7" s="648" customFormat="1" x14ac:dyDescent="0.2">
      <c r="A112" s="770" t="s">
        <v>2205</v>
      </c>
      <c r="B112" s="770" t="s">
        <v>2206</v>
      </c>
      <c r="C112" s="776" t="s">
        <v>2207</v>
      </c>
      <c r="D112" s="774">
        <v>0</v>
      </c>
      <c r="E112" s="774">
        <v>0</v>
      </c>
      <c r="F112" s="796"/>
      <c r="G112" s="793"/>
    </row>
    <row r="113" spans="1:7" s="648" customFormat="1" x14ac:dyDescent="0.2">
      <c r="A113" s="770" t="s">
        <v>2208</v>
      </c>
      <c r="B113" s="770" t="s">
        <v>2209</v>
      </c>
      <c r="C113" s="776" t="s">
        <v>2210</v>
      </c>
      <c r="D113" s="774">
        <v>-89100.050759999998</v>
      </c>
      <c r="E113" s="774">
        <v>-111204.01287999999</v>
      </c>
      <c r="F113" s="796"/>
      <c r="G113" s="783"/>
    </row>
    <row r="114" spans="1:7" s="826" customFormat="1" x14ac:dyDescent="0.2">
      <c r="A114" s="804" t="s">
        <v>2211</v>
      </c>
      <c r="B114" s="804" t="s">
        <v>2212</v>
      </c>
      <c r="C114" s="805" t="s">
        <v>133</v>
      </c>
      <c r="D114" s="769">
        <v>1738820.26988</v>
      </c>
      <c r="E114" s="769">
        <v>1906938.2759</v>
      </c>
      <c r="F114" s="790"/>
      <c r="G114" s="791"/>
    </row>
    <row r="115" spans="1:7" s="826" customFormat="1" x14ac:dyDescent="0.2">
      <c r="A115" s="804" t="s">
        <v>2213</v>
      </c>
      <c r="B115" s="804" t="s">
        <v>2214</v>
      </c>
      <c r="C115" s="805" t="s">
        <v>133</v>
      </c>
      <c r="D115" s="769">
        <v>17886.516</v>
      </c>
      <c r="E115" s="769">
        <v>23443.239000000001</v>
      </c>
      <c r="F115" s="790"/>
      <c r="G115" s="791"/>
    </row>
    <row r="116" spans="1:7" s="648" customFormat="1" x14ac:dyDescent="0.2">
      <c r="A116" s="770" t="s">
        <v>2215</v>
      </c>
      <c r="B116" s="770" t="s">
        <v>2214</v>
      </c>
      <c r="C116" s="776" t="s">
        <v>2216</v>
      </c>
      <c r="D116" s="774">
        <v>17886.516</v>
      </c>
      <c r="E116" s="774">
        <v>23443.239000000001</v>
      </c>
      <c r="F116" s="796"/>
      <c r="G116" s="783"/>
    </row>
    <row r="117" spans="1:7" s="826" customFormat="1" x14ac:dyDescent="0.2">
      <c r="A117" s="804" t="s">
        <v>2217</v>
      </c>
      <c r="B117" s="804" t="s">
        <v>2218</v>
      </c>
      <c r="C117" s="805" t="s">
        <v>133</v>
      </c>
      <c r="D117" s="769">
        <v>102650.37717000001</v>
      </c>
      <c r="E117" s="769">
        <v>316529.17715</v>
      </c>
      <c r="F117" s="790"/>
      <c r="G117" s="791"/>
    </row>
    <row r="118" spans="1:7" s="648" customFormat="1" x14ac:dyDescent="0.2">
      <c r="A118" s="770" t="s">
        <v>2219</v>
      </c>
      <c r="B118" s="770" t="s">
        <v>2220</v>
      </c>
      <c r="C118" s="776" t="s">
        <v>2221</v>
      </c>
      <c r="D118" s="774">
        <v>21459.681559999997</v>
      </c>
      <c r="E118" s="774">
        <v>12367.05983</v>
      </c>
      <c r="F118" s="796"/>
      <c r="G118" s="783"/>
    </row>
    <row r="119" spans="1:7" s="648" customFormat="1" x14ac:dyDescent="0.2">
      <c r="A119" s="770" t="s">
        <v>2222</v>
      </c>
      <c r="B119" s="770" t="s">
        <v>2223</v>
      </c>
      <c r="C119" s="776" t="s">
        <v>2224</v>
      </c>
      <c r="D119" s="774">
        <v>0</v>
      </c>
      <c r="E119" s="774">
        <v>0</v>
      </c>
      <c r="F119" s="796"/>
      <c r="G119" s="783"/>
    </row>
    <row r="120" spans="1:7" s="648" customFormat="1" x14ac:dyDescent="0.2">
      <c r="A120" s="770" t="s">
        <v>2228</v>
      </c>
      <c r="B120" s="770" t="s">
        <v>2229</v>
      </c>
      <c r="C120" s="776" t="s">
        <v>2230</v>
      </c>
      <c r="D120" s="774">
        <v>26766.181210000002</v>
      </c>
      <c r="E120" s="774">
        <v>27816.519579999996</v>
      </c>
      <c r="F120" s="796"/>
      <c r="G120" s="783"/>
    </row>
    <row r="121" spans="1:7" s="648" customFormat="1" x14ac:dyDescent="0.2">
      <c r="A121" s="770" t="s">
        <v>2237</v>
      </c>
      <c r="B121" s="770" t="s">
        <v>2238</v>
      </c>
      <c r="C121" s="776" t="s">
        <v>2239</v>
      </c>
      <c r="D121" s="774">
        <v>16965.208050000001</v>
      </c>
      <c r="E121" s="774">
        <v>7185.1755300000004</v>
      </c>
      <c r="F121" s="796"/>
      <c r="G121" s="783"/>
    </row>
    <row r="122" spans="1:7" s="648" customFormat="1" x14ac:dyDescent="0.2">
      <c r="A122" s="770" t="s">
        <v>2240</v>
      </c>
      <c r="B122" s="770" t="s">
        <v>2241</v>
      </c>
      <c r="C122" s="776" t="s">
        <v>2242</v>
      </c>
      <c r="D122" s="774">
        <v>37459.306349999999</v>
      </c>
      <c r="E122" s="774">
        <v>263013.71143000002</v>
      </c>
      <c r="F122" s="796"/>
      <c r="G122" s="783"/>
    </row>
    <row r="123" spans="1:7" s="648" customFormat="1" x14ac:dyDescent="0.2">
      <c r="A123" s="770" t="s">
        <v>2243</v>
      </c>
      <c r="B123" s="770" t="s">
        <v>1999</v>
      </c>
      <c r="C123" s="776" t="s">
        <v>2000</v>
      </c>
      <c r="D123" s="774">
        <v>0</v>
      </c>
      <c r="E123" s="774">
        <v>6146.7107800000003</v>
      </c>
      <c r="F123" s="796"/>
      <c r="G123" s="783"/>
    </row>
    <row r="124" spans="1:7" s="826" customFormat="1" x14ac:dyDescent="0.2">
      <c r="A124" s="804" t="s">
        <v>2244</v>
      </c>
      <c r="B124" s="804" t="s">
        <v>2245</v>
      </c>
      <c r="C124" s="805" t="s">
        <v>133</v>
      </c>
      <c r="D124" s="769">
        <v>1618283.37671</v>
      </c>
      <c r="E124" s="769">
        <v>1566965.8597500001</v>
      </c>
      <c r="F124" s="790"/>
      <c r="G124" s="791"/>
    </row>
    <row r="125" spans="1:7" s="648" customFormat="1" x14ac:dyDescent="0.2">
      <c r="A125" s="770" t="s">
        <v>2246</v>
      </c>
      <c r="B125" s="770" t="s">
        <v>2247</v>
      </c>
      <c r="C125" s="776" t="s">
        <v>2248</v>
      </c>
      <c r="D125" s="774">
        <v>76000</v>
      </c>
      <c r="E125" s="774">
        <v>71484.982999999993</v>
      </c>
      <c r="F125" s="796"/>
      <c r="G125" s="783"/>
    </row>
    <row r="126" spans="1:7" s="648" customFormat="1" x14ac:dyDescent="0.2">
      <c r="A126" s="770" t="s">
        <v>2255</v>
      </c>
      <c r="B126" s="770" t="s">
        <v>2256</v>
      </c>
      <c r="C126" s="776" t="s">
        <v>2257</v>
      </c>
      <c r="D126" s="774">
        <v>0</v>
      </c>
      <c r="E126" s="774">
        <v>0</v>
      </c>
      <c r="F126" s="796"/>
      <c r="G126" s="783"/>
    </row>
    <row r="127" spans="1:7" s="648" customFormat="1" x14ac:dyDescent="0.2">
      <c r="A127" s="770" t="s">
        <v>2258</v>
      </c>
      <c r="B127" s="770" t="s">
        <v>2259</v>
      </c>
      <c r="C127" s="776" t="s">
        <v>2260</v>
      </c>
      <c r="D127" s="774">
        <v>449407.84632000001</v>
      </c>
      <c r="E127" s="774">
        <v>395769.64372000005</v>
      </c>
      <c r="F127" s="792"/>
      <c r="G127" s="793"/>
    </row>
    <row r="128" spans="1:7" s="648" customFormat="1" x14ac:dyDescent="0.2">
      <c r="A128" s="770" t="s">
        <v>2264</v>
      </c>
      <c r="B128" s="770" t="s">
        <v>2265</v>
      </c>
      <c r="C128" s="776" t="s">
        <v>2266</v>
      </c>
      <c r="D128" s="774">
        <v>54293.45336</v>
      </c>
      <c r="E128" s="774">
        <v>60537.742180000001</v>
      </c>
      <c r="F128" s="792"/>
      <c r="G128" s="793"/>
    </row>
    <row r="129" spans="1:7" s="648" customFormat="1" x14ac:dyDescent="0.2">
      <c r="A129" s="770" t="s">
        <v>2270</v>
      </c>
      <c r="B129" s="770" t="s">
        <v>2271</v>
      </c>
      <c r="C129" s="776" t="s">
        <v>2272</v>
      </c>
      <c r="D129" s="774">
        <v>5100</v>
      </c>
      <c r="E129" s="774">
        <v>3000</v>
      </c>
      <c r="F129" s="796"/>
      <c r="G129" s="783"/>
    </row>
    <row r="130" spans="1:7" s="648" customFormat="1" ht="12.75" customHeight="1" x14ac:dyDescent="0.2">
      <c r="A130" s="770" t="s">
        <v>2273</v>
      </c>
      <c r="B130" s="770" t="s">
        <v>2274</v>
      </c>
      <c r="C130" s="776" t="s">
        <v>2275</v>
      </c>
      <c r="D130" s="774">
        <v>328481.76049999997</v>
      </c>
      <c r="E130" s="774">
        <v>317684.23550000001</v>
      </c>
      <c r="F130" s="792"/>
      <c r="G130" s="793"/>
    </row>
    <row r="131" spans="1:7" s="648" customFormat="1" ht="12.75" customHeight="1" x14ac:dyDescent="0.2">
      <c r="A131" s="770" t="s">
        <v>2276</v>
      </c>
      <c r="B131" s="770" t="s">
        <v>2277</v>
      </c>
      <c r="C131" s="776" t="s">
        <v>2278</v>
      </c>
      <c r="D131" s="774">
        <v>44425.71</v>
      </c>
      <c r="E131" s="774">
        <v>45332.897199999999</v>
      </c>
      <c r="F131" s="792"/>
      <c r="G131" s="793"/>
    </row>
    <row r="132" spans="1:7" s="648" customFormat="1" ht="12.75" customHeight="1" x14ac:dyDescent="0.2">
      <c r="A132" s="770" t="s">
        <v>2279</v>
      </c>
      <c r="B132" s="770" t="s">
        <v>2065</v>
      </c>
      <c r="C132" s="776" t="s">
        <v>2066</v>
      </c>
      <c r="D132" s="774">
        <v>154527.48194</v>
      </c>
      <c r="E132" s="774">
        <v>152068.28655000002</v>
      </c>
      <c r="F132" s="792"/>
      <c r="G132" s="793"/>
    </row>
    <row r="133" spans="1:7" s="648" customFormat="1" ht="12.75" customHeight="1" x14ac:dyDescent="0.2">
      <c r="A133" s="770" t="s">
        <v>2280</v>
      </c>
      <c r="B133" s="770" t="s">
        <v>2068</v>
      </c>
      <c r="C133" s="776" t="s">
        <v>2069</v>
      </c>
      <c r="D133" s="774">
        <v>67586.074209999992</v>
      </c>
      <c r="E133" s="774">
        <v>65398.493999999999</v>
      </c>
      <c r="F133" s="792"/>
      <c r="G133" s="793"/>
    </row>
    <row r="134" spans="1:7" s="648" customFormat="1" ht="12.75" customHeight="1" x14ac:dyDescent="0.2">
      <c r="A134" s="770" t="s">
        <v>2281</v>
      </c>
      <c r="B134" s="770" t="s">
        <v>2071</v>
      </c>
      <c r="C134" s="776" t="s">
        <v>2072</v>
      </c>
      <c r="D134" s="774">
        <v>543.80399999999997</v>
      </c>
      <c r="E134" s="774">
        <v>485.31900000000002</v>
      </c>
      <c r="F134" s="792"/>
      <c r="G134" s="793"/>
    </row>
    <row r="135" spans="1:7" s="648" customFormat="1" ht="12.75" customHeight="1" x14ac:dyDescent="0.2">
      <c r="A135" s="770" t="s">
        <v>2282</v>
      </c>
      <c r="B135" s="770" t="s">
        <v>2074</v>
      </c>
      <c r="C135" s="776" t="s">
        <v>2075</v>
      </c>
      <c r="D135" s="774">
        <v>11447.857</v>
      </c>
      <c r="E135" s="774">
        <v>12455.103999999999</v>
      </c>
      <c r="F135" s="796"/>
      <c r="G135" s="783"/>
    </row>
    <row r="136" spans="1:7" s="648" customFormat="1" ht="12.75" customHeight="1" x14ac:dyDescent="0.2">
      <c r="A136" s="770" t="s">
        <v>2283</v>
      </c>
      <c r="B136" s="770" t="s">
        <v>2077</v>
      </c>
      <c r="C136" s="776" t="s">
        <v>2078</v>
      </c>
      <c r="D136" s="774">
        <v>56620.103999999999</v>
      </c>
      <c r="E136" s="774">
        <v>55058.122000000003</v>
      </c>
      <c r="F136" s="792"/>
      <c r="G136" s="793"/>
    </row>
    <row r="137" spans="1:7" s="648" customFormat="1" ht="12.75" customHeight="1" x14ac:dyDescent="0.2">
      <c r="A137" s="770" t="s">
        <v>2284</v>
      </c>
      <c r="B137" s="770" t="s">
        <v>236</v>
      </c>
      <c r="C137" s="776" t="s">
        <v>2080</v>
      </c>
      <c r="D137" s="774">
        <v>9610.0512200000012</v>
      </c>
      <c r="E137" s="774">
        <v>13256.26648</v>
      </c>
      <c r="F137" s="796"/>
      <c r="G137" s="783"/>
    </row>
    <row r="138" spans="1:7" s="648" customFormat="1" ht="12.75" customHeight="1" x14ac:dyDescent="0.2">
      <c r="A138" s="770" t="s">
        <v>2285</v>
      </c>
      <c r="B138" s="770" t="s">
        <v>2286</v>
      </c>
      <c r="C138" s="776" t="s">
        <v>2287</v>
      </c>
      <c r="D138" s="774">
        <v>8.4971499999999995</v>
      </c>
      <c r="E138" s="774">
        <v>18.334</v>
      </c>
      <c r="F138" s="792"/>
      <c r="G138" s="793"/>
    </row>
    <row r="139" spans="1:7" s="648" customFormat="1" ht="12.75" customHeight="1" x14ac:dyDescent="0.2">
      <c r="A139" s="770" t="s">
        <v>2288</v>
      </c>
      <c r="B139" s="770" t="s">
        <v>2289</v>
      </c>
      <c r="C139" s="776" t="s">
        <v>2290</v>
      </c>
      <c r="D139" s="774">
        <v>541.2581899999999</v>
      </c>
      <c r="E139" s="774">
        <v>1207.96576</v>
      </c>
      <c r="F139" s="796"/>
      <c r="G139" s="783"/>
    </row>
    <row r="140" spans="1:7" s="648" customFormat="1" ht="12.75" customHeight="1" x14ac:dyDescent="0.2">
      <c r="A140" s="770" t="s">
        <v>2291</v>
      </c>
      <c r="B140" s="770" t="s">
        <v>2292</v>
      </c>
      <c r="C140" s="776" t="s">
        <v>2293</v>
      </c>
      <c r="D140" s="774">
        <v>696.42893000000004</v>
      </c>
      <c r="E140" s="774">
        <v>1140.51133</v>
      </c>
      <c r="F140" s="792"/>
      <c r="G140" s="793"/>
    </row>
    <row r="141" spans="1:7" s="648" customFormat="1" ht="12.75" customHeight="1" x14ac:dyDescent="0.2">
      <c r="A141" s="770" t="s">
        <v>2304</v>
      </c>
      <c r="B141" s="770" t="s">
        <v>2305</v>
      </c>
      <c r="C141" s="776" t="s">
        <v>2306</v>
      </c>
      <c r="D141" s="774">
        <v>61957.887419999999</v>
      </c>
      <c r="E141" s="774">
        <v>81041.626329999999</v>
      </c>
      <c r="F141" s="796"/>
      <c r="G141" s="783"/>
    </row>
    <row r="142" spans="1:7" s="648" customFormat="1" ht="12.75" customHeight="1" x14ac:dyDescent="0.2">
      <c r="A142" s="770" t="s">
        <v>2307</v>
      </c>
      <c r="B142" s="770" t="s">
        <v>2106</v>
      </c>
      <c r="C142" s="776" t="s">
        <v>2107</v>
      </c>
      <c r="D142" s="774">
        <v>0</v>
      </c>
      <c r="E142" s="774">
        <v>0</v>
      </c>
      <c r="F142" s="796"/>
      <c r="G142" s="783"/>
    </row>
    <row r="143" spans="1:7" s="648" customFormat="1" ht="12.75" customHeight="1" x14ac:dyDescent="0.2">
      <c r="A143" s="770" t="s">
        <v>2308</v>
      </c>
      <c r="B143" s="770" t="s">
        <v>2309</v>
      </c>
      <c r="C143" s="776" t="s">
        <v>2310</v>
      </c>
      <c r="D143" s="774">
        <v>10940.291380000001</v>
      </c>
      <c r="E143" s="774">
        <v>13390.19586</v>
      </c>
      <c r="F143" s="792"/>
      <c r="G143" s="793"/>
    </row>
    <row r="144" spans="1:7" s="648" customFormat="1" ht="12.75" customHeight="1" x14ac:dyDescent="0.2">
      <c r="A144" s="770" t="s">
        <v>2311</v>
      </c>
      <c r="B144" s="770" t="s">
        <v>2312</v>
      </c>
      <c r="C144" s="776" t="s">
        <v>2313</v>
      </c>
      <c r="D144" s="774">
        <v>27749.016100000001</v>
      </c>
      <c r="E144" s="774">
        <v>30230.98789</v>
      </c>
      <c r="F144" s="796"/>
      <c r="G144" s="783"/>
    </row>
    <row r="145" spans="1:7" s="648" customFormat="1" ht="12.75" customHeight="1" x14ac:dyDescent="0.2">
      <c r="A145" s="770" t="s">
        <v>2314</v>
      </c>
      <c r="B145" s="770" t="s">
        <v>2315</v>
      </c>
      <c r="C145" s="776" t="s">
        <v>2316</v>
      </c>
      <c r="D145" s="774">
        <v>156176.85269</v>
      </c>
      <c r="E145" s="774">
        <v>83980.537660000002</v>
      </c>
      <c r="F145" s="792"/>
      <c r="G145" s="793"/>
    </row>
    <row r="146" spans="1:7" s="648" customFormat="1" ht="12.75" customHeight="1" x14ac:dyDescent="0.2">
      <c r="A146" s="777" t="s">
        <v>2317</v>
      </c>
      <c r="B146" s="777" t="s">
        <v>2318</v>
      </c>
      <c r="C146" s="778" t="s">
        <v>2319</v>
      </c>
      <c r="D146" s="798">
        <v>102169.00229999999</v>
      </c>
      <c r="E146" s="798">
        <v>117364.60729</v>
      </c>
      <c r="F146" s="796"/>
      <c r="G146" s="783"/>
    </row>
    <row r="147" spans="1:7" s="648" customFormat="1" x14ac:dyDescent="0.2">
      <c r="C147" s="546"/>
      <c r="D147" s="760"/>
      <c r="E147" s="760"/>
      <c r="F147" s="760"/>
      <c r="G147" s="760"/>
    </row>
    <row r="148" spans="1:7" s="648" customFormat="1" x14ac:dyDescent="0.2">
      <c r="C148" s="546"/>
      <c r="D148" s="760"/>
      <c r="E148" s="760"/>
      <c r="F148" s="760"/>
      <c r="G148" s="760"/>
    </row>
    <row r="149" spans="1:7" s="648" customFormat="1" x14ac:dyDescent="0.2">
      <c r="C149" s="546"/>
      <c r="D149" s="760"/>
      <c r="E149" s="760"/>
      <c r="F149" s="760"/>
      <c r="G149" s="760"/>
    </row>
    <row r="150" spans="1:7" s="648" customFormat="1" x14ac:dyDescent="0.2">
      <c r="C150" s="546"/>
      <c r="D150" s="760"/>
      <c r="E150" s="760"/>
      <c r="F150" s="760"/>
      <c r="G150" s="760"/>
    </row>
    <row r="151" spans="1:7" s="648" customFormat="1" x14ac:dyDescent="0.2">
      <c r="C151" s="546"/>
      <c r="D151" s="760"/>
      <c r="E151" s="760"/>
      <c r="F151" s="760"/>
      <c r="G151" s="760"/>
    </row>
    <row r="152" spans="1:7" s="648" customFormat="1" x14ac:dyDescent="0.2">
      <c r="C152" s="546"/>
      <c r="D152" s="760"/>
      <c r="E152" s="760"/>
      <c r="F152" s="760"/>
      <c r="G152" s="760"/>
    </row>
    <row r="153" spans="1:7" s="648" customFormat="1" x14ac:dyDescent="0.2">
      <c r="C153" s="546"/>
      <c r="D153" s="760"/>
      <c r="E153" s="760"/>
      <c r="F153" s="760"/>
      <c r="G153" s="760"/>
    </row>
    <row r="154" spans="1:7" s="648" customFormat="1" x14ac:dyDescent="0.2">
      <c r="C154" s="546"/>
      <c r="D154" s="760"/>
      <c r="E154" s="760"/>
      <c r="F154" s="760"/>
      <c r="G154" s="760"/>
    </row>
    <row r="155" spans="1:7" s="648" customFormat="1" x14ac:dyDescent="0.2">
      <c r="C155" s="546"/>
      <c r="D155" s="760"/>
      <c r="E155" s="760"/>
      <c r="F155" s="760"/>
      <c r="G155" s="760"/>
    </row>
    <row r="156" spans="1:7" s="648" customFormat="1" x14ac:dyDescent="0.2">
      <c r="C156" s="546"/>
      <c r="D156" s="760"/>
      <c r="E156" s="760"/>
      <c r="F156" s="760"/>
      <c r="G156" s="760"/>
    </row>
    <row r="157" spans="1:7" s="648" customFormat="1" x14ac:dyDescent="0.2">
      <c r="C157" s="546"/>
      <c r="D157" s="760"/>
      <c r="E157" s="760"/>
      <c r="F157" s="760"/>
      <c r="G157" s="760"/>
    </row>
    <row r="158" spans="1:7" s="648" customFormat="1" x14ac:dyDescent="0.2">
      <c r="C158" s="546"/>
      <c r="D158" s="760"/>
      <c r="E158" s="760"/>
      <c r="F158" s="760"/>
      <c r="G158" s="760"/>
    </row>
    <row r="159" spans="1:7" x14ac:dyDescent="0.2">
      <c r="A159" s="764"/>
      <c r="D159" s="760"/>
      <c r="E159" s="760"/>
      <c r="F159" s="760"/>
      <c r="G159" s="760"/>
    </row>
    <row r="160" spans="1:7" x14ac:dyDescent="0.2">
      <c r="A160" s="764"/>
      <c r="D160" s="760"/>
      <c r="E160" s="760"/>
      <c r="F160" s="760"/>
      <c r="G160" s="760"/>
    </row>
    <row r="161" spans="1:7" x14ac:dyDescent="0.2">
      <c r="A161" s="764"/>
      <c r="D161" s="760"/>
      <c r="E161" s="760"/>
      <c r="F161" s="760"/>
      <c r="G161" s="760"/>
    </row>
    <row r="162" spans="1:7" x14ac:dyDescent="0.2">
      <c r="A162" s="764"/>
      <c r="D162" s="760"/>
      <c r="E162" s="760"/>
      <c r="F162" s="760"/>
      <c r="G162" s="760"/>
    </row>
    <row r="163" spans="1:7" x14ac:dyDescent="0.2">
      <c r="A163" s="764"/>
      <c r="D163" s="760"/>
      <c r="E163" s="760"/>
      <c r="F163" s="760"/>
      <c r="G163" s="760"/>
    </row>
    <row r="164" spans="1:7" x14ac:dyDescent="0.2">
      <c r="A164" s="764"/>
      <c r="D164" s="760"/>
      <c r="E164" s="760"/>
      <c r="F164" s="760"/>
      <c r="G164" s="760"/>
    </row>
    <row r="165" spans="1:7" x14ac:dyDescent="0.2">
      <c r="A165" s="764"/>
      <c r="D165" s="760"/>
      <c r="E165" s="760"/>
      <c r="F165" s="760"/>
      <c r="G165" s="760"/>
    </row>
    <row r="166" spans="1:7" x14ac:dyDescent="0.2">
      <c r="A166" s="764"/>
      <c r="D166" s="760"/>
      <c r="E166" s="760"/>
      <c r="F166" s="760"/>
      <c r="G166" s="760"/>
    </row>
    <row r="167" spans="1:7" x14ac:dyDescent="0.2">
      <c r="A167" s="764"/>
      <c r="D167" s="760"/>
      <c r="E167" s="760"/>
      <c r="F167" s="760"/>
      <c r="G167" s="760"/>
    </row>
    <row r="168" spans="1:7" x14ac:dyDescent="0.2">
      <c r="A168" s="764"/>
      <c r="D168" s="760"/>
      <c r="E168" s="760"/>
      <c r="F168" s="760"/>
      <c r="G168" s="760"/>
    </row>
    <row r="169" spans="1:7" x14ac:dyDescent="0.2">
      <c r="A169" s="764"/>
      <c r="D169" s="760"/>
      <c r="E169" s="760"/>
      <c r="F169" s="760"/>
      <c r="G169" s="760"/>
    </row>
    <row r="170" spans="1:7" x14ac:dyDescent="0.2">
      <c r="A170" s="764"/>
      <c r="D170" s="760"/>
      <c r="E170" s="760"/>
      <c r="F170" s="760"/>
      <c r="G170" s="760"/>
    </row>
    <row r="171" spans="1:7" x14ac:dyDescent="0.2">
      <c r="A171" s="764"/>
      <c r="D171" s="760"/>
      <c r="E171" s="760"/>
      <c r="F171" s="760"/>
      <c r="G171" s="760"/>
    </row>
    <row r="172" spans="1:7" x14ac:dyDescent="0.2">
      <c r="A172" s="764"/>
      <c r="D172" s="760"/>
      <c r="E172" s="760"/>
      <c r="F172" s="760"/>
      <c r="G172" s="760"/>
    </row>
    <row r="173" spans="1:7" x14ac:dyDescent="0.2">
      <c r="A173" s="764"/>
      <c r="D173" s="760"/>
      <c r="E173" s="760"/>
      <c r="F173" s="760"/>
      <c r="G173" s="760"/>
    </row>
    <row r="174" spans="1:7" x14ac:dyDescent="0.2">
      <c r="A174" s="764"/>
      <c r="D174" s="760"/>
      <c r="E174" s="760"/>
      <c r="F174" s="760"/>
      <c r="G174" s="760"/>
    </row>
    <row r="175" spans="1:7" x14ac:dyDescent="0.2">
      <c r="A175" s="764"/>
      <c r="D175" s="760"/>
      <c r="E175" s="760"/>
      <c r="F175" s="760"/>
      <c r="G175" s="760"/>
    </row>
    <row r="176" spans="1:7" x14ac:dyDescent="0.2">
      <c r="A176" s="764"/>
      <c r="D176" s="760"/>
      <c r="E176" s="760"/>
      <c r="F176" s="760"/>
      <c r="G176" s="760"/>
    </row>
    <row r="177" spans="1:7" x14ac:dyDescent="0.2">
      <c r="A177" s="764"/>
      <c r="D177" s="760"/>
      <c r="E177" s="760"/>
      <c r="F177" s="760"/>
      <c r="G177" s="760"/>
    </row>
    <row r="178" spans="1:7" x14ac:dyDescent="0.2">
      <c r="A178" s="764"/>
      <c r="D178" s="760"/>
      <c r="E178" s="760"/>
      <c r="F178" s="760"/>
      <c r="G178" s="760"/>
    </row>
    <row r="179" spans="1:7" x14ac:dyDescent="0.2">
      <c r="A179" s="764"/>
      <c r="D179" s="760"/>
      <c r="E179" s="760"/>
      <c r="F179" s="760"/>
      <c r="G179" s="760"/>
    </row>
    <row r="180" spans="1:7" x14ac:dyDescent="0.2">
      <c r="A180" s="764"/>
      <c r="D180" s="760"/>
      <c r="E180" s="760"/>
      <c r="F180" s="760"/>
      <c r="G180" s="760"/>
    </row>
    <row r="181" spans="1:7" x14ac:dyDescent="0.2">
      <c r="A181" s="764"/>
      <c r="D181" s="760"/>
      <c r="E181" s="760"/>
      <c r="F181" s="760"/>
      <c r="G181" s="760"/>
    </row>
    <row r="182" spans="1:7" x14ac:dyDescent="0.2">
      <c r="A182" s="764"/>
      <c r="D182" s="760"/>
      <c r="E182" s="760"/>
      <c r="F182" s="760"/>
      <c r="G182" s="760"/>
    </row>
    <row r="183" spans="1:7" x14ac:dyDescent="0.2">
      <c r="A183" s="764"/>
      <c r="D183" s="760"/>
      <c r="E183" s="760"/>
      <c r="F183" s="760"/>
      <c r="G183" s="760"/>
    </row>
    <row r="184" spans="1:7" x14ac:dyDescent="0.2">
      <c r="A184" s="764"/>
      <c r="D184" s="760"/>
      <c r="E184" s="760"/>
      <c r="F184" s="760"/>
      <c r="G184" s="760"/>
    </row>
    <row r="185" spans="1:7" x14ac:dyDescent="0.2">
      <c r="A185" s="764"/>
      <c r="D185" s="760"/>
      <c r="E185" s="760"/>
      <c r="F185" s="760"/>
      <c r="G185" s="760"/>
    </row>
    <row r="186" spans="1:7" x14ac:dyDescent="0.2">
      <c r="A186" s="764"/>
      <c r="D186" s="760"/>
      <c r="E186" s="760"/>
      <c r="F186" s="760"/>
      <c r="G186" s="760"/>
    </row>
    <row r="187" spans="1:7" x14ac:dyDescent="0.2">
      <c r="A187" s="764"/>
      <c r="D187" s="760"/>
      <c r="E187" s="760"/>
      <c r="F187" s="760"/>
      <c r="G187" s="760"/>
    </row>
    <row r="188" spans="1:7" x14ac:dyDescent="0.2">
      <c r="A188" s="764"/>
      <c r="D188" s="760"/>
      <c r="E188" s="760"/>
      <c r="F188" s="760"/>
      <c r="G188" s="760"/>
    </row>
    <row r="189" spans="1:7" x14ac:dyDescent="0.2">
      <c r="A189" s="764"/>
      <c r="D189" s="760"/>
      <c r="E189" s="760"/>
      <c r="F189" s="760"/>
      <c r="G189" s="760"/>
    </row>
    <row r="190" spans="1:7" x14ac:dyDescent="0.2">
      <c r="A190" s="764"/>
      <c r="D190" s="760"/>
      <c r="E190" s="760"/>
      <c r="F190" s="760"/>
      <c r="G190" s="760"/>
    </row>
    <row r="191" spans="1:7" x14ac:dyDescent="0.2">
      <c r="A191" s="764"/>
      <c r="D191" s="760"/>
      <c r="E191" s="760"/>
      <c r="F191" s="760"/>
      <c r="G191" s="760"/>
    </row>
    <row r="192" spans="1:7" x14ac:dyDescent="0.2">
      <c r="A192" s="764"/>
      <c r="D192" s="760"/>
      <c r="E192" s="760"/>
      <c r="F192" s="760"/>
      <c r="G192" s="760"/>
    </row>
    <row r="193" spans="1:7" x14ac:dyDescent="0.2">
      <c r="A193" s="764"/>
      <c r="D193" s="760"/>
      <c r="E193" s="760"/>
      <c r="F193" s="760"/>
      <c r="G193" s="760"/>
    </row>
    <row r="194" spans="1:7" x14ac:dyDescent="0.2">
      <c r="A194" s="764"/>
      <c r="D194" s="760"/>
      <c r="E194" s="760"/>
      <c r="F194" s="760"/>
      <c r="G194" s="760"/>
    </row>
    <row r="195" spans="1:7" x14ac:dyDescent="0.2">
      <c r="A195" s="764"/>
      <c r="D195" s="760"/>
      <c r="E195" s="760"/>
      <c r="F195" s="760"/>
      <c r="G195" s="760"/>
    </row>
    <row r="196" spans="1:7" x14ac:dyDescent="0.2">
      <c r="A196" s="764"/>
      <c r="D196" s="760"/>
      <c r="E196" s="760"/>
      <c r="F196" s="760"/>
      <c r="G196" s="760"/>
    </row>
    <row r="197" spans="1:7" x14ac:dyDescent="0.2">
      <c r="A197" s="764"/>
      <c r="D197" s="760"/>
      <c r="E197" s="760"/>
      <c r="F197" s="760"/>
      <c r="G197" s="760"/>
    </row>
    <row r="198" spans="1:7" x14ac:dyDescent="0.2">
      <c r="A198" s="764"/>
      <c r="D198" s="760"/>
      <c r="E198" s="760"/>
      <c r="F198" s="760"/>
      <c r="G198" s="760"/>
    </row>
    <row r="199" spans="1:7" x14ac:dyDescent="0.2">
      <c r="A199" s="764"/>
      <c r="D199" s="760"/>
      <c r="E199" s="760"/>
      <c r="F199" s="760"/>
      <c r="G199" s="760"/>
    </row>
    <row r="200" spans="1:7" x14ac:dyDescent="0.2">
      <c r="A200" s="764"/>
      <c r="D200" s="760"/>
      <c r="E200" s="760"/>
      <c r="F200" s="760"/>
      <c r="G200" s="760"/>
    </row>
    <row r="201" spans="1:7" x14ac:dyDescent="0.2">
      <c r="A201" s="764"/>
      <c r="D201" s="760"/>
      <c r="E201" s="760"/>
      <c r="F201" s="760"/>
      <c r="G201" s="760"/>
    </row>
    <row r="202" spans="1:7" x14ac:dyDescent="0.2">
      <c r="A202" s="764"/>
      <c r="D202" s="760"/>
      <c r="E202" s="760"/>
      <c r="F202" s="760"/>
      <c r="G202" s="760"/>
    </row>
    <row r="203" spans="1:7" x14ac:dyDescent="0.2">
      <c r="A203" s="764"/>
      <c r="D203" s="760"/>
      <c r="E203" s="760"/>
      <c r="F203" s="760"/>
      <c r="G203" s="760"/>
    </row>
    <row r="204" spans="1:7" x14ac:dyDescent="0.2">
      <c r="A204" s="764"/>
      <c r="D204" s="760"/>
      <c r="E204" s="760"/>
      <c r="F204" s="760"/>
      <c r="G204" s="760"/>
    </row>
    <row r="205" spans="1:7" x14ac:dyDescent="0.2">
      <c r="A205" s="764"/>
      <c r="D205" s="760"/>
      <c r="E205" s="760"/>
      <c r="F205" s="760"/>
      <c r="G205" s="760"/>
    </row>
    <row r="206" spans="1:7" x14ac:dyDescent="0.2">
      <c r="A206" s="764"/>
      <c r="D206" s="760"/>
      <c r="E206" s="760"/>
      <c r="F206" s="760"/>
      <c r="G206" s="760"/>
    </row>
    <row r="207" spans="1:7" x14ac:dyDescent="0.2">
      <c r="A207" s="764"/>
      <c r="D207" s="760"/>
      <c r="E207" s="760"/>
      <c r="F207" s="760"/>
      <c r="G207" s="760"/>
    </row>
    <row r="208" spans="1:7" x14ac:dyDescent="0.2">
      <c r="A208" s="764"/>
      <c r="D208" s="760"/>
      <c r="E208" s="760"/>
      <c r="F208" s="760"/>
      <c r="G208" s="760"/>
    </row>
    <row r="209" spans="1:7" x14ac:dyDescent="0.2">
      <c r="A209" s="764"/>
      <c r="D209" s="760"/>
      <c r="E209" s="760"/>
      <c r="F209" s="760"/>
      <c r="G209" s="760"/>
    </row>
    <row r="210" spans="1:7" x14ac:dyDescent="0.2">
      <c r="A210" s="764"/>
      <c r="D210" s="760"/>
      <c r="E210" s="760"/>
      <c r="F210" s="760"/>
      <c r="G210" s="760"/>
    </row>
    <row r="211" spans="1:7" x14ac:dyDescent="0.2">
      <c r="A211" s="764"/>
      <c r="D211" s="760"/>
      <c r="E211" s="760"/>
      <c r="F211" s="760"/>
      <c r="G211" s="760"/>
    </row>
    <row r="212" spans="1:7" x14ac:dyDescent="0.2">
      <c r="A212" s="764"/>
      <c r="D212" s="760"/>
      <c r="E212" s="760"/>
      <c r="F212" s="760"/>
      <c r="G212" s="760"/>
    </row>
    <row r="213" spans="1:7" x14ac:dyDescent="0.2">
      <c r="A213" s="764"/>
      <c r="D213" s="760"/>
      <c r="E213" s="760"/>
      <c r="F213" s="760"/>
      <c r="G213" s="760"/>
    </row>
    <row r="214" spans="1:7" x14ac:dyDescent="0.2">
      <c r="A214" s="764"/>
      <c r="D214" s="760"/>
      <c r="E214" s="760"/>
      <c r="F214" s="760"/>
      <c r="G214" s="760"/>
    </row>
    <row r="215" spans="1:7" x14ac:dyDescent="0.2">
      <c r="A215" s="764"/>
      <c r="D215" s="760"/>
      <c r="E215" s="760"/>
      <c r="F215" s="760"/>
      <c r="G215" s="760"/>
    </row>
    <row r="216" spans="1:7" x14ac:dyDescent="0.2">
      <c r="A216" s="764"/>
      <c r="D216" s="760"/>
      <c r="E216" s="760"/>
      <c r="F216" s="760"/>
      <c r="G216" s="760"/>
    </row>
    <row r="217" spans="1:7" x14ac:dyDescent="0.2">
      <c r="A217" s="764"/>
      <c r="D217" s="760"/>
      <c r="E217" s="760"/>
      <c r="F217" s="760"/>
      <c r="G217" s="760"/>
    </row>
  </sheetData>
  <mergeCells count="10">
    <mergeCell ref="A93:B94"/>
    <mergeCell ref="C93:C94"/>
    <mergeCell ref="D93:E93"/>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75" firstPageNumber="460" fitToHeight="2" orientation="portrait" useFirstPageNumber="1" r:id="rId1"/>
  <headerFooter alignWithMargins="0">
    <oddHeader>&amp;L&amp;"Tahoma,Kurzíva"Závěrečný účet za rok 2015&amp;R&amp;"Tahoma,Kurzíva"Tabulka č. 32</oddHeader>
    <oddFooter>&amp;C&amp;"Tahoma,Obyčejné"&amp;P</oddFooter>
  </headerFooter>
  <rowBreaks count="1" manualBreakCount="1">
    <brk id="78"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Normal="100" zoomScaleSheetLayoutView="100" workbookViewId="0">
      <selection activeCell="O8" sqref="O8"/>
    </sheetView>
  </sheetViews>
  <sheetFormatPr defaultRowHeight="15" x14ac:dyDescent="0.2"/>
  <cols>
    <col min="1" max="1" width="11.7109375" style="27" customWidth="1"/>
    <col min="2" max="3" width="11" style="27" customWidth="1"/>
    <col min="4" max="4" width="11" style="31" customWidth="1"/>
    <col min="5" max="5" width="11" style="32" customWidth="1"/>
    <col min="6" max="9" width="11" style="27" customWidth="1"/>
    <col min="10" max="10" width="10.28515625" style="27" customWidth="1"/>
    <col min="11" max="11" width="11" style="27" customWidth="1"/>
    <col min="12" max="12" width="6.85546875" style="27" customWidth="1"/>
    <col min="13" max="16384" width="9.140625" style="27"/>
  </cols>
  <sheetData>
    <row r="1" spans="10:12" x14ac:dyDescent="0.2">
      <c r="J1" s="26"/>
      <c r="K1" s="26"/>
      <c r="L1" s="26"/>
    </row>
    <row r="2" spans="10:12" x14ac:dyDescent="0.2">
      <c r="J2" s="28"/>
      <c r="K2" s="26"/>
      <c r="L2" s="26"/>
    </row>
    <row r="3" spans="10:12" x14ac:dyDescent="0.2">
      <c r="J3" s="29"/>
      <c r="K3" s="26"/>
      <c r="L3" s="26"/>
    </row>
    <row r="4" spans="10:12" x14ac:dyDescent="0.2">
      <c r="J4" s="30"/>
      <c r="K4" s="26"/>
      <c r="L4" s="26"/>
    </row>
    <row r="5" spans="10:12" x14ac:dyDescent="0.2">
      <c r="J5" s="30"/>
      <c r="K5" s="26"/>
      <c r="L5" s="26"/>
    </row>
    <row r="6" spans="10:12" x14ac:dyDescent="0.2">
      <c r="J6" s="30"/>
      <c r="K6" s="26"/>
      <c r="L6" s="26"/>
    </row>
    <row r="7" spans="10:12" x14ac:dyDescent="0.2">
      <c r="J7" s="30"/>
      <c r="K7" s="26"/>
      <c r="L7" s="26"/>
    </row>
    <row r="8" spans="10:12" x14ac:dyDescent="0.2">
      <c r="J8" s="30"/>
      <c r="K8" s="26"/>
      <c r="L8" s="26"/>
    </row>
    <row r="9" spans="10:12" x14ac:dyDescent="0.2">
      <c r="J9" s="30"/>
      <c r="K9" s="26"/>
      <c r="L9" s="26"/>
    </row>
    <row r="10" spans="10:12" x14ac:dyDescent="0.2">
      <c r="J10" s="30"/>
      <c r="K10" s="26"/>
      <c r="L10" s="26"/>
    </row>
    <row r="11" spans="10:12" x14ac:dyDescent="0.2">
      <c r="J11" s="30"/>
      <c r="K11" s="26"/>
      <c r="L11" s="26"/>
    </row>
    <row r="12" spans="10:12" x14ac:dyDescent="0.2">
      <c r="J12" s="30"/>
      <c r="K12" s="26"/>
      <c r="L12" s="26"/>
    </row>
    <row r="13" spans="10:12" x14ac:dyDescent="0.2">
      <c r="J13" s="30"/>
      <c r="K13" s="26"/>
      <c r="L13" s="26"/>
    </row>
    <row r="14" spans="10:12" x14ac:dyDescent="0.2">
      <c r="J14" s="30"/>
      <c r="K14" s="26"/>
      <c r="L14" s="26"/>
    </row>
    <row r="15" spans="10:12" x14ac:dyDescent="0.2">
      <c r="J15" s="30"/>
      <c r="K15" s="26"/>
      <c r="L15" s="26"/>
    </row>
    <row r="16" spans="10:12" x14ac:dyDescent="0.2">
      <c r="J16" s="30"/>
      <c r="K16" s="26"/>
      <c r="L16" s="26"/>
    </row>
    <row r="17" spans="1:12" x14ac:dyDescent="0.2">
      <c r="J17" s="33"/>
      <c r="K17" s="26"/>
      <c r="L17" s="26"/>
    </row>
    <row r="18" spans="1:12" x14ac:dyDescent="0.2">
      <c r="A18" s="34" t="s">
        <v>8</v>
      </c>
      <c r="B18" s="35" t="s">
        <v>26</v>
      </c>
      <c r="C18" s="36"/>
      <c r="D18" s="37"/>
      <c r="E18" s="38"/>
      <c r="F18" s="39"/>
      <c r="G18" s="40"/>
      <c r="H18" s="39"/>
      <c r="I18" s="40"/>
      <c r="J18" s="33"/>
      <c r="K18" s="26"/>
      <c r="L18" s="26"/>
    </row>
    <row r="19" spans="1:12" x14ac:dyDescent="0.2">
      <c r="E19" s="41"/>
      <c r="J19" s="26"/>
      <c r="K19" s="26"/>
      <c r="L19" s="26"/>
    </row>
    <row r="20" spans="1:12" ht="161.25" customHeight="1" x14ac:dyDescent="0.2">
      <c r="A20" s="26"/>
      <c r="B20" s="26"/>
      <c r="C20" s="26"/>
      <c r="D20" s="42"/>
      <c r="F20" s="26"/>
      <c r="G20" s="26"/>
      <c r="H20" s="26"/>
      <c r="I20" s="26"/>
      <c r="J20" s="26"/>
      <c r="K20" s="26"/>
      <c r="L20" s="26"/>
    </row>
    <row r="28" spans="1:12" ht="15" customHeight="1" x14ac:dyDescent="0.2"/>
  </sheetData>
  <customSheetViews>
    <customSheetView guid="{53E72506-0B1D-4F4A-A157-6DE69D2E678D}" showPageBreaks="1" showGridLines="0" printArea="1" view="pageBreakPreview" topLeftCell="B1">
      <selection activeCell="P11" sqref="P11"/>
      <pageMargins left="0.78740157480314965" right="0.78740157480314965" top="0.98425196850393704" bottom="0.98425196850393704" header="0.51181102362204722" footer="0.51181102362204722"/>
      <pageSetup paperSize="9" firstPageNumber="150" orientation="landscape" useFirstPageNumber="1" r:id="rId1"/>
      <headerFooter alignWithMargins="0">
        <oddHeader>&amp;L&amp;"Tahoma,Kurzíva"&amp;9Závěrečný účet za rok 2014&amp;R&amp;"Tahoma,Kurzíva"&amp;9Graf č. 4</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64" orientation="landscape" useFirstPageNumber="1" r:id="rId2"/>
  <headerFooter alignWithMargins="0">
    <oddHeader>&amp;L&amp;"Tahoma,Kurzíva"&amp;9Závěrečný účet za rok 2015&amp;R&amp;"Tahoma,Kurzíva"&amp;9Graf č. 4</oddHeader>
    <oddFooter>&amp;C&amp;"Tahoma,Obyčejné"&amp;P</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zoomScaleNormal="100" zoomScaleSheetLayoutView="100" workbookViewId="0">
      <selection activeCell="I5" sqref="I5"/>
    </sheetView>
  </sheetViews>
  <sheetFormatPr defaultRowHeight="12.75" x14ac:dyDescent="0.2"/>
  <cols>
    <col min="1" max="1" width="6.7109375" style="211" customWidth="1"/>
    <col min="2" max="2" width="58.42578125" style="211" customWidth="1"/>
    <col min="3" max="3" width="8.5703125" style="847" customWidth="1"/>
    <col min="4" max="7" width="15.42578125" style="211" customWidth="1"/>
    <col min="8" max="8" width="6" style="211" customWidth="1"/>
    <col min="9" max="16384" width="9.140625" style="211"/>
  </cols>
  <sheetData>
    <row r="1" spans="1:7" s="837" customFormat="1" ht="18" customHeight="1" x14ac:dyDescent="0.2">
      <c r="A1" s="1493" t="s">
        <v>1874</v>
      </c>
      <c r="B1" s="1493"/>
      <c r="C1" s="1493"/>
      <c r="D1" s="1493"/>
      <c r="E1" s="1493"/>
      <c r="F1" s="1493"/>
      <c r="G1" s="1493"/>
    </row>
    <row r="2" spans="1:7" s="838" customFormat="1" ht="18" customHeight="1" x14ac:dyDescent="0.2">
      <c r="A2" s="1493" t="s">
        <v>2323</v>
      </c>
      <c r="B2" s="1493"/>
      <c r="C2" s="1493"/>
      <c r="D2" s="1493"/>
      <c r="E2" s="1493"/>
      <c r="F2" s="1493"/>
      <c r="G2" s="1493"/>
    </row>
    <row r="4" spans="1:7" ht="12.75" customHeight="1" x14ac:dyDescent="0.2">
      <c r="A4" s="839"/>
      <c r="B4" s="840"/>
      <c r="C4" s="841"/>
      <c r="D4" s="842">
        <v>1</v>
      </c>
      <c r="E4" s="842">
        <v>2</v>
      </c>
      <c r="F4" s="842">
        <v>3</v>
      </c>
      <c r="G4" s="842">
        <v>4</v>
      </c>
    </row>
    <row r="5" spans="1:7" s="843" customFormat="1" ht="12.75" customHeight="1" x14ac:dyDescent="0.2">
      <c r="A5" s="1517" t="s">
        <v>1876</v>
      </c>
      <c r="B5" s="1518"/>
      <c r="C5" s="1521" t="s">
        <v>1877</v>
      </c>
      <c r="D5" s="1523" t="s">
        <v>2324</v>
      </c>
      <c r="E5" s="1523"/>
      <c r="F5" s="1523" t="s">
        <v>2325</v>
      </c>
      <c r="G5" s="1523"/>
    </row>
    <row r="6" spans="1:7" s="843" customFormat="1" ht="21" x14ac:dyDescent="0.2">
      <c r="A6" s="1519"/>
      <c r="B6" s="1520"/>
      <c r="C6" s="1522"/>
      <c r="D6" s="844" t="s">
        <v>2326</v>
      </c>
      <c r="E6" s="844" t="s">
        <v>2327</v>
      </c>
      <c r="F6" s="845" t="s">
        <v>2326</v>
      </c>
      <c r="G6" s="845" t="s">
        <v>2327</v>
      </c>
    </row>
    <row r="7" spans="1:7" s="843" customFormat="1" x14ac:dyDescent="0.2">
      <c r="A7" s="804" t="s">
        <v>1885</v>
      </c>
      <c r="B7" s="804" t="s">
        <v>2328</v>
      </c>
      <c r="C7" s="805" t="s">
        <v>133</v>
      </c>
      <c r="D7" s="769">
        <v>12129174.755030001</v>
      </c>
      <c r="E7" s="769">
        <v>324156.43906</v>
      </c>
      <c r="F7" s="769">
        <v>11394343.405680001</v>
      </c>
      <c r="G7" s="769">
        <v>470869.40512999997</v>
      </c>
    </row>
    <row r="8" spans="1:7" x14ac:dyDescent="0.2">
      <c r="A8" s="767" t="s">
        <v>1887</v>
      </c>
      <c r="B8" s="767" t="s">
        <v>2329</v>
      </c>
      <c r="C8" s="812" t="s">
        <v>133</v>
      </c>
      <c r="D8" s="813">
        <v>12093788.0754</v>
      </c>
      <c r="E8" s="813">
        <v>317518.45111000002</v>
      </c>
      <c r="F8" s="813">
        <v>11370086.31092</v>
      </c>
      <c r="G8" s="813">
        <v>465251.88282</v>
      </c>
    </row>
    <row r="9" spans="1:7" x14ac:dyDescent="0.2">
      <c r="A9" s="827" t="s">
        <v>1889</v>
      </c>
      <c r="B9" s="827" t="s">
        <v>2330</v>
      </c>
      <c r="C9" s="828" t="s">
        <v>2331</v>
      </c>
      <c r="D9" s="806">
        <v>1471179.4074500001</v>
      </c>
      <c r="E9" s="806">
        <v>78513.443269999989</v>
      </c>
      <c r="F9" s="806">
        <v>1470057.69481</v>
      </c>
      <c r="G9" s="806">
        <v>72596.885430000009</v>
      </c>
    </row>
    <row r="10" spans="1:7" x14ac:dyDescent="0.2">
      <c r="A10" s="770" t="s">
        <v>1892</v>
      </c>
      <c r="B10" s="770" t="s">
        <v>2332</v>
      </c>
      <c r="C10" s="776" t="s">
        <v>2333</v>
      </c>
      <c r="D10" s="806">
        <v>438437.74147000001</v>
      </c>
      <c r="E10" s="806">
        <v>43869.142469999999</v>
      </c>
      <c r="F10" s="806">
        <v>448576.30637000001</v>
      </c>
      <c r="G10" s="806">
        <v>43602.70607</v>
      </c>
    </row>
    <row r="11" spans="1:7" x14ac:dyDescent="0.2">
      <c r="A11" s="770" t="s">
        <v>1895</v>
      </c>
      <c r="B11" s="770" t="s">
        <v>2334</v>
      </c>
      <c r="C11" s="776" t="s">
        <v>2335</v>
      </c>
      <c r="D11" s="806">
        <v>227.15220000000002</v>
      </c>
      <c r="E11" s="806">
        <v>29.11561</v>
      </c>
      <c r="F11" s="806">
        <v>1834.63877</v>
      </c>
      <c r="G11" s="806">
        <v>389.39797999999996</v>
      </c>
    </row>
    <row r="12" spans="1:7" x14ac:dyDescent="0.2">
      <c r="A12" s="770" t="s">
        <v>1897</v>
      </c>
      <c r="B12" s="770" t="s">
        <v>2336</v>
      </c>
      <c r="C12" s="776" t="s">
        <v>2337</v>
      </c>
      <c r="D12" s="806">
        <v>407874.88280999998</v>
      </c>
      <c r="E12" s="806">
        <v>13815.77441</v>
      </c>
      <c r="F12" s="806">
        <v>260576.98022</v>
      </c>
      <c r="G12" s="806">
        <v>152822.84828000001</v>
      </c>
    </row>
    <row r="13" spans="1:7" x14ac:dyDescent="0.2">
      <c r="A13" s="770" t="s">
        <v>1900</v>
      </c>
      <c r="B13" s="770" t="s">
        <v>2338</v>
      </c>
      <c r="C13" s="776" t="s">
        <v>2339</v>
      </c>
      <c r="D13" s="806">
        <v>-10128.39724</v>
      </c>
      <c r="E13" s="806"/>
      <c r="F13" s="806">
        <v>-11543.109560000001</v>
      </c>
      <c r="G13" s="806">
        <v>-129.75514000000001</v>
      </c>
    </row>
    <row r="14" spans="1:7" x14ac:dyDescent="0.2">
      <c r="A14" s="770" t="s">
        <v>1903</v>
      </c>
      <c r="B14" s="770" t="s">
        <v>2340</v>
      </c>
      <c r="C14" s="776" t="s">
        <v>2341</v>
      </c>
      <c r="D14" s="806">
        <v>-41997.37268</v>
      </c>
      <c r="E14" s="806">
        <v>-498.58805999999998</v>
      </c>
      <c r="F14" s="806">
        <v>-39001.374810000001</v>
      </c>
      <c r="G14" s="806">
        <v>-270.5797</v>
      </c>
    </row>
    <row r="15" spans="1:7" x14ac:dyDescent="0.2">
      <c r="A15" s="770" t="s">
        <v>1906</v>
      </c>
      <c r="B15" s="770" t="s">
        <v>2342</v>
      </c>
      <c r="C15" s="776" t="s">
        <v>2343</v>
      </c>
      <c r="D15" s="806">
        <v>-4643.30357</v>
      </c>
      <c r="E15" s="806">
        <v>-2757.1072999999997</v>
      </c>
      <c r="F15" s="806">
        <v>-4249.3215799999998</v>
      </c>
      <c r="G15" s="806">
        <v>1080.05513</v>
      </c>
    </row>
    <row r="16" spans="1:7" x14ac:dyDescent="0.2">
      <c r="A16" s="770" t="s">
        <v>1909</v>
      </c>
      <c r="B16" s="770" t="s">
        <v>363</v>
      </c>
      <c r="C16" s="776" t="s">
        <v>2344</v>
      </c>
      <c r="D16" s="806">
        <v>701918.34169000003</v>
      </c>
      <c r="E16" s="806">
        <v>20388.593129999997</v>
      </c>
      <c r="F16" s="806">
        <v>441507.75845999998</v>
      </c>
      <c r="G16" s="806">
        <v>14640.26856</v>
      </c>
    </row>
    <row r="17" spans="1:7" x14ac:dyDescent="0.2">
      <c r="A17" s="770" t="s">
        <v>1912</v>
      </c>
      <c r="B17" s="770" t="s">
        <v>2345</v>
      </c>
      <c r="C17" s="776" t="s">
        <v>2346</v>
      </c>
      <c r="D17" s="806">
        <v>36482.695359999998</v>
      </c>
      <c r="E17" s="806">
        <v>702.96228000000008</v>
      </c>
      <c r="F17" s="806">
        <v>26392.575809999998</v>
      </c>
      <c r="G17" s="806">
        <v>830.22411</v>
      </c>
    </row>
    <row r="18" spans="1:7" x14ac:dyDescent="0.2">
      <c r="A18" s="770" t="s">
        <v>1915</v>
      </c>
      <c r="B18" s="770" t="s">
        <v>2347</v>
      </c>
      <c r="C18" s="776" t="s">
        <v>2348</v>
      </c>
      <c r="D18" s="806">
        <v>2171.27799</v>
      </c>
      <c r="E18" s="806">
        <v>130.60631000000001</v>
      </c>
      <c r="F18" s="806">
        <v>1855.8688</v>
      </c>
      <c r="G18" s="806">
        <v>161.62157000000002</v>
      </c>
    </row>
    <row r="19" spans="1:7" x14ac:dyDescent="0.2">
      <c r="A19" s="770" t="s">
        <v>2349</v>
      </c>
      <c r="B19" s="770" t="s">
        <v>2350</v>
      </c>
      <c r="C19" s="776" t="s">
        <v>2351</v>
      </c>
      <c r="D19" s="806">
        <v>-26437.279790000001</v>
      </c>
      <c r="E19" s="806">
        <v>-323.48174999999998</v>
      </c>
      <c r="F19" s="806">
        <v>-24469.470730000001</v>
      </c>
      <c r="G19" s="806">
        <v>-761.36610999999994</v>
      </c>
    </row>
    <row r="20" spans="1:7" x14ac:dyDescent="0.2">
      <c r="A20" s="770" t="s">
        <v>2352</v>
      </c>
      <c r="B20" s="770" t="s">
        <v>2353</v>
      </c>
      <c r="C20" s="776" t="s">
        <v>2354</v>
      </c>
      <c r="D20" s="806">
        <v>633254.95084000006</v>
      </c>
      <c r="E20" s="806">
        <v>24078.572199999999</v>
      </c>
      <c r="F20" s="806">
        <v>551838.57127999992</v>
      </c>
      <c r="G20" s="806">
        <v>25199.642199999998</v>
      </c>
    </row>
    <row r="21" spans="1:7" x14ac:dyDescent="0.2">
      <c r="A21" s="770" t="s">
        <v>2355</v>
      </c>
      <c r="B21" s="770" t="s">
        <v>2356</v>
      </c>
      <c r="C21" s="776" t="s">
        <v>2357</v>
      </c>
      <c r="D21" s="806">
        <v>5593700.74168</v>
      </c>
      <c r="E21" s="806">
        <v>85222.743620000008</v>
      </c>
      <c r="F21" s="806">
        <v>5456862.7340200003</v>
      </c>
      <c r="G21" s="806">
        <v>94355.489499999996</v>
      </c>
    </row>
    <row r="22" spans="1:7" x14ac:dyDescent="0.2">
      <c r="A22" s="770" t="s">
        <v>2358</v>
      </c>
      <c r="B22" s="770" t="s">
        <v>2359</v>
      </c>
      <c r="C22" s="776" t="s">
        <v>2360</v>
      </c>
      <c r="D22" s="806">
        <v>1861272.2473900001</v>
      </c>
      <c r="E22" s="806">
        <v>26281.669409999999</v>
      </c>
      <c r="F22" s="806">
        <v>1806011.38261</v>
      </c>
      <c r="G22" s="806">
        <v>29611.53239</v>
      </c>
    </row>
    <row r="23" spans="1:7" x14ac:dyDescent="0.2">
      <c r="A23" s="770" t="s">
        <v>2361</v>
      </c>
      <c r="B23" s="770" t="s">
        <v>2362</v>
      </c>
      <c r="C23" s="776" t="s">
        <v>2363</v>
      </c>
      <c r="D23" s="806">
        <v>23355.324850000001</v>
      </c>
      <c r="E23" s="806">
        <v>342.32062999999999</v>
      </c>
      <c r="F23" s="806">
        <v>22124.313969999999</v>
      </c>
      <c r="G23" s="806">
        <v>360.48878999999999</v>
      </c>
    </row>
    <row r="24" spans="1:7" x14ac:dyDescent="0.2">
      <c r="A24" s="770" t="s">
        <v>2364</v>
      </c>
      <c r="B24" s="770" t="s">
        <v>2365</v>
      </c>
      <c r="C24" s="776" t="s">
        <v>2366</v>
      </c>
      <c r="D24" s="806">
        <v>106288.07428</v>
      </c>
      <c r="E24" s="806">
        <v>2263.94715</v>
      </c>
      <c r="F24" s="806">
        <v>98187.791639999996</v>
      </c>
      <c r="G24" s="806">
        <v>2156.7252000000003</v>
      </c>
    </row>
    <row r="25" spans="1:7" x14ac:dyDescent="0.2">
      <c r="A25" s="770" t="s">
        <v>2367</v>
      </c>
      <c r="B25" s="770" t="s">
        <v>2368</v>
      </c>
      <c r="C25" s="776" t="s">
        <v>2369</v>
      </c>
      <c r="D25" s="806">
        <v>7099.2828</v>
      </c>
      <c r="E25" s="806">
        <v>288.71957000000003</v>
      </c>
      <c r="F25" s="806">
        <v>7945.4475199999997</v>
      </c>
      <c r="G25" s="806">
        <v>405.84358000000003</v>
      </c>
    </row>
    <row r="26" spans="1:7" x14ac:dyDescent="0.2">
      <c r="A26" s="770" t="s">
        <v>2370</v>
      </c>
      <c r="B26" s="770" t="s">
        <v>2371</v>
      </c>
      <c r="C26" s="776" t="s">
        <v>2372</v>
      </c>
      <c r="D26" s="806">
        <v>539.27850000000001</v>
      </c>
      <c r="E26" s="806">
        <v>371.15249999999997</v>
      </c>
      <c r="F26" s="806">
        <v>509.10199999999998</v>
      </c>
      <c r="G26" s="806">
        <v>405.50099999999998</v>
      </c>
    </row>
    <row r="27" spans="1:7" x14ac:dyDescent="0.2">
      <c r="A27" s="770" t="s">
        <v>2373</v>
      </c>
      <c r="B27" s="770" t="s">
        <v>2374</v>
      </c>
      <c r="C27" s="776" t="s">
        <v>2375</v>
      </c>
      <c r="D27" s="806">
        <v>3.84</v>
      </c>
      <c r="E27" s="806">
        <v>-73.322000000000003</v>
      </c>
      <c r="F27" s="806">
        <v>3.84</v>
      </c>
      <c r="G27" s="806">
        <v>10.476000000000001</v>
      </c>
    </row>
    <row r="28" spans="1:7" x14ac:dyDescent="0.2">
      <c r="A28" s="770" t="s">
        <v>2376</v>
      </c>
      <c r="B28" s="770" t="s">
        <v>2377</v>
      </c>
      <c r="C28" s="776" t="s">
        <v>2378</v>
      </c>
      <c r="D28" s="806">
        <v>1726.83818</v>
      </c>
      <c r="E28" s="806">
        <v>187.58864000000003</v>
      </c>
      <c r="F28" s="806">
        <v>2216.38652</v>
      </c>
      <c r="G28" s="806">
        <v>229.58337</v>
      </c>
    </row>
    <row r="29" spans="1:7" x14ac:dyDescent="0.2">
      <c r="A29" s="770" t="s">
        <v>2379</v>
      </c>
      <c r="B29" s="770" t="s">
        <v>2380</v>
      </c>
      <c r="C29" s="776" t="s">
        <v>2381</v>
      </c>
      <c r="D29" s="806">
        <v>16.683419999999998</v>
      </c>
      <c r="E29" s="806"/>
      <c r="F29" s="806">
        <v>31.868020000000001</v>
      </c>
      <c r="G29" s="806"/>
    </row>
    <row r="30" spans="1:7" x14ac:dyDescent="0.2">
      <c r="A30" s="770" t="s">
        <v>2382</v>
      </c>
      <c r="B30" s="770" t="s">
        <v>2383</v>
      </c>
      <c r="C30" s="776" t="s">
        <v>2384</v>
      </c>
      <c r="D30" s="806">
        <v>1153.85682</v>
      </c>
      <c r="E30" s="806">
        <v>9.7249999999999996</v>
      </c>
      <c r="F30" s="806">
        <v>1917.9969199999998</v>
      </c>
      <c r="G30" s="806">
        <v>15.334</v>
      </c>
    </row>
    <row r="31" spans="1:7" x14ac:dyDescent="0.2">
      <c r="A31" s="770" t="s">
        <v>2385</v>
      </c>
      <c r="B31" s="770" t="s">
        <v>2386</v>
      </c>
      <c r="C31" s="776" t="s">
        <v>2387</v>
      </c>
      <c r="D31" s="806"/>
      <c r="E31" s="806"/>
      <c r="F31" s="806">
        <v>5.4870000000000001</v>
      </c>
      <c r="G31" s="806"/>
    </row>
    <row r="32" spans="1:7" x14ac:dyDescent="0.2">
      <c r="A32" s="770" t="s">
        <v>2388</v>
      </c>
      <c r="B32" s="770" t="s">
        <v>2389</v>
      </c>
      <c r="C32" s="776" t="s">
        <v>2390</v>
      </c>
      <c r="D32" s="806">
        <v>24330.026260000002</v>
      </c>
      <c r="E32" s="806">
        <v>338.92690999999996</v>
      </c>
      <c r="F32" s="806">
        <v>24364.239850000002</v>
      </c>
      <c r="G32" s="806">
        <v>361.55887000000001</v>
      </c>
    </row>
    <row r="33" spans="1:7" x14ac:dyDescent="0.2">
      <c r="A33" s="770" t="s">
        <v>2391</v>
      </c>
      <c r="B33" s="770" t="s">
        <v>2392</v>
      </c>
      <c r="C33" s="776" t="s">
        <v>2393</v>
      </c>
      <c r="D33" s="806">
        <v>5567.6016799999998</v>
      </c>
      <c r="E33" s="806">
        <v>175.55199999999999</v>
      </c>
      <c r="F33" s="806">
        <v>5209.6791399999993</v>
      </c>
      <c r="G33" s="806">
        <v>16.338809999999999</v>
      </c>
    </row>
    <row r="34" spans="1:7" x14ac:dyDescent="0.2">
      <c r="A34" s="770" t="s">
        <v>2394</v>
      </c>
      <c r="B34" s="770" t="s">
        <v>2395</v>
      </c>
      <c r="C34" s="776" t="s">
        <v>2396</v>
      </c>
      <c r="D34" s="806">
        <v>1378.71976</v>
      </c>
      <c r="E34" s="806"/>
      <c r="F34" s="806">
        <v>1033.17824</v>
      </c>
      <c r="G34" s="806"/>
    </row>
    <row r="35" spans="1:7" x14ac:dyDescent="0.2">
      <c r="A35" s="770" t="s">
        <v>2397</v>
      </c>
      <c r="B35" s="770" t="s">
        <v>2398</v>
      </c>
      <c r="C35" s="776" t="s">
        <v>2399</v>
      </c>
      <c r="D35" s="806">
        <v>630503.88619000011</v>
      </c>
      <c r="E35" s="806">
        <v>21684.506809999999</v>
      </c>
      <c r="F35" s="806">
        <v>576179.54978</v>
      </c>
      <c r="G35" s="806">
        <v>22874.864839999998</v>
      </c>
    </row>
    <row r="36" spans="1:7" x14ac:dyDescent="0.2">
      <c r="A36" s="770" t="s">
        <v>2400</v>
      </c>
      <c r="B36" s="770" t="s">
        <v>2401</v>
      </c>
      <c r="C36" s="776" t="s">
        <v>2402</v>
      </c>
      <c r="D36" s="806"/>
      <c r="E36" s="806"/>
      <c r="F36" s="806"/>
      <c r="G36" s="806"/>
    </row>
    <row r="37" spans="1:7" x14ac:dyDescent="0.2">
      <c r="A37" s="770" t="s">
        <v>2403</v>
      </c>
      <c r="B37" s="770" t="s">
        <v>2404</v>
      </c>
      <c r="C37" s="776" t="s">
        <v>2405</v>
      </c>
      <c r="D37" s="806">
        <v>992.25761999999997</v>
      </c>
      <c r="E37" s="806">
        <v>52.0017</v>
      </c>
      <c r="F37" s="806">
        <v>101.50583</v>
      </c>
      <c r="G37" s="806">
        <v>628.23059999999998</v>
      </c>
    </row>
    <row r="38" spans="1:7" x14ac:dyDescent="0.2">
      <c r="A38" s="770" t="s">
        <v>2406</v>
      </c>
      <c r="B38" s="770" t="s">
        <v>2407</v>
      </c>
      <c r="C38" s="776" t="s">
        <v>2408</v>
      </c>
      <c r="D38" s="806"/>
      <c r="E38" s="806"/>
      <c r="F38" s="806"/>
      <c r="G38" s="806"/>
    </row>
    <row r="39" spans="1:7" x14ac:dyDescent="0.2">
      <c r="A39" s="770" t="s">
        <v>2409</v>
      </c>
      <c r="B39" s="770" t="s">
        <v>2410</v>
      </c>
      <c r="C39" s="776" t="s">
        <v>2411</v>
      </c>
      <c r="D39" s="806">
        <v>-8756.723</v>
      </c>
      <c r="E39" s="806"/>
      <c r="F39" s="806">
        <v>4964.7960000000003</v>
      </c>
      <c r="G39" s="806"/>
    </row>
    <row r="40" spans="1:7" x14ac:dyDescent="0.2">
      <c r="A40" s="770" t="s">
        <v>2412</v>
      </c>
      <c r="B40" s="770" t="s">
        <v>2413</v>
      </c>
      <c r="C40" s="776" t="s">
        <v>2414</v>
      </c>
      <c r="D40" s="806">
        <v>-298.38436999999999</v>
      </c>
      <c r="E40" s="806">
        <v>-76.450879999999998</v>
      </c>
      <c r="F40" s="806">
        <v>-346.71341999999999</v>
      </c>
      <c r="G40" s="806">
        <v>-824.40724</v>
      </c>
    </row>
    <row r="41" spans="1:7" x14ac:dyDescent="0.2">
      <c r="A41" s="770" t="s">
        <v>2415</v>
      </c>
      <c r="B41" s="770" t="s">
        <v>2416</v>
      </c>
      <c r="C41" s="776" t="s">
        <v>2417</v>
      </c>
      <c r="D41" s="806">
        <v>4644.6934499999998</v>
      </c>
      <c r="E41" s="806">
        <v>102.61883</v>
      </c>
      <c r="F41" s="806">
        <v>14816.330449999999</v>
      </c>
      <c r="G41" s="806">
        <v>1009.0595999999999</v>
      </c>
    </row>
    <row r="42" spans="1:7" x14ac:dyDescent="0.2">
      <c r="A42" s="770" t="s">
        <v>2418</v>
      </c>
      <c r="B42" s="770" t="s">
        <v>2419</v>
      </c>
      <c r="C42" s="776" t="s">
        <v>2420</v>
      </c>
      <c r="D42" s="806">
        <v>178188.79033000002</v>
      </c>
      <c r="E42" s="806">
        <v>1269.81414</v>
      </c>
      <c r="F42" s="806">
        <v>195003.39937999999</v>
      </c>
      <c r="G42" s="806">
        <v>2153.3769600000001</v>
      </c>
    </row>
    <row r="43" spans="1:7" x14ac:dyDescent="0.2">
      <c r="A43" s="770" t="s">
        <v>2421</v>
      </c>
      <c r="B43" s="770" t="s">
        <v>2422</v>
      </c>
      <c r="C43" s="776" t="s">
        <v>2423</v>
      </c>
      <c r="D43" s="806">
        <v>53740.943030000002</v>
      </c>
      <c r="E43" s="806">
        <v>1127.9045100000001</v>
      </c>
      <c r="F43" s="806">
        <v>29566.87761</v>
      </c>
      <c r="G43" s="806">
        <v>1319.9381699999999</v>
      </c>
    </row>
    <row r="44" spans="1:7" x14ac:dyDescent="0.2">
      <c r="A44" s="767" t="s">
        <v>1918</v>
      </c>
      <c r="B44" s="767" t="s">
        <v>2424</v>
      </c>
      <c r="C44" s="812" t="s">
        <v>133</v>
      </c>
      <c r="D44" s="813">
        <v>2168.9651100000001</v>
      </c>
      <c r="E44" s="814">
        <v>3.1069899999999997</v>
      </c>
      <c r="F44" s="813">
        <v>8397.1928499999995</v>
      </c>
      <c r="G44" s="814">
        <v>5.4771000000000001</v>
      </c>
    </row>
    <row r="45" spans="1:7" x14ac:dyDescent="0.2">
      <c r="A45" s="770" t="s">
        <v>1920</v>
      </c>
      <c r="B45" s="770" t="s">
        <v>2425</v>
      </c>
      <c r="C45" s="776" t="s">
        <v>2426</v>
      </c>
      <c r="D45" s="806"/>
      <c r="E45" s="806"/>
      <c r="F45" s="806"/>
      <c r="G45" s="806"/>
    </row>
    <row r="46" spans="1:7" x14ac:dyDescent="0.2">
      <c r="A46" s="770" t="s">
        <v>1922</v>
      </c>
      <c r="B46" s="770" t="s">
        <v>2427</v>
      </c>
      <c r="C46" s="776" t="s">
        <v>2428</v>
      </c>
      <c r="D46" s="806">
        <v>793.23004000000003</v>
      </c>
      <c r="E46" s="806"/>
      <c r="F46" s="806">
        <v>796.03327999999999</v>
      </c>
      <c r="G46" s="806"/>
    </row>
    <row r="47" spans="1:7" x14ac:dyDescent="0.2">
      <c r="A47" s="770" t="s">
        <v>1925</v>
      </c>
      <c r="B47" s="770" t="s">
        <v>2429</v>
      </c>
      <c r="C47" s="776" t="s">
        <v>2430</v>
      </c>
      <c r="D47" s="806">
        <v>632.02454</v>
      </c>
      <c r="E47" s="806">
        <v>1.6710499999999999</v>
      </c>
      <c r="F47" s="806">
        <v>628.90767000000005</v>
      </c>
      <c r="G47" s="806">
        <v>0.31886000000000003</v>
      </c>
    </row>
    <row r="48" spans="1:7" x14ac:dyDescent="0.2">
      <c r="A48" s="770" t="s">
        <v>1928</v>
      </c>
      <c r="B48" s="770" t="s">
        <v>2431</v>
      </c>
      <c r="C48" s="776" t="s">
        <v>2432</v>
      </c>
      <c r="D48" s="806"/>
      <c r="E48" s="806">
        <v>0.1419</v>
      </c>
      <c r="F48" s="806"/>
      <c r="G48" s="806"/>
    </row>
    <row r="49" spans="1:7" x14ac:dyDescent="0.2">
      <c r="A49" s="770" t="s">
        <v>1931</v>
      </c>
      <c r="B49" s="770" t="s">
        <v>2433</v>
      </c>
      <c r="C49" s="776" t="s">
        <v>2434</v>
      </c>
      <c r="D49" s="806">
        <v>743.71053000000006</v>
      </c>
      <c r="E49" s="806">
        <v>1.2940399999999999</v>
      </c>
      <c r="F49" s="806">
        <v>6972.2519000000002</v>
      </c>
      <c r="G49" s="806">
        <v>5.1582400000000002</v>
      </c>
    </row>
    <row r="50" spans="1:7" x14ac:dyDescent="0.2">
      <c r="A50" s="767" t="s">
        <v>1952</v>
      </c>
      <c r="B50" s="767" t="s">
        <v>2435</v>
      </c>
      <c r="C50" s="812" t="s">
        <v>133</v>
      </c>
      <c r="D50" s="813">
        <v>11961.11318</v>
      </c>
      <c r="E50" s="846">
        <v>0</v>
      </c>
      <c r="F50" s="846">
        <v>85.55210000000001</v>
      </c>
      <c r="G50" s="846">
        <v>0</v>
      </c>
    </row>
    <row r="51" spans="1:7" x14ac:dyDescent="0.2">
      <c r="A51" s="770" t="s">
        <v>1954</v>
      </c>
      <c r="B51" s="770" t="s">
        <v>2436</v>
      </c>
      <c r="C51" s="776" t="s">
        <v>2437</v>
      </c>
      <c r="D51" s="806"/>
      <c r="E51" s="806"/>
      <c r="F51" s="806"/>
      <c r="G51" s="806"/>
    </row>
    <row r="52" spans="1:7" x14ac:dyDescent="0.2">
      <c r="A52" s="770" t="s">
        <v>1957</v>
      </c>
      <c r="B52" s="770" t="s">
        <v>2438</v>
      </c>
      <c r="C52" s="776" t="s">
        <v>2439</v>
      </c>
      <c r="D52" s="806">
        <v>11961.11318</v>
      </c>
      <c r="E52" s="806"/>
      <c r="F52" s="806">
        <v>85.55210000000001</v>
      </c>
      <c r="G52" s="806"/>
    </row>
    <row r="53" spans="1:7" x14ac:dyDescent="0.2">
      <c r="A53" s="767" t="s">
        <v>2440</v>
      </c>
      <c r="B53" s="767" t="s">
        <v>2074</v>
      </c>
      <c r="C53" s="812" t="s">
        <v>133</v>
      </c>
      <c r="D53" s="813">
        <v>21256.601340000001</v>
      </c>
      <c r="E53" s="814">
        <v>6634.8809600000004</v>
      </c>
      <c r="F53" s="813">
        <v>15774.34981</v>
      </c>
      <c r="G53" s="814">
        <v>5612.0452100000002</v>
      </c>
    </row>
    <row r="54" spans="1:7" x14ac:dyDescent="0.2">
      <c r="A54" s="770" t="s">
        <v>2441</v>
      </c>
      <c r="B54" s="770" t="s">
        <v>2074</v>
      </c>
      <c r="C54" s="776" t="s">
        <v>2442</v>
      </c>
      <c r="D54" s="806">
        <v>21074.581340000001</v>
      </c>
      <c r="E54" s="806">
        <v>6634.8809600000004</v>
      </c>
      <c r="F54" s="806">
        <v>15765.01981</v>
      </c>
      <c r="G54" s="806">
        <v>5612.0452100000002</v>
      </c>
    </row>
    <row r="55" spans="1:7" x14ac:dyDescent="0.2">
      <c r="A55" s="770" t="s">
        <v>2443</v>
      </c>
      <c r="B55" s="770" t="s">
        <v>2444</v>
      </c>
      <c r="C55" s="776" t="s">
        <v>2445</v>
      </c>
      <c r="D55" s="806">
        <v>182.02</v>
      </c>
      <c r="E55" s="806"/>
      <c r="F55" s="806">
        <v>9.33</v>
      </c>
      <c r="G55" s="806"/>
    </row>
    <row r="56" spans="1:7" x14ac:dyDescent="0.2">
      <c r="A56" s="767" t="s">
        <v>2001</v>
      </c>
      <c r="B56" s="767" t="s">
        <v>2446</v>
      </c>
      <c r="C56" s="812" t="s">
        <v>133</v>
      </c>
      <c r="D56" s="813">
        <v>12059586.74797</v>
      </c>
      <c r="E56" s="814">
        <v>387232.83551</v>
      </c>
      <c r="F56" s="813">
        <v>11359819.56543</v>
      </c>
      <c r="G56" s="814">
        <v>554282.63046000001</v>
      </c>
    </row>
    <row r="57" spans="1:7" x14ac:dyDescent="0.2">
      <c r="A57" s="767" t="s">
        <v>2003</v>
      </c>
      <c r="B57" s="767" t="s">
        <v>2447</v>
      </c>
      <c r="C57" s="812" t="s">
        <v>133</v>
      </c>
      <c r="D57" s="813">
        <v>5767131.9945499999</v>
      </c>
      <c r="E57" s="814">
        <v>383336.43492999999</v>
      </c>
      <c r="F57" s="813">
        <v>5421892.5092600007</v>
      </c>
      <c r="G57" s="814">
        <v>538817.18162000005</v>
      </c>
    </row>
    <row r="58" spans="1:7" x14ac:dyDescent="0.2">
      <c r="A58" s="770" t="s">
        <v>2005</v>
      </c>
      <c r="B58" s="770" t="s">
        <v>2448</v>
      </c>
      <c r="C58" s="776" t="s">
        <v>2449</v>
      </c>
      <c r="D58" s="806">
        <v>16933.180170000003</v>
      </c>
      <c r="E58" s="806">
        <v>23652.386010000002</v>
      </c>
      <c r="F58" s="806">
        <v>17598.054059999999</v>
      </c>
      <c r="G58" s="806">
        <v>27252.431499999999</v>
      </c>
    </row>
    <row r="59" spans="1:7" x14ac:dyDescent="0.2">
      <c r="A59" s="770" t="s">
        <v>2008</v>
      </c>
      <c r="B59" s="770" t="s">
        <v>2450</v>
      </c>
      <c r="C59" s="776" t="s">
        <v>2451</v>
      </c>
      <c r="D59" s="806">
        <v>4986706.9343699999</v>
      </c>
      <c r="E59" s="806">
        <v>267850.46859</v>
      </c>
      <c r="F59" s="806">
        <v>4877467.6955200005</v>
      </c>
      <c r="G59" s="806">
        <v>257434.05137999999</v>
      </c>
    </row>
    <row r="60" spans="1:7" x14ac:dyDescent="0.2">
      <c r="A60" s="770" t="s">
        <v>2011</v>
      </c>
      <c r="B60" s="770" t="s">
        <v>2452</v>
      </c>
      <c r="C60" s="776" t="s">
        <v>2453</v>
      </c>
      <c r="D60" s="806">
        <v>8873.8735299999989</v>
      </c>
      <c r="E60" s="806">
        <v>60623.78024</v>
      </c>
      <c r="F60" s="806">
        <v>8832.0493399999996</v>
      </c>
      <c r="G60" s="806">
        <v>57188.954740000001</v>
      </c>
    </row>
    <row r="61" spans="1:7" x14ac:dyDescent="0.2">
      <c r="A61" s="770" t="s">
        <v>2014</v>
      </c>
      <c r="B61" s="770" t="s">
        <v>2454</v>
      </c>
      <c r="C61" s="776" t="s">
        <v>2455</v>
      </c>
      <c r="D61" s="806">
        <v>496559.34243000002</v>
      </c>
      <c r="E61" s="806">
        <v>19276.987789999999</v>
      </c>
      <c r="F61" s="806">
        <v>312084.81770000001</v>
      </c>
      <c r="G61" s="806">
        <v>183659.73258000001</v>
      </c>
    </row>
    <row r="62" spans="1:7" x14ac:dyDescent="0.2">
      <c r="A62" s="770" t="s">
        <v>2026</v>
      </c>
      <c r="B62" s="770" t="s">
        <v>2456</v>
      </c>
      <c r="C62" s="776" t="s">
        <v>2457</v>
      </c>
      <c r="D62" s="806">
        <v>863.80320999999992</v>
      </c>
      <c r="E62" s="806">
        <v>230.41077999999999</v>
      </c>
      <c r="F62" s="806">
        <v>833.44736</v>
      </c>
      <c r="G62" s="806">
        <v>161.39073000000002</v>
      </c>
    </row>
    <row r="63" spans="1:7" x14ac:dyDescent="0.2">
      <c r="A63" s="770" t="s">
        <v>2029</v>
      </c>
      <c r="B63" s="770" t="s">
        <v>2380</v>
      </c>
      <c r="C63" s="776" t="s">
        <v>2458</v>
      </c>
      <c r="D63" s="806">
        <v>1006.64498</v>
      </c>
      <c r="E63" s="806">
        <v>51.877690000000001</v>
      </c>
      <c r="F63" s="806">
        <v>764.82773999999995</v>
      </c>
      <c r="G63" s="806">
        <v>62.222160000000002</v>
      </c>
    </row>
    <row r="64" spans="1:7" x14ac:dyDescent="0.2">
      <c r="A64" s="770" t="s">
        <v>2032</v>
      </c>
      <c r="B64" s="770" t="s">
        <v>2383</v>
      </c>
      <c r="C64" s="776" t="s">
        <v>2459</v>
      </c>
      <c r="D64" s="806">
        <v>27.649000000000001</v>
      </c>
      <c r="E64" s="806">
        <v>6.0442299999999998</v>
      </c>
      <c r="F64" s="806">
        <v>140.56700000000001</v>
      </c>
      <c r="G64" s="806">
        <v>12.9253</v>
      </c>
    </row>
    <row r="65" spans="1:7" x14ac:dyDescent="0.2">
      <c r="A65" s="770" t="s">
        <v>2460</v>
      </c>
      <c r="B65" s="770" t="s">
        <v>2461</v>
      </c>
      <c r="C65" s="776" t="s">
        <v>2462</v>
      </c>
      <c r="D65" s="806">
        <v>76.602289999999996</v>
      </c>
      <c r="E65" s="806">
        <v>4.05</v>
      </c>
      <c r="F65" s="806">
        <v>126.51548</v>
      </c>
      <c r="G65" s="806"/>
    </row>
    <row r="66" spans="1:7" x14ac:dyDescent="0.2">
      <c r="A66" s="770" t="s">
        <v>2463</v>
      </c>
      <c r="B66" s="770" t="s">
        <v>2464</v>
      </c>
      <c r="C66" s="776" t="s">
        <v>2465</v>
      </c>
      <c r="D66" s="806">
        <v>40520.603770000002</v>
      </c>
      <c r="E66" s="806">
        <v>581.36318000000006</v>
      </c>
      <c r="F66" s="806">
        <v>36529.708909999994</v>
      </c>
      <c r="G66" s="806">
        <v>523.44805999999994</v>
      </c>
    </row>
    <row r="67" spans="1:7" x14ac:dyDescent="0.2">
      <c r="A67" s="770" t="s">
        <v>2466</v>
      </c>
      <c r="B67" s="770" t="s">
        <v>2467</v>
      </c>
      <c r="C67" s="776" t="s">
        <v>2468</v>
      </c>
      <c r="D67" s="806"/>
      <c r="E67" s="806"/>
      <c r="F67" s="806"/>
      <c r="G67" s="806"/>
    </row>
    <row r="68" spans="1:7" x14ac:dyDescent="0.2">
      <c r="A68" s="770" t="s">
        <v>2469</v>
      </c>
      <c r="B68" s="770" t="s">
        <v>2470</v>
      </c>
      <c r="C68" s="776" t="s">
        <v>2471</v>
      </c>
      <c r="D68" s="806">
        <v>5983.5472399999999</v>
      </c>
      <c r="E68" s="806">
        <v>90.235900000000001</v>
      </c>
      <c r="F68" s="806">
        <v>1698.3574699999999</v>
      </c>
      <c r="G68" s="806">
        <v>779.58399999999995</v>
      </c>
    </row>
    <row r="69" spans="1:7" x14ac:dyDescent="0.2">
      <c r="A69" s="770" t="s">
        <v>2472</v>
      </c>
      <c r="B69" s="770" t="s">
        <v>2473</v>
      </c>
      <c r="C69" s="776" t="s">
        <v>2474</v>
      </c>
      <c r="D69" s="806">
        <v>9.7210000000000001</v>
      </c>
      <c r="E69" s="806"/>
      <c r="F69" s="806"/>
      <c r="G69" s="806"/>
    </row>
    <row r="70" spans="1:7" x14ac:dyDescent="0.2">
      <c r="A70" s="770" t="s">
        <v>2475</v>
      </c>
      <c r="B70" s="770" t="s">
        <v>2476</v>
      </c>
      <c r="C70" s="776" t="s">
        <v>2477</v>
      </c>
      <c r="D70" s="806">
        <v>114964.78010999999</v>
      </c>
      <c r="E70" s="806">
        <v>441.73440999999997</v>
      </c>
      <c r="F70" s="806">
        <v>89057.417849999998</v>
      </c>
      <c r="G70" s="806">
        <v>1443.3918799999999</v>
      </c>
    </row>
    <row r="71" spans="1:7" x14ac:dyDescent="0.2">
      <c r="A71" s="770" t="s">
        <v>2478</v>
      </c>
      <c r="B71" s="770" t="s">
        <v>2479</v>
      </c>
      <c r="C71" s="776" t="s">
        <v>2480</v>
      </c>
      <c r="D71" s="806">
        <v>94605.312449999998</v>
      </c>
      <c r="E71" s="806">
        <v>10527.096109999999</v>
      </c>
      <c r="F71" s="806">
        <v>76759.050829999993</v>
      </c>
      <c r="G71" s="806">
        <v>10299.049289999999</v>
      </c>
    </row>
    <row r="72" spans="1:7" x14ac:dyDescent="0.2">
      <c r="A72" s="767" t="s">
        <v>2035</v>
      </c>
      <c r="B72" s="767" t="s">
        <v>2481</v>
      </c>
      <c r="C72" s="812" t="s">
        <v>133</v>
      </c>
      <c r="D72" s="813">
        <v>67831.485220000002</v>
      </c>
      <c r="E72" s="814">
        <v>51.98357</v>
      </c>
      <c r="F72" s="813">
        <v>65790.507509999996</v>
      </c>
      <c r="G72" s="814">
        <v>9123.0580800000007</v>
      </c>
    </row>
    <row r="73" spans="1:7" x14ac:dyDescent="0.2">
      <c r="A73" s="770" t="s">
        <v>2037</v>
      </c>
      <c r="B73" s="770" t="s">
        <v>2482</v>
      </c>
      <c r="C73" s="776" t="s">
        <v>2483</v>
      </c>
      <c r="D73" s="806"/>
      <c r="E73" s="806"/>
      <c r="F73" s="806"/>
      <c r="G73" s="806"/>
    </row>
    <row r="74" spans="1:7" x14ac:dyDescent="0.2">
      <c r="A74" s="770" t="s">
        <v>2040</v>
      </c>
      <c r="B74" s="770" t="s">
        <v>2427</v>
      </c>
      <c r="C74" s="776" t="s">
        <v>2484</v>
      </c>
      <c r="D74" s="806">
        <v>3320.2287500000002</v>
      </c>
      <c r="E74" s="806">
        <v>7.5385400000000002</v>
      </c>
      <c r="F74" s="806">
        <v>7173.7982199999997</v>
      </c>
      <c r="G74" s="806">
        <v>7.4293800000000001</v>
      </c>
    </row>
    <row r="75" spans="1:7" x14ac:dyDescent="0.2">
      <c r="A75" s="770" t="s">
        <v>2043</v>
      </c>
      <c r="B75" s="770" t="s">
        <v>2485</v>
      </c>
      <c r="C75" s="776" t="s">
        <v>2486</v>
      </c>
      <c r="D75" s="806">
        <v>168.11169000000001</v>
      </c>
      <c r="E75" s="806">
        <v>1.0637699999999999</v>
      </c>
      <c r="F75" s="806">
        <v>501.95532000000003</v>
      </c>
      <c r="G75" s="806">
        <v>1.8449599999999999</v>
      </c>
    </row>
    <row r="76" spans="1:7" x14ac:dyDescent="0.2">
      <c r="A76" s="770" t="s">
        <v>2046</v>
      </c>
      <c r="B76" s="770" t="s">
        <v>2487</v>
      </c>
      <c r="C76" s="776" t="s">
        <v>2488</v>
      </c>
      <c r="D76" s="806">
        <v>29</v>
      </c>
      <c r="E76" s="806"/>
      <c r="F76" s="806"/>
      <c r="G76" s="806"/>
    </row>
    <row r="77" spans="1:7" x14ac:dyDescent="0.2">
      <c r="A77" s="770" t="s">
        <v>2052</v>
      </c>
      <c r="B77" s="770" t="s">
        <v>2489</v>
      </c>
      <c r="C77" s="776" t="s">
        <v>2490</v>
      </c>
      <c r="D77" s="806">
        <v>64314.144780000002</v>
      </c>
      <c r="E77" s="806">
        <v>43.381260000000005</v>
      </c>
      <c r="F77" s="806">
        <v>58114.753969999998</v>
      </c>
      <c r="G77" s="806">
        <v>9113.7837400000008</v>
      </c>
    </row>
    <row r="78" spans="1:7" x14ac:dyDescent="0.2">
      <c r="A78" s="767" t="s">
        <v>2491</v>
      </c>
      <c r="B78" s="767" t="s">
        <v>2492</v>
      </c>
      <c r="C78" s="812" t="s">
        <v>133</v>
      </c>
      <c r="D78" s="813">
        <v>6224623.2681999998</v>
      </c>
      <c r="E78" s="814">
        <v>3844.4170099999997</v>
      </c>
      <c r="F78" s="813">
        <v>5872136.5486599999</v>
      </c>
      <c r="G78" s="814">
        <v>6342.3907600000002</v>
      </c>
    </row>
    <row r="79" spans="1:7" x14ac:dyDescent="0.2">
      <c r="A79" s="770" t="s">
        <v>2493</v>
      </c>
      <c r="B79" s="770" t="s">
        <v>2494</v>
      </c>
      <c r="C79" s="776" t="s">
        <v>2495</v>
      </c>
      <c r="D79" s="806"/>
      <c r="E79" s="806"/>
      <c r="F79" s="806"/>
      <c r="G79" s="806"/>
    </row>
    <row r="80" spans="1:7" x14ac:dyDescent="0.2">
      <c r="A80" s="770" t="s">
        <v>2496</v>
      </c>
      <c r="B80" s="770" t="s">
        <v>2497</v>
      </c>
      <c r="C80" s="776" t="s">
        <v>2498</v>
      </c>
      <c r="D80" s="806">
        <v>6224623.2681999998</v>
      </c>
      <c r="E80" s="806">
        <v>3844.4170099999997</v>
      </c>
      <c r="F80" s="806">
        <v>5872136.5486599999</v>
      </c>
      <c r="G80" s="806">
        <v>6342.3907600000002</v>
      </c>
    </row>
    <row r="81" spans="1:7" x14ac:dyDescent="0.2">
      <c r="A81" s="767" t="s">
        <v>2159</v>
      </c>
      <c r="B81" s="767" t="s">
        <v>2499</v>
      </c>
      <c r="C81" s="812" t="s">
        <v>133</v>
      </c>
      <c r="D81" s="813"/>
      <c r="E81" s="813"/>
      <c r="F81" s="813"/>
      <c r="G81" s="813"/>
    </row>
    <row r="82" spans="1:7" x14ac:dyDescent="0.2">
      <c r="A82" s="767" t="s">
        <v>2500</v>
      </c>
      <c r="B82" s="767" t="s">
        <v>2501</v>
      </c>
      <c r="C82" s="812" t="s">
        <v>133</v>
      </c>
      <c r="D82" s="813">
        <v>-48331.405719999995</v>
      </c>
      <c r="E82" s="814">
        <v>69711.277409999995</v>
      </c>
      <c r="F82" s="813">
        <v>-18749.490409999999</v>
      </c>
      <c r="G82" s="814">
        <v>89016.270540000012</v>
      </c>
    </row>
    <row r="83" spans="1:7" x14ac:dyDescent="0.2">
      <c r="A83" s="767" t="s">
        <v>2502</v>
      </c>
      <c r="B83" s="767" t="s">
        <v>2204</v>
      </c>
      <c r="C83" s="812" t="s">
        <v>133</v>
      </c>
      <c r="D83" s="813">
        <v>-69588.007060000004</v>
      </c>
      <c r="E83" s="814">
        <v>63076.39645</v>
      </c>
      <c r="F83" s="813">
        <v>-34523.840219999998</v>
      </c>
      <c r="G83" s="814">
        <v>83404.225330000001</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462" orientation="portrait" useFirstPageNumber="1" r:id="rId1"/>
  <headerFooter alignWithMargins="0">
    <oddHeader>&amp;L&amp;"Tahoma,Kurzíva"Závěrečný účet za rok 2015&amp;R&amp;"Tahoma,Kurzíva"Tabulka č. 33</oddHeader>
    <oddFooter>&amp;C&amp;"Tahoma,Obyčejné"&amp;P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7"/>
  <sheetViews>
    <sheetView showGridLines="0" zoomScaleNormal="100" zoomScaleSheetLayoutView="100" workbookViewId="0">
      <selection activeCell="I5" sqref="I5"/>
    </sheetView>
  </sheetViews>
  <sheetFormatPr defaultRowHeight="12.75" x14ac:dyDescent="0.2"/>
  <cols>
    <col min="1" max="1" width="7" style="836" customWidth="1"/>
    <col min="2" max="2" width="42.85546875" style="764" customWidth="1"/>
    <col min="3" max="3" width="8.7109375" style="835" customWidth="1"/>
    <col min="4" max="7" width="13.85546875" style="799" customWidth="1"/>
    <col min="8" max="8" width="9.140625" style="764" customWidth="1"/>
    <col min="9" max="16384" width="9.140625" style="764"/>
  </cols>
  <sheetData>
    <row r="1" spans="1:7" s="784" customFormat="1" ht="18" customHeight="1" x14ac:dyDescent="0.2">
      <c r="A1" s="1493" t="s">
        <v>1874</v>
      </c>
      <c r="B1" s="1493"/>
      <c r="C1" s="1493"/>
      <c r="D1" s="1493"/>
      <c r="E1" s="1493"/>
      <c r="F1" s="1493"/>
      <c r="G1" s="1493"/>
    </row>
    <row r="2" spans="1:7" s="784" customFormat="1" ht="18" customHeight="1" x14ac:dyDescent="0.2">
      <c r="A2" s="1494" t="s">
        <v>2503</v>
      </c>
      <c r="B2" s="1494"/>
      <c r="C2" s="1494"/>
      <c r="D2" s="1494"/>
      <c r="E2" s="1494"/>
      <c r="F2" s="1494"/>
      <c r="G2" s="1494"/>
    </row>
    <row r="3" spans="1:7" s="648" customFormat="1" x14ac:dyDescent="0.2">
      <c r="C3" s="546"/>
      <c r="D3" s="760"/>
      <c r="E3" s="760"/>
      <c r="F3" s="760"/>
      <c r="G3" s="760"/>
    </row>
    <row r="4" spans="1:7" x14ac:dyDescent="0.2">
      <c r="A4" s="761"/>
      <c r="B4" s="761"/>
      <c r="C4" s="762"/>
      <c r="D4" s="763">
        <v>1</v>
      </c>
      <c r="E4" s="763">
        <v>2</v>
      </c>
      <c r="F4" s="763">
        <v>3</v>
      </c>
      <c r="G4" s="763">
        <v>4</v>
      </c>
    </row>
    <row r="5" spans="1:7" s="825" customFormat="1" ht="12.75" customHeight="1" x14ac:dyDescent="0.2">
      <c r="A5" s="1495" t="s">
        <v>1876</v>
      </c>
      <c r="B5" s="1496"/>
      <c r="C5" s="1501" t="s">
        <v>1877</v>
      </c>
      <c r="D5" s="1506" t="s">
        <v>1878</v>
      </c>
      <c r="E5" s="1507"/>
      <c r="F5" s="1507"/>
      <c r="G5" s="1508"/>
    </row>
    <row r="6" spans="1:7" s="765" customFormat="1" x14ac:dyDescent="0.2">
      <c r="A6" s="1497"/>
      <c r="B6" s="1498"/>
      <c r="C6" s="1502"/>
      <c r="D6" s="1509" t="s">
        <v>1879</v>
      </c>
      <c r="E6" s="1510"/>
      <c r="F6" s="1511"/>
      <c r="G6" s="1512" t="s">
        <v>1880</v>
      </c>
    </row>
    <row r="7" spans="1:7" s="765" customFormat="1" x14ac:dyDescent="0.2">
      <c r="A7" s="1499"/>
      <c r="B7" s="1500"/>
      <c r="C7" s="1514"/>
      <c r="D7" s="803" t="s">
        <v>1881</v>
      </c>
      <c r="E7" s="803" t="s">
        <v>1882</v>
      </c>
      <c r="F7" s="803" t="s">
        <v>1883</v>
      </c>
      <c r="G7" s="1516"/>
    </row>
    <row r="8" spans="1:7" s="765" customFormat="1" x14ac:dyDescent="0.2">
      <c r="A8" s="804"/>
      <c r="B8" s="804" t="s">
        <v>1884</v>
      </c>
      <c r="C8" s="805" t="s">
        <v>133</v>
      </c>
      <c r="D8" s="769">
        <v>23506760.452290002</v>
      </c>
      <c r="E8" s="769">
        <v>2402069.2922399999</v>
      </c>
      <c r="F8" s="769">
        <v>21104691.160050001</v>
      </c>
      <c r="G8" s="769">
        <v>19622850.25048</v>
      </c>
    </row>
    <row r="9" spans="1:7" s="826" customFormat="1" x14ac:dyDescent="0.2">
      <c r="A9" s="804" t="s">
        <v>1885</v>
      </c>
      <c r="B9" s="804" t="s">
        <v>1886</v>
      </c>
      <c r="C9" s="805" t="s">
        <v>133</v>
      </c>
      <c r="D9" s="769">
        <v>23190907.808049999</v>
      </c>
      <c r="E9" s="769">
        <v>2402029.8458400001</v>
      </c>
      <c r="F9" s="769">
        <v>20788877.96221</v>
      </c>
      <c r="G9" s="769">
        <v>19301607.990189999</v>
      </c>
    </row>
    <row r="10" spans="1:7" s="826" customFormat="1" x14ac:dyDescent="0.2">
      <c r="A10" s="804" t="s">
        <v>1887</v>
      </c>
      <c r="B10" s="804" t="s">
        <v>1888</v>
      </c>
      <c r="C10" s="805" t="s">
        <v>133</v>
      </c>
      <c r="D10" s="769">
        <v>9115.4193200000009</v>
      </c>
      <c r="E10" s="769">
        <v>8480.0233200000002</v>
      </c>
      <c r="F10" s="769">
        <v>635.39599999999996</v>
      </c>
      <c r="G10" s="769">
        <v>474.202</v>
      </c>
    </row>
    <row r="11" spans="1:7" s="648" customFormat="1" x14ac:dyDescent="0.2">
      <c r="A11" s="770" t="s">
        <v>1889</v>
      </c>
      <c r="B11" s="770" t="s">
        <v>1890</v>
      </c>
      <c r="C11" s="776" t="s">
        <v>1891</v>
      </c>
      <c r="D11" s="772"/>
      <c r="E11" s="772"/>
      <c r="F11" s="772"/>
      <c r="G11" s="772"/>
    </row>
    <row r="12" spans="1:7" s="648" customFormat="1" x14ac:dyDescent="0.2">
      <c r="A12" s="770" t="s">
        <v>1892</v>
      </c>
      <c r="B12" s="770" t="s">
        <v>1893</v>
      </c>
      <c r="C12" s="776" t="s">
        <v>1894</v>
      </c>
      <c r="D12" s="773">
        <v>234.11920000000001</v>
      </c>
      <c r="E12" s="773">
        <v>234.11920000000001</v>
      </c>
      <c r="F12" s="773"/>
      <c r="G12" s="773"/>
    </row>
    <row r="13" spans="1:7" s="648" customFormat="1" x14ac:dyDescent="0.2">
      <c r="A13" s="770" t="s">
        <v>1895</v>
      </c>
      <c r="B13" s="770" t="s">
        <v>320</v>
      </c>
      <c r="C13" s="776" t="s">
        <v>1896</v>
      </c>
      <c r="D13" s="774">
        <v>0</v>
      </c>
      <c r="E13" s="774">
        <v>0</v>
      </c>
      <c r="F13" s="774">
        <v>0</v>
      </c>
      <c r="G13" s="774">
        <v>0</v>
      </c>
    </row>
    <row r="14" spans="1:7" s="648" customFormat="1" x14ac:dyDescent="0.2">
      <c r="A14" s="770" t="s">
        <v>1897</v>
      </c>
      <c r="B14" s="770" t="s">
        <v>1898</v>
      </c>
      <c r="C14" s="776" t="s">
        <v>1899</v>
      </c>
      <c r="D14" s="774">
        <v>0</v>
      </c>
      <c r="E14" s="774">
        <v>0</v>
      </c>
      <c r="F14" s="774">
        <v>0</v>
      </c>
      <c r="G14" s="774">
        <v>0</v>
      </c>
    </row>
    <row r="15" spans="1:7" s="648" customFormat="1" x14ac:dyDescent="0.2">
      <c r="A15" s="770" t="s">
        <v>1900</v>
      </c>
      <c r="B15" s="770" t="s">
        <v>1901</v>
      </c>
      <c r="C15" s="776" t="s">
        <v>1902</v>
      </c>
      <c r="D15" s="774">
        <v>4159.1696199999997</v>
      </c>
      <c r="E15" s="774">
        <v>4159.1696199999997</v>
      </c>
      <c r="F15" s="774">
        <v>0</v>
      </c>
      <c r="G15" s="774">
        <v>0</v>
      </c>
    </row>
    <row r="16" spans="1:7" s="648" customFormat="1" x14ac:dyDescent="0.2">
      <c r="A16" s="770" t="s">
        <v>1903</v>
      </c>
      <c r="B16" s="770" t="s">
        <v>1904</v>
      </c>
      <c r="C16" s="776" t="s">
        <v>1905</v>
      </c>
      <c r="D16" s="773">
        <v>4722.1305000000002</v>
      </c>
      <c r="E16" s="773">
        <v>4086.7345</v>
      </c>
      <c r="F16" s="773">
        <v>635.39599999999996</v>
      </c>
      <c r="G16" s="773">
        <v>474.202</v>
      </c>
    </row>
    <row r="17" spans="1:7" s="648" customFormat="1" x14ac:dyDescent="0.2">
      <c r="A17" s="770" t="s">
        <v>1906</v>
      </c>
      <c r="B17" s="770" t="s">
        <v>1907</v>
      </c>
      <c r="C17" s="776" t="s">
        <v>1908</v>
      </c>
      <c r="D17" s="773"/>
      <c r="E17" s="773"/>
      <c r="F17" s="773"/>
      <c r="G17" s="773"/>
    </row>
    <row r="18" spans="1:7" s="648" customFormat="1" ht="21" x14ac:dyDescent="0.2">
      <c r="A18" s="770" t="s">
        <v>1909</v>
      </c>
      <c r="B18" s="770" t="s">
        <v>1910</v>
      </c>
      <c r="C18" s="776" t="s">
        <v>1911</v>
      </c>
      <c r="D18" s="774">
        <v>0</v>
      </c>
      <c r="E18" s="774">
        <v>0</v>
      </c>
      <c r="F18" s="774">
        <v>0</v>
      </c>
      <c r="G18" s="774">
        <v>0</v>
      </c>
    </row>
    <row r="19" spans="1:7" s="648" customFormat="1" x14ac:dyDescent="0.2">
      <c r="A19" s="770" t="s">
        <v>1912</v>
      </c>
      <c r="B19" s="770" t="s">
        <v>1913</v>
      </c>
      <c r="C19" s="776" t="s">
        <v>1914</v>
      </c>
      <c r="D19" s="774">
        <v>0</v>
      </c>
      <c r="E19" s="773"/>
      <c r="F19" s="774"/>
      <c r="G19" s="773"/>
    </row>
    <row r="20" spans="1:7" s="648" customFormat="1" x14ac:dyDescent="0.2">
      <c r="A20" s="770" t="s">
        <v>1915</v>
      </c>
      <c r="B20" s="770" t="s">
        <v>1916</v>
      </c>
      <c r="C20" s="776" t="s">
        <v>1917</v>
      </c>
      <c r="D20" s="774">
        <v>0</v>
      </c>
      <c r="E20" s="773"/>
      <c r="F20" s="774"/>
      <c r="G20" s="773"/>
    </row>
    <row r="21" spans="1:7" s="826" customFormat="1" x14ac:dyDescent="0.2">
      <c r="A21" s="804" t="s">
        <v>1918</v>
      </c>
      <c r="B21" s="804" t="s">
        <v>1919</v>
      </c>
      <c r="C21" s="805" t="s">
        <v>133</v>
      </c>
      <c r="D21" s="769">
        <v>23181279.498520002</v>
      </c>
      <c r="E21" s="769">
        <v>2393549.8225199999</v>
      </c>
      <c r="F21" s="769">
        <v>20787729.675999999</v>
      </c>
      <c r="G21" s="769">
        <v>19300589.281240001</v>
      </c>
    </row>
    <row r="22" spans="1:7" s="648" customFormat="1" x14ac:dyDescent="0.2">
      <c r="A22" s="770" t="s">
        <v>1920</v>
      </c>
      <c r="B22" s="770" t="s">
        <v>264</v>
      </c>
      <c r="C22" s="776" t="s">
        <v>1921</v>
      </c>
      <c r="D22" s="773">
        <v>3758817.2689499999</v>
      </c>
      <c r="E22" s="773"/>
      <c r="F22" s="773">
        <v>3758817.2689499999</v>
      </c>
      <c r="G22" s="773">
        <v>3768205.73337</v>
      </c>
    </row>
    <row r="23" spans="1:7" s="648" customFormat="1" x14ac:dyDescent="0.2">
      <c r="A23" s="770" t="s">
        <v>1922</v>
      </c>
      <c r="B23" s="770" t="s">
        <v>1923</v>
      </c>
      <c r="C23" s="776" t="s">
        <v>1924</v>
      </c>
      <c r="D23" s="773"/>
      <c r="E23" s="773"/>
      <c r="F23" s="773"/>
      <c r="G23" s="773"/>
    </row>
    <row r="24" spans="1:7" s="648" customFormat="1" x14ac:dyDescent="0.2">
      <c r="A24" s="770" t="s">
        <v>1925</v>
      </c>
      <c r="B24" s="770" t="s">
        <v>1926</v>
      </c>
      <c r="C24" s="776" t="s">
        <v>1927</v>
      </c>
      <c r="D24" s="773">
        <v>17943415.690389998</v>
      </c>
      <c r="E24" s="773">
        <v>1493735.8666300001</v>
      </c>
      <c r="F24" s="773">
        <v>16449679.823760001</v>
      </c>
      <c r="G24" s="773">
        <v>15028662.15849</v>
      </c>
    </row>
    <row r="25" spans="1:7" s="648" customFormat="1" ht="21" x14ac:dyDescent="0.2">
      <c r="A25" s="770" t="s">
        <v>1928</v>
      </c>
      <c r="B25" s="770" t="s">
        <v>1929</v>
      </c>
      <c r="C25" s="776" t="s">
        <v>1930</v>
      </c>
      <c r="D25" s="773">
        <v>1045063.48451</v>
      </c>
      <c r="E25" s="773">
        <v>855568.85378</v>
      </c>
      <c r="F25" s="773">
        <v>189494.63072999998</v>
      </c>
      <c r="G25" s="773">
        <v>188874.22059000001</v>
      </c>
    </row>
    <row r="26" spans="1:7" s="648" customFormat="1" x14ac:dyDescent="0.2">
      <c r="A26" s="770" t="s">
        <v>1931</v>
      </c>
      <c r="B26" s="770" t="s">
        <v>1932</v>
      </c>
      <c r="C26" s="776" t="s">
        <v>1933</v>
      </c>
      <c r="D26" s="773"/>
      <c r="E26" s="773"/>
      <c r="F26" s="773"/>
      <c r="G26" s="773"/>
    </row>
    <row r="27" spans="1:7" s="648" customFormat="1" x14ac:dyDescent="0.2">
      <c r="A27" s="770" t="s">
        <v>1934</v>
      </c>
      <c r="B27" s="770" t="s">
        <v>1935</v>
      </c>
      <c r="C27" s="776" t="s">
        <v>1936</v>
      </c>
      <c r="D27" s="773">
        <v>44245.10211</v>
      </c>
      <c r="E27" s="774">
        <v>44245.10211</v>
      </c>
      <c r="F27" s="773"/>
      <c r="G27" s="774">
        <v>0</v>
      </c>
    </row>
    <row r="28" spans="1:7" s="648" customFormat="1" x14ac:dyDescent="0.2">
      <c r="A28" s="770" t="s">
        <v>1937</v>
      </c>
      <c r="B28" s="770" t="s">
        <v>1938</v>
      </c>
      <c r="C28" s="776" t="s">
        <v>1939</v>
      </c>
      <c r="D28" s="773"/>
      <c r="E28" s="773"/>
      <c r="F28" s="773"/>
      <c r="G28" s="773"/>
    </row>
    <row r="29" spans="1:7" s="648" customFormat="1" x14ac:dyDescent="0.2">
      <c r="A29" s="770" t="s">
        <v>1940</v>
      </c>
      <c r="B29" s="770" t="s">
        <v>1941</v>
      </c>
      <c r="C29" s="776" t="s">
        <v>1942</v>
      </c>
      <c r="D29" s="773">
        <v>389189.08455999999</v>
      </c>
      <c r="E29" s="773"/>
      <c r="F29" s="773">
        <v>389189.08455999999</v>
      </c>
      <c r="G29" s="773">
        <v>314127.83929000003</v>
      </c>
    </row>
    <row r="30" spans="1:7" s="648" customFormat="1" ht="21" x14ac:dyDescent="0.2">
      <c r="A30" s="770" t="s">
        <v>1943</v>
      </c>
      <c r="B30" s="770" t="s">
        <v>1944</v>
      </c>
      <c r="C30" s="776" t="s">
        <v>1945</v>
      </c>
      <c r="D30" s="774">
        <v>0</v>
      </c>
      <c r="E30" s="773"/>
      <c r="F30" s="774">
        <v>0</v>
      </c>
      <c r="G30" s="773"/>
    </row>
    <row r="31" spans="1:7" s="648" customFormat="1" x14ac:dyDescent="0.2">
      <c r="A31" s="770" t="s">
        <v>1946</v>
      </c>
      <c r="B31" s="770" t="s">
        <v>1947</v>
      </c>
      <c r="C31" s="776" t="s">
        <v>1948</v>
      </c>
      <c r="D31" s="773">
        <v>548.86800000000005</v>
      </c>
      <c r="E31" s="773"/>
      <c r="F31" s="773">
        <v>548.86800000000005</v>
      </c>
      <c r="G31" s="773">
        <v>719.32950000000005</v>
      </c>
    </row>
    <row r="32" spans="1:7" s="648" customFormat="1" x14ac:dyDescent="0.2">
      <c r="A32" s="770" t="s">
        <v>1949</v>
      </c>
      <c r="B32" s="770" t="s">
        <v>1950</v>
      </c>
      <c r="C32" s="776" t="s">
        <v>1951</v>
      </c>
      <c r="D32" s="773"/>
      <c r="E32" s="773"/>
      <c r="F32" s="773"/>
      <c r="G32" s="773"/>
    </row>
    <row r="33" spans="1:7" s="826" customFormat="1" x14ac:dyDescent="0.2">
      <c r="A33" s="804" t="s">
        <v>1952</v>
      </c>
      <c r="B33" s="804" t="s">
        <v>1953</v>
      </c>
      <c r="C33" s="805" t="s">
        <v>133</v>
      </c>
      <c r="D33" s="769">
        <v>0</v>
      </c>
      <c r="E33" s="769">
        <v>0</v>
      </c>
      <c r="F33" s="769">
        <v>0</v>
      </c>
      <c r="G33" s="769">
        <v>0</v>
      </c>
    </row>
    <row r="34" spans="1:7" s="648" customFormat="1" x14ac:dyDescent="0.2">
      <c r="A34" s="770" t="s">
        <v>1954</v>
      </c>
      <c r="B34" s="770" t="s">
        <v>1955</v>
      </c>
      <c r="C34" s="776" t="s">
        <v>1956</v>
      </c>
      <c r="D34" s="774">
        <v>0</v>
      </c>
      <c r="E34" s="774">
        <v>0</v>
      </c>
      <c r="F34" s="774">
        <v>0</v>
      </c>
      <c r="G34" s="774">
        <v>0</v>
      </c>
    </row>
    <row r="35" spans="1:7" s="648" customFormat="1" x14ac:dyDescent="0.2">
      <c r="A35" s="770" t="s">
        <v>1957</v>
      </c>
      <c r="B35" s="770" t="s">
        <v>1958</v>
      </c>
      <c r="C35" s="776" t="s">
        <v>1959</v>
      </c>
      <c r="D35" s="774">
        <v>0</v>
      </c>
      <c r="E35" s="774">
        <v>0</v>
      </c>
      <c r="F35" s="774">
        <v>0</v>
      </c>
      <c r="G35" s="774">
        <v>0</v>
      </c>
    </row>
    <row r="36" spans="1:7" s="648" customFormat="1" x14ac:dyDescent="0.2">
      <c r="A36" s="770" t="s">
        <v>1960</v>
      </c>
      <c r="B36" s="770" t="s">
        <v>1961</v>
      </c>
      <c r="C36" s="776" t="s">
        <v>1962</v>
      </c>
      <c r="D36" s="774">
        <v>0</v>
      </c>
      <c r="E36" s="774">
        <v>0</v>
      </c>
      <c r="F36" s="774">
        <v>0</v>
      </c>
      <c r="G36" s="774">
        <v>0</v>
      </c>
    </row>
    <row r="37" spans="1:7" s="648" customFormat="1" x14ac:dyDescent="0.2">
      <c r="A37" s="770" t="s">
        <v>1966</v>
      </c>
      <c r="B37" s="770" t="s">
        <v>1967</v>
      </c>
      <c r="C37" s="776" t="s">
        <v>1968</v>
      </c>
      <c r="D37" s="774">
        <v>0</v>
      </c>
      <c r="E37" s="774">
        <v>0</v>
      </c>
      <c r="F37" s="774">
        <v>0</v>
      </c>
      <c r="G37" s="774">
        <v>0</v>
      </c>
    </row>
    <row r="38" spans="1:7" s="648" customFormat="1" x14ac:dyDescent="0.2">
      <c r="A38" s="770" t="s">
        <v>1969</v>
      </c>
      <c r="B38" s="770" t="s">
        <v>1970</v>
      </c>
      <c r="C38" s="776" t="s">
        <v>1971</v>
      </c>
      <c r="D38" s="773"/>
      <c r="E38" s="773"/>
      <c r="F38" s="773"/>
      <c r="G38" s="773"/>
    </row>
    <row r="39" spans="1:7" s="826" customFormat="1" x14ac:dyDescent="0.2">
      <c r="A39" s="804" t="s">
        <v>1978</v>
      </c>
      <c r="B39" s="804" t="s">
        <v>1979</v>
      </c>
      <c r="C39" s="805" t="s">
        <v>133</v>
      </c>
      <c r="D39" s="769">
        <v>512.89021000000002</v>
      </c>
      <c r="E39" s="769">
        <v>0</v>
      </c>
      <c r="F39" s="769">
        <v>512.89021000000002</v>
      </c>
      <c r="G39" s="769">
        <v>544.50694999999996</v>
      </c>
    </row>
    <row r="40" spans="1:7" s="648" customFormat="1" x14ac:dyDescent="0.2">
      <c r="A40" s="770" t="s">
        <v>1980</v>
      </c>
      <c r="B40" s="770" t="s">
        <v>1981</v>
      </c>
      <c r="C40" s="776" t="s">
        <v>1982</v>
      </c>
      <c r="D40" s="774">
        <v>0</v>
      </c>
      <c r="E40" s="774">
        <v>0</v>
      </c>
      <c r="F40" s="774">
        <v>0</v>
      </c>
      <c r="G40" s="774">
        <v>0</v>
      </c>
    </row>
    <row r="41" spans="1:7" s="648" customFormat="1" x14ac:dyDescent="0.2">
      <c r="A41" s="770" t="s">
        <v>1983</v>
      </c>
      <c r="B41" s="770" t="s">
        <v>1984</v>
      </c>
      <c r="C41" s="776" t="s">
        <v>1985</v>
      </c>
      <c r="D41" s="774">
        <v>0</v>
      </c>
      <c r="E41" s="774">
        <v>0</v>
      </c>
      <c r="F41" s="774">
        <v>0</v>
      </c>
      <c r="G41" s="774">
        <v>0</v>
      </c>
    </row>
    <row r="42" spans="1:7" s="648" customFormat="1" x14ac:dyDescent="0.2">
      <c r="A42" s="770" t="s">
        <v>1986</v>
      </c>
      <c r="B42" s="770" t="s">
        <v>1987</v>
      </c>
      <c r="C42" s="776" t="s">
        <v>1988</v>
      </c>
      <c r="D42" s="774">
        <v>512.89021000000002</v>
      </c>
      <c r="E42" s="774">
        <v>0</v>
      </c>
      <c r="F42" s="774">
        <v>512.89021000000002</v>
      </c>
      <c r="G42" s="774">
        <v>544.50694999999996</v>
      </c>
    </row>
    <row r="43" spans="1:7" s="648" customFormat="1" x14ac:dyDescent="0.2">
      <c r="A43" s="770" t="s">
        <v>1992</v>
      </c>
      <c r="B43" s="770" t="s">
        <v>1993</v>
      </c>
      <c r="C43" s="776" t="s">
        <v>1994</v>
      </c>
      <c r="D43" s="774">
        <v>0</v>
      </c>
      <c r="E43" s="774">
        <v>0</v>
      </c>
      <c r="F43" s="774">
        <v>0</v>
      </c>
      <c r="G43" s="774">
        <v>0</v>
      </c>
    </row>
    <row r="44" spans="1:7" s="648" customFormat="1" x14ac:dyDescent="0.2">
      <c r="A44" s="770" t="s">
        <v>1995</v>
      </c>
      <c r="B44" s="775" t="s">
        <v>1996</v>
      </c>
      <c r="C44" s="815" t="s">
        <v>1997</v>
      </c>
      <c r="D44" s="774">
        <v>0</v>
      </c>
      <c r="E44" s="774">
        <v>0</v>
      </c>
      <c r="F44" s="774">
        <v>0</v>
      </c>
      <c r="G44" s="774">
        <v>0</v>
      </c>
    </row>
    <row r="45" spans="1:7" s="826" customFormat="1" x14ac:dyDescent="0.2">
      <c r="A45" s="775" t="s">
        <v>1998</v>
      </c>
      <c r="B45" s="775" t="s">
        <v>1999</v>
      </c>
      <c r="C45" s="815" t="s">
        <v>2000</v>
      </c>
      <c r="D45" s="773"/>
      <c r="E45" s="773"/>
      <c r="F45" s="773"/>
      <c r="G45" s="773"/>
    </row>
    <row r="46" spans="1:7" s="826" customFormat="1" x14ac:dyDescent="0.2">
      <c r="A46" s="804" t="s">
        <v>2001</v>
      </c>
      <c r="B46" s="804" t="s">
        <v>2002</v>
      </c>
      <c r="C46" s="805" t="s">
        <v>133</v>
      </c>
      <c r="D46" s="769">
        <v>315852.64423999999</v>
      </c>
      <c r="E46" s="769">
        <v>39.446400000000004</v>
      </c>
      <c r="F46" s="769">
        <v>315813.19783999998</v>
      </c>
      <c r="G46" s="769">
        <v>321242.26029000001</v>
      </c>
    </row>
    <row r="47" spans="1:7" s="648" customFormat="1" x14ac:dyDescent="0.2">
      <c r="A47" s="767" t="s">
        <v>2003</v>
      </c>
      <c r="B47" s="767" t="s">
        <v>2004</v>
      </c>
      <c r="C47" s="812" t="s">
        <v>133</v>
      </c>
      <c r="D47" s="769">
        <v>126779.11192</v>
      </c>
      <c r="E47" s="769">
        <v>0</v>
      </c>
      <c r="F47" s="769">
        <v>126779.11192</v>
      </c>
      <c r="G47" s="769">
        <v>112629.63682</v>
      </c>
    </row>
    <row r="48" spans="1:7" s="648" customFormat="1" x14ac:dyDescent="0.2">
      <c r="A48" s="770" t="s">
        <v>2005</v>
      </c>
      <c r="B48" s="770" t="s">
        <v>2006</v>
      </c>
      <c r="C48" s="776" t="s">
        <v>2007</v>
      </c>
      <c r="D48" s="774">
        <v>0</v>
      </c>
      <c r="E48" s="774">
        <v>0</v>
      </c>
      <c r="F48" s="774">
        <v>0</v>
      </c>
      <c r="G48" s="774">
        <v>0</v>
      </c>
    </row>
    <row r="49" spans="1:7" s="648" customFormat="1" x14ac:dyDescent="0.2">
      <c r="A49" s="770" t="s">
        <v>2008</v>
      </c>
      <c r="B49" s="770" t="s">
        <v>2009</v>
      </c>
      <c r="C49" s="776" t="s">
        <v>2010</v>
      </c>
      <c r="D49" s="773">
        <v>126779.11192</v>
      </c>
      <c r="E49" s="773"/>
      <c r="F49" s="773">
        <v>126779.11192</v>
      </c>
      <c r="G49" s="773">
        <v>112629.63682</v>
      </c>
    </row>
    <row r="50" spans="1:7" s="648" customFormat="1" x14ac:dyDescent="0.2">
      <c r="A50" s="770" t="s">
        <v>2011</v>
      </c>
      <c r="B50" s="770" t="s">
        <v>2012</v>
      </c>
      <c r="C50" s="776" t="s">
        <v>2013</v>
      </c>
      <c r="D50" s="773"/>
      <c r="E50" s="773"/>
      <c r="F50" s="773"/>
      <c r="G50" s="773"/>
    </row>
    <row r="51" spans="1:7" s="648" customFormat="1" x14ac:dyDescent="0.2">
      <c r="A51" s="770" t="s">
        <v>2014</v>
      </c>
      <c r="B51" s="770" t="s">
        <v>2015</v>
      </c>
      <c r="C51" s="776" t="s">
        <v>2016</v>
      </c>
      <c r="D51" s="773"/>
      <c r="E51" s="773"/>
      <c r="F51" s="773"/>
      <c r="G51" s="773"/>
    </row>
    <row r="52" spans="1:7" s="648" customFormat="1" x14ac:dyDescent="0.2">
      <c r="A52" s="770" t="s">
        <v>2017</v>
      </c>
      <c r="B52" s="770" t="s">
        <v>2018</v>
      </c>
      <c r="C52" s="776" t="s">
        <v>2019</v>
      </c>
      <c r="D52" s="774"/>
      <c r="E52" s="774"/>
      <c r="F52" s="774"/>
      <c r="G52" s="774"/>
    </row>
    <row r="53" spans="1:7" s="648" customFormat="1" x14ac:dyDescent="0.2">
      <c r="A53" s="770" t="s">
        <v>2020</v>
      </c>
      <c r="B53" s="770" t="s">
        <v>2021</v>
      </c>
      <c r="C53" s="776" t="s">
        <v>2022</v>
      </c>
      <c r="D53" s="773"/>
      <c r="E53" s="773"/>
      <c r="F53" s="773"/>
      <c r="G53" s="773"/>
    </row>
    <row r="54" spans="1:7" s="648" customFormat="1" x14ac:dyDescent="0.2">
      <c r="A54" s="770" t="s">
        <v>2023</v>
      </c>
      <c r="B54" s="770" t="s">
        <v>2024</v>
      </c>
      <c r="C54" s="776" t="s">
        <v>2025</v>
      </c>
      <c r="D54" s="774"/>
      <c r="E54" s="774"/>
      <c r="F54" s="774"/>
      <c r="G54" s="774"/>
    </row>
    <row r="55" spans="1:7" s="648" customFormat="1" x14ac:dyDescent="0.2">
      <c r="A55" s="770" t="s">
        <v>2026</v>
      </c>
      <c r="B55" s="770" t="s">
        <v>2027</v>
      </c>
      <c r="C55" s="776" t="s">
        <v>2028</v>
      </c>
      <c r="D55" s="773"/>
      <c r="E55" s="773"/>
      <c r="F55" s="773"/>
      <c r="G55" s="773"/>
    </row>
    <row r="56" spans="1:7" s="648" customFormat="1" x14ac:dyDescent="0.2">
      <c r="A56" s="770" t="s">
        <v>2029</v>
      </c>
      <c r="B56" s="770" t="s">
        <v>2030</v>
      </c>
      <c r="C56" s="776" t="s">
        <v>2031</v>
      </c>
      <c r="D56" s="773"/>
      <c r="E56" s="773"/>
      <c r="F56" s="773"/>
      <c r="G56" s="773"/>
    </row>
    <row r="57" spans="1:7" s="826" customFormat="1" x14ac:dyDescent="0.2">
      <c r="A57" s="775" t="s">
        <v>2032</v>
      </c>
      <c r="B57" s="775" t="s">
        <v>2033</v>
      </c>
      <c r="C57" s="815" t="s">
        <v>2034</v>
      </c>
      <c r="D57" s="773"/>
      <c r="E57" s="773"/>
      <c r="F57" s="773"/>
      <c r="G57" s="773"/>
    </row>
    <row r="58" spans="1:7" s="648" customFormat="1" x14ac:dyDescent="0.2">
      <c r="A58" s="767" t="s">
        <v>2035</v>
      </c>
      <c r="B58" s="767" t="s">
        <v>2036</v>
      </c>
      <c r="C58" s="812" t="s">
        <v>133</v>
      </c>
      <c r="D58" s="769">
        <v>9815.5878699999994</v>
      </c>
      <c r="E58" s="769">
        <v>39.446400000000004</v>
      </c>
      <c r="F58" s="769">
        <v>9776.1414700000005</v>
      </c>
      <c r="G58" s="769">
        <v>19398.829760000001</v>
      </c>
    </row>
    <row r="59" spans="1:7" s="648" customFormat="1" x14ac:dyDescent="0.2">
      <c r="A59" s="827" t="s">
        <v>2037</v>
      </c>
      <c r="B59" s="827" t="s">
        <v>2038</v>
      </c>
      <c r="C59" s="828" t="s">
        <v>2039</v>
      </c>
      <c r="D59" s="772">
        <v>6016.1736700000001</v>
      </c>
      <c r="E59" s="772">
        <v>39.446400000000004</v>
      </c>
      <c r="F59" s="772">
        <v>5976.7272699999994</v>
      </c>
      <c r="G59" s="772">
        <v>16882.589379999998</v>
      </c>
    </row>
    <row r="60" spans="1:7" s="648" customFormat="1" x14ac:dyDescent="0.2">
      <c r="A60" s="770" t="s">
        <v>2046</v>
      </c>
      <c r="B60" s="770" t="s">
        <v>2047</v>
      </c>
      <c r="C60" s="776" t="s">
        <v>2048</v>
      </c>
      <c r="D60" s="773">
        <v>1051.4884999999999</v>
      </c>
      <c r="E60" s="773"/>
      <c r="F60" s="773">
        <v>1051.4884999999999</v>
      </c>
      <c r="G60" s="773">
        <v>113.39</v>
      </c>
    </row>
    <row r="61" spans="1:7" s="648" customFormat="1" x14ac:dyDescent="0.2">
      <c r="A61" s="770" t="s">
        <v>2049</v>
      </c>
      <c r="B61" s="770" t="s">
        <v>2050</v>
      </c>
      <c r="C61" s="776" t="s">
        <v>2051</v>
      </c>
      <c r="D61" s="773">
        <v>420.36841999999996</v>
      </c>
      <c r="E61" s="773"/>
      <c r="F61" s="773">
        <v>420.36841999999996</v>
      </c>
      <c r="G61" s="773">
        <v>698.18399999999997</v>
      </c>
    </row>
    <row r="62" spans="1:7" s="648" customFormat="1" x14ac:dyDescent="0.2">
      <c r="A62" s="770" t="s">
        <v>2052</v>
      </c>
      <c r="B62" s="770" t="s">
        <v>2053</v>
      </c>
      <c r="C62" s="776" t="s">
        <v>2054</v>
      </c>
      <c r="D62" s="774">
        <v>0</v>
      </c>
      <c r="E62" s="774"/>
      <c r="F62" s="774">
        <v>0</v>
      </c>
      <c r="G62" s="774">
        <v>0</v>
      </c>
    </row>
    <row r="63" spans="1:7" s="648" customFormat="1" x14ac:dyDescent="0.2">
      <c r="A63" s="770" t="s">
        <v>2061</v>
      </c>
      <c r="B63" s="770" t="s">
        <v>2062</v>
      </c>
      <c r="C63" s="776" t="s">
        <v>2063</v>
      </c>
      <c r="D63" s="774">
        <v>16.068000000000001</v>
      </c>
      <c r="E63" s="774"/>
      <c r="F63" s="774">
        <v>16.068000000000001</v>
      </c>
      <c r="G63" s="774">
        <v>122.94</v>
      </c>
    </row>
    <row r="64" spans="1:7" s="648" customFormat="1" x14ac:dyDescent="0.2">
      <c r="A64" s="770" t="s">
        <v>2064</v>
      </c>
      <c r="B64" s="770" t="s">
        <v>2065</v>
      </c>
      <c r="C64" s="776" t="s">
        <v>2066</v>
      </c>
      <c r="D64" s="773"/>
      <c r="E64" s="773"/>
      <c r="F64" s="773"/>
      <c r="G64" s="773"/>
    </row>
    <row r="65" spans="1:7" s="648" customFormat="1" x14ac:dyDescent="0.2">
      <c r="A65" s="770" t="s">
        <v>2067</v>
      </c>
      <c r="B65" s="770" t="s">
        <v>2068</v>
      </c>
      <c r="C65" s="776" t="s">
        <v>2069</v>
      </c>
      <c r="D65" s="774"/>
      <c r="E65" s="774"/>
      <c r="F65" s="774"/>
      <c r="G65" s="774">
        <v>0</v>
      </c>
    </row>
    <row r="66" spans="1:7" s="648" customFormat="1" x14ac:dyDescent="0.2">
      <c r="A66" s="770" t="s">
        <v>2070</v>
      </c>
      <c r="B66" s="770" t="s">
        <v>2071</v>
      </c>
      <c r="C66" s="776" t="s">
        <v>2072</v>
      </c>
      <c r="D66" s="773"/>
      <c r="E66" s="773"/>
      <c r="F66" s="773"/>
      <c r="G66" s="773"/>
    </row>
    <row r="67" spans="1:7" s="648" customFormat="1" x14ac:dyDescent="0.2">
      <c r="A67" s="770" t="s">
        <v>2073</v>
      </c>
      <c r="B67" s="770" t="s">
        <v>2074</v>
      </c>
      <c r="C67" s="776" t="s">
        <v>2075</v>
      </c>
      <c r="D67" s="774"/>
      <c r="E67" s="773"/>
      <c r="F67" s="774"/>
      <c r="G67" s="773">
        <v>515.41999999999996</v>
      </c>
    </row>
    <row r="68" spans="1:7" s="648" customFormat="1" x14ac:dyDescent="0.2">
      <c r="A68" s="770" t="s">
        <v>2076</v>
      </c>
      <c r="B68" s="770" t="s">
        <v>2077</v>
      </c>
      <c r="C68" s="776" t="s">
        <v>2078</v>
      </c>
      <c r="D68" s="773"/>
      <c r="E68" s="773"/>
      <c r="F68" s="773"/>
      <c r="G68" s="773"/>
    </row>
    <row r="69" spans="1:7" s="648" customFormat="1" x14ac:dyDescent="0.2">
      <c r="A69" s="770" t="s">
        <v>2079</v>
      </c>
      <c r="B69" s="770" t="s">
        <v>236</v>
      </c>
      <c r="C69" s="776" t="s">
        <v>2080</v>
      </c>
      <c r="D69" s="773"/>
      <c r="E69" s="773"/>
      <c r="F69" s="773"/>
      <c r="G69" s="773"/>
    </row>
    <row r="70" spans="1:7" s="648" customFormat="1" x14ac:dyDescent="0.2">
      <c r="A70" s="770" t="s">
        <v>2081</v>
      </c>
      <c r="B70" s="770" t="s">
        <v>2082</v>
      </c>
      <c r="C70" s="776" t="s">
        <v>2083</v>
      </c>
      <c r="D70" s="773"/>
      <c r="E70" s="773"/>
      <c r="F70" s="773"/>
      <c r="G70" s="773"/>
    </row>
    <row r="71" spans="1:7" s="648" customFormat="1" x14ac:dyDescent="0.2">
      <c r="A71" s="770" t="s">
        <v>2084</v>
      </c>
      <c r="B71" s="770" t="s">
        <v>2085</v>
      </c>
      <c r="C71" s="776" t="s">
        <v>2086</v>
      </c>
      <c r="D71" s="773"/>
      <c r="E71" s="773"/>
      <c r="F71" s="773"/>
      <c r="G71" s="773"/>
    </row>
    <row r="72" spans="1:7" s="648" customFormat="1" x14ac:dyDescent="0.2">
      <c r="A72" s="770" t="s">
        <v>2087</v>
      </c>
      <c r="B72" s="770" t="s">
        <v>2088</v>
      </c>
      <c r="C72" s="776" t="s">
        <v>2089</v>
      </c>
      <c r="D72" s="774">
        <v>0</v>
      </c>
      <c r="E72" s="774"/>
      <c r="F72" s="774">
        <v>0</v>
      </c>
      <c r="G72" s="774"/>
    </row>
    <row r="73" spans="1:7" s="648" customFormat="1" x14ac:dyDescent="0.2">
      <c r="A73" s="777" t="s">
        <v>2102</v>
      </c>
      <c r="B73" s="777" t="s">
        <v>2103</v>
      </c>
      <c r="C73" s="778" t="s">
        <v>2104</v>
      </c>
      <c r="D73" s="798">
        <v>0</v>
      </c>
      <c r="E73" s="779"/>
      <c r="F73" s="798">
        <v>0</v>
      </c>
      <c r="G73" s="779"/>
    </row>
    <row r="74" spans="1:7" s="648" customFormat="1" x14ac:dyDescent="0.2">
      <c r="A74" s="770" t="s">
        <v>2105</v>
      </c>
      <c r="B74" s="848" t="s">
        <v>2106</v>
      </c>
      <c r="C74" s="776" t="s">
        <v>2107</v>
      </c>
      <c r="D74" s="774">
        <v>0</v>
      </c>
      <c r="E74" s="774">
        <v>0</v>
      </c>
      <c r="F74" s="774">
        <v>0</v>
      </c>
      <c r="G74" s="774">
        <v>0</v>
      </c>
    </row>
    <row r="75" spans="1:7" s="648" customFormat="1" x14ac:dyDescent="0.2">
      <c r="A75" s="770" t="s">
        <v>2108</v>
      </c>
      <c r="B75" s="770" t="s">
        <v>2109</v>
      </c>
      <c r="C75" s="776" t="s">
        <v>2110</v>
      </c>
      <c r="D75" s="774">
        <v>1055.4273600000001</v>
      </c>
      <c r="E75" s="774">
        <v>0</v>
      </c>
      <c r="F75" s="774">
        <v>1055.4273600000001</v>
      </c>
      <c r="G75" s="774">
        <v>324.67664000000002</v>
      </c>
    </row>
    <row r="76" spans="1:7" s="648" customFormat="1" x14ac:dyDescent="0.2">
      <c r="A76" s="770" t="s">
        <v>2111</v>
      </c>
      <c r="B76" s="770" t="s">
        <v>2112</v>
      </c>
      <c r="C76" s="776" t="s">
        <v>2113</v>
      </c>
      <c r="D76" s="773"/>
      <c r="E76" s="773"/>
      <c r="F76" s="773"/>
      <c r="G76" s="773"/>
    </row>
    <row r="77" spans="1:7" s="648" customFormat="1" x14ac:dyDescent="0.2">
      <c r="A77" s="770" t="s">
        <v>2114</v>
      </c>
      <c r="B77" s="770" t="s">
        <v>2115</v>
      </c>
      <c r="C77" s="776" t="s">
        <v>2116</v>
      </c>
      <c r="D77" s="774">
        <v>675.68525999999997</v>
      </c>
      <c r="E77" s="774">
        <v>0</v>
      </c>
      <c r="F77" s="774">
        <v>675.68525999999997</v>
      </c>
      <c r="G77" s="774">
        <v>709.41448000000003</v>
      </c>
    </row>
    <row r="78" spans="1:7" s="826" customFormat="1" x14ac:dyDescent="0.2">
      <c r="A78" s="775" t="s">
        <v>2117</v>
      </c>
      <c r="B78" s="829" t="s">
        <v>2118</v>
      </c>
      <c r="C78" s="830" t="s">
        <v>2119</v>
      </c>
      <c r="D78" s="779">
        <v>580.37666000000002</v>
      </c>
      <c r="E78" s="779"/>
      <c r="F78" s="779">
        <v>580.37666000000002</v>
      </c>
      <c r="G78" s="779">
        <v>32.215260000000001</v>
      </c>
    </row>
    <row r="79" spans="1:7" s="826" customFormat="1" x14ac:dyDescent="0.2">
      <c r="A79" s="804" t="s">
        <v>2120</v>
      </c>
      <c r="B79" s="804" t="s">
        <v>2121</v>
      </c>
      <c r="C79" s="805" t="s">
        <v>133</v>
      </c>
      <c r="D79" s="769">
        <v>179257.94444999998</v>
      </c>
      <c r="E79" s="769">
        <v>0</v>
      </c>
      <c r="F79" s="769">
        <v>179257.94444999998</v>
      </c>
      <c r="G79" s="769">
        <v>189213.79371</v>
      </c>
    </row>
    <row r="80" spans="1:7" s="826" customFormat="1" x14ac:dyDescent="0.2">
      <c r="A80" s="775" t="s">
        <v>2122</v>
      </c>
      <c r="B80" s="775" t="s">
        <v>2123</v>
      </c>
      <c r="C80" s="815" t="s">
        <v>2124</v>
      </c>
      <c r="D80" s="773"/>
      <c r="E80" s="773"/>
      <c r="F80" s="773"/>
      <c r="G80" s="773"/>
    </row>
    <row r="81" spans="1:7" s="648" customFormat="1" x14ac:dyDescent="0.2">
      <c r="A81" s="770" t="s">
        <v>2125</v>
      </c>
      <c r="B81" s="770" t="s">
        <v>2126</v>
      </c>
      <c r="C81" s="776" t="s">
        <v>2127</v>
      </c>
      <c r="D81" s="773"/>
      <c r="E81" s="773"/>
      <c r="F81" s="773"/>
      <c r="G81" s="773"/>
    </row>
    <row r="82" spans="1:7" s="648" customFormat="1" x14ac:dyDescent="0.2">
      <c r="A82" s="770" t="s">
        <v>2128</v>
      </c>
      <c r="B82" s="770" t="s">
        <v>2129</v>
      </c>
      <c r="C82" s="776" t="s">
        <v>2130</v>
      </c>
      <c r="D82" s="773"/>
      <c r="E82" s="773"/>
      <c r="F82" s="773"/>
      <c r="G82" s="773"/>
    </row>
    <row r="83" spans="1:7" s="648" customFormat="1" x14ac:dyDescent="0.2">
      <c r="A83" s="770" t="s">
        <v>2131</v>
      </c>
      <c r="B83" s="770" t="s">
        <v>2132</v>
      </c>
      <c r="C83" s="776" t="s">
        <v>2133</v>
      </c>
      <c r="D83" s="773"/>
      <c r="E83" s="773"/>
      <c r="F83" s="773"/>
      <c r="G83" s="773"/>
    </row>
    <row r="84" spans="1:7" s="648" customFormat="1" x14ac:dyDescent="0.2">
      <c r="A84" s="770" t="s">
        <v>2134</v>
      </c>
      <c r="B84" s="770" t="s">
        <v>2135</v>
      </c>
      <c r="C84" s="776" t="s">
        <v>2136</v>
      </c>
      <c r="D84" s="773"/>
      <c r="E84" s="773"/>
      <c r="F84" s="773"/>
      <c r="G84" s="773"/>
    </row>
    <row r="85" spans="1:7" s="648" customFormat="1" x14ac:dyDescent="0.2">
      <c r="A85" s="770" t="s">
        <v>2137</v>
      </c>
      <c r="B85" s="770" t="s">
        <v>2138</v>
      </c>
      <c r="C85" s="776" t="s">
        <v>2139</v>
      </c>
      <c r="D85" s="773">
        <v>178568.52597999998</v>
      </c>
      <c r="E85" s="773"/>
      <c r="F85" s="773">
        <v>178568.52597999998</v>
      </c>
      <c r="G85" s="773">
        <v>188608.85996999999</v>
      </c>
    </row>
    <row r="86" spans="1:7" s="648" customFormat="1" x14ac:dyDescent="0.2">
      <c r="A86" s="770" t="s">
        <v>2140</v>
      </c>
      <c r="B86" s="770" t="s">
        <v>2141</v>
      </c>
      <c r="C86" s="776" t="s">
        <v>2142</v>
      </c>
      <c r="D86" s="773">
        <v>460.23746999999997</v>
      </c>
      <c r="E86" s="773"/>
      <c r="F86" s="773">
        <v>460.23746999999997</v>
      </c>
      <c r="G86" s="773">
        <v>421.51074</v>
      </c>
    </row>
    <row r="87" spans="1:7" s="648" customFormat="1" x14ac:dyDescent="0.2">
      <c r="A87" s="770" t="s">
        <v>2149</v>
      </c>
      <c r="B87" s="770" t="s">
        <v>2150</v>
      </c>
      <c r="C87" s="776" t="s">
        <v>2151</v>
      </c>
      <c r="D87" s="773"/>
      <c r="E87" s="773"/>
      <c r="F87" s="773"/>
      <c r="G87" s="773">
        <v>7.92</v>
      </c>
    </row>
    <row r="88" spans="1:7" s="648" customFormat="1" x14ac:dyDescent="0.2">
      <c r="A88" s="770" t="s">
        <v>2152</v>
      </c>
      <c r="B88" s="770" t="s">
        <v>2153</v>
      </c>
      <c r="C88" s="776" t="s">
        <v>2154</v>
      </c>
      <c r="D88" s="773"/>
      <c r="E88" s="773"/>
      <c r="F88" s="773"/>
      <c r="G88" s="773"/>
    </row>
    <row r="89" spans="1:7" s="648" customFormat="1" x14ac:dyDescent="0.2">
      <c r="A89" s="777" t="s">
        <v>2155</v>
      </c>
      <c r="B89" s="777" t="s">
        <v>2156</v>
      </c>
      <c r="C89" s="778" t="s">
        <v>2157</v>
      </c>
      <c r="D89" s="779">
        <v>229.18100000000001</v>
      </c>
      <c r="E89" s="779"/>
      <c r="F89" s="779">
        <v>229.18100000000001</v>
      </c>
      <c r="G89" s="779">
        <v>175.50299999999999</v>
      </c>
    </row>
    <row r="90" spans="1:7" s="834" customFormat="1" x14ac:dyDescent="0.2">
      <c r="A90" s="831"/>
      <c r="B90" s="831"/>
      <c r="C90" s="831"/>
      <c r="D90" s="832"/>
      <c r="E90" s="833"/>
      <c r="F90" s="832"/>
      <c r="G90" s="832"/>
    </row>
    <row r="91" spans="1:7" s="834" customFormat="1" x14ac:dyDescent="0.2">
      <c r="A91" s="831"/>
      <c r="B91" s="831"/>
      <c r="C91" s="831"/>
      <c r="D91" s="832"/>
      <c r="E91" s="833"/>
      <c r="F91" s="832"/>
      <c r="G91" s="832"/>
    </row>
    <row r="92" spans="1:7" ht="12.75" customHeight="1" x14ac:dyDescent="0.2">
      <c r="A92" s="819"/>
      <c r="B92" s="820"/>
      <c r="C92" s="821"/>
      <c r="D92" s="789">
        <v>1</v>
      </c>
      <c r="E92" s="789">
        <v>2</v>
      </c>
      <c r="F92" s="792"/>
      <c r="G92" s="793"/>
    </row>
    <row r="93" spans="1:7" s="765" customFormat="1" ht="14.25" customHeight="1" x14ac:dyDescent="0.2">
      <c r="A93" s="1495" t="s">
        <v>1876</v>
      </c>
      <c r="B93" s="1496"/>
      <c r="C93" s="1501" t="s">
        <v>1877</v>
      </c>
      <c r="D93" s="1515" t="s">
        <v>1878</v>
      </c>
      <c r="E93" s="1515"/>
      <c r="F93" s="792"/>
      <c r="G93" s="793"/>
    </row>
    <row r="94" spans="1:7" s="765" customFormat="1" x14ac:dyDescent="0.2">
      <c r="A94" s="1499"/>
      <c r="B94" s="1500"/>
      <c r="C94" s="1514"/>
      <c r="D94" s="794" t="s">
        <v>1879</v>
      </c>
      <c r="E94" s="795" t="s">
        <v>1880</v>
      </c>
      <c r="F94" s="792"/>
      <c r="G94" s="793"/>
    </row>
    <row r="95" spans="1:7" s="826" customFormat="1" x14ac:dyDescent="0.2">
      <c r="A95" s="804"/>
      <c r="B95" s="804" t="s">
        <v>2158</v>
      </c>
      <c r="C95" s="805" t="s">
        <v>133</v>
      </c>
      <c r="D95" s="769">
        <v>21104691.160050001</v>
      </c>
      <c r="E95" s="769">
        <v>19622850.25048</v>
      </c>
      <c r="F95" s="790"/>
      <c r="G95" s="791"/>
    </row>
    <row r="96" spans="1:7" s="826" customFormat="1" x14ac:dyDescent="0.2">
      <c r="A96" s="804" t="s">
        <v>2159</v>
      </c>
      <c r="B96" s="804" t="s">
        <v>2160</v>
      </c>
      <c r="C96" s="805" t="s">
        <v>133</v>
      </c>
      <c r="D96" s="769">
        <v>21018771.22185</v>
      </c>
      <c r="E96" s="769">
        <v>19530752.397659998</v>
      </c>
      <c r="F96" s="790"/>
      <c r="G96" s="791"/>
    </row>
    <row r="97" spans="1:7" s="826" customFormat="1" x14ac:dyDescent="0.2">
      <c r="A97" s="804" t="s">
        <v>2161</v>
      </c>
      <c r="B97" s="804" t="s">
        <v>2162</v>
      </c>
      <c r="C97" s="805" t="s">
        <v>133</v>
      </c>
      <c r="D97" s="769">
        <v>20744816.465659998</v>
      </c>
      <c r="E97" s="769">
        <v>19295254.64237</v>
      </c>
      <c r="F97" s="790"/>
      <c r="G97" s="791"/>
    </row>
    <row r="98" spans="1:7" s="648" customFormat="1" x14ac:dyDescent="0.2">
      <c r="A98" s="770" t="s">
        <v>2163</v>
      </c>
      <c r="B98" s="770" t="s">
        <v>2164</v>
      </c>
      <c r="C98" s="776" t="s">
        <v>2165</v>
      </c>
      <c r="D98" s="773">
        <v>16987214.002</v>
      </c>
      <c r="E98" s="773">
        <v>16721412.49965</v>
      </c>
      <c r="F98" s="792"/>
      <c r="G98" s="793"/>
    </row>
    <row r="99" spans="1:7" s="648" customFormat="1" x14ac:dyDescent="0.2">
      <c r="A99" s="770" t="s">
        <v>2166</v>
      </c>
      <c r="B99" s="770" t="s">
        <v>2167</v>
      </c>
      <c r="C99" s="776" t="s">
        <v>2168</v>
      </c>
      <c r="D99" s="774">
        <v>3757602.4636599999</v>
      </c>
      <c r="E99" s="774">
        <v>2573842.1427199999</v>
      </c>
      <c r="F99" s="792"/>
      <c r="G99" s="783"/>
    </row>
    <row r="100" spans="1:7" s="648" customFormat="1" x14ac:dyDescent="0.2">
      <c r="A100" s="770" t="s">
        <v>2169</v>
      </c>
      <c r="B100" s="770" t="s">
        <v>2170</v>
      </c>
      <c r="C100" s="776" t="s">
        <v>2171</v>
      </c>
      <c r="D100" s="774">
        <v>0</v>
      </c>
      <c r="E100" s="774">
        <v>0</v>
      </c>
      <c r="F100" s="796"/>
      <c r="G100" s="783"/>
    </row>
    <row r="101" spans="1:7" s="648" customFormat="1" x14ac:dyDescent="0.2">
      <c r="A101" s="770" t="s">
        <v>2172</v>
      </c>
      <c r="B101" s="770" t="s">
        <v>2173</v>
      </c>
      <c r="C101" s="776" t="s">
        <v>2174</v>
      </c>
      <c r="D101" s="774">
        <v>0</v>
      </c>
      <c r="E101" s="774">
        <v>0</v>
      </c>
      <c r="F101" s="796"/>
      <c r="G101" s="783"/>
    </row>
    <row r="102" spans="1:7" s="648" customFormat="1" x14ac:dyDescent="0.2">
      <c r="A102" s="770" t="s">
        <v>2175</v>
      </c>
      <c r="B102" s="770" t="s">
        <v>2176</v>
      </c>
      <c r="C102" s="776" t="s">
        <v>2177</v>
      </c>
      <c r="D102" s="774">
        <v>0</v>
      </c>
      <c r="E102" s="774">
        <v>0</v>
      </c>
      <c r="F102" s="796"/>
      <c r="G102" s="783"/>
    </row>
    <row r="103" spans="1:7" s="648" customFormat="1" x14ac:dyDescent="0.2">
      <c r="A103" s="770" t="s">
        <v>2178</v>
      </c>
      <c r="B103" s="770" t="s">
        <v>2179</v>
      </c>
      <c r="C103" s="776" t="s">
        <v>2180</v>
      </c>
      <c r="D103" s="779"/>
      <c r="E103" s="779"/>
      <c r="F103" s="796"/>
      <c r="G103" s="783"/>
    </row>
    <row r="104" spans="1:7" s="826" customFormat="1" x14ac:dyDescent="0.2">
      <c r="A104" s="804" t="s">
        <v>2181</v>
      </c>
      <c r="B104" s="804" t="s">
        <v>2182</v>
      </c>
      <c r="C104" s="805" t="s">
        <v>133</v>
      </c>
      <c r="D104" s="769">
        <v>270212.50164999999</v>
      </c>
      <c r="E104" s="769">
        <v>230971.34900999998</v>
      </c>
      <c r="F104" s="790"/>
      <c r="G104" s="791"/>
    </row>
    <row r="105" spans="1:7" s="648" customFormat="1" x14ac:dyDescent="0.2">
      <c r="A105" s="770" t="s">
        <v>2183</v>
      </c>
      <c r="B105" s="770" t="s">
        <v>2184</v>
      </c>
      <c r="C105" s="776" t="s">
        <v>2185</v>
      </c>
      <c r="D105" s="773">
        <v>13562.965</v>
      </c>
      <c r="E105" s="773">
        <v>13562.965</v>
      </c>
      <c r="F105" s="792"/>
      <c r="G105" s="793"/>
    </row>
    <row r="106" spans="1:7" s="648" customFormat="1" x14ac:dyDescent="0.2">
      <c r="A106" s="770" t="s">
        <v>2186</v>
      </c>
      <c r="B106" s="770" t="s">
        <v>2187</v>
      </c>
      <c r="C106" s="776" t="s">
        <v>2188</v>
      </c>
      <c r="D106" s="774">
        <v>427.41922</v>
      </c>
      <c r="E106" s="774">
        <v>405.43648999999999</v>
      </c>
      <c r="F106" s="792"/>
      <c r="G106" s="793"/>
    </row>
    <row r="107" spans="1:7" s="648" customFormat="1" ht="13.5" customHeight="1" x14ac:dyDescent="0.2">
      <c r="A107" s="770" t="s">
        <v>2189</v>
      </c>
      <c r="B107" s="770" t="s">
        <v>2190</v>
      </c>
      <c r="C107" s="776" t="s">
        <v>2191</v>
      </c>
      <c r="D107" s="774">
        <v>20816.386489999997</v>
      </c>
      <c r="E107" s="774">
        <v>16289.980210000002</v>
      </c>
      <c r="F107" s="792"/>
      <c r="G107" s="793"/>
    </row>
    <row r="108" spans="1:7" s="648" customFormat="1" x14ac:dyDescent="0.2">
      <c r="A108" s="770" t="s">
        <v>2192</v>
      </c>
      <c r="B108" s="770" t="s">
        <v>2193</v>
      </c>
      <c r="C108" s="776" t="s">
        <v>2194</v>
      </c>
      <c r="D108" s="774">
        <v>0</v>
      </c>
      <c r="E108" s="774">
        <v>0</v>
      </c>
      <c r="F108" s="796"/>
      <c r="G108" s="783"/>
    </row>
    <row r="109" spans="1:7" s="648" customFormat="1" x14ac:dyDescent="0.2">
      <c r="A109" s="770" t="s">
        <v>2195</v>
      </c>
      <c r="B109" s="770" t="s">
        <v>2196</v>
      </c>
      <c r="C109" s="776" t="s">
        <v>2197</v>
      </c>
      <c r="D109" s="774">
        <v>235405.73094000001</v>
      </c>
      <c r="E109" s="774">
        <v>200712.96731000001</v>
      </c>
      <c r="F109" s="792"/>
      <c r="G109" s="793"/>
    </row>
    <row r="110" spans="1:7" s="826" customFormat="1" x14ac:dyDescent="0.2">
      <c r="A110" s="804" t="s">
        <v>2201</v>
      </c>
      <c r="B110" s="804" t="s">
        <v>2202</v>
      </c>
      <c r="C110" s="805" t="s">
        <v>133</v>
      </c>
      <c r="D110" s="769">
        <v>3742.2545399999999</v>
      </c>
      <c r="E110" s="769">
        <v>4526.4062800000002</v>
      </c>
      <c r="F110" s="790"/>
      <c r="G110" s="791"/>
    </row>
    <row r="111" spans="1:7" s="648" customFormat="1" x14ac:dyDescent="0.2">
      <c r="A111" s="770" t="s">
        <v>2203</v>
      </c>
      <c r="B111" s="770" t="s">
        <v>2204</v>
      </c>
      <c r="C111" s="776" t="s">
        <v>133</v>
      </c>
      <c r="D111" s="773">
        <v>3742.2545399999999</v>
      </c>
      <c r="E111" s="773">
        <v>4526.4062800000002</v>
      </c>
      <c r="F111" s="792"/>
      <c r="G111" s="783"/>
    </row>
    <row r="112" spans="1:7" s="648" customFormat="1" x14ac:dyDescent="0.2">
      <c r="A112" s="770" t="s">
        <v>2205</v>
      </c>
      <c r="B112" s="770" t="s">
        <v>2206</v>
      </c>
      <c r="C112" s="776" t="s">
        <v>2207</v>
      </c>
      <c r="D112" s="774">
        <v>0</v>
      </c>
      <c r="E112" s="774">
        <v>0</v>
      </c>
      <c r="F112" s="796"/>
      <c r="G112" s="793"/>
    </row>
    <row r="113" spans="1:7" s="648" customFormat="1" x14ac:dyDescent="0.2">
      <c r="A113" s="770" t="s">
        <v>2208</v>
      </c>
      <c r="B113" s="770" t="s">
        <v>2209</v>
      </c>
      <c r="C113" s="776" t="s">
        <v>2210</v>
      </c>
      <c r="D113" s="774">
        <v>0</v>
      </c>
      <c r="E113" s="774">
        <v>0</v>
      </c>
      <c r="F113" s="796"/>
      <c r="G113" s="783"/>
    </row>
    <row r="114" spans="1:7" s="826" customFormat="1" x14ac:dyDescent="0.2">
      <c r="A114" s="804" t="s">
        <v>2211</v>
      </c>
      <c r="B114" s="804" t="s">
        <v>2212</v>
      </c>
      <c r="C114" s="805" t="s">
        <v>133</v>
      </c>
      <c r="D114" s="769">
        <v>85919.938200000004</v>
      </c>
      <c r="E114" s="769">
        <v>92097.85282</v>
      </c>
      <c r="F114" s="790"/>
      <c r="G114" s="791"/>
    </row>
    <row r="115" spans="1:7" s="826" customFormat="1" x14ac:dyDescent="0.2">
      <c r="A115" s="804" t="s">
        <v>2213</v>
      </c>
      <c r="B115" s="804" t="s">
        <v>2214</v>
      </c>
      <c r="C115" s="805" t="s">
        <v>133</v>
      </c>
      <c r="D115" s="769">
        <v>0</v>
      </c>
      <c r="E115" s="769">
        <v>0</v>
      </c>
      <c r="F115" s="790"/>
      <c r="G115" s="791"/>
    </row>
    <row r="116" spans="1:7" s="648" customFormat="1" x14ac:dyDescent="0.2">
      <c r="A116" s="770" t="s">
        <v>2215</v>
      </c>
      <c r="B116" s="770" t="s">
        <v>2214</v>
      </c>
      <c r="C116" s="776" t="s">
        <v>2216</v>
      </c>
      <c r="D116" s="774">
        <v>0</v>
      </c>
      <c r="E116" s="774">
        <v>0</v>
      </c>
      <c r="F116" s="796"/>
      <c r="G116" s="783"/>
    </row>
    <row r="117" spans="1:7" s="826" customFormat="1" x14ac:dyDescent="0.2">
      <c r="A117" s="804" t="s">
        <v>2217</v>
      </c>
      <c r="B117" s="804" t="s">
        <v>2218</v>
      </c>
      <c r="C117" s="805" t="s">
        <v>133</v>
      </c>
      <c r="D117" s="769">
        <v>0</v>
      </c>
      <c r="E117" s="769">
        <v>0</v>
      </c>
      <c r="F117" s="790"/>
      <c r="G117" s="791"/>
    </row>
    <row r="118" spans="1:7" s="648" customFormat="1" x14ac:dyDescent="0.2">
      <c r="A118" s="770" t="s">
        <v>2219</v>
      </c>
      <c r="B118" s="770" t="s">
        <v>2220</v>
      </c>
      <c r="C118" s="776" t="s">
        <v>2221</v>
      </c>
      <c r="D118" s="774">
        <v>0</v>
      </c>
      <c r="E118" s="774">
        <v>0</v>
      </c>
      <c r="F118" s="796"/>
      <c r="G118" s="783"/>
    </row>
    <row r="119" spans="1:7" s="648" customFormat="1" x14ac:dyDescent="0.2">
      <c r="A119" s="770" t="s">
        <v>2222</v>
      </c>
      <c r="B119" s="770" t="s">
        <v>2223</v>
      </c>
      <c r="C119" s="776" t="s">
        <v>2224</v>
      </c>
      <c r="D119" s="774">
        <v>0</v>
      </c>
      <c r="E119" s="774">
        <v>0</v>
      </c>
      <c r="F119" s="796"/>
      <c r="G119" s="783"/>
    </row>
    <row r="120" spans="1:7" s="648" customFormat="1" x14ac:dyDescent="0.2">
      <c r="A120" s="770" t="s">
        <v>2228</v>
      </c>
      <c r="B120" s="770" t="s">
        <v>2229</v>
      </c>
      <c r="C120" s="776" t="s">
        <v>2230</v>
      </c>
      <c r="D120" s="774">
        <v>0</v>
      </c>
      <c r="E120" s="774">
        <v>0</v>
      </c>
      <c r="F120" s="796"/>
      <c r="G120" s="783"/>
    </row>
    <row r="121" spans="1:7" s="648" customFormat="1" x14ac:dyDescent="0.2">
      <c r="A121" s="770" t="s">
        <v>2237</v>
      </c>
      <c r="B121" s="770" t="s">
        <v>2238</v>
      </c>
      <c r="C121" s="776" t="s">
        <v>2239</v>
      </c>
      <c r="D121" s="774">
        <v>0</v>
      </c>
      <c r="E121" s="774">
        <v>0</v>
      </c>
      <c r="F121" s="796"/>
      <c r="G121" s="783"/>
    </row>
    <row r="122" spans="1:7" s="648" customFormat="1" x14ac:dyDescent="0.2">
      <c r="A122" s="770" t="s">
        <v>2240</v>
      </c>
      <c r="B122" s="770" t="s">
        <v>2241</v>
      </c>
      <c r="C122" s="776" t="s">
        <v>2242</v>
      </c>
      <c r="D122" s="774">
        <v>0</v>
      </c>
      <c r="E122" s="774">
        <v>0</v>
      </c>
      <c r="F122" s="796"/>
      <c r="G122" s="783"/>
    </row>
    <row r="123" spans="1:7" s="648" customFormat="1" x14ac:dyDescent="0.2">
      <c r="A123" s="770" t="s">
        <v>2243</v>
      </c>
      <c r="B123" s="770" t="s">
        <v>1999</v>
      </c>
      <c r="C123" s="776" t="s">
        <v>2000</v>
      </c>
      <c r="D123" s="774">
        <v>0</v>
      </c>
      <c r="E123" s="774">
        <v>0</v>
      </c>
      <c r="F123" s="796"/>
      <c r="G123" s="783"/>
    </row>
    <row r="124" spans="1:7" s="826" customFormat="1" x14ac:dyDescent="0.2">
      <c r="A124" s="804" t="s">
        <v>2244</v>
      </c>
      <c r="B124" s="804" t="s">
        <v>2245</v>
      </c>
      <c r="C124" s="805" t="s">
        <v>133</v>
      </c>
      <c r="D124" s="769">
        <v>85919.938200000004</v>
      </c>
      <c r="E124" s="769">
        <v>92097.85282</v>
      </c>
      <c r="F124" s="790"/>
      <c r="G124" s="791"/>
    </row>
    <row r="125" spans="1:7" s="648" customFormat="1" x14ac:dyDescent="0.2">
      <c r="A125" s="770" t="s">
        <v>2246</v>
      </c>
      <c r="B125" s="770" t="s">
        <v>2247</v>
      </c>
      <c r="C125" s="776" t="s">
        <v>2248</v>
      </c>
      <c r="D125" s="774">
        <v>0</v>
      </c>
      <c r="E125" s="774">
        <v>0</v>
      </c>
      <c r="F125" s="796"/>
      <c r="G125" s="783"/>
    </row>
    <row r="126" spans="1:7" s="648" customFormat="1" x14ac:dyDescent="0.2">
      <c r="A126" s="770" t="s">
        <v>2255</v>
      </c>
      <c r="B126" s="770" t="s">
        <v>2256</v>
      </c>
      <c r="C126" s="776" t="s">
        <v>2257</v>
      </c>
      <c r="D126" s="774">
        <v>0</v>
      </c>
      <c r="E126" s="774">
        <v>0</v>
      </c>
      <c r="F126" s="796"/>
      <c r="G126" s="783"/>
    </row>
    <row r="127" spans="1:7" s="648" customFormat="1" x14ac:dyDescent="0.2">
      <c r="A127" s="770" t="s">
        <v>2258</v>
      </c>
      <c r="B127" s="770" t="s">
        <v>2259</v>
      </c>
      <c r="C127" s="776" t="s">
        <v>2260</v>
      </c>
      <c r="D127" s="774">
        <v>59860.51511</v>
      </c>
      <c r="E127" s="774">
        <v>64519.46344</v>
      </c>
      <c r="F127" s="792"/>
      <c r="G127" s="793"/>
    </row>
    <row r="128" spans="1:7" s="648" customFormat="1" x14ac:dyDescent="0.2">
      <c r="A128" s="770" t="s">
        <v>2264</v>
      </c>
      <c r="B128" s="770" t="s">
        <v>2265</v>
      </c>
      <c r="C128" s="776" t="s">
        <v>2266</v>
      </c>
      <c r="D128" s="774">
        <v>100</v>
      </c>
      <c r="E128" s="774">
        <v>935.17872</v>
      </c>
      <c r="F128" s="792"/>
      <c r="G128" s="793"/>
    </row>
    <row r="129" spans="1:7" s="648" customFormat="1" x14ac:dyDescent="0.2">
      <c r="A129" s="770" t="s">
        <v>2270</v>
      </c>
      <c r="B129" s="770" t="s">
        <v>2271</v>
      </c>
      <c r="C129" s="776" t="s">
        <v>2272</v>
      </c>
      <c r="D129" s="774">
        <v>0</v>
      </c>
      <c r="E129" s="774">
        <v>0</v>
      </c>
      <c r="F129" s="796"/>
      <c r="G129" s="783"/>
    </row>
    <row r="130" spans="1:7" s="648" customFormat="1" ht="12.75" customHeight="1" x14ac:dyDescent="0.2">
      <c r="A130" s="770" t="s">
        <v>2273</v>
      </c>
      <c r="B130" s="770" t="s">
        <v>2274</v>
      </c>
      <c r="C130" s="776" t="s">
        <v>2275</v>
      </c>
      <c r="D130" s="774">
        <v>2547.58</v>
      </c>
      <c r="E130" s="774">
        <v>2428.84</v>
      </c>
      <c r="F130" s="792"/>
      <c r="G130" s="793"/>
    </row>
    <row r="131" spans="1:7" s="648" customFormat="1" ht="12.75" customHeight="1" x14ac:dyDescent="0.2">
      <c r="A131" s="770" t="s">
        <v>2276</v>
      </c>
      <c r="B131" s="770" t="s">
        <v>2277</v>
      </c>
      <c r="C131" s="776" t="s">
        <v>2278</v>
      </c>
      <c r="D131" s="774">
        <v>9375.2090000000007</v>
      </c>
      <c r="E131" s="774">
        <v>9703.2060000000001</v>
      </c>
      <c r="F131" s="792"/>
      <c r="G131" s="793"/>
    </row>
    <row r="132" spans="1:7" s="648" customFormat="1" ht="12.75" customHeight="1" x14ac:dyDescent="0.2">
      <c r="A132" s="770" t="s">
        <v>2279</v>
      </c>
      <c r="B132" s="770" t="s">
        <v>2065</v>
      </c>
      <c r="C132" s="776" t="s">
        <v>2066</v>
      </c>
      <c r="D132" s="774">
        <v>4703.415</v>
      </c>
      <c r="E132" s="774">
        <v>4847.9660000000003</v>
      </c>
      <c r="F132" s="792"/>
      <c r="G132" s="793"/>
    </row>
    <row r="133" spans="1:7" s="648" customFormat="1" ht="12.75" customHeight="1" x14ac:dyDescent="0.2">
      <c r="A133" s="770" t="s">
        <v>2280</v>
      </c>
      <c r="B133" s="770" t="s">
        <v>2068</v>
      </c>
      <c r="C133" s="776" t="s">
        <v>2069</v>
      </c>
      <c r="D133" s="774">
        <v>2028.5989999999999</v>
      </c>
      <c r="E133" s="774">
        <v>2090.556</v>
      </c>
      <c r="F133" s="792"/>
      <c r="G133" s="793"/>
    </row>
    <row r="134" spans="1:7" s="648" customFormat="1" ht="12.75" customHeight="1" x14ac:dyDescent="0.2">
      <c r="A134" s="770" t="s">
        <v>2281</v>
      </c>
      <c r="B134" s="770" t="s">
        <v>2071</v>
      </c>
      <c r="C134" s="776" t="s">
        <v>2072</v>
      </c>
      <c r="D134" s="774">
        <v>6.2880000000000003</v>
      </c>
      <c r="E134" s="774">
        <v>4.9969999999999999</v>
      </c>
      <c r="F134" s="792"/>
      <c r="G134" s="793"/>
    </row>
    <row r="135" spans="1:7" s="648" customFormat="1" ht="12.75" customHeight="1" x14ac:dyDescent="0.2">
      <c r="A135" s="770" t="s">
        <v>2282</v>
      </c>
      <c r="B135" s="770" t="s">
        <v>2074</v>
      </c>
      <c r="C135" s="776" t="s">
        <v>2075</v>
      </c>
      <c r="D135" s="774">
        <v>608.79399999999998</v>
      </c>
      <c r="E135" s="774">
        <v>0</v>
      </c>
      <c r="F135" s="796"/>
      <c r="G135" s="783"/>
    </row>
    <row r="136" spans="1:7" s="648" customFormat="1" ht="12.75" customHeight="1" x14ac:dyDescent="0.2">
      <c r="A136" s="770" t="s">
        <v>2283</v>
      </c>
      <c r="B136" s="770" t="s">
        <v>2077</v>
      </c>
      <c r="C136" s="776" t="s">
        <v>2078</v>
      </c>
      <c r="D136" s="774">
        <v>1556.8810000000001</v>
      </c>
      <c r="E136" s="774">
        <v>1673.2719999999999</v>
      </c>
      <c r="F136" s="792"/>
      <c r="G136" s="793"/>
    </row>
    <row r="137" spans="1:7" s="648" customFormat="1" ht="12.75" customHeight="1" x14ac:dyDescent="0.2">
      <c r="A137" s="770" t="s">
        <v>2284</v>
      </c>
      <c r="B137" s="770" t="s">
        <v>236</v>
      </c>
      <c r="C137" s="776" t="s">
        <v>2080</v>
      </c>
      <c r="D137" s="774">
        <v>1336.4178700000002</v>
      </c>
      <c r="E137" s="774">
        <v>3314.7515600000002</v>
      </c>
      <c r="F137" s="796"/>
      <c r="G137" s="783"/>
    </row>
    <row r="138" spans="1:7" s="648" customFormat="1" ht="12.75" customHeight="1" x14ac:dyDescent="0.2">
      <c r="A138" s="770" t="s">
        <v>2285</v>
      </c>
      <c r="B138" s="770" t="s">
        <v>2286</v>
      </c>
      <c r="C138" s="776" t="s">
        <v>2287</v>
      </c>
      <c r="D138" s="774">
        <v>0</v>
      </c>
      <c r="E138" s="774">
        <v>0</v>
      </c>
      <c r="F138" s="792"/>
      <c r="G138" s="793"/>
    </row>
    <row r="139" spans="1:7" s="648" customFormat="1" ht="12.75" customHeight="1" x14ac:dyDescent="0.2">
      <c r="A139" s="770" t="s">
        <v>2288</v>
      </c>
      <c r="B139" s="770" t="s">
        <v>2289</v>
      </c>
      <c r="C139" s="776" t="s">
        <v>2290</v>
      </c>
      <c r="D139" s="774">
        <v>0</v>
      </c>
      <c r="E139" s="774">
        <v>0</v>
      </c>
      <c r="F139" s="796"/>
      <c r="G139" s="783"/>
    </row>
    <row r="140" spans="1:7" s="648" customFormat="1" ht="12.75" customHeight="1" x14ac:dyDescent="0.2">
      <c r="A140" s="770" t="s">
        <v>2291</v>
      </c>
      <c r="B140" s="770" t="s">
        <v>2292</v>
      </c>
      <c r="C140" s="776" t="s">
        <v>2293</v>
      </c>
      <c r="D140" s="774">
        <v>0</v>
      </c>
      <c r="E140" s="774">
        <v>0</v>
      </c>
      <c r="F140" s="792"/>
      <c r="G140" s="793"/>
    </row>
    <row r="141" spans="1:7" s="648" customFormat="1" ht="12.75" customHeight="1" x14ac:dyDescent="0.2">
      <c r="A141" s="770" t="s">
        <v>2304</v>
      </c>
      <c r="B141" s="770" t="s">
        <v>2305</v>
      </c>
      <c r="C141" s="776" t="s">
        <v>2306</v>
      </c>
      <c r="D141" s="774">
        <v>0</v>
      </c>
      <c r="E141" s="774">
        <v>0</v>
      </c>
      <c r="F141" s="796"/>
      <c r="G141" s="783"/>
    </row>
    <row r="142" spans="1:7" s="648" customFormat="1" ht="12.75" customHeight="1" x14ac:dyDescent="0.2">
      <c r="A142" s="770" t="s">
        <v>2307</v>
      </c>
      <c r="B142" s="770" t="s">
        <v>2106</v>
      </c>
      <c r="C142" s="776" t="s">
        <v>2107</v>
      </c>
      <c r="D142" s="774">
        <v>0</v>
      </c>
      <c r="E142" s="774">
        <v>0</v>
      </c>
      <c r="F142" s="796"/>
      <c r="G142" s="783"/>
    </row>
    <row r="143" spans="1:7" s="648" customFormat="1" ht="12.75" customHeight="1" x14ac:dyDescent="0.2">
      <c r="A143" s="770" t="s">
        <v>2308</v>
      </c>
      <c r="B143" s="770" t="s">
        <v>2309</v>
      </c>
      <c r="C143" s="776" t="s">
        <v>2310</v>
      </c>
      <c r="D143" s="774">
        <v>0</v>
      </c>
      <c r="E143" s="774">
        <v>0</v>
      </c>
      <c r="F143" s="792"/>
      <c r="G143" s="793"/>
    </row>
    <row r="144" spans="1:7" s="648" customFormat="1" ht="12.75" customHeight="1" x14ac:dyDescent="0.2">
      <c r="A144" s="770" t="s">
        <v>2311</v>
      </c>
      <c r="B144" s="770" t="s">
        <v>2312</v>
      </c>
      <c r="C144" s="776" t="s">
        <v>2313</v>
      </c>
      <c r="D144" s="774">
        <v>1743.45164</v>
      </c>
      <c r="E144" s="774">
        <v>1746.34041</v>
      </c>
      <c r="F144" s="796"/>
      <c r="G144" s="783"/>
    </row>
    <row r="145" spans="1:7" s="648" customFormat="1" ht="12.75" customHeight="1" x14ac:dyDescent="0.2">
      <c r="A145" s="770" t="s">
        <v>2314</v>
      </c>
      <c r="B145" s="770" t="s">
        <v>2315</v>
      </c>
      <c r="C145" s="776" t="s">
        <v>2316</v>
      </c>
      <c r="D145" s="774">
        <v>1858.27799</v>
      </c>
      <c r="E145" s="774">
        <v>744.20668999999998</v>
      </c>
      <c r="F145" s="792"/>
      <c r="G145" s="793"/>
    </row>
    <row r="146" spans="1:7" s="648" customFormat="1" ht="12.75" customHeight="1" x14ac:dyDescent="0.2">
      <c r="A146" s="777" t="s">
        <v>2317</v>
      </c>
      <c r="B146" s="777" t="s">
        <v>2318</v>
      </c>
      <c r="C146" s="778" t="s">
        <v>2319</v>
      </c>
      <c r="D146" s="798">
        <v>194.50959</v>
      </c>
      <c r="E146" s="798">
        <v>89.075000000000003</v>
      </c>
      <c r="F146" s="796"/>
      <c r="G146" s="783"/>
    </row>
    <row r="147" spans="1:7" s="648" customFormat="1" x14ac:dyDescent="0.2">
      <c r="C147" s="546"/>
      <c r="D147" s="760"/>
      <c r="E147" s="760"/>
      <c r="F147" s="760"/>
      <c r="G147" s="760"/>
    </row>
    <row r="148" spans="1:7" s="648" customFormat="1" x14ac:dyDescent="0.2">
      <c r="C148" s="546"/>
      <c r="D148" s="760"/>
      <c r="E148" s="760"/>
      <c r="F148" s="760"/>
      <c r="G148" s="760"/>
    </row>
    <row r="149" spans="1:7" s="648" customFormat="1" x14ac:dyDescent="0.2">
      <c r="C149" s="546"/>
      <c r="D149" s="760"/>
      <c r="E149" s="760"/>
      <c r="F149" s="760"/>
      <c r="G149" s="760"/>
    </row>
    <row r="150" spans="1:7" s="648" customFormat="1" x14ac:dyDescent="0.2">
      <c r="C150" s="546"/>
      <c r="D150" s="760"/>
      <c r="E150" s="760"/>
      <c r="F150" s="760"/>
      <c r="G150" s="760"/>
    </row>
    <row r="151" spans="1:7" s="648" customFormat="1" x14ac:dyDescent="0.2">
      <c r="C151" s="546"/>
      <c r="D151" s="760"/>
      <c r="E151" s="760"/>
      <c r="F151" s="760"/>
      <c r="G151" s="760"/>
    </row>
    <row r="152" spans="1:7" s="648" customFormat="1" x14ac:dyDescent="0.2">
      <c r="C152" s="546"/>
      <c r="D152" s="760"/>
      <c r="E152" s="760"/>
      <c r="F152" s="760"/>
      <c r="G152" s="760"/>
    </row>
    <row r="153" spans="1:7" s="648" customFormat="1" x14ac:dyDescent="0.2">
      <c r="C153" s="546"/>
      <c r="D153" s="760"/>
      <c r="E153" s="760"/>
      <c r="F153" s="760"/>
      <c r="G153" s="760"/>
    </row>
    <row r="154" spans="1:7" s="648" customFormat="1" x14ac:dyDescent="0.2">
      <c r="C154" s="546"/>
      <c r="D154" s="760"/>
      <c r="E154" s="760"/>
      <c r="F154" s="760"/>
      <c r="G154" s="760"/>
    </row>
    <row r="155" spans="1:7" s="648" customFormat="1" x14ac:dyDescent="0.2">
      <c r="C155" s="546"/>
      <c r="D155" s="760"/>
      <c r="E155" s="760"/>
      <c r="F155" s="760"/>
      <c r="G155" s="760"/>
    </row>
    <row r="156" spans="1:7" s="648" customFormat="1" x14ac:dyDescent="0.2">
      <c r="C156" s="546"/>
      <c r="D156" s="760"/>
      <c r="E156" s="760"/>
      <c r="F156" s="760"/>
      <c r="G156" s="760"/>
    </row>
    <row r="157" spans="1:7" s="648" customFormat="1" x14ac:dyDescent="0.2">
      <c r="C157" s="546"/>
      <c r="D157" s="760"/>
      <c r="E157" s="760"/>
      <c r="F157" s="760"/>
      <c r="G157" s="760"/>
    </row>
    <row r="158" spans="1:7" s="648" customFormat="1" x14ac:dyDescent="0.2">
      <c r="C158" s="546"/>
      <c r="D158" s="760"/>
      <c r="E158" s="760"/>
      <c r="F158" s="760"/>
      <c r="G158" s="760"/>
    </row>
    <row r="159" spans="1:7" x14ac:dyDescent="0.2">
      <c r="A159" s="764"/>
      <c r="D159" s="760"/>
      <c r="E159" s="760"/>
      <c r="F159" s="760"/>
      <c r="G159" s="760"/>
    </row>
    <row r="160" spans="1:7" x14ac:dyDescent="0.2">
      <c r="A160" s="764"/>
      <c r="D160" s="760"/>
      <c r="E160" s="760"/>
      <c r="F160" s="760"/>
      <c r="G160" s="760"/>
    </row>
    <row r="161" spans="1:7" x14ac:dyDescent="0.2">
      <c r="A161" s="764"/>
      <c r="D161" s="760"/>
      <c r="E161" s="760"/>
      <c r="F161" s="760"/>
      <c r="G161" s="760"/>
    </row>
    <row r="162" spans="1:7" x14ac:dyDescent="0.2">
      <c r="A162" s="764"/>
      <c r="D162" s="760"/>
      <c r="E162" s="760"/>
      <c r="F162" s="760"/>
      <c r="G162" s="760"/>
    </row>
    <row r="163" spans="1:7" x14ac:dyDescent="0.2">
      <c r="A163" s="764"/>
      <c r="D163" s="760"/>
      <c r="E163" s="760"/>
      <c r="F163" s="760"/>
      <c r="G163" s="760"/>
    </row>
    <row r="164" spans="1:7" x14ac:dyDescent="0.2">
      <c r="A164" s="764"/>
      <c r="D164" s="760"/>
      <c r="E164" s="760"/>
      <c r="F164" s="760"/>
      <c r="G164" s="760"/>
    </row>
    <row r="165" spans="1:7" x14ac:dyDescent="0.2">
      <c r="A165" s="764"/>
      <c r="D165" s="760"/>
      <c r="E165" s="760"/>
      <c r="F165" s="760"/>
      <c r="G165" s="760"/>
    </row>
    <row r="166" spans="1:7" x14ac:dyDescent="0.2">
      <c r="A166" s="764"/>
      <c r="D166" s="760"/>
      <c r="E166" s="760"/>
      <c r="F166" s="760"/>
      <c r="G166" s="760"/>
    </row>
    <row r="167" spans="1:7" x14ac:dyDescent="0.2">
      <c r="A167" s="764"/>
      <c r="D167" s="760"/>
      <c r="E167" s="760"/>
      <c r="F167" s="760"/>
      <c r="G167" s="760"/>
    </row>
    <row r="168" spans="1:7" x14ac:dyDescent="0.2">
      <c r="A168" s="764"/>
      <c r="D168" s="760"/>
      <c r="E168" s="760"/>
      <c r="F168" s="760"/>
      <c r="G168" s="760"/>
    </row>
    <row r="169" spans="1:7" x14ac:dyDescent="0.2">
      <c r="A169" s="764"/>
      <c r="D169" s="760"/>
      <c r="E169" s="760"/>
      <c r="F169" s="760"/>
      <c r="G169" s="760"/>
    </row>
    <row r="170" spans="1:7" x14ac:dyDescent="0.2">
      <c r="A170" s="764"/>
      <c r="D170" s="760"/>
      <c r="E170" s="760"/>
      <c r="F170" s="760"/>
      <c r="G170" s="760"/>
    </row>
    <row r="171" spans="1:7" x14ac:dyDescent="0.2">
      <c r="A171" s="764"/>
      <c r="D171" s="760"/>
      <c r="E171" s="760"/>
      <c r="F171" s="760"/>
      <c r="G171" s="760"/>
    </row>
    <row r="172" spans="1:7" x14ac:dyDescent="0.2">
      <c r="A172" s="764"/>
      <c r="D172" s="760"/>
      <c r="E172" s="760"/>
      <c r="F172" s="760"/>
      <c r="G172" s="760"/>
    </row>
    <row r="173" spans="1:7" x14ac:dyDescent="0.2">
      <c r="A173" s="764"/>
      <c r="D173" s="760"/>
      <c r="E173" s="760"/>
      <c r="F173" s="760"/>
      <c r="G173" s="760"/>
    </row>
    <row r="174" spans="1:7" x14ac:dyDescent="0.2">
      <c r="A174" s="764"/>
      <c r="D174" s="760"/>
      <c r="E174" s="760"/>
      <c r="F174" s="760"/>
      <c r="G174" s="760"/>
    </row>
    <row r="175" spans="1:7" x14ac:dyDescent="0.2">
      <c r="A175" s="764"/>
      <c r="D175" s="760"/>
      <c r="E175" s="760"/>
      <c r="F175" s="760"/>
      <c r="G175" s="760"/>
    </row>
    <row r="176" spans="1:7" x14ac:dyDescent="0.2">
      <c r="A176" s="764"/>
      <c r="D176" s="760"/>
      <c r="E176" s="760"/>
      <c r="F176" s="760"/>
      <c r="G176" s="760"/>
    </row>
    <row r="177" spans="1:7" x14ac:dyDescent="0.2">
      <c r="A177" s="764"/>
      <c r="D177" s="760"/>
      <c r="E177" s="760"/>
      <c r="F177" s="760"/>
      <c r="G177" s="760"/>
    </row>
    <row r="178" spans="1:7" x14ac:dyDescent="0.2">
      <c r="A178" s="764"/>
      <c r="D178" s="760"/>
      <c r="E178" s="760"/>
      <c r="F178" s="760"/>
      <c r="G178" s="760"/>
    </row>
    <row r="179" spans="1:7" x14ac:dyDescent="0.2">
      <c r="A179" s="764"/>
      <c r="D179" s="760"/>
      <c r="E179" s="760"/>
      <c r="F179" s="760"/>
      <c r="G179" s="760"/>
    </row>
    <row r="180" spans="1:7" x14ac:dyDescent="0.2">
      <c r="A180" s="764"/>
      <c r="D180" s="760"/>
      <c r="E180" s="760"/>
      <c r="F180" s="760"/>
      <c r="G180" s="760"/>
    </row>
    <row r="181" spans="1:7" x14ac:dyDescent="0.2">
      <c r="A181" s="764"/>
      <c r="D181" s="760"/>
      <c r="E181" s="760"/>
      <c r="F181" s="760"/>
      <c r="G181" s="760"/>
    </row>
    <row r="182" spans="1:7" x14ac:dyDescent="0.2">
      <c r="A182" s="764"/>
      <c r="D182" s="760"/>
      <c r="E182" s="760"/>
      <c r="F182" s="760"/>
      <c r="G182" s="760"/>
    </row>
    <row r="183" spans="1:7" x14ac:dyDescent="0.2">
      <c r="A183" s="764"/>
      <c r="D183" s="760"/>
      <c r="E183" s="760"/>
      <c r="F183" s="760"/>
      <c r="G183" s="760"/>
    </row>
    <row r="184" spans="1:7" x14ac:dyDescent="0.2">
      <c r="A184" s="764"/>
      <c r="D184" s="760"/>
      <c r="E184" s="760"/>
      <c r="F184" s="760"/>
      <c r="G184" s="760"/>
    </row>
    <row r="185" spans="1:7" x14ac:dyDescent="0.2">
      <c r="A185" s="764"/>
      <c r="D185" s="760"/>
      <c r="E185" s="760"/>
      <c r="F185" s="760"/>
      <c r="G185" s="760"/>
    </row>
    <row r="186" spans="1:7" x14ac:dyDescent="0.2">
      <c r="A186" s="764"/>
      <c r="D186" s="760"/>
      <c r="E186" s="760"/>
      <c r="F186" s="760"/>
      <c r="G186" s="760"/>
    </row>
    <row r="187" spans="1:7" x14ac:dyDescent="0.2">
      <c r="A187" s="764"/>
      <c r="D187" s="760"/>
      <c r="E187" s="760"/>
      <c r="F187" s="760"/>
      <c r="G187" s="760"/>
    </row>
    <row r="188" spans="1:7" x14ac:dyDescent="0.2">
      <c r="A188" s="764"/>
      <c r="D188" s="760"/>
      <c r="E188" s="760"/>
      <c r="F188" s="760"/>
      <c r="G188" s="760"/>
    </row>
    <row r="189" spans="1:7" x14ac:dyDescent="0.2">
      <c r="A189" s="764"/>
      <c r="D189" s="760"/>
      <c r="E189" s="760"/>
      <c r="F189" s="760"/>
      <c r="G189" s="760"/>
    </row>
    <row r="190" spans="1:7" x14ac:dyDescent="0.2">
      <c r="A190" s="764"/>
      <c r="D190" s="760"/>
      <c r="E190" s="760"/>
      <c r="F190" s="760"/>
      <c r="G190" s="760"/>
    </row>
    <row r="191" spans="1:7" x14ac:dyDescent="0.2">
      <c r="A191" s="764"/>
      <c r="D191" s="760"/>
      <c r="E191" s="760"/>
      <c r="F191" s="760"/>
      <c r="G191" s="760"/>
    </row>
    <row r="192" spans="1:7" x14ac:dyDescent="0.2">
      <c r="A192" s="764"/>
      <c r="D192" s="760"/>
      <c r="E192" s="760"/>
      <c r="F192" s="760"/>
      <c r="G192" s="760"/>
    </row>
    <row r="193" spans="1:7" x14ac:dyDescent="0.2">
      <c r="A193" s="764"/>
      <c r="D193" s="760"/>
      <c r="E193" s="760"/>
      <c r="F193" s="760"/>
      <c r="G193" s="760"/>
    </row>
    <row r="194" spans="1:7" x14ac:dyDescent="0.2">
      <c r="A194" s="764"/>
      <c r="D194" s="760"/>
      <c r="E194" s="760"/>
      <c r="F194" s="760"/>
      <c r="G194" s="760"/>
    </row>
    <row r="195" spans="1:7" x14ac:dyDescent="0.2">
      <c r="A195" s="764"/>
      <c r="D195" s="760"/>
      <c r="E195" s="760"/>
      <c r="F195" s="760"/>
      <c r="G195" s="760"/>
    </row>
    <row r="196" spans="1:7" x14ac:dyDescent="0.2">
      <c r="A196" s="764"/>
      <c r="D196" s="760"/>
      <c r="E196" s="760"/>
      <c r="F196" s="760"/>
      <c r="G196" s="760"/>
    </row>
    <row r="197" spans="1:7" x14ac:dyDescent="0.2">
      <c r="A197" s="764"/>
      <c r="D197" s="760"/>
      <c r="E197" s="760"/>
      <c r="F197" s="760"/>
      <c r="G197" s="760"/>
    </row>
    <row r="198" spans="1:7" x14ac:dyDescent="0.2">
      <c r="A198" s="764"/>
      <c r="D198" s="760"/>
      <c r="E198" s="760"/>
      <c r="F198" s="760"/>
      <c r="G198" s="760"/>
    </row>
    <row r="199" spans="1:7" x14ac:dyDescent="0.2">
      <c r="A199" s="764"/>
      <c r="D199" s="760"/>
      <c r="E199" s="760"/>
      <c r="F199" s="760"/>
      <c r="G199" s="760"/>
    </row>
    <row r="200" spans="1:7" x14ac:dyDescent="0.2">
      <c r="A200" s="764"/>
      <c r="D200" s="760"/>
      <c r="E200" s="760"/>
      <c r="F200" s="760"/>
      <c r="G200" s="760"/>
    </row>
    <row r="201" spans="1:7" x14ac:dyDescent="0.2">
      <c r="A201" s="764"/>
      <c r="D201" s="760"/>
      <c r="E201" s="760"/>
      <c r="F201" s="760"/>
      <c r="G201" s="760"/>
    </row>
    <row r="202" spans="1:7" x14ac:dyDescent="0.2">
      <c r="A202" s="764"/>
      <c r="D202" s="760"/>
      <c r="E202" s="760"/>
      <c r="F202" s="760"/>
      <c r="G202" s="760"/>
    </row>
    <row r="203" spans="1:7" x14ac:dyDescent="0.2">
      <c r="A203" s="764"/>
      <c r="D203" s="760"/>
      <c r="E203" s="760"/>
      <c r="F203" s="760"/>
      <c r="G203" s="760"/>
    </row>
    <row r="204" spans="1:7" x14ac:dyDescent="0.2">
      <c r="A204" s="764"/>
      <c r="D204" s="760"/>
      <c r="E204" s="760"/>
      <c r="F204" s="760"/>
      <c r="G204" s="760"/>
    </row>
    <row r="205" spans="1:7" x14ac:dyDescent="0.2">
      <c r="A205" s="764"/>
      <c r="D205" s="760"/>
      <c r="E205" s="760"/>
      <c r="F205" s="760"/>
      <c r="G205" s="760"/>
    </row>
    <row r="206" spans="1:7" x14ac:dyDescent="0.2">
      <c r="A206" s="764"/>
      <c r="D206" s="760"/>
      <c r="E206" s="760"/>
      <c r="F206" s="760"/>
      <c r="G206" s="760"/>
    </row>
    <row r="207" spans="1:7" x14ac:dyDescent="0.2">
      <c r="A207" s="764"/>
      <c r="D207" s="760"/>
      <c r="E207" s="760"/>
      <c r="F207" s="760"/>
      <c r="G207" s="760"/>
    </row>
    <row r="208" spans="1:7" x14ac:dyDescent="0.2">
      <c r="A208" s="764"/>
      <c r="D208" s="760"/>
      <c r="E208" s="760"/>
      <c r="F208" s="760"/>
      <c r="G208" s="760"/>
    </row>
    <row r="209" spans="1:7" x14ac:dyDescent="0.2">
      <c r="A209" s="764"/>
      <c r="D209" s="760"/>
      <c r="E209" s="760"/>
      <c r="F209" s="760"/>
      <c r="G209" s="760"/>
    </row>
    <row r="210" spans="1:7" x14ac:dyDescent="0.2">
      <c r="A210" s="764"/>
      <c r="D210" s="760"/>
      <c r="E210" s="760"/>
      <c r="F210" s="760"/>
      <c r="G210" s="760"/>
    </row>
    <row r="211" spans="1:7" x14ac:dyDescent="0.2">
      <c r="A211" s="764"/>
      <c r="D211" s="760"/>
      <c r="E211" s="760"/>
      <c r="F211" s="760"/>
      <c r="G211" s="760"/>
    </row>
    <row r="212" spans="1:7" x14ac:dyDescent="0.2">
      <c r="A212" s="764"/>
      <c r="D212" s="760"/>
      <c r="E212" s="760"/>
      <c r="F212" s="760"/>
      <c r="G212" s="760"/>
    </row>
    <row r="213" spans="1:7" x14ac:dyDescent="0.2">
      <c r="A213" s="764"/>
      <c r="D213" s="760"/>
      <c r="E213" s="760"/>
      <c r="F213" s="760"/>
      <c r="G213" s="760"/>
    </row>
    <row r="214" spans="1:7" x14ac:dyDescent="0.2">
      <c r="A214" s="764"/>
      <c r="D214" s="760"/>
      <c r="E214" s="760"/>
      <c r="F214" s="760"/>
      <c r="G214" s="760"/>
    </row>
    <row r="215" spans="1:7" x14ac:dyDescent="0.2">
      <c r="A215" s="764"/>
      <c r="D215" s="760"/>
      <c r="E215" s="760"/>
      <c r="F215" s="760"/>
      <c r="G215" s="760"/>
    </row>
    <row r="216" spans="1:7" x14ac:dyDescent="0.2">
      <c r="A216" s="764"/>
      <c r="D216" s="760"/>
      <c r="E216" s="760"/>
      <c r="F216" s="760"/>
      <c r="G216" s="760"/>
    </row>
    <row r="217" spans="1:7" x14ac:dyDescent="0.2">
      <c r="A217" s="764"/>
      <c r="D217" s="760"/>
      <c r="E217" s="760"/>
      <c r="F217" s="760"/>
      <c r="G217" s="760"/>
    </row>
  </sheetData>
  <mergeCells count="10">
    <mergeCell ref="A93:B94"/>
    <mergeCell ref="C93:C94"/>
    <mergeCell ref="D93:E93"/>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75" firstPageNumber="463" fitToHeight="2" orientation="portrait" useFirstPageNumber="1" r:id="rId1"/>
  <headerFooter alignWithMargins="0">
    <oddHeader>&amp;L&amp;"Tahoma,Kurzíva"Závěrečný účet za rok 2015&amp;R&amp;"Tahoma,Kurzíva"Tabulka č. 34</oddHeader>
    <oddFooter>&amp;C&amp;"Tahoma,Obyčejné"&amp;P</oddFooter>
  </headerFooter>
  <rowBreaks count="1" manualBreakCount="1">
    <brk id="73" max="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zoomScaleNormal="100" zoomScaleSheetLayoutView="100" workbookViewId="0">
      <selection activeCell="I5" sqref="I5"/>
    </sheetView>
  </sheetViews>
  <sheetFormatPr defaultRowHeight="12.75" x14ac:dyDescent="0.2"/>
  <cols>
    <col min="1" max="1" width="6.7109375" style="211" customWidth="1"/>
    <col min="2" max="2" width="58.42578125" style="211" customWidth="1"/>
    <col min="3" max="3" width="8.5703125" style="847" customWidth="1"/>
    <col min="4" max="7" width="15.42578125" style="211" customWidth="1"/>
    <col min="8" max="16384" width="9.140625" style="211"/>
  </cols>
  <sheetData>
    <row r="1" spans="1:7" s="837" customFormat="1" ht="18" customHeight="1" x14ac:dyDescent="0.2">
      <c r="A1" s="1493" t="s">
        <v>1874</v>
      </c>
      <c r="B1" s="1493"/>
      <c r="C1" s="1493"/>
      <c r="D1" s="1493"/>
      <c r="E1" s="1493"/>
      <c r="F1" s="1493"/>
      <c r="G1" s="1493"/>
    </row>
    <row r="2" spans="1:7" s="838" customFormat="1" ht="18" customHeight="1" x14ac:dyDescent="0.2">
      <c r="A2" s="1493" t="s">
        <v>2504</v>
      </c>
      <c r="B2" s="1493"/>
      <c r="C2" s="1493"/>
      <c r="D2" s="1493"/>
      <c r="E2" s="1493"/>
      <c r="F2" s="1493"/>
      <c r="G2" s="1493"/>
    </row>
    <row r="4" spans="1:7" ht="12.75" customHeight="1" x14ac:dyDescent="0.2">
      <c r="A4" s="839"/>
      <c r="B4" s="840"/>
      <c r="C4" s="841"/>
      <c r="D4" s="842">
        <v>1</v>
      </c>
      <c r="E4" s="842">
        <v>2</v>
      </c>
      <c r="F4" s="842">
        <v>3</v>
      </c>
      <c r="G4" s="842">
        <v>4</v>
      </c>
    </row>
    <row r="5" spans="1:7" s="843" customFormat="1" x14ac:dyDescent="0.2">
      <c r="A5" s="1517" t="s">
        <v>1876</v>
      </c>
      <c r="B5" s="1518"/>
      <c r="C5" s="1521" t="s">
        <v>1877</v>
      </c>
      <c r="D5" s="1523" t="s">
        <v>2324</v>
      </c>
      <c r="E5" s="1523"/>
      <c r="F5" s="1523" t="s">
        <v>2325</v>
      </c>
      <c r="G5" s="1523"/>
    </row>
    <row r="6" spans="1:7" s="843" customFormat="1" ht="21" x14ac:dyDescent="0.2">
      <c r="A6" s="1519"/>
      <c r="B6" s="1520"/>
      <c r="C6" s="1522"/>
      <c r="D6" s="844" t="s">
        <v>2326</v>
      </c>
      <c r="E6" s="844" t="s">
        <v>2327</v>
      </c>
      <c r="F6" s="845" t="s">
        <v>2326</v>
      </c>
      <c r="G6" s="845" t="s">
        <v>2327</v>
      </c>
    </row>
    <row r="7" spans="1:7" s="843" customFormat="1" x14ac:dyDescent="0.2">
      <c r="A7" s="804" t="s">
        <v>1885</v>
      </c>
      <c r="B7" s="804" t="s">
        <v>2328</v>
      </c>
      <c r="C7" s="805" t="s">
        <v>133</v>
      </c>
      <c r="D7" s="769">
        <v>939353.03825999994</v>
      </c>
      <c r="E7" s="769">
        <v>119949.52070000001</v>
      </c>
      <c r="F7" s="769">
        <v>655297.67472999997</v>
      </c>
      <c r="G7" s="769">
        <v>109199.3024</v>
      </c>
    </row>
    <row r="8" spans="1:7" x14ac:dyDescent="0.2">
      <c r="A8" s="767" t="s">
        <v>1887</v>
      </c>
      <c r="B8" s="767" t="s">
        <v>2329</v>
      </c>
      <c r="C8" s="812" t="s">
        <v>133</v>
      </c>
      <c r="D8" s="813">
        <v>937500.34199999995</v>
      </c>
      <c r="E8" s="813">
        <v>114634.51614000001</v>
      </c>
      <c r="F8" s="813">
        <v>654081.06772000005</v>
      </c>
      <c r="G8" s="813">
        <v>104453.82340000001</v>
      </c>
    </row>
    <row r="9" spans="1:7" x14ac:dyDescent="0.2">
      <c r="A9" s="827" t="s">
        <v>1889</v>
      </c>
      <c r="B9" s="827" t="s">
        <v>2330</v>
      </c>
      <c r="C9" s="828" t="s">
        <v>2331</v>
      </c>
      <c r="D9" s="806">
        <v>116028.01398999999</v>
      </c>
      <c r="E9" s="806">
        <v>41344.076529999998</v>
      </c>
      <c r="F9" s="806">
        <v>106947.02205</v>
      </c>
      <c r="G9" s="806">
        <v>33746.244850000003</v>
      </c>
    </row>
    <row r="10" spans="1:7" x14ac:dyDescent="0.2">
      <c r="A10" s="770" t="s">
        <v>1892</v>
      </c>
      <c r="B10" s="770" t="s">
        <v>2332</v>
      </c>
      <c r="C10" s="776" t="s">
        <v>2333</v>
      </c>
      <c r="D10" s="806">
        <v>8872.2847600000005</v>
      </c>
      <c r="E10" s="806">
        <v>2038.4039299999999</v>
      </c>
      <c r="F10" s="806">
        <v>8094.3648400000002</v>
      </c>
      <c r="G10" s="806">
        <v>1911.3395</v>
      </c>
    </row>
    <row r="11" spans="1:7" x14ac:dyDescent="0.2">
      <c r="A11" s="770" t="s">
        <v>1895</v>
      </c>
      <c r="B11" s="770" t="s">
        <v>2334</v>
      </c>
      <c r="C11" s="776" t="s">
        <v>2335</v>
      </c>
      <c r="D11" s="806"/>
      <c r="E11" s="806"/>
      <c r="F11" s="806">
        <v>1611.4921200000001</v>
      </c>
      <c r="G11" s="806">
        <v>377.70597999999995</v>
      </c>
    </row>
    <row r="12" spans="1:7" x14ac:dyDescent="0.2">
      <c r="A12" s="770" t="s">
        <v>1897</v>
      </c>
      <c r="B12" s="770" t="s">
        <v>2336</v>
      </c>
      <c r="C12" s="776" t="s">
        <v>2337</v>
      </c>
      <c r="D12" s="806"/>
      <c r="E12" s="806">
        <v>5.4111000000000002</v>
      </c>
      <c r="F12" s="806"/>
      <c r="G12" s="806">
        <v>8.9946000000000002</v>
      </c>
    </row>
    <row r="13" spans="1:7" x14ac:dyDescent="0.2">
      <c r="A13" s="770" t="s">
        <v>1900</v>
      </c>
      <c r="B13" s="770" t="s">
        <v>2338</v>
      </c>
      <c r="C13" s="776" t="s">
        <v>2339</v>
      </c>
      <c r="D13" s="806">
        <v>-9621.53982</v>
      </c>
      <c r="E13" s="806"/>
      <c r="F13" s="806">
        <v>-11087.900099999999</v>
      </c>
      <c r="G13" s="806"/>
    </row>
    <row r="14" spans="1:7" x14ac:dyDescent="0.2">
      <c r="A14" s="770" t="s">
        <v>1903</v>
      </c>
      <c r="B14" s="770" t="s">
        <v>2340</v>
      </c>
      <c r="C14" s="776" t="s">
        <v>2341</v>
      </c>
      <c r="D14" s="806">
        <v>-5508.59807</v>
      </c>
      <c r="E14" s="806"/>
      <c r="F14" s="806">
        <v>-2389.9208199999998</v>
      </c>
      <c r="G14" s="806"/>
    </row>
    <row r="15" spans="1:7" x14ac:dyDescent="0.2">
      <c r="A15" s="770" t="s">
        <v>1906</v>
      </c>
      <c r="B15" s="770" t="s">
        <v>2342</v>
      </c>
      <c r="C15" s="776" t="s">
        <v>2343</v>
      </c>
      <c r="D15" s="806"/>
      <c r="E15" s="806"/>
      <c r="F15" s="806"/>
      <c r="G15" s="806"/>
    </row>
    <row r="16" spans="1:7" x14ac:dyDescent="0.2">
      <c r="A16" s="770" t="s">
        <v>1909</v>
      </c>
      <c r="B16" s="770" t="s">
        <v>363</v>
      </c>
      <c r="C16" s="776" t="s">
        <v>2344</v>
      </c>
      <c r="D16" s="806">
        <v>429390.29850999999</v>
      </c>
      <c r="E16" s="806">
        <v>13341.551529999999</v>
      </c>
      <c r="F16" s="806">
        <v>174015.86443000002</v>
      </c>
      <c r="G16" s="806">
        <v>8250.9366499999996</v>
      </c>
    </row>
    <row r="17" spans="1:7" x14ac:dyDescent="0.2">
      <c r="A17" s="770" t="s">
        <v>1912</v>
      </c>
      <c r="B17" s="770" t="s">
        <v>2345</v>
      </c>
      <c r="C17" s="776" t="s">
        <v>2346</v>
      </c>
      <c r="D17" s="806">
        <v>2571.3309300000001</v>
      </c>
      <c r="E17" s="806">
        <v>620.92406999999992</v>
      </c>
      <c r="F17" s="806">
        <v>2751.4882799999996</v>
      </c>
      <c r="G17" s="806">
        <v>711.20971999999995</v>
      </c>
    </row>
    <row r="18" spans="1:7" x14ac:dyDescent="0.2">
      <c r="A18" s="770" t="s">
        <v>1915</v>
      </c>
      <c r="B18" s="770" t="s">
        <v>2347</v>
      </c>
      <c r="C18" s="776" t="s">
        <v>2348</v>
      </c>
      <c r="D18" s="806">
        <v>84.441000000000003</v>
      </c>
      <c r="E18" s="806"/>
      <c r="F18" s="806">
        <v>90.801000000000002</v>
      </c>
      <c r="G18" s="806"/>
    </row>
    <row r="19" spans="1:7" x14ac:dyDescent="0.2">
      <c r="A19" s="770" t="s">
        <v>2349</v>
      </c>
      <c r="B19" s="770" t="s">
        <v>2350</v>
      </c>
      <c r="C19" s="776" t="s">
        <v>2351</v>
      </c>
      <c r="D19" s="806">
        <v>-15091.424929999999</v>
      </c>
      <c r="E19" s="806"/>
      <c r="F19" s="806">
        <v>-13063.647349999999</v>
      </c>
      <c r="G19" s="806"/>
    </row>
    <row r="20" spans="1:7" x14ac:dyDescent="0.2">
      <c r="A20" s="770" t="s">
        <v>2352</v>
      </c>
      <c r="B20" s="770" t="s">
        <v>2353</v>
      </c>
      <c r="C20" s="776" t="s">
        <v>2354</v>
      </c>
      <c r="D20" s="806">
        <v>12890.27742</v>
      </c>
      <c r="E20" s="806">
        <v>2829.2176800000002</v>
      </c>
      <c r="F20" s="806">
        <v>20765.005539999998</v>
      </c>
      <c r="G20" s="806">
        <v>4062.2206499999998</v>
      </c>
    </row>
    <row r="21" spans="1:7" x14ac:dyDescent="0.2">
      <c r="A21" s="770" t="s">
        <v>2355</v>
      </c>
      <c r="B21" s="770" t="s">
        <v>2356</v>
      </c>
      <c r="C21" s="776" t="s">
        <v>2357</v>
      </c>
      <c r="D21" s="806">
        <v>129304.90509</v>
      </c>
      <c r="E21" s="806">
        <v>31026.657910000002</v>
      </c>
      <c r="F21" s="806">
        <v>120591.32426000001</v>
      </c>
      <c r="G21" s="806">
        <v>30877.677239999997</v>
      </c>
    </row>
    <row r="22" spans="1:7" x14ac:dyDescent="0.2">
      <c r="A22" s="770" t="s">
        <v>2358</v>
      </c>
      <c r="B22" s="770" t="s">
        <v>2359</v>
      </c>
      <c r="C22" s="776" t="s">
        <v>2360</v>
      </c>
      <c r="D22" s="806">
        <v>43875.528409999999</v>
      </c>
      <c r="E22" s="806">
        <v>10516.918589999999</v>
      </c>
      <c r="F22" s="806">
        <v>40995.411770000006</v>
      </c>
      <c r="G22" s="806">
        <v>10493.095230000001</v>
      </c>
    </row>
    <row r="23" spans="1:7" x14ac:dyDescent="0.2">
      <c r="A23" s="770" t="s">
        <v>2361</v>
      </c>
      <c r="B23" s="770" t="s">
        <v>2362</v>
      </c>
      <c r="C23" s="776" t="s">
        <v>2363</v>
      </c>
      <c r="D23" s="806">
        <v>714.01013999999998</v>
      </c>
      <c r="E23" s="806">
        <v>172.41886</v>
      </c>
      <c r="F23" s="806">
        <v>656.13020999999992</v>
      </c>
      <c r="G23" s="806">
        <v>169.58579</v>
      </c>
    </row>
    <row r="24" spans="1:7" x14ac:dyDescent="0.2">
      <c r="A24" s="770" t="s">
        <v>2364</v>
      </c>
      <c r="B24" s="770" t="s">
        <v>2365</v>
      </c>
      <c r="C24" s="776" t="s">
        <v>2366</v>
      </c>
      <c r="D24" s="806">
        <v>4533.7195099999999</v>
      </c>
      <c r="E24" s="806">
        <v>1109.0346499999998</v>
      </c>
      <c r="F24" s="806">
        <v>3526.65607</v>
      </c>
      <c r="G24" s="806">
        <v>924.47708999999998</v>
      </c>
    </row>
    <row r="25" spans="1:7" x14ac:dyDescent="0.2">
      <c r="A25" s="770" t="s">
        <v>2367</v>
      </c>
      <c r="B25" s="770" t="s">
        <v>2368</v>
      </c>
      <c r="C25" s="776" t="s">
        <v>2369</v>
      </c>
      <c r="D25" s="806"/>
      <c r="E25" s="806"/>
      <c r="F25" s="806"/>
      <c r="G25" s="806"/>
    </row>
    <row r="26" spans="1:7" x14ac:dyDescent="0.2">
      <c r="A26" s="770" t="s">
        <v>2370</v>
      </c>
      <c r="B26" s="770" t="s">
        <v>2371</v>
      </c>
      <c r="C26" s="776" t="s">
        <v>2372</v>
      </c>
      <c r="D26" s="806"/>
      <c r="E26" s="806">
        <v>200.84800000000001</v>
      </c>
      <c r="F26" s="806"/>
      <c r="G26" s="806">
        <v>228.17400000000001</v>
      </c>
    </row>
    <row r="27" spans="1:7" x14ac:dyDescent="0.2">
      <c r="A27" s="770" t="s">
        <v>2373</v>
      </c>
      <c r="B27" s="770" t="s">
        <v>2374</v>
      </c>
      <c r="C27" s="776" t="s">
        <v>2375</v>
      </c>
      <c r="D27" s="806"/>
      <c r="E27" s="806"/>
      <c r="F27" s="806"/>
      <c r="G27" s="806"/>
    </row>
    <row r="28" spans="1:7" x14ac:dyDescent="0.2">
      <c r="A28" s="770" t="s">
        <v>2376</v>
      </c>
      <c r="B28" s="770" t="s">
        <v>2377</v>
      </c>
      <c r="C28" s="776" t="s">
        <v>2378</v>
      </c>
      <c r="D28" s="806">
        <v>446.22949999999997</v>
      </c>
      <c r="E28" s="806">
        <v>85.177549999999997</v>
      </c>
      <c r="F28" s="806">
        <v>336.43970000000002</v>
      </c>
      <c r="G28" s="806">
        <v>71.747919999999993</v>
      </c>
    </row>
    <row r="29" spans="1:7" x14ac:dyDescent="0.2">
      <c r="A29" s="770" t="s">
        <v>2379</v>
      </c>
      <c r="B29" s="770" t="s">
        <v>2380</v>
      </c>
      <c r="C29" s="776" t="s">
        <v>2381</v>
      </c>
      <c r="D29" s="806"/>
      <c r="E29" s="806"/>
      <c r="F29" s="806">
        <v>0.48604000000000003</v>
      </c>
      <c r="G29" s="806"/>
    </row>
    <row r="30" spans="1:7" x14ac:dyDescent="0.2">
      <c r="A30" s="770" t="s">
        <v>2382</v>
      </c>
      <c r="B30" s="770" t="s">
        <v>2383</v>
      </c>
      <c r="C30" s="776" t="s">
        <v>2384</v>
      </c>
      <c r="D30" s="806"/>
      <c r="E30" s="806"/>
      <c r="F30" s="806"/>
      <c r="G30" s="806"/>
    </row>
    <row r="31" spans="1:7" x14ac:dyDescent="0.2">
      <c r="A31" s="770" t="s">
        <v>2385</v>
      </c>
      <c r="B31" s="770" t="s">
        <v>2386</v>
      </c>
      <c r="C31" s="776" t="s">
        <v>2387</v>
      </c>
      <c r="D31" s="806"/>
      <c r="E31" s="806"/>
      <c r="F31" s="806"/>
      <c r="G31" s="806"/>
    </row>
    <row r="32" spans="1:7" x14ac:dyDescent="0.2">
      <c r="A32" s="770" t="s">
        <v>2388</v>
      </c>
      <c r="B32" s="770" t="s">
        <v>2389</v>
      </c>
      <c r="C32" s="776" t="s">
        <v>2390</v>
      </c>
      <c r="D32" s="806">
        <v>163.08726000000001</v>
      </c>
      <c r="E32" s="806"/>
      <c r="F32" s="806">
        <v>32.383749999999999</v>
      </c>
      <c r="G32" s="806"/>
    </row>
    <row r="33" spans="1:7" x14ac:dyDescent="0.2">
      <c r="A33" s="770" t="s">
        <v>2391</v>
      </c>
      <c r="B33" s="770" t="s">
        <v>2392</v>
      </c>
      <c r="C33" s="776" t="s">
        <v>2393</v>
      </c>
      <c r="D33" s="806">
        <v>1526.7576899999999</v>
      </c>
      <c r="E33" s="806"/>
      <c r="F33" s="806">
        <v>1.8729200000000001</v>
      </c>
      <c r="G33" s="806"/>
    </row>
    <row r="34" spans="1:7" x14ac:dyDescent="0.2">
      <c r="A34" s="770" t="s">
        <v>2394</v>
      </c>
      <c r="B34" s="770" t="s">
        <v>2395</v>
      </c>
      <c r="C34" s="776" t="s">
        <v>2396</v>
      </c>
      <c r="D34" s="806">
        <v>196.28091000000001</v>
      </c>
      <c r="E34" s="806"/>
      <c r="F34" s="806">
        <v>814.38729000000001</v>
      </c>
      <c r="G34" s="806"/>
    </row>
    <row r="35" spans="1:7" x14ac:dyDescent="0.2">
      <c r="A35" s="770" t="s">
        <v>2397</v>
      </c>
      <c r="B35" s="770" t="s">
        <v>2398</v>
      </c>
      <c r="C35" s="776" t="s">
        <v>2399</v>
      </c>
      <c r="D35" s="806">
        <v>215674.56615</v>
      </c>
      <c r="E35" s="806">
        <v>11012.20585</v>
      </c>
      <c r="F35" s="806">
        <v>197505.66279</v>
      </c>
      <c r="G35" s="806">
        <v>12130.21831</v>
      </c>
    </row>
    <row r="36" spans="1:7" x14ac:dyDescent="0.2">
      <c r="A36" s="770" t="s">
        <v>2400</v>
      </c>
      <c r="B36" s="770" t="s">
        <v>2401</v>
      </c>
      <c r="C36" s="776" t="s">
        <v>2402</v>
      </c>
      <c r="D36" s="806"/>
      <c r="E36" s="806"/>
      <c r="F36" s="806"/>
      <c r="G36" s="806"/>
    </row>
    <row r="37" spans="1:7" x14ac:dyDescent="0.2">
      <c r="A37" s="770" t="s">
        <v>2403</v>
      </c>
      <c r="B37" s="770" t="s">
        <v>2404</v>
      </c>
      <c r="C37" s="776" t="s">
        <v>2405</v>
      </c>
      <c r="D37" s="806"/>
      <c r="E37" s="806"/>
      <c r="F37" s="806"/>
      <c r="G37" s="806"/>
    </row>
    <row r="38" spans="1:7" x14ac:dyDescent="0.2">
      <c r="A38" s="770" t="s">
        <v>2406</v>
      </c>
      <c r="B38" s="770" t="s">
        <v>2407</v>
      </c>
      <c r="C38" s="776" t="s">
        <v>2408</v>
      </c>
      <c r="D38" s="806"/>
      <c r="E38" s="806"/>
      <c r="F38" s="806"/>
      <c r="G38" s="806"/>
    </row>
    <row r="39" spans="1:7" x14ac:dyDescent="0.2">
      <c r="A39" s="770" t="s">
        <v>2409</v>
      </c>
      <c r="B39" s="770" t="s">
        <v>2410</v>
      </c>
      <c r="C39" s="776" t="s">
        <v>2411</v>
      </c>
      <c r="D39" s="806"/>
      <c r="E39" s="806"/>
      <c r="F39" s="806"/>
      <c r="G39" s="806"/>
    </row>
    <row r="40" spans="1:7" x14ac:dyDescent="0.2">
      <c r="A40" s="770" t="s">
        <v>2412</v>
      </c>
      <c r="B40" s="770" t="s">
        <v>2413</v>
      </c>
      <c r="C40" s="776" t="s">
        <v>2414</v>
      </c>
      <c r="D40" s="806"/>
      <c r="E40" s="806"/>
      <c r="F40" s="806"/>
      <c r="G40" s="806"/>
    </row>
    <row r="41" spans="1:7" x14ac:dyDescent="0.2">
      <c r="A41" s="770" t="s">
        <v>2415</v>
      </c>
      <c r="B41" s="770" t="s">
        <v>2416</v>
      </c>
      <c r="C41" s="776" t="s">
        <v>2417</v>
      </c>
      <c r="D41" s="806"/>
      <c r="E41" s="806"/>
      <c r="F41" s="806"/>
      <c r="G41" s="806"/>
    </row>
    <row r="42" spans="1:7" x14ac:dyDescent="0.2">
      <c r="A42" s="770" t="s">
        <v>2418</v>
      </c>
      <c r="B42" s="770" t="s">
        <v>2419</v>
      </c>
      <c r="C42" s="776" t="s">
        <v>2420</v>
      </c>
      <c r="D42" s="806">
        <v>1438.7735500000001</v>
      </c>
      <c r="E42" s="806">
        <v>331.66989000000001</v>
      </c>
      <c r="F42" s="806">
        <v>1847.95921</v>
      </c>
      <c r="G42" s="806">
        <v>490.19587000000001</v>
      </c>
    </row>
    <row r="43" spans="1:7" x14ac:dyDescent="0.2">
      <c r="A43" s="770" t="s">
        <v>2421</v>
      </c>
      <c r="B43" s="770" t="s">
        <v>2422</v>
      </c>
      <c r="C43" s="776" t="s">
        <v>2423</v>
      </c>
      <c r="D43" s="806">
        <v>11.4</v>
      </c>
      <c r="E43" s="806"/>
      <c r="F43" s="806">
        <v>37.783720000000002</v>
      </c>
      <c r="G43" s="806"/>
    </row>
    <row r="44" spans="1:7" x14ac:dyDescent="0.2">
      <c r="A44" s="767" t="s">
        <v>1918</v>
      </c>
      <c r="B44" s="767" t="s">
        <v>2424</v>
      </c>
      <c r="C44" s="812" t="s">
        <v>133</v>
      </c>
      <c r="D44" s="846">
        <v>4.6031300000000002</v>
      </c>
      <c r="E44" s="846">
        <v>1.1115599999999999</v>
      </c>
      <c r="F44" s="846">
        <v>0</v>
      </c>
      <c r="G44" s="846">
        <v>0</v>
      </c>
    </row>
    <row r="45" spans="1:7" x14ac:dyDescent="0.2">
      <c r="A45" s="770" t="s">
        <v>1920</v>
      </c>
      <c r="B45" s="770" t="s">
        <v>2425</v>
      </c>
      <c r="C45" s="776" t="s">
        <v>2426</v>
      </c>
      <c r="D45" s="806"/>
      <c r="E45" s="806"/>
      <c r="F45" s="806"/>
      <c r="G45" s="806"/>
    </row>
    <row r="46" spans="1:7" x14ac:dyDescent="0.2">
      <c r="A46" s="770" t="s">
        <v>1922</v>
      </c>
      <c r="B46" s="770" t="s">
        <v>2427</v>
      </c>
      <c r="C46" s="776" t="s">
        <v>2428</v>
      </c>
      <c r="D46" s="806"/>
      <c r="E46" s="806"/>
      <c r="F46" s="806"/>
      <c r="G46" s="806"/>
    </row>
    <row r="47" spans="1:7" x14ac:dyDescent="0.2">
      <c r="A47" s="770" t="s">
        <v>1925</v>
      </c>
      <c r="B47" s="770" t="s">
        <v>2429</v>
      </c>
      <c r="C47" s="776" t="s">
        <v>2430</v>
      </c>
      <c r="D47" s="806">
        <v>4.6031300000000002</v>
      </c>
      <c r="E47" s="806">
        <v>1.1115599999999999</v>
      </c>
      <c r="F47" s="806"/>
      <c r="G47" s="806"/>
    </row>
    <row r="48" spans="1:7" x14ac:dyDescent="0.2">
      <c r="A48" s="770" t="s">
        <v>1928</v>
      </c>
      <c r="B48" s="770" t="s">
        <v>2431</v>
      </c>
      <c r="C48" s="776" t="s">
        <v>2432</v>
      </c>
      <c r="D48" s="806"/>
      <c r="E48" s="806"/>
      <c r="F48" s="806"/>
      <c r="G48" s="806"/>
    </row>
    <row r="49" spans="1:7" x14ac:dyDescent="0.2">
      <c r="A49" s="770" t="s">
        <v>1931</v>
      </c>
      <c r="B49" s="770" t="s">
        <v>2433</v>
      </c>
      <c r="C49" s="776" t="s">
        <v>2434</v>
      </c>
      <c r="D49" s="806"/>
      <c r="E49" s="806"/>
      <c r="F49" s="806"/>
      <c r="G49" s="806"/>
    </row>
    <row r="50" spans="1:7" x14ac:dyDescent="0.2">
      <c r="A50" s="767" t="s">
        <v>1952</v>
      </c>
      <c r="B50" s="767" t="s">
        <v>2435</v>
      </c>
      <c r="C50" s="812" t="s">
        <v>133</v>
      </c>
      <c r="D50" s="846">
        <v>0</v>
      </c>
      <c r="E50" s="846">
        <v>0</v>
      </c>
      <c r="F50" s="846">
        <v>0</v>
      </c>
      <c r="G50" s="846">
        <v>0</v>
      </c>
    </row>
    <row r="51" spans="1:7" x14ac:dyDescent="0.2">
      <c r="A51" s="770" t="s">
        <v>1954</v>
      </c>
      <c r="B51" s="770" t="s">
        <v>2436</v>
      </c>
      <c r="C51" s="776" t="s">
        <v>2437</v>
      </c>
      <c r="D51" s="806"/>
      <c r="E51" s="806"/>
      <c r="F51" s="806"/>
      <c r="G51" s="806"/>
    </row>
    <row r="52" spans="1:7" x14ac:dyDescent="0.2">
      <c r="A52" s="770" t="s">
        <v>1957</v>
      </c>
      <c r="B52" s="770" t="s">
        <v>2438</v>
      </c>
      <c r="C52" s="776" t="s">
        <v>2439</v>
      </c>
      <c r="D52" s="806"/>
      <c r="E52" s="806"/>
      <c r="F52" s="806"/>
      <c r="G52" s="806"/>
    </row>
    <row r="53" spans="1:7" x14ac:dyDescent="0.2">
      <c r="A53" s="767" t="s">
        <v>2440</v>
      </c>
      <c r="B53" s="767" t="s">
        <v>2074</v>
      </c>
      <c r="C53" s="812" t="s">
        <v>133</v>
      </c>
      <c r="D53" s="813">
        <v>1848.09313</v>
      </c>
      <c r="E53" s="814">
        <v>5313.893</v>
      </c>
      <c r="F53" s="813">
        <v>1216.6070099999999</v>
      </c>
      <c r="G53" s="814">
        <v>4745.4790000000003</v>
      </c>
    </row>
    <row r="54" spans="1:7" x14ac:dyDescent="0.2">
      <c r="A54" s="770" t="s">
        <v>2441</v>
      </c>
      <c r="B54" s="770" t="s">
        <v>2074</v>
      </c>
      <c r="C54" s="776" t="s">
        <v>2442</v>
      </c>
      <c r="D54" s="806">
        <v>1848.09313</v>
      </c>
      <c r="E54" s="806">
        <v>5313.893</v>
      </c>
      <c r="F54" s="806">
        <v>1216.6070099999999</v>
      </c>
      <c r="G54" s="806">
        <v>4745.4790000000003</v>
      </c>
    </row>
    <row r="55" spans="1:7" x14ac:dyDescent="0.2">
      <c r="A55" s="770" t="s">
        <v>2443</v>
      </c>
      <c r="B55" s="770" t="s">
        <v>2444</v>
      </c>
      <c r="C55" s="776" t="s">
        <v>2445</v>
      </c>
      <c r="D55" s="806"/>
      <c r="E55" s="806"/>
      <c r="F55" s="806"/>
      <c r="G55" s="806"/>
    </row>
    <row r="56" spans="1:7" x14ac:dyDescent="0.2">
      <c r="A56" s="767" t="s">
        <v>2001</v>
      </c>
      <c r="B56" s="767" t="s">
        <v>2446</v>
      </c>
      <c r="C56" s="812" t="s">
        <v>133</v>
      </c>
      <c r="D56" s="813">
        <v>928789.01535999996</v>
      </c>
      <c r="E56" s="814">
        <v>134255.79814</v>
      </c>
      <c r="F56" s="813">
        <v>648915.42648999998</v>
      </c>
      <c r="G56" s="814">
        <v>120107.95692</v>
      </c>
    </row>
    <row r="57" spans="1:7" x14ac:dyDescent="0.2">
      <c r="A57" s="767" t="s">
        <v>2003</v>
      </c>
      <c r="B57" s="767" t="s">
        <v>2447</v>
      </c>
      <c r="C57" s="812" t="s">
        <v>133</v>
      </c>
      <c r="D57" s="813">
        <v>16908.909660000001</v>
      </c>
      <c r="E57" s="814">
        <v>134255.79814</v>
      </c>
      <c r="F57" s="813">
        <v>12109.294890000001</v>
      </c>
      <c r="G57" s="814">
        <v>120107.95692</v>
      </c>
    </row>
    <row r="58" spans="1:7" x14ac:dyDescent="0.2">
      <c r="A58" s="770" t="s">
        <v>2005</v>
      </c>
      <c r="B58" s="770" t="s">
        <v>2448</v>
      </c>
      <c r="C58" s="776" t="s">
        <v>2449</v>
      </c>
      <c r="D58" s="806"/>
      <c r="E58" s="806"/>
      <c r="F58" s="806"/>
      <c r="G58" s="806"/>
    </row>
    <row r="59" spans="1:7" x14ac:dyDescent="0.2">
      <c r="A59" s="770" t="s">
        <v>2008</v>
      </c>
      <c r="B59" s="770" t="s">
        <v>2450</v>
      </c>
      <c r="C59" s="776" t="s">
        <v>2451</v>
      </c>
      <c r="D59" s="806">
        <v>42.176559999999995</v>
      </c>
      <c r="E59" s="806">
        <v>134242.52613999997</v>
      </c>
      <c r="F59" s="806"/>
      <c r="G59" s="806">
        <v>120085.86492000001</v>
      </c>
    </row>
    <row r="60" spans="1:7" x14ac:dyDescent="0.2">
      <c r="A60" s="770" t="s">
        <v>2011</v>
      </c>
      <c r="B60" s="770" t="s">
        <v>2452</v>
      </c>
      <c r="C60" s="776" t="s">
        <v>2453</v>
      </c>
      <c r="D60" s="806">
        <v>6203.3457400000007</v>
      </c>
      <c r="E60" s="806"/>
      <c r="F60" s="806">
        <v>5862.0425100000002</v>
      </c>
      <c r="G60" s="806"/>
    </row>
    <row r="61" spans="1:7" x14ac:dyDescent="0.2">
      <c r="A61" s="770" t="s">
        <v>2014</v>
      </c>
      <c r="B61" s="770" t="s">
        <v>2454</v>
      </c>
      <c r="C61" s="776" t="s">
        <v>2455</v>
      </c>
      <c r="D61" s="806"/>
      <c r="E61" s="806">
        <v>13.272</v>
      </c>
      <c r="F61" s="806"/>
      <c r="G61" s="806">
        <v>22.091999999999999</v>
      </c>
    </row>
    <row r="62" spans="1:7" x14ac:dyDescent="0.2">
      <c r="A62" s="770" t="s">
        <v>2026</v>
      </c>
      <c r="B62" s="770" t="s">
        <v>2456</v>
      </c>
      <c r="C62" s="776" t="s">
        <v>2457</v>
      </c>
      <c r="D62" s="806"/>
      <c r="E62" s="806"/>
      <c r="F62" s="806"/>
      <c r="G62" s="806"/>
    </row>
    <row r="63" spans="1:7" x14ac:dyDescent="0.2">
      <c r="A63" s="770" t="s">
        <v>2029</v>
      </c>
      <c r="B63" s="770" t="s">
        <v>2380</v>
      </c>
      <c r="C63" s="776" t="s">
        <v>2458</v>
      </c>
      <c r="D63" s="806">
        <v>285.54609999999997</v>
      </c>
      <c r="E63" s="806"/>
      <c r="F63" s="806">
        <v>323.75876</v>
      </c>
      <c r="G63" s="806"/>
    </row>
    <row r="64" spans="1:7" x14ac:dyDescent="0.2">
      <c r="A64" s="770" t="s">
        <v>2032</v>
      </c>
      <c r="B64" s="770" t="s">
        <v>2383</v>
      </c>
      <c r="C64" s="776" t="s">
        <v>2459</v>
      </c>
      <c r="D64" s="806"/>
      <c r="E64" s="806"/>
      <c r="F64" s="806"/>
      <c r="G64" s="806"/>
    </row>
    <row r="65" spans="1:7" x14ac:dyDescent="0.2">
      <c r="A65" s="770" t="s">
        <v>2460</v>
      </c>
      <c r="B65" s="770" t="s">
        <v>2461</v>
      </c>
      <c r="C65" s="776" t="s">
        <v>2462</v>
      </c>
      <c r="D65" s="806"/>
      <c r="E65" s="806"/>
      <c r="F65" s="806"/>
      <c r="G65" s="806"/>
    </row>
    <row r="66" spans="1:7" x14ac:dyDescent="0.2">
      <c r="A66" s="770" t="s">
        <v>2463</v>
      </c>
      <c r="B66" s="770" t="s">
        <v>2464</v>
      </c>
      <c r="C66" s="776" t="s">
        <v>2465</v>
      </c>
      <c r="D66" s="806">
        <v>4172.0758100000003</v>
      </c>
      <c r="E66" s="806"/>
      <c r="F66" s="806">
        <v>518.97327000000007</v>
      </c>
      <c r="G66" s="806"/>
    </row>
    <row r="67" spans="1:7" x14ac:dyDescent="0.2">
      <c r="A67" s="770" t="s">
        <v>2466</v>
      </c>
      <c r="B67" s="770" t="s">
        <v>2467</v>
      </c>
      <c r="C67" s="776" t="s">
        <v>2468</v>
      </c>
      <c r="D67" s="806"/>
      <c r="E67" s="806"/>
      <c r="F67" s="806"/>
      <c r="G67" s="806"/>
    </row>
    <row r="68" spans="1:7" x14ac:dyDescent="0.2">
      <c r="A68" s="770" t="s">
        <v>2469</v>
      </c>
      <c r="B68" s="770" t="s">
        <v>2470</v>
      </c>
      <c r="C68" s="776" t="s">
        <v>2471</v>
      </c>
      <c r="D68" s="806">
        <v>210.64287999999999</v>
      </c>
      <c r="E68" s="806"/>
      <c r="F68" s="806">
        <v>831.12468000000001</v>
      </c>
      <c r="G68" s="806"/>
    </row>
    <row r="69" spans="1:7" x14ac:dyDescent="0.2">
      <c r="A69" s="770" t="s">
        <v>2472</v>
      </c>
      <c r="B69" s="770" t="s">
        <v>2473</v>
      </c>
      <c r="C69" s="776" t="s">
        <v>2474</v>
      </c>
      <c r="D69" s="806"/>
      <c r="E69" s="806"/>
      <c r="F69" s="806"/>
      <c r="G69" s="806"/>
    </row>
    <row r="70" spans="1:7" x14ac:dyDescent="0.2">
      <c r="A70" s="770" t="s">
        <v>2475</v>
      </c>
      <c r="B70" s="770" t="s">
        <v>2476</v>
      </c>
      <c r="C70" s="776" t="s">
        <v>2477</v>
      </c>
      <c r="D70" s="806">
        <v>108.68195</v>
      </c>
      <c r="E70" s="806"/>
      <c r="F70" s="806">
        <v>187.35712000000001</v>
      </c>
      <c r="G70" s="806"/>
    </row>
    <row r="71" spans="1:7" x14ac:dyDescent="0.2">
      <c r="A71" s="770" t="s">
        <v>2478</v>
      </c>
      <c r="B71" s="770" t="s">
        <v>2479</v>
      </c>
      <c r="C71" s="776" t="s">
        <v>2480</v>
      </c>
      <c r="D71" s="806">
        <v>5886.4406200000003</v>
      </c>
      <c r="E71" s="806"/>
      <c r="F71" s="806">
        <v>4386.0385500000002</v>
      </c>
      <c r="G71" s="806"/>
    </row>
    <row r="72" spans="1:7" x14ac:dyDescent="0.2">
      <c r="A72" s="767" t="s">
        <v>2035</v>
      </c>
      <c r="B72" s="767" t="s">
        <v>2481</v>
      </c>
      <c r="C72" s="812" t="s">
        <v>133</v>
      </c>
      <c r="D72" s="813">
        <v>462.68369999999999</v>
      </c>
      <c r="E72" s="846">
        <v>0</v>
      </c>
      <c r="F72" s="813">
        <v>2291.8176000000003</v>
      </c>
      <c r="G72" s="846">
        <v>0</v>
      </c>
    </row>
    <row r="73" spans="1:7" x14ac:dyDescent="0.2">
      <c r="A73" s="770" t="s">
        <v>2037</v>
      </c>
      <c r="B73" s="770" t="s">
        <v>2482</v>
      </c>
      <c r="C73" s="776" t="s">
        <v>2483</v>
      </c>
      <c r="D73" s="806"/>
      <c r="E73" s="806"/>
      <c r="F73" s="806"/>
      <c r="G73" s="806"/>
    </row>
    <row r="74" spans="1:7" x14ac:dyDescent="0.2">
      <c r="A74" s="770" t="s">
        <v>2040</v>
      </c>
      <c r="B74" s="770" t="s">
        <v>2427</v>
      </c>
      <c r="C74" s="776" t="s">
        <v>2484</v>
      </c>
      <c r="D74" s="806">
        <v>462.68309999999997</v>
      </c>
      <c r="E74" s="806"/>
      <c r="F74" s="806">
        <v>1160.5797</v>
      </c>
      <c r="G74" s="806"/>
    </row>
    <row r="75" spans="1:7" x14ac:dyDescent="0.2">
      <c r="A75" s="770" t="s">
        <v>2043</v>
      </c>
      <c r="B75" s="770" t="s">
        <v>2485</v>
      </c>
      <c r="C75" s="776" t="s">
        <v>2486</v>
      </c>
      <c r="D75" s="806"/>
      <c r="E75" s="806"/>
      <c r="F75" s="806"/>
      <c r="G75" s="806"/>
    </row>
    <row r="76" spans="1:7" x14ac:dyDescent="0.2">
      <c r="A76" s="770" t="s">
        <v>2046</v>
      </c>
      <c r="B76" s="770" t="s">
        <v>2487</v>
      </c>
      <c r="C76" s="776" t="s">
        <v>2488</v>
      </c>
      <c r="D76" s="806"/>
      <c r="E76" s="806"/>
      <c r="F76" s="806"/>
      <c r="G76" s="806"/>
    </row>
    <row r="77" spans="1:7" x14ac:dyDescent="0.2">
      <c r="A77" s="770" t="s">
        <v>2052</v>
      </c>
      <c r="B77" s="770" t="s">
        <v>2489</v>
      </c>
      <c r="C77" s="776" t="s">
        <v>2490</v>
      </c>
      <c r="D77" s="806"/>
      <c r="E77" s="806"/>
      <c r="F77" s="806">
        <v>1131.2378999999999</v>
      </c>
      <c r="G77" s="806"/>
    </row>
    <row r="78" spans="1:7" x14ac:dyDescent="0.2">
      <c r="A78" s="767" t="s">
        <v>2491</v>
      </c>
      <c r="B78" s="767" t="s">
        <v>2492</v>
      </c>
      <c r="C78" s="812" t="s">
        <v>133</v>
      </c>
      <c r="D78" s="813">
        <v>911417.42200000002</v>
      </c>
      <c r="E78" s="846">
        <v>0</v>
      </c>
      <c r="F78" s="813">
        <v>634514.31400000001</v>
      </c>
      <c r="G78" s="846">
        <v>0</v>
      </c>
    </row>
    <row r="79" spans="1:7" x14ac:dyDescent="0.2">
      <c r="A79" s="770" t="s">
        <v>2493</v>
      </c>
      <c r="B79" s="770" t="s">
        <v>2494</v>
      </c>
      <c r="C79" s="776" t="s">
        <v>2495</v>
      </c>
      <c r="D79" s="806"/>
      <c r="E79" s="806"/>
      <c r="F79" s="806"/>
      <c r="G79" s="806"/>
    </row>
    <row r="80" spans="1:7" x14ac:dyDescent="0.2">
      <c r="A80" s="770" t="s">
        <v>2496</v>
      </c>
      <c r="B80" s="770" t="s">
        <v>2497</v>
      </c>
      <c r="C80" s="776" t="s">
        <v>2498</v>
      </c>
      <c r="D80" s="806">
        <v>911417.42200000002</v>
      </c>
      <c r="E80" s="806"/>
      <c r="F80" s="806">
        <v>634514.31400000001</v>
      </c>
      <c r="G80" s="806"/>
    </row>
    <row r="81" spans="1:7" x14ac:dyDescent="0.2">
      <c r="A81" s="767" t="s">
        <v>2159</v>
      </c>
      <c r="B81" s="767" t="s">
        <v>2499</v>
      </c>
      <c r="C81" s="812" t="s">
        <v>133</v>
      </c>
      <c r="D81" s="813"/>
      <c r="E81" s="813"/>
      <c r="F81" s="813"/>
      <c r="G81" s="813"/>
    </row>
    <row r="82" spans="1:7" x14ac:dyDescent="0.2">
      <c r="A82" s="767" t="s">
        <v>2500</v>
      </c>
      <c r="B82" s="767" t="s">
        <v>2501</v>
      </c>
      <c r="C82" s="812" t="s">
        <v>133</v>
      </c>
      <c r="D82" s="813">
        <v>-8715.9297699999988</v>
      </c>
      <c r="E82" s="814">
        <v>19620.170440000002</v>
      </c>
      <c r="F82" s="813">
        <v>-5165.6412300000002</v>
      </c>
      <c r="G82" s="814">
        <v>15654.133519999999</v>
      </c>
    </row>
    <row r="83" spans="1:7" x14ac:dyDescent="0.2">
      <c r="A83" s="767" t="s">
        <v>2502</v>
      </c>
      <c r="B83" s="767" t="s">
        <v>2204</v>
      </c>
      <c r="C83" s="812" t="s">
        <v>133</v>
      </c>
      <c r="D83" s="813">
        <v>-10564.0229</v>
      </c>
      <c r="E83" s="814">
        <v>14306.27744</v>
      </c>
      <c r="F83" s="813">
        <v>-6382.2482399999999</v>
      </c>
      <c r="G83" s="814">
        <v>10908.65452</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465" orientation="portrait" useFirstPageNumber="1" r:id="rId1"/>
  <headerFooter alignWithMargins="0">
    <oddHeader>&amp;L&amp;"Tahoma,Kurzíva"Závěrečný účet za rok 2015&amp;R&amp;"Tahoma,Kurzíva"Tabulka č. 35</oddHeader>
    <oddFooter>&amp;C&amp;"Tahoma,Obyčejné"&amp;P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7"/>
  <sheetViews>
    <sheetView showGridLines="0" zoomScaleNormal="100" zoomScaleSheetLayoutView="100" workbookViewId="0">
      <selection activeCell="I5" sqref="I5"/>
    </sheetView>
  </sheetViews>
  <sheetFormatPr defaultRowHeight="12.75" x14ac:dyDescent="0.2"/>
  <cols>
    <col min="1" max="1" width="7" style="836" customWidth="1"/>
    <col min="2" max="2" width="43.7109375" style="764" customWidth="1"/>
    <col min="3" max="3" width="8.7109375" style="835" customWidth="1"/>
    <col min="4" max="7" width="13.85546875" style="799" customWidth="1"/>
    <col min="8" max="8" width="9.140625" style="764" customWidth="1"/>
    <col min="9" max="16384" width="9.140625" style="764"/>
  </cols>
  <sheetData>
    <row r="1" spans="1:7" s="784" customFormat="1" ht="18" customHeight="1" x14ac:dyDescent="0.2">
      <c r="A1" s="1493" t="s">
        <v>1874</v>
      </c>
      <c r="B1" s="1493"/>
      <c r="C1" s="1493"/>
      <c r="D1" s="1493"/>
      <c r="E1" s="1493"/>
      <c r="F1" s="1493"/>
      <c r="G1" s="1493"/>
    </row>
    <row r="2" spans="1:7" s="784" customFormat="1" ht="18" customHeight="1" x14ac:dyDescent="0.2">
      <c r="A2" s="1494" t="s">
        <v>2505</v>
      </c>
      <c r="B2" s="1494"/>
      <c r="C2" s="1494"/>
      <c r="D2" s="1494"/>
      <c r="E2" s="1494"/>
      <c r="F2" s="1494"/>
      <c r="G2" s="1494"/>
    </row>
    <row r="3" spans="1:7" s="648" customFormat="1" x14ac:dyDescent="0.2">
      <c r="C3" s="546"/>
      <c r="D3" s="760"/>
      <c r="E3" s="760"/>
      <c r="F3" s="760"/>
      <c r="G3" s="760"/>
    </row>
    <row r="4" spans="1:7" x14ac:dyDescent="0.2">
      <c r="A4" s="761"/>
      <c r="B4" s="761"/>
      <c r="C4" s="762"/>
      <c r="D4" s="763">
        <v>1</v>
      </c>
      <c r="E4" s="763">
        <v>2</v>
      </c>
      <c r="F4" s="763">
        <v>3</v>
      </c>
      <c r="G4" s="763">
        <v>4</v>
      </c>
    </row>
    <row r="5" spans="1:7" s="825" customFormat="1" ht="12.75" customHeight="1" x14ac:dyDescent="0.2">
      <c r="A5" s="1495" t="s">
        <v>1876</v>
      </c>
      <c r="B5" s="1496"/>
      <c r="C5" s="1501" t="s">
        <v>1877</v>
      </c>
      <c r="D5" s="1506" t="s">
        <v>1878</v>
      </c>
      <c r="E5" s="1507"/>
      <c r="F5" s="1507"/>
      <c r="G5" s="1508"/>
    </row>
    <row r="6" spans="1:7" s="765" customFormat="1" x14ac:dyDescent="0.2">
      <c r="A6" s="1497"/>
      <c r="B6" s="1498"/>
      <c r="C6" s="1502"/>
      <c r="D6" s="1509" t="s">
        <v>1879</v>
      </c>
      <c r="E6" s="1510"/>
      <c r="F6" s="1511"/>
      <c r="G6" s="1512" t="s">
        <v>1880</v>
      </c>
    </row>
    <row r="7" spans="1:7" s="765" customFormat="1" x14ac:dyDescent="0.2">
      <c r="A7" s="1499"/>
      <c r="B7" s="1500"/>
      <c r="C7" s="1514"/>
      <c r="D7" s="803" t="s">
        <v>1881</v>
      </c>
      <c r="E7" s="803" t="s">
        <v>1882</v>
      </c>
      <c r="F7" s="803" t="s">
        <v>1883</v>
      </c>
      <c r="G7" s="1516"/>
    </row>
    <row r="8" spans="1:7" s="765" customFormat="1" x14ac:dyDescent="0.2">
      <c r="A8" s="804"/>
      <c r="B8" s="804" t="s">
        <v>1884</v>
      </c>
      <c r="C8" s="805" t="s">
        <v>133</v>
      </c>
      <c r="D8" s="769">
        <v>1019020.64708</v>
      </c>
      <c r="E8" s="769">
        <v>241523.87148</v>
      </c>
      <c r="F8" s="769">
        <v>777496.77560000005</v>
      </c>
      <c r="G8" s="769">
        <v>733699.94696000009</v>
      </c>
    </row>
    <row r="9" spans="1:7" s="826" customFormat="1" x14ac:dyDescent="0.2">
      <c r="A9" s="804" t="s">
        <v>1885</v>
      </c>
      <c r="B9" s="804" t="s">
        <v>1886</v>
      </c>
      <c r="C9" s="805" t="s">
        <v>133</v>
      </c>
      <c r="D9" s="769">
        <v>945772.93546000007</v>
      </c>
      <c r="E9" s="769">
        <v>241523.87148</v>
      </c>
      <c r="F9" s="769">
        <v>704249.06397999998</v>
      </c>
      <c r="G9" s="769">
        <v>659063.92397999996</v>
      </c>
    </row>
    <row r="10" spans="1:7" s="826" customFormat="1" x14ac:dyDescent="0.2">
      <c r="A10" s="804" t="s">
        <v>1887</v>
      </c>
      <c r="B10" s="804" t="s">
        <v>1888</v>
      </c>
      <c r="C10" s="805" t="s">
        <v>133</v>
      </c>
      <c r="D10" s="769">
        <v>11008.641250000001</v>
      </c>
      <c r="E10" s="769">
        <v>8798.9560299999994</v>
      </c>
      <c r="F10" s="769">
        <v>2209.6852200000003</v>
      </c>
      <c r="G10" s="769">
        <v>2331.7412200000003</v>
      </c>
    </row>
    <row r="11" spans="1:7" s="648" customFormat="1" x14ac:dyDescent="0.2">
      <c r="A11" s="770" t="s">
        <v>1889</v>
      </c>
      <c r="B11" s="770" t="s">
        <v>1890</v>
      </c>
      <c r="C11" s="776" t="s">
        <v>1891</v>
      </c>
      <c r="D11" s="772"/>
      <c r="E11" s="772"/>
      <c r="F11" s="772"/>
      <c r="G11" s="772"/>
    </row>
    <row r="12" spans="1:7" s="648" customFormat="1" x14ac:dyDescent="0.2">
      <c r="A12" s="770" t="s">
        <v>1892</v>
      </c>
      <c r="B12" s="770" t="s">
        <v>1893</v>
      </c>
      <c r="C12" s="776" t="s">
        <v>1894</v>
      </c>
      <c r="D12" s="773">
        <v>7642.7633099999994</v>
      </c>
      <c r="E12" s="773">
        <v>5704.96209</v>
      </c>
      <c r="F12" s="773">
        <v>1937.8012200000001</v>
      </c>
      <c r="G12" s="773">
        <v>2147.6332200000002</v>
      </c>
    </row>
    <row r="13" spans="1:7" s="648" customFormat="1" x14ac:dyDescent="0.2">
      <c r="A13" s="770" t="s">
        <v>1895</v>
      </c>
      <c r="B13" s="770" t="s">
        <v>320</v>
      </c>
      <c r="C13" s="776" t="s">
        <v>1896</v>
      </c>
      <c r="D13" s="774">
        <v>0</v>
      </c>
      <c r="E13" s="774">
        <v>0</v>
      </c>
      <c r="F13" s="774">
        <v>0</v>
      </c>
      <c r="G13" s="774">
        <v>0</v>
      </c>
    </row>
    <row r="14" spans="1:7" s="648" customFormat="1" x14ac:dyDescent="0.2">
      <c r="A14" s="770" t="s">
        <v>1897</v>
      </c>
      <c r="B14" s="770" t="s">
        <v>1898</v>
      </c>
      <c r="C14" s="776" t="s">
        <v>1899</v>
      </c>
      <c r="D14" s="774">
        <v>0</v>
      </c>
      <c r="E14" s="774">
        <v>0</v>
      </c>
      <c r="F14" s="774">
        <v>0</v>
      </c>
      <c r="G14" s="774">
        <v>0</v>
      </c>
    </row>
    <row r="15" spans="1:7" s="648" customFormat="1" x14ac:dyDescent="0.2">
      <c r="A15" s="770" t="s">
        <v>1900</v>
      </c>
      <c r="B15" s="770" t="s">
        <v>1901</v>
      </c>
      <c r="C15" s="776" t="s">
        <v>1902</v>
      </c>
      <c r="D15" s="774">
        <v>3029.2779399999999</v>
      </c>
      <c r="E15" s="774">
        <v>3029.2779399999999</v>
      </c>
      <c r="F15" s="774">
        <v>0</v>
      </c>
      <c r="G15" s="774">
        <v>0</v>
      </c>
    </row>
    <row r="16" spans="1:7" s="648" customFormat="1" x14ac:dyDescent="0.2">
      <c r="A16" s="770" t="s">
        <v>1903</v>
      </c>
      <c r="B16" s="770" t="s">
        <v>1904</v>
      </c>
      <c r="C16" s="776" t="s">
        <v>1905</v>
      </c>
      <c r="D16" s="773">
        <v>118.8</v>
      </c>
      <c r="E16" s="773">
        <v>64.715999999999994</v>
      </c>
      <c r="F16" s="773">
        <v>54.084000000000003</v>
      </c>
      <c r="G16" s="773">
        <v>63.107999999999997</v>
      </c>
    </row>
    <row r="17" spans="1:7" s="648" customFormat="1" x14ac:dyDescent="0.2">
      <c r="A17" s="770" t="s">
        <v>1906</v>
      </c>
      <c r="B17" s="770" t="s">
        <v>1907</v>
      </c>
      <c r="C17" s="776" t="s">
        <v>1908</v>
      </c>
      <c r="D17" s="773">
        <v>217.8</v>
      </c>
      <c r="E17" s="773"/>
      <c r="F17" s="773">
        <v>217.8</v>
      </c>
      <c r="G17" s="773">
        <v>121</v>
      </c>
    </row>
    <row r="18" spans="1:7" s="648" customFormat="1" ht="21" x14ac:dyDescent="0.2">
      <c r="A18" s="770" t="s">
        <v>1909</v>
      </c>
      <c r="B18" s="770" t="s">
        <v>1910</v>
      </c>
      <c r="C18" s="776" t="s">
        <v>1911</v>
      </c>
      <c r="D18" s="774">
        <v>0</v>
      </c>
      <c r="E18" s="774">
        <v>0</v>
      </c>
      <c r="F18" s="774">
        <v>0</v>
      </c>
      <c r="G18" s="774">
        <v>0</v>
      </c>
    </row>
    <row r="19" spans="1:7" s="648" customFormat="1" x14ac:dyDescent="0.2">
      <c r="A19" s="770" t="s">
        <v>1912</v>
      </c>
      <c r="B19" s="770" t="s">
        <v>1913</v>
      </c>
      <c r="C19" s="776" t="s">
        <v>1914</v>
      </c>
      <c r="D19" s="774">
        <v>0</v>
      </c>
      <c r="E19" s="773"/>
      <c r="F19" s="774">
        <v>0</v>
      </c>
      <c r="G19" s="773"/>
    </row>
    <row r="20" spans="1:7" s="648" customFormat="1" x14ac:dyDescent="0.2">
      <c r="A20" s="770" t="s">
        <v>1915</v>
      </c>
      <c r="B20" s="770" t="s">
        <v>1916</v>
      </c>
      <c r="C20" s="776" t="s">
        <v>1917</v>
      </c>
      <c r="D20" s="774">
        <v>0</v>
      </c>
      <c r="E20" s="773"/>
      <c r="F20" s="774">
        <v>0</v>
      </c>
      <c r="G20" s="773"/>
    </row>
    <row r="21" spans="1:7" s="826" customFormat="1" x14ac:dyDescent="0.2">
      <c r="A21" s="804" t="s">
        <v>1918</v>
      </c>
      <c r="B21" s="804" t="s">
        <v>1919</v>
      </c>
      <c r="C21" s="805" t="s">
        <v>133</v>
      </c>
      <c r="D21" s="769">
        <v>934763.29421000008</v>
      </c>
      <c r="E21" s="769">
        <v>232724.91545</v>
      </c>
      <c r="F21" s="769">
        <v>702038.37875999999</v>
      </c>
      <c r="G21" s="769">
        <v>656731.18276</v>
      </c>
    </row>
    <row r="22" spans="1:7" s="648" customFormat="1" x14ac:dyDescent="0.2">
      <c r="A22" s="770" t="s">
        <v>1920</v>
      </c>
      <c r="B22" s="770" t="s">
        <v>264</v>
      </c>
      <c r="C22" s="776" t="s">
        <v>1921</v>
      </c>
      <c r="D22" s="773">
        <v>27730.051090000001</v>
      </c>
      <c r="E22" s="773"/>
      <c r="F22" s="773">
        <v>27730.051090000001</v>
      </c>
      <c r="G22" s="773">
        <v>27186.071090000001</v>
      </c>
    </row>
    <row r="23" spans="1:7" s="648" customFormat="1" x14ac:dyDescent="0.2">
      <c r="A23" s="770" t="s">
        <v>1922</v>
      </c>
      <c r="B23" s="770" t="s">
        <v>1923</v>
      </c>
      <c r="C23" s="776" t="s">
        <v>1924</v>
      </c>
      <c r="D23" s="773">
        <v>946.11300000000006</v>
      </c>
      <c r="E23" s="773"/>
      <c r="F23" s="773">
        <v>946.11300000000006</v>
      </c>
      <c r="G23" s="773">
        <v>880.81700000000001</v>
      </c>
    </row>
    <row r="24" spans="1:7" s="648" customFormat="1" x14ac:dyDescent="0.2">
      <c r="A24" s="770" t="s">
        <v>1925</v>
      </c>
      <c r="B24" s="770" t="s">
        <v>1926</v>
      </c>
      <c r="C24" s="776" t="s">
        <v>1927</v>
      </c>
      <c r="D24" s="773">
        <v>684804.00226999994</v>
      </c>
      <c r="E24" s="773">
        <v>77122.711960000001</v>
      </c>
      <c r="F24" s="773">
        <v>607681.29030999995</v>
      </c>
      <c r="G24" s="773">
        <v>559961.57944</v>
      </c>
    </row>
    <row r="25" spans="1:7" s="648" customFormat="1" ht="21" x14ac:dyDescent="0.2">
      <c r="A25" s="770" t="s">
        <v>1928</v>
      </c>
      <c r="B25" s="770" t="s">
        <v>1929</v>
      </c>
      <c r="C25" s="776" t="s">
        <v>1930</v>
      </c>
      <c r="D25" s="773">
        <v>123102.43626999999</v>
      </c>
      <c r="E25" s="773">
        <v>90214.7601</v>
      </c>
      <c r="F25" s="773">
        <v>32887.676169999999</v>
      </c>
      <c r="G25" s="773">
        <v>32695.995360000001</v>
      </c>
    </row>
    <row r="26" spans="1:7" s="648" customFormat="1" x14ac:dyDescent="0.2">
      <c r="A26" s="770" t="s">
        <v>1931</v>
      </c>
      <c r="B26" s="770" t="s">
        <v>1932</v>
      </c>
      <c r="C26" s="776" t="s">
        <v>1933</v>
      </c>
      <c r="D26" s="773"/>
      <c r="E26" s="773"/>
      <c r="F26" s="773"/>
      <c r="G26" s="773"/>
    </row>
    <row r="27" spans="1:7" s="648" customFormat="1" x14ac:dyDescent="0.2">
      <c r="A27" s="770" t="s">
        <v>1934</v>
      </c>
      <c r="B27" s="770" t="s">
        <v>1935</v>
      </c>
      <c r="C27" s="776" t="s">
        <v>1936</v>
      </c>
      <c r="D27" s="773">
        <v>65387.44339</v>
      </c>
      <c r="E27" s="774">
        <v>65387.44339</v>
      </c>
      <c r="F27" s="773"/>
      <c r="G27" s="774"/>
    </row>
    <row r="28" spans="1:7" s="648" customFormat="1" x14ac:dyDescent="0.2">
      <c r="A28" s="770" t="s">
        <v>1937</v>
      </c>
      <c r="B28" s="770" t="s">
        <v>1938</v>
      </c>
      <c r="C28" s="776" t="s">
        <v>1939</v>
      </c>
      <c r="D28" s="773"/>
      <c r="E28" s="773"/>
      <c r="F28" s="773"/>
      <c r="G28" s="773"/>
    </row>
    <row r="29" spans="1:7" s="648" customFormat="1" x14ac:dyDescent="0.2">
      <c r="A29" s="770" t="s">
        <v>1940</v>
      </c>
      <c r="B29" s="770" t="s">
        <v>1941</v>
      </c>
      <c r="C29" s="776" t="s">
        <v>1942</v>
      </c>
      <c r="D29" s="773">
        <v>32793.248189999998</v>
      </c>
      <c r="E29" s="773"/>
      <c r="F29" s="773">
        <v>32793.248189999998</v>
      </c>
      <c r="G29" s="773">
        <v>36006.719870000001</v>
      </c>
    </row>
    <row r="30" spans="1:7" s="648" customFormat="1" ht="21" x14ac:dyDescent="0.2">
      <c r="A30" s="770" t="s">
        <v>1943</v>
      </c>
      <c r="B30" s="770" t="s">
        <v>1944</v>
      </c>
      <c r="C30" s="776" t="s">
        <v>1945</v>
      </c>
      <c r="D30" s="774">
        <v>0</v>
      </c>
      <c r="E30" s="773"/>
      <c r="F30" s="774">
        <v>0</v>
      </c>
      <c r="G30" s="773"/>
    </row>
    <row r="31" spans="1:7" s="648" customFormat="1" x14ac:dyDescent="0.2">
      <c r="A31" s="770" t="s">
        <v>1946</v>
      </c>
      <c r="B31" s="770" t="s">
        <v>1947</v>
      </c>
      <c r="C31" s="776" t="s">
        <v>1948</v>
      </c>
      <c r="D31" s="773"/>
      <c r="E31" s="773"/>
      <c r="F31" s="773"/>
      <c r="G31" s="773"/>
    </row>
    <row r="32" spans="1:7" s="648" customFormat="1" x14ac:dyDescent="0.2">
      <c r="A32" s="770" t="s">
        <v>1949</v>
      </c>
      <c r="B32" s="770" t="s">
        <v>1950</v>
      </c>
      <c r="C32" s="776" t="s">
        <v>1951</v>
      </c>
      <c r="D32" s="773"/>
      <c r="E32" s="773"/>
      <c r="F32" s="773"/>
      <c r="G32" s="773"/>
    </row>
    <row r="33" spans="1:7" s="826" customFormat="1" x14ac:dyDescent="0.2">
      <c r="A33" s="804" t="s">
        <v>1952</v>
      </c>
      <c r="B33" s="804" t="s">
        <v>1953</v>
      </c>
      <c r="C33" s="805" t="s">
        <v>133</v>
      </c>
      <c r="D33" s="769">
        <v>0</v>
      </c>
      <c r="E33" s="769">
        <v>0</v>
      </c>
      <c r="F33" s="769">
        <v>0</v>
      </c>
      <c r="G33" s="769">
        <v>0</v>
      </c>
    </row>
    <row r="34" spans="1:7" s="648" customFormat="1" x14ac:dyDescent="0.2">
      <c r="A34" s="770" t="s">
        <v>1954</v>
      </c>
      <c r="B34" s="770" t="s">
        <v>1955</v>
      </c>
      <c r="C34" s="776" t="s">
        <v>1956</v>
      </c>
      <c r="D34" s="774">
        <v>0</v>
      </c>
      <c r="E34" s="774">
        <v>0</v>
      </c>
      <c r="F34" s="774">
        <v>0</v>
      </c>
      <c r="G34" s="774">
        <v>0</v>
      </c>
    </row>
    <row r="35" spans="1:7" s="648" customFormat="1" x14ac:dyDescent="0.2">
      <c r="A35" s="770" t="s">
        <v>1957</v>
      </c>
      <c r="B35" s="770" t="s">
        <v>1958</v>
      </c>
      <c r="C35" s="776" t="s">
        <v>1959</v>
      </c>
      <c r="D35" s="774">
        <v>0</v>
      </c>
      <c r="E35" s="774">
        <v>0</v>
      </c>
      <c r="F35" s="774">
        <v>0</v>
      </c>
      <c r="G35" s="774">
        <v>0</v>
      </c>
    </row>
    <row r="36" spans="1:7" s="648" customFormat="1" x14ac:dyDescent="0.2">
      <c r="A36" s="770" t="s">
        <v>1960</v>
      </c>
      <c r="B36" s="770" t="s">
        <v>1961</v>
      </c>
      <c r="C36" s="776" t="s">
        <v>1962</v>
      </c>
      <c r="D36" s="774">
        <v>0</v>
      </c>
      <c r="E36" s="774">
        <v>0</v>
      </c>
      <c r="F36" s="774">
        <v>0</v>
      </c>
      <c r="G36" s="774">
        <v>0</v>
      </c>
    </row>
    <row r="37" spans="1:7" s="648" customFormat="1" x14ac:dyDescent="0.2">
      <c r="A37" s="770" t="s">
        <v>1966</v>
      </c>
      <c r="B37" s="770" t="s">
        <v>1967</v>
      </c>
      <c r="C37" s="776" t="s">
        <v>1968</v>
      </c>
      <c r="D37" s="774">
        <v>0</v>
      </c>
      <c r="E37" s="774">
        <v>0</v>
      </c>
      <c r="F37" s="774">
        <v>0</v>
      </c>
      <c r="G37" s="774">
        <v>0</v>
      </c>
    </row>
    <row r="38" spans="1:7" s="648" customFormat="1" x14ac:dyDescent="0.2">
      <c r="A38" s="770" t="s">
        <v>1969</v>
      </c>
      <c r="B38" s="770" t="s">
        <v>1970</v>
      </c>
      <c r="C38" s="776" t="s">
        <v>1971</v>
      </c>
      <c r="D38" s="773"/>
      <c r="E38" s="773"/>
      <c r="F38" s="773"/>
      <c r="G38" s="773"/>
    </row>
    <row r="39" spans="1:7" s="826" customFormat="1" x14ac:dyDescent="0.2">
      <c r="A39" s="804" t="s">
        <v>1978</v>
      </c>
      <c r="B39" s="804" t="s">
        <v>1979</v>
      </c>
      <c r="C39" s="805" t="s">
        <v>133</v>
      </c>
      <c r="D39" s="769">
        <v>1</v>
      </c>
      <c r="E39" s="769">
        <v>0</v>
      </c>
      <c r="F39" s="769">
        <v>1</v>
      </c>
      <c r="G39" s="769">
        <v>1</v>
      </c>
    </row>
    <row r="40" spans="1:7" s="648" customFormat="1" x14ac:dyDescent="0.2">
      <c r="A40" s="770" t="s">
        <v>1980</v>
      </c>
      <c r="B40" s="770" t="s">
        <v>1981</v>
      </c>
      <c r="C40" s="776" t="s">
        <v>1982</v>
      </c>
      <c r="D40" s="774">
        <v>0</v>
      </c>
      <c r="E40" s="774">
        <v>0</v>
      </c>
      <c r="F40" s="774">
        <v>0</v>
      </c>
      <c r="G40" s="774">
        <v>0</v>
      </c>
    </row>
    <row r="41" spans="1:7" s="648" customFormat="1" x14ac:dyDescent="0.2">
      <c r="A41" s="770" t="s">
        <v>1983</v>
      </c>
      <c r="B41" s="770" t="s">
        <v>1984</v>
      </c>
      <c r="C41" s="776" t="s">
        <v>1985</v>
      </c>
      <c r="D41" s="774">
        <v>0</v>
      </c>
      <c r="E41" s="774">
        <v>0</v>
      </c>
      <c r="F41" s="774">
        <v>0</v>
      </c>
      <c r="G41" s="774">
        <v>0</v>
      </c>
    </row>
    <row r="42" spans="1:7" s="648" customFormat="1" x14ac:dyDescent="0.2">
      <c r="A42" s="770" t="s">
        <v>1986</v>
      </c>
      <c r="B42" s="770" t="s">
        <v>1987</v>
      </c>
      <c r="C42" s="776" t="s">
        <v>1988</v>
      </c>
      <c r="D42" s="774">
        <v>1</v>
      </c>
      <c r="E42" s="774">
        <v>0</v>
      </c>
      <c r="F42" s="774">
        <v>1</v>
      </c>
      <c r="G42" s="774">
        <v>1</v>
      </c>
    </row>
    <row r="43" spans="1:7" s="648" customFormat="1" x14ac:dyDescent="0.2">
      <c r="A43" s="770" t="s">
        <v>1992</v>
      </c>
      <c r="B43" s="770" t="s">
        <v>1993</v>
      </c>
      <c r="C43" s="776" t="s">
        <v>1994</v>
      </c>
      <c r="D43" s="774">
        <v>0</v>
      </c>
      <c r="E43" s="774">
        <v>0</v>
      </c>
      <c r="F43" s="774">
        <v>0</v>
      </c>
      <c r="G43" s="774">
        <v>0</v>
      </c>
    </row>
    <row r="44" spans="1:7" s="648" customFormat="1" x14ac:dyDescent="0.2">
      <c r="A44" s="770" t="s">
        <v>1995</v>
      </c>
      <c r="B44" s="775" t="s">
        <v>1996</v>
      </c>
      <c r="C44" s="815" t="s">
        <v>1997</v>
      </c>
      <c r="D44" s="774">
        <v>0</v>
      </c>
      <c r="E44" s="774">
        <v>0</v>
      </c>
      <c r="F44" s="774">
        <v>0</v>
      </c>
      <c r="G44" s="774">
        <v>0</v>
      </c>
    </row>
    <row r="45" spans="1:7" s="826" customFormat="1" x14ac:dyDescent="0.2">
      <c r="A45" s="775" t="s">
        <v>1998</v>
      </c>
      <c r="B45" s="775" t="s">
        <v>1999</v>
      </c>
      <c r="C45" s="815" t="s">
        <v>2000</v>
      </c>
      <c r="D45" s="773"/>
      <c r="E45" s="773"/>
      <c r="F45" s="773"/>
      <c r="G45" s="773"/>
    </row>
    <row r="46" spans="1:7" s="826" customFormat="1" x14ac:dyDescent="0.2">
      <c r="A46" s="804" t="s">
        <v>2001</v>
      </c>
      <c r="B46" s="804" t="s">
        <v>2002</v>
      </c>
      <c r="C46" s="805" t="s">
        <v>133</v>
      </c>
      <c r="D46" s="769">
        <v>73247.711620000002</v>
      </c>
      <c r="E46" s="769">
        <v>0</v>
      </c>
      <c r="F46" s="769">
        <v>73247.711620000002</v>
      </c>
      <c r="G46" s="769">
        <v>74636.022980000009</v>
      </c>
    </row>
    <row r="47" spans="1:7" s="648" customFormat="1" x14ac:dyDescent="0.2">
      <c r="A47" s="767" t="s">
        <v>2003</v>
      </c>
      <c r="B47" s="767" t="s">
        <v>2004</v>
      </c>
      <c r="C47" s="812" t="s">
        <v>133</v>
      </c>
      <c r="D47" s="769">
        <v>7224.9442399999998</v>
      </c>
      <c r="E47" s="769">
        <v>0</v>
      </c>
      <c r="F47" s="769">
        <v>7224.9442399999998</v>
      </c>
      <c r="G47" s="769">
        <v>7711.6779299999998</v>
      </c>
    </row>
    <row r="48" spans="1:7" s="648" customFormat="1" x14ac:dyDescent="0.2">
      <c r="A48" s="770" t="s">
        <v>2005</v>
      </c>
      <c r="B48" s="770" t="s">
        <v>2006</v>
      </c>
      <c r="C48" s="776" t="s">
        <v>2007</v>
      </c>
      <c r="D48" s="774">
        <v>0</v>
      </c>
      <c r="E48" s="774">
        <v>0</v>
      </c>
      <c r="F48" s="774">
        <v>0</v>
      </c>
      <c r="G48" s="774">
        <v>0</v>
      </c>
    </row>
    <row r="49" spans="1:7" s="648" customFormat="1" x14ac:dyDescent="0.2">
      <c r="A49" s="770" t="s">
        <v>2008</v>
      </c>
      <c r="B49" s="770" t="s">
        <v>2009</v>
      </c>
      <c r="C49" s="776" t="s">
        <v>2010</v>
      </c>
      <c r="D49" s="773">
        <v>601.61636999999996</v>
      </c>
      <c r="E49" s="773"/>
      <c r="F49" s="773">
        <v>601.61636999999996</v>
      </c>
      <c r="G49" s="773">
        <v>605.76837</v>
      </c>
    </row>
    <row r="50" spans="1:7" s="648" customFormat="1" x14ac:dyDescent="0.2">
      <c r="A50" s="770" t="s">
        <v>2011</v>
      </c>
      <c r="B50" s="770" t="s">
        <v>2012</v>
      </c>
      <c r="C50" s="776" t="s">
        <v>2013</v>
      </c>
      <c r="D50" s="773"/>
      <c r="E50" s="773"/>
      <c r="F50" s="773"/>
      <c r="G50" s="773"/>
    </row>
    <row r="51" spans="1:7" s="648" customFormat="1" x14ac:dyDescent="0.2">
      <c r="A51" s="770" t="s">
        <v>2014</v>
      </c>
      <c r="B51" s="770" t="s">
        <v>2015</v>
      </c>
      <c r="C51" s="776" t="s">
        <v>2016</v>
      </c>
      <c r="D51" s="773"/>
      <c r="E51" s="773"/>
      <c r="F51" s="773"/>
      <c r="G51" s="773">
        <v>6.5</v>
      </c>
    </row>
    <row r="52" spans="1:7" s="648" customFormat="1" x14ac:dyDescent="0.2">
      <c r="A52" s="770" t="s">
        <v>2017</v>
      </c>
      <c r="B52" s="770" t="s">
        <v>2018</v>
      </c>
      <c r="C52" s="776" t="s">
        <v>2019</v>
      </c>
      <c r="D52" s="774">
        <v>0</v>
      </c>
      <c r="E52" s="774"/>
      <c r="F52" s="774">
        <v>0</v>
      </c>
      <c r="G52" s="774">
        <v>0</v>
      </c>
    </row>
    <row r="53" spans="1:7" s="648" customFormat="1" x14ac:dyDescent="0.2">
      <c r="A53" s="770" t="s">
        <v>2020</v>
      </c>
      <c r="B53" s="770" t="s">
        <v>2021</v>
      </c>
      <c r="C53" s="776" t="s">
        <v>2022</v>
      </c>
      <c r="D53" s="773">
        <v>1861.57053</v>
      </c>
      <c r="E53" s="773"/>
      <c r="F53" s="773">
        <v>1861.57053</v>
      </c>
      <c r="G53" s="773">
        <v>1790.6660200000001</v>
      </c>
    </row>
    <row r="54" spans="1:7" s="648" customFormat="1" x14ac:dyDescent="0.2">
      <c r="A54" s="770" t="s">
        <v>2023</v>
      </c>
      <c r="B54" s="770" t="s">
        <v>2024</v>
      </c>
      <c r="C54" s="776" t="s">
        <v>2025</v>
      </c>
      <c r="D54" s="774">
        <v>0</v>
      </c>
      <c r="E54" s="774">
        <v>0</v>
      </c>
      <c r="F54" s="774">
        <v>0</v>
      </c>
      <c r="G54" s="774">
        <v>0</v>
      </c>
    </row>
    <row r="55" spans="1:7" s="648" customFormat="1" x14ac:dyDescent="0.2">
      <c r="A55" s="770" t="s">
        <v>2026</v>
      </c>
      <c r="B55" s="770" t="s">
        <v>2027</v>
      </c>
      <c r="C55" s="776" t="s">
        <v>2028</v>
      </c>
      <c r="D55" s="773">
        <v>4761.7573400000001</v>
      </c>
      <c r="E55" s="773"/>
      <c r="F55" s="773">
        <v>4761.7573400000001</v>
      </c>
      <c r="G55" s="773">
        <v>5308.7435400000004</v>
      </c>
    </row>
    <row r="56" spans="1:7" s="648" customFormat="1" x14ac:dyDescent="0.2">
      <c r="A56" s="770" t="s">
        <v>2029</v>
      </c>
      <c r="B56" s="770" t="s">
        <v>2030</v>
      </c>
      <c r="C56" s="776" t="s">
        <v>2031</v>
      </c>
      <c r="D56" s="773"/>
      <c r="E56" s="773"/>
      <c r="F56" s="773"/>
      <c r="G56" s="773"/>
    </row>
    <row r="57" spans="1:7" s="826" customFormat="1" x14ac:dyDescent="0.2">
      <c r="A57" s="775" t="s">
        <v>2032</v>
      </c>
      <c r="B57" s="775" t="s">
        <v>2033</v>
      </c>
      <c r="C57" s="815" t="s">
        <v>2034</v>
      </c>
      <c r="D57" s="773"/>
      <c r="E57" s="773"/>
      <c r="F57" s="773"/>
      <c r="G57" s="773"/>
    </row>
    <row r="58" spans="1:7" s="648" customFormat="1" x14ac:dyDescent="0.2">
      <c r="A58" s="767" t="s">
        <v>2035</v>
      </c>
      <c r="B58" s="767" t="s">
        <v>2036</v>
      </c>
      <c r="C58" s="812" t="s">
        <v>133</v>
      </c>
      <c r="D58" s="769">
        <v>8399.0907999999999</v>
      </c>
      <c r="E58" s="769">
        <v>0</v>
      </c>
      <c r="F58" s="769">
        <v>8399.0907999999999</v>
      </c>
      <c r="G58" s="769">
        <v>6442.6895199999999</v>
      </c>
    </row>
    <row r="59" spans="1:7" s="648" customFormat="1" x14ac:dyDescent="0.2">
      <c r="A59" s="827" t="s">
        <v>2037</v>
      </c>
      <c r="B59" s="827" t="s">
        <v>2038</v>
      </c>
      <c r="C59" s="828" t="s">
        <v>2039</v>
      </c>
      <c r="D59" s="772">
        <v>531.3664</v>
      </c>
      <c r="E59" s="772"/>
      <c r="F59" s="772">
        <v>531.3664</v>
      </c>
      <c r="G59" s="772">
        <v>634.08825000000002</v>
      </c>
    </row>
    <row r="60" spans="1:7" s="648" customFormat="1" x14ac:dyDescent="0.2">
      <c r="A60" s="770" t="s">
        <v>2046</v>
      </c>
      <c r="B60" s="770" t="s">
        <v>2047</v>
      </c>
      <c r="C60" s="776" t="s">
        <v>2048</v>
      </c>
      <c r="D60" s="773">
        <v>3184.7819300000001</v>
      </c>
      <c r="E60" s="773"/>
      <c r="F60" s="773">
        <v>3184.7819300000001</v>
      </c>
      <c r="G60" s="773">
        <v>2803.2262099999998</v>
      </c>
    </row>
    <row r="61" spans="1:7" s="648" customFormat="1" x14ac:dyDescent="0.2">
      <c r="A61" s="770" t="s">
        <v>2049</v>
      </c>
      <c r="B61" s="770" t="s">
        <v>2050</v>
      </c>
      <c r="C61" s="776" t="s">
        <v>2051</v>
      </c>
      <c r="D61" s="773"/>
      <c r="E61" s="773"/>
      <c r="F61" s="773"/>
      <c r="G61" s="773"/>
    </row>
    <row r="62" spans="1:7" s="648" customFormat="1" x14ac:dyDescent="0.2">
      <c r="A62" s="770" t="s">
        <v>2052</v>
      </c>
      <c r="B62" s="770" t="s">
        <v>2053</v>
      </c>
      <c r="C62" s="776" t="s">
        <v>2054</v>
      </c>
      <c r="D62" s="774">
        <v>0</v>
      </c>
      <c r="E62" s="774">
        <v>0</v>
      </c>
      <c r="F62" s="774">
        <v>0</v>
      </c>
      <c r="G62" s="774">
        <v>0</v>
      </c>
    </row>
    <row r="63" spans="1:7" s="648" customFormat="1" x14ac:dyDescent="0.2">
      <c r="A63" s="770" t="s">
        <v>2061</v>
      </c>
      <c r="B63" s="770" t="s">
        <v>2062</v>
      </c>
      <c r="C63" s="776" t="s">
        <v>2063</v>
      </c>
      <c r="D63" s="774">
        <v>72.724500000000006</v>
      </c>
      <c r="E63" s="774">
        <v>0</v>
      </c>
      <c r="F63" s="774">
        <v>72.724500000000006</v>
      </c>
      <c r="G63" s="774">
        <v>110.5365</v>
      </c>
    </row>
    <row r="64" spans="1:7" s="648" customFormat="1" x14ac:dyDescent="0.2">
      <c r="A64" s="770" t="s">
        <v>2064</v>
      </c>
      <c r="B64" s="770" t="s">
        <v>2065</v>
      </c>
      <c r="C64" s="776" t="s">
        <v>2066</v>
      </c>
      <c r="D64" s="773"/>
      <c r="E64" s="773"/>
      <c r="F64" s="773"/>
      <c r="G64" s="773"/>
    </row>
    <row r="65" spans="1:7" s="648" customFormat="1" x14ac:dyDescent="0.2">
      <c r="A65" s="770" t="s">
        <v>2067</v>
      </c>
      <c r="B65" s="770" t="s">
        <v>2068</v>
      </c>
      <c r="C65" s="776" t="s">
        <v>2069</v>
      </c>
      <c r="D65" s="774">
        <v>0</v>
      </c>
      <c r="E65" s="774">
        <v>0</v>
      </c>
      <c r="F65" s="774">
        <v>0</v>
      </c>
      <c r="G65" s="774">
        <v>0</v>
      </c>
    </row>
    <row r="66" spans="1:7" s="648" customFormat="1" x14ac:dyDescent="0.2">
      <c r="A66" s="770" t="s">
        <v>2070</v>
      </c>
      <c r="B66" s="770" t="s">
        <v>2071</v>
      </c>
      <c r="C66" s="776" t="s">
        <v>2072</v>
      </c>
      <c r="D66" s="773"/>
      <c r="E66" s="773"/>
      <c r="F66" s="773"/>
      <c r="G66" s="773"/>
    </row>
    <row r="67" spans="1:7" s="648" customFormat="1" x14ac:dyDescent="0.2">
      <c r="A67" s="770" t="s">
        <v>2073</v>
      </c>
      <c r="B67" s="770" t="s">
        <v>2074</v>
      </c>
      <c r="C67" s="776" t="s">
        <v>2075</v>
      </c>
      <c r="D67" s="774">
        <v>219.62</v>
      </c>
      <c r="E67" s="773"/>
      <c r="F67" s="774">
        <v>219.62</v>
      </c>
      <c r="G67" s="773">
        <v>198.03</v>
      </c>
    </row>
    <row r="68" spans="1:7" s="648" customFormat="1" x14ac:dyDescent="0.2">
      <c r="A68" s="770" t="s">
        <v>2076</v>
      </c>
      <c r="B68" s="770" t="s">
        <v>2077</v>
      </c>
      <c r="C68" s="776" t="s">
        <v>2078</v>
      </c>
      <c r="D68" s="773"/>
      <c r="E68" s="773"/>
      <c r="F68" s="773"/>
      <c r="G68" s="773"/>
    </row>
    <row r="69" spans="1:7" s="648" customFormat="1" x14ac:dyDescent="0.2">
      <c r="A69" s="770" t="s">
        <v>2079</v>
      </c>
      <c r="B69" s="770" t="s">
        <v>236</v>
      </c>
      <c r="C69" s="776" t="s">
        <v>2080</v>
      </c>
      <c r="D69" s="773">
        <v>127.432</v>
      </c>
      <c r="E69" s="773"/>
      <c r="F69" s="773">
        <v>127.432</v>
      </c>
      <c r="G69" s="773"/>
    </row>
    <row r="70" spans="1:7" s="648" customFormat="1" x14ac:dyDescent="0.2">
      <c r="A70" s="770" t="s">
        <v>2081</v>
      </c>
      <c r="B70" s="770" t="s">
        <v>2082</v>
      </c>
      <c r="C70" s="776" t="s">
        <v>2083</v>
      </c>
      <c r="D70" s="773"/>
      <c r="E70" s="773"/>
      <c r="F70" s="773"/>
      <c r="G70" s="773"/>
    </row>
    <row r="71" spans="1:7" s="648" customFormat="1" x14ac:dyDescent="0.2">
      <c r="A71" s="770" t="s">
        <v>2084</v>
      </c>
      <c r="B71" s="770" t="s">
        <v>2085</v>
      </c>
      <c r="C71" s="776" t="s">
        <v>2086</v>
      </c>
      <c r="D71" s="773"/>
      <c r="E71" s="773"/>
      <c r="F71" s="773"/>
      <c r="G71" s="773"/>
    </row>
    <row r="72" spans="1:7" s="648" customFormat="1" x14ac:dyDescent="0.2">
      <c r="A72" s="770" t="s">
        <v>2087</v>
      </c>
      <c r="B72" s="770" t="s">
        <v>2088</v>
      </c>
      <c r="C72" s="776" t="s">
        <v>2089</v>
      </c>
      <c r="D72" s="774">
        <v>0</v>
      </c>
      <c r="E72" s="774">
        <v>0</v>
      </c>
      <c r="F72" s="774">
        <v>0</v>
      </c>
      <c r="G72" s="774">
        <v>40</v>
      </c>
    </row>
    <row r="73" spans="1:7" s="648" customFormat="1" x14ac:dyDescent="0.2">
      <c r="A73" s="777" t="s">
        <v>2102</v>
      </c>
      <c r="B73" s="777" t="s">
        <v>2103</v>
      </c>
      <c r="C73" s="778" t="s">
        <v>2104</v>
      </c>
      <c r="D73" s="798">
        <v>0</v>
      </c>
      <c r="E73" s="779"/>
      <c r="F73" s="798">
        <v>0</v>
      </c>
      <c r="G73" s="779"/>
    </row>
    <row r="74" spans="1:7" s="648" customFormat="1" x14ac:dyDescent="0.2">
      <c r="A74" s="770" t="s">
        <v>2105</v>
      </c>
      <c r="B74" s="848" t="s">
        <v>2106</v>
      </c>
      <c r="C74" s="776" t="s">
        <v>2107</v>
      </c>
      <c r="D74" s="774">
        <v>0</v>
      </c>
      <c r="E74" s="774">
        <v>0</v>
      </c>
      <c r="F74" s="774">
        <v>0</v>
      </c>
      <c r="G74" s="774">
        <v>0</v>
      </c>
    </row>
    <row r="75" spans="1:7" s="648" customFormat="1" x14ac:dyDescent="0.2">
      <c r="A75" s="770" t="s">
        <v>2108</v>
      </c>
      <c r="B75" s="770" t="s">
        <v>2109</v>
      </c>
      <c r="C75" s="776" t="s">
        <v>2110</v>
      </c>
      <c r="D75" s="774">
        <v>1452.8621599999999</v>
      </c>
      <c r="E75" s="774">
        <v>0</v>
      </c>
      <c r="F75" s="774">
        <v>1452.8621599999999</v>
      </c>
      <c r="G75" s="774">
        <v>991.90377999999998</v>
      </c>
    </row>
    <row r="76" spans="1:7" s="648" customFormat="1" x14ac:dyDescent="0.2">
      <c r="A76" s="770" t="s">
        <v>2111</v>
      </c>
      <c r="B76" s="770" t="s">
        <v>2112</v>
      </c>
      <c r="C76" s="776" t="s">
        <v>2113</v>
      </c>
      <c r="D76" s="773">
        <v>121.86036</v>
      </c>
      <c r="E76" s="773"/>
      <c r="F76" s="773">
        <v>121.86036</v>
      </c>
      <c r="G76" s="773">
        <v>217.97092000000001</v>
      </c>
    </row>
    <row r="77" spans="1:7" s="648" customFormat="1" x14ac:dyDescent="0.2">
      <c r="A77" s="770" t="s">
        <v>2114</v>
      </c>
      <c r="B77" s="770" t="s">
        <v>2115</v>
      </c>
      <c r="C77" s="776" t="s">
        <v>2116</v>
      </c>
      <c r="D77" s="774">
        <v>2011.6749600000001</v>
      </c>
      <c r="E77" s="774"/>
      <c r="F77" s="774">
        <v>2011.6749600000001</v>
      </c>
      <c r="G77" s="774">
        <v>808.85140999999999</v>
      </c>
    </row>
    <row r="78" spans="1:7" s="826" customFormat="1" x14ac:dyDescent="0.2">
      <c r="A78" s="775" t="s">
        <v>2117</v>
      </c>
      <c r="B78" s="829" t="s">
        <v>2118</v>
      </c>
      <c r="C78" s="830" t="s">
        <v>2119</v>
      </c>
      <c r="D78" s="779">
        <v>676.76849000000004</v>
      </c>
      <c r="E78" s="779"/>
      <c r="F78" s="779">
        <v>676.76849000000004</v>
      </c>
      <c r="G78" s="779">
        <v>638.08244999999999</v>
      </c>
    </row>
    <row r="79" spans="1:7" s="826" customFormat="1" x14ac:dyDescent="0.2">
      <c r="A79" s="804" t="s">
        <v>2120</v>
      </c>
      <c r="B79" s="804" t="s">
        <v>2121</v>
      </c>
      <c r="C79" s="805" t="s">
        <v>133</v>
      </c>
      <c r="D79" s="769">
        <v>57623.676579999999</v>
      </c>
      <c r="E79" s="769">
        <v>0</v>
      </c>
      <c r="F79" s="769">
        <v>57623.676579999999</v>
      </c>
      <c r="G79" s="769">
        <v>60481.655530000004</v>
      </c>
    </row>
    <row r="80" spans="1:7" s="826" customFormat="1" x14ac:dyDescent="0.2">
      <c r="A80" s="775" t="s">
        <v>2122</v>
      </c>
      <c r="B80" s="775" t="s">
        <v>2123</v>
      </c>
      <c r="C80" s="815" t="s">
        <v>2124</v>
      </c>
      <c r="D80" s="773"/>
      <c r="E80" s="773"/>
      <c r="F80" s="773"/>
      <c r="G80" s="773"/>
    </row>
    <row r="81" spans="1:7" s="648" customFormat="1" x14ac:dyDescent="0.2">
      <c r="A81" s="770" t="s">
        <v>2125</v>
      </c>
      <c r="B81" s="770" t="s">
        <v>2126</v>
      </c>
      <c r="C81" s="776" t="s">
        <v>2127</v>
      </c>
      <c r="D81" s="773"/>
      <c r="E81" s="773"/>
      <c r="F81" s="773"/>
      <c r="G81" s="773"/>
    </row>
    <row r="82" spans="1:7" s="648" customFormat="1" x14ac:dyDescent="0.2">
      <c r="A82" s="770" t="s">
        <v>2128</v>
      </c>
      <c r="B82" s="770" t="s">
        <v>2129</v>
      </c>
      <c r="C82" s="776" t="s">
        <v>2130</v>
      </c>
      <c r="D82" s="773"/>
      <c r="E82" s="773"/>
      <c r="F82" s="773"/>
      <c r="G82" s="773"/>
    </row>
    <row r="83" spans="1:7" s="648" customFormat="1" x14ac:dyDescent="0.2">
      <c r="A83" s="770" t="s">
        <v>2131</v>
      </c>
      <c r="B83" s="770" t="s">
        <v>2132</v>
      </c>
      <c r="C83" s="776" t="s">
        <v>2133</v>
      </c>
      <c r="D83" s="773"/>
      <c r="E83" s="773"/>
      <c r="F83" s="773"/>
      <c r="G83" s="773"/>
    </row>
    <row r="84" spans="1:7" s="648" customFormat="1" x14ac:dyDescent="0.2">
      <c r="A84" s="770" t="s">
        <v>2134</v>
      </c>
      <c r="B84" s="770" t="s">
        <v>2135</v>
      </c>
      <c r="C84" s="776" t="s">
        <v>2136</v>
      </c>
      <c r="D84" s="773"/>
      <c r="E84" s="773"/>
      <c r="F84" s="773"/>
      <c r="G84" s="773"/>
    </row>
    <row r="85" spans="1:7" s="648" customFormat="1" x14ac:dyDescent="0.2">
      <c r="A85" s="770" t="s">
        <v>2137</v>
      </c>
      <c r="B85" s="770" t="s">
        <v>2138</v>
      </c>
      <c r="C85" s="776" t="s">
        <v>2139</v>
      </c>
      <c r="D85" s="773">
        <v>56349.210740000002</v>
      </c>
      <c r="E85" s="773"/>
      <c r="F85" s="773">
        <v>56349.210740000002</v>
      </c>
      <c r="G85" s="773">
        <v>59001.72466</v>
      </c>
    </row>
    <row r="86" spans="1:7" s="648" customFormat="1" x14ac:dyDescent="0.2">
      <c r="A86" s="770" t="s">
        <v>2140</v>
      </c>
      <c r="B86" s="770" t="s">
        <v>2141</v>
      </c>
      <c r="C86" s="776" t="s">
        <v>2142</v>
      </c>
      <c r="D86" s="773">
        <v>680.80315000000007</v>
      </c>
      <c r="E86" s="773"/>
      <c r="F86" s="773">
        <v>680.80315000000007</v>
      </c>
      <c r="G86" s="773">
        <v>718.16213000000005</v>
      </c>
    </row>
    <row r="87" spans="1:7" s="648" customFormat="1" x14ac:dyDescent="0.2">
      <c r="A87" s="770" t="s">
        <v>2149</v>
      </c>
      <c r="B87" s="770" t="s">
        <v>2150</v>
      </c>
      <c r="C87" s="776" t="s">
        <v>2151</v>
      </c>
      <c r="D87" s="773">
        <v>211.57485999999997</v>
      </c>
      <c r="E87" s="773"/>
      <c r="F87" s="773">
        <v>211.57485999999997</v>
      </c>
      <c r="G87" s="773">
        <v>214.00166000000002</v>
      </c>
    </row>
    <row r="88" spans="1:7" s="648" customFormat="1" x14ac:dyDescent="0.2">
      <c r="A88" s="770" t="s">
        <v>2152</v>
      </c>
      <c r="B88" s="770" t="s">
        <v>2153</v>
      </c>
      <c r="C88" s="776" t="s">
        <v>2154</v>
      </c>
      <c r="D88" s="773"/>
      <c r="E88" s="773"/>
      <c r="F88" s="773"/>
      <c r="G88" s="773"/>
    </row>
    <row r="89" spans="1:7" s="648" customFormat="1" ht="12.75" customHeight="1" x14ac:dyDescent="0.2">
      <c r="A89" s="777" t="s">
        <v>2155</v>
      </c>
      <c r="B89" s="777" t="s">
        <v>2156</v>
      </c>
      <c r="C89" s="778" t="s">
        <v>2157</v>
      </c>
      <c r="D89" s="779">
        <v>382.08783</v>
      </c>
      <c r="E89" s="779"/>
      <c r="F89" s="779">
        <v>382.08783</v>
      </c>
      <c r="G89" s="779">
        <v>547.76707999999996</v>
      </c>
    </row>
    <row r="90" spans="1:7" s="834" customFormat="1" ht="12.75" customHeight="1" x14ac:dyDescent="0.2">
      <c r="A90" s="831"/>
      <c r="B90" s="831"/>
      <c r="C90" s="831"/>
      <c r="D90" s="832"/>
      <c r="E90" s="833"/>
      <c r="F90" s="832"/>
      <c r="G90" s="832"/>
    </row>
    <row r="91" spans="1:7" s="834" customFormat="1" x14ac:dyDescent="0.2">
      <c r="A91" s="831"/>
      <c r="B91" s="831"/>
      <c r="C91" s="831"/>
      <c r="D91" s="832"/>
      <c r="E91" s="833"/>
      <c r="F91" s="832"/>
      <c r="G91" s="832"/>
    </row>
    <row r="92" spans="1:7" x14ac:dyDescent="0.2">
      <c r="A92" s="819"/>
      <c r="B92" s="820"/>
      <c r="C92" s="821"/>
      <c r="D92" s="789">
        <v>1</v>
      </c>
      <c r="E92" s="789">
        <v>2</v>
      </c>
      <c r="F92" s="792"/>
      <c r="G92" s="793"/>
    </row>
    <row r="93" spans="1:7" s="765" customFormat="1" ht="12.75" customHeight="1" x14ac:dyDescent="0.2">
      <c r="A93" s="1495" t="s">
        <v>1876</v>
      </c>
      <c r="B93" s="1496"/>
      <c r="C93" s="1501" t="s">
        <v>1877</v>
      </c>
      <c r="D93" s="1515" t="s">
        <v>1878</v>
      </c>
      <c r="E93" s="1515"/>
      <c r="F93" s="792"/>
      <c r="G93" s="793"/>
    </row>
    <row r="94" spans="1:7" s="765" customFormat="1" x14ac:dyDescent="0.2">
      <c r="A94" s="1499"/>
      <c r="B94" s="1500"/>
      <c r="C94" s="1514"/>
      <c r="D94" s="794" t="s">
        <v>1879</v>
      </c>
      <c r="E94" s="795" t="s">
        <v>1880</v>
      </c>
      <c r="F94" s="792"/>
      <c r="G94" s="793"/>
    </row>
    <row r="95" spans="1:7" s="826" customFormat="1" x14ac:dyDescent="0.2">
      <c r="A95" s="804"/>
      <c r="B95" s="804" t="s">
        <v>2158</v>
      </c>
      <c r="C95" s="805" t="s">
        <v>133</v>
      </c>
      <c r="D95" s="769">
        <v>777496.77560000005</v>
      </c>
      <c r="E95" s="769">
        <v>733699.94696000009</v>
      </c>
      <c r="F95" s="790"/>
      <c r="G95" s="791"/>
    </row>
    <row r="96" spans="1:7" s="826" customFormat="1" x14ac:dyDescent="0.2">
      <c r="A96" s="804" t="s">
        <v>2159</v>
      </c>
      <c r="B96" s="804" t="s">
        <v>2160</v>
      </c>
      <c r="C96" s="805" t="s">
        <v>133</v>
      </c>
      <c r="D96" s="769">
        <v>757492.54073000001</v>
      </c>
      <c r="E96" s="769">
        <v>714383.62691999995</v>
      </c>
      <c r="F96" s="790"/>
      <c r="G96" s="791"/>
    </row>
    <row r="97" spans="1:7" s="826" customFormat="1" x14ac:dyDescent="0.2">
      <c r="A97" s="804" t="s">
        <v>2161</v>
      </c>
      <c r="B97" s="804" t="s">
        <v>2162</v>
      </c>
      <c r="C97" s="805" t="s">
        <v>133</v>
      </c>
      <c r="D97" s="769">
        <v>706610.40003999998</v>
      </c>
      <c r="E97" s="769">
        <v>661453.71759999997</v>
      </c>
      <c r="F97" s="790"/>
      <c r="G97" s="791"/>
    </row>
    <row r="98" spans="1:7" s="648" customFormat="1" x14ac:dyDescent="0.2">
      <c r="A98" s="770" t="s">
        <v>2163</v>
      </c>
      <c r="B98" s="770" t="s">
        <v>2164</v>
      </c>
      <c r="C98" s="776" t="s">
        <v>2165</v>
      </c>
      <c r="D98" s="773">
        <v>683002.86013000004</v>
      </c>
      <c r="E98" s="773">
        <v>659736.26324999996</v>
      </c>
      <c r="F98" s="792"/>
      <c r="G98" s="793"/>
    </row>
    <row r="99" spans="1:7" s="648" customFormat="1" x14ac:dyDescent="0.2">
      <c r="A99" s="770" t="s">
        <v>2166</v>
      </c>
      <c r="B99" s="770" t="s">
        <v>2167</v>
      </c>
      <c r="C99" s="776" t="s">
        <v>2168</v>
      </c>
      <c r="D99" s="774">
        <v>24618.265769999998</v>
      </c>
      <c r="E99" s="774">
        <v>2665.8633500000001</v>
      </c>
      <c r="F99" s="792"/>
      <c r="G99" s="783"/>
    </row>
    <row r="100" spans="1:7" s="648" customFormat="1" x14ac:dyDescent="0.2">
      <c r="A100" s="770" t="s">
        <v>2169</v>
      </c>
      <c r="B100" s="770" t="s">
        <v>2170</v>
      </c>
      <c r="C100" s="776" t="s">
        <v>2171</v>
      </c>
      <c r="D100" s="774">
        <v>0</v>
      </c>
      <c r="E100" s="774">
        <v>0</v>
      </c>
      <c r="F100" s="796"/>
      <c r="G100" s="783"/>
    </row>
    <row r="101" spans="1:7" s="648" customFormat="1" x14ac:dyDescent="0.2">
      <c r="A101" s="770" t="s">
        <v>2172</v>
      </c>
      <c r="B101" s="770" t="s">
        <v>2173</v>
      </c>
      <c r="C101" s="776" t="s">
        <v>2174</v>
      </c>
      <c r="D101" s="774">
        <v>0</v>
      </c>
      <c r="E101" s="774">
        <v>0</v>
      </c>
      <c r="F101" s="796"/>
      <c r="G101" s="783"/>
    </row>
    <row r="102" spans="1:7" s="648" customFormat="1" x14ac:dyDescent="0.2">
      <c r="A102" s="770" t="s">
        <v>2175</v>
      </c>
      <c r="B102" s="770" t="s">
        <v>2176</v>
      </c>
      <c r="C102" s="776" t="s">
        <v>2177</v>
      </c>
      <c r="D102" s="774">
        <v>0</v>
      </c>
      <c r="E102" s="774">
        <v>0</v>
      </c>
      <c r="F102" s="796"/>
      <c r="G102" s="783"/>
    </row>
    <row r="103" spans="1:7" s="648" customFormat="1" x14ac:dyDescent="0.2">
      <c r="A103" s="770" t="s">
        <v>2178</v>
      </c>
      <c r="B103" s="770" t="s">
        <v>2179</v>
      </c>
      <c r="C103" s="776" t="s">
        <v>2180</v>
      </c>
      <c r="D103" s="779">
        <v>-1010.72586</v>
      </c>
      <c r="E103" s="779">
        <v>-948.40899999999999</v>
      </c>
      <c r="F103" s="796"/>
      <c r="G103" s="783"/>
    </row>
    <row r="104" spans="1:7" s="826" customFormat="1" ht="13.5" customHeight="1" x14ac:dyDescent="0.2">
      <c r="A104" s="804" t="s">
        <v>2181</v>
      </c>
      <c r="B104" s="804" t="s">
        <v>2182</v>
      </c>
      <c r="C104" s="805" t="s">
        <v>133</v>
      </c>
      <c r="D104" s="769">
        <v>50503.27029</v>
      </c>
      <c r="E104" s="769">
        <v>52605.256099999999</v>
      </c>
      <c r="F104" s="790"/>
      <c r="G104" s="791"/>
    </row>
    <row r="105" spans="1:7" s="648" customFormat="1" x14ac:dyDescent="0.2">
      <c r="A105" s="770" t="s">
        <v>2183</v>
      </c>
      <c r="B105" s="770" t="s">
        <v>2184</v>
      </c>
      <c r="C105" s="776" t="s">
        <v>2185</v>
      </c>
      <c r="D105" s="773">
        <v>2520.15346</v>
      </c>
      <c r="E105" s="773">
        <v>2783.45424</v>
      </c>
      <c r="F105" s="792"/>
      <c r="G105" s="793"/>
    </row>
    <row r="106" spans="1:7" s="648" customFormat="1" x14ac:dyDescent="0.2">
      <c r="A106" s="770" t="s">
        <v>2186</v>
      </c>
      <c r="B106" s="770" t="s">
        <v>2187</v>
      </c>
      <c r="C106" s="776" t="s">
        <v>2188</v>
      </c>
      <c r="D106" s="774">
        <v>757.4315600000001</v>
      </c>
      <c r="E106" s="774">
        <v>818.77698999999996</v>
      </c>
      <c r="F106" s="792"/>
      <c r="G106" s="793"/>
    </row>
    <row r="107" spans="1:7" s="648" customFormat="1" x14ac:dyDescent="0.2">
      <c r="A107" s="770" t="s">
        <v>2189</v>
      </c>
      <c r="B107" s="770" t="s">
        <v>2190</v>
      </c>
      <c r="C107" s="776" t="s">
        <v>2191</v>
      </c>
      <c r="D107" s="774">
        <v>11174.489079999999</v>
      </c>
      <c r="E107" s="774">
        <v>11234.68461</v>
      </c>
      <c r="F107" s="792"/>
      <c r="G107" s="793"/>
    </row>
    <row r="108" spans="1:7" s="648" customFormat="1" x14ac:dyDescent="0.2">
      <c r="A108" s="770" t="s">
        <v>2192</v>
      </c>
      <c r="B108" s="770" t="s">
        <v>2193</v>
      </c>
      <c r="C108" s="776" t="s">
        <v>2194</v>
      </c>
      <c r="D108" s="774">
        <v>1403.56916</v>
      </c>
      <c r="E108" s="774">
        <v>1040.4647600000001</v>
      </c>
      <c r="F108" s="796"/>
      <c r="G108" s="783"/>
    </row>
    <row r="109" spans="1:7" s="648" customFormat="1" x14ac:dyDescent="0.2">
      <c r="A109" s="770" t="s">
        <v>2195</v>
      </c>
      <c r="B109" s="770" t="s">
        <v>2196</v>
      </c>
      <c r="C109" s="776" t="s">
        <v>2197</v>
      </c>
      <c r="D109" s="774">
        <v>34647.627030000003</v>
      </c>
      <c r="E109" s="774">
        <v>36727.875500000002</v>
      </c>
      <c r="F109" s="792"/>
      <c r="G109" s="793"/>
    </row>
    <row r="110" spans="1:7" s="826" customFormat="1" x14ac:dyDescent="0.2">
      <c r="A110" s="804" t="s">
        <v>2201</v>
      </c>
      <c r="B110" s="804" t="s">
        <v>2202</v>
      </c>
      <c r="C110" s="805" t="s">
        <v>133</v>
      </c>
      <c r="D110" s="769">
        <v>378.87040000000002</v>
      </c>
      <c r="E110" s="769">
        <v>324.65321999999998</v>
      </c>
      <c r="F110" s="790"/>
      <c r="G110" s="791"/>
    </row>
    <row r="111" spans="1:7" s="648" customFormat="1" x14ac:dyDescent="0.2">
      <c r="A111" s="770" t="s">
        <v>2203</v>
      </c>
      <c r="B111" s="770" t="s">
        <v>2204</v>
      </c>
      <c r="C111" s="776" t="s">
        <v>133</v>
      </c>
      <c r="D111" s="773">
        <v>378.87040000000002</v>
      </c>
      <c r="E111" s="773">
        <v>324.65321999999998</v>
      </c>
      <c r="F111" s="792"/>
      <c r="G111" s="783"/>
    </row>
    <row r="112" spans="1:7" s="648" customFormat="1" x14ac:dyDescent="0.2">
      <c r="A112" s="770" t="s">
        <v>2205</v>
      </c>
      <c r="B112" s="770" t="s">
        <v>2206</v>
      </c>
      <c r="C112" s="776" t="s">
        <v>2207</v>
      </c>
      <c r="D112" s="774">
        <v>0</v>
      </c>
      <c r="E112" s="774">
        <v>0</v>
      </c>
      <c r="F112" s="796"/>
      <c r="G112" s="793"/>
    </row>
    <row r="113" spans="1:7" s="648" customFormat="1" x14ac:dyDescent="0.2">
      <c r="A113" s="770" t="s">
        <v>2208</v>
      </c>
      <c r="B113" s="770" t="s">
        <v>2209</v>
      </c>
      <c r="C113" s="776" t="s">
        <v>2210</v>
      </c>
      <c r="D113" s="774">
        <v>0</v>
      </c>
      <c r="E113" s="774">
        <v>0</v>
      </c>
      <c r="F113" s="796"/>
      <c r="G113" s="783"/>
    </row>
    <row r="114" spans="1:7" s="826" customFormat="1" x14ac:dyDescent="0.2">
      <c r="A114" s="804" t="s">
        <v>2211</v>
      </c>
      <c r="B114" s="804" t="s">
        <v>2212</v>
      </c>
      <c r="C114" s="805" t="s">
        <v>133</v>
      </c>
      <c r="D114" s="769">
        <v>20004.23487</v>
      </c>
      <c r="E114" s="769">
        <v>65376.320039999999</v>
      </c>
      <c r="F114" s="790"/>
      <c r="G114" s="791"/>
    </row>
    <row r="115" spans="1:7" s="826" customFormat="1" x14ac:dyDescent="0.2">
      <c r="A115" s="804" t="s">
        <v>2213</v>
      </c>
      <c r="B115" s="804" t="s">
        <v>2214</v>
      </c>
      <c r="C115" s="805" t="s">
        <v>133</v>
      </c>
      <c r="D115" s="769">
        <v>0</v>
      </c>
      <c r="E115" s="769">
        <v>0</v>
      </c>
      <c r="F115" s="790"/>
      <c r="G115" s="791"/>
    </row>
    <row r="116" spans="1:7" s="648" customFormat="1" x14ac:dyDescent="0.2">
      <c r="A116" s="770" t="s">
        <v>2215</v>
      </c>
      <c r="B116" s="770" t="s">
        <v>2214</v>
      </c>
      <c r="C116" s="776" t="s">
        <v>2216</v>
      </c>
      <c r="D116" s="774">
        <v>0</v>
      </c>
      <c r="E116" s="774">
        <v>0</v>
      </c>
      <c r="F116" s="796"/>
      <c r="G116" s="783"/>
    </row>
    <row r="117" spans="1:7" s="826" customFormat="1" x14ac:dyDescent="0.2">
      <c r="A117" s="804" t="s">
        <v>2217</v>
      </c>
      <c r="B117" s="804" t="s">
        <v>2218</v>
      </c>
      <c r="C117" s="805" t="s">
        <v>133</v>
      </c>
      <c r="D117" s="769">
        <v>0</v>
      </c>
      <c r="E117" s="769">
        <v>450</v>
      </c>
      <c r="F117" s="790"/>
      <c r="G117" s="791"/>
    </row>
    <row r="118" spans="1:7" s="648" customFormat="1" x14ac:dyDescent="0.2">
      <c r="A118" s="770" t="s">
        <v>2219</v>
      </c>
      <c r="B118" s="770" t="s">
        <v>2220</v>
      </c>
      <c r="C118" s="776" t="s">
        <v>2221</v>
      </c>
      <c r="D118" s="774">
        <v>0</v>
      </c>
      <c r="E118" s="774">
        <v>0</v>
      </c>
      <c r="F118" s="796"/>
      <c r="G118" s="783"/>
    </row>
    <row r="119" spans="1:7" s="648" customFormat="1" x14ac:dyDescent="0.2">
      <c r="A119" s="770" t="s">
        <v>2222</v>
      </c>
      <c r="B119" s="770" t="s">
        <v>2223</v>
      </c>
      <c r="C119" s="776" t="s">
        <v>2224</v>
      </c>
      <c r="D119" s="774">
        <v>0</v>
      </c>
      <c r="E119" s="774">
        <v>0</v>
      </c>
      <c r="F119" s="796"/>
      <c r="G119" s="783"/>
    </row>
    <row r="120" spans="1:7" s="648" customFormat="1" x14ac:dyDescent="0.2">
      <c r="A120" s="770" t="s">
        <v>2228</v>
      </c>
      <c r="B120" s="770" t="s">
        <v>2229</v>
      </c>
      <c r="C120" s="776" t="s">
        <v>2230</v>
      </c>
      <c r="D120" s="774">
        <v>0</v>
      </c>
      <c r="E120" s="774">
        <v>100</v>
      </c>
      <c r="F120" s="796"/>
      <c r="G120" s="783"/>
    </row>
    <row r="121" spans="1:7" s="648" customFormat="1" x14ac:dyDescent="0.2">
      <c r="A121" s="770" t="s">
        <v>2237</v>
      </c>
      <c r="B121" s="770" t="s">
        <v>2238</v>
      </c>
      <c r="C121" s="776" t="s">
        <v>2239</v>
      </c>
      <c r="D121" s="774">
        <v>0</v>
      </c>
      <c r="E121" s="774">
        <v>0</v>
      </c>
      <c r="F121" s="796"/>
      <c r="G121" s="783"/>
    </row>
    <row r="122" spans="1:7" s="648" customFormat="1" x14ac:dyDescent="0.2">
      <c r="A122" s="770" t="s">
        <v>2240</v>
      </c>
      <c r="B122" s="770" t="s">
        <v>2241</v>
      </c>
      <c r="C122" s="776" t="s">
        <v>2242</v>
      </c>
      <c r="D122" s="774">
        <v>0</v>
      </c>
      <c r="E122" s="774">
        <v>350</v>
      </c>
      <c r="F122" s="796"/>
      <c r="G122" s="783"/>
    </row>
    <row r="123" spans="1:7" s="648" customFormat="1" x14ac:dyDescent="0.2">
      <c r="A123" s="770" t="s">
        <v>2243</v>
      </c>
      <c r="B123" s="770" t="s">
        <v>1999</v>
      </c>
      <c r="C123" s="776" t="s">
        <v>2000</v>
      </c>
      <c r="D123" s="774">
        <v>0</v>
      </c>
      <c r="E123" s="774">
        <v>0</v>
      </c>
      <c r="F123" s="796"/>
      <c r="G123" s="783"/>
    </row>
    <row r="124" spans="1:7" s="826" customFormat="1" x14ac:dyDescent="0.2">
      <c r="A124" s="804" t="s">
        <v>2244</v>
      </c>
      <c r="B124" s="804" t="s">
        <v>2245</v>
      </c>
      <c r="C124" s="805" t="s">
        <v>133</v>
      </c>
      <c r="D124" s="769">
        <v>20004.23487</v>
      </c>
      <c r="E124" s="769">
        <v>64926.320039999999</v>
      </c>
      <c r="F124" s="790"/>
      <c r="G124" s="791"/>
    </row>
    <row r="125" spans="1:7" s="648" customFormat="1" x14ac:dyDescent="0.2">
      <c r="A125" s="770" t="s">
        <v>2246</v>
      </c>
      <c r="B125" s="770" t="s">
        <v>2247</v>
      </c>
      <c r="C125" s="776" t="s">
        <v>2248</v>
      </c>
      <c r="D125" s="774">
        <v>0</v>
      </c>
      <c r="E125" s="774">
        <v>0</v>
      </c>
      <c r="F125" s="796"/>
      <c r="G125" s="783"/>
    </row>
    <row r="126" spans="1:7" s="648" customFormat="1" ht="12.75" customHeight="1" x14ac:dyDescent="0.2">
      <c r="A126" s="770" t="s">
        <v>2255</v>
      </c>
      <c r="B126" s="770" t="s">
        <v>2256</v>
      </c>
      <c r="C126" s="776" t="s">
        <v>2257</v>
      </c>
      <c r="D126" s="774">
        <v>0</v>
      </c>
      <c r="E126" s="774">
        <v>0</v>
      </c>
      <c r="F126" s="796"/>
      <c r="G126" s="783"/>
    </row>
    <row r="127" spans="1:7" s="648" customFormat="1" ht="12.75" customHeight="1" x14ac:dyDescent="0.2">
      <c r="A127" s="770" t="s">
        <v>2258</v>
      </c>
      <c r="B127" s="770" t="s">
        <v>2259</v>
      </c>
      <c r="C127" s="776" t="s">
        <v>2260</v>
      </c>
      <c r="D127" s="774">
        <v>1813.1194800000001</v>
      </c>
      <c r="E127" s="774">
        <v>1506.91794</v>
      </c>
      <c r="F127" s="792"/>
      <c r="G127" s="793"/>
    </row>
    <row r="128" spans="1:7" s="648" customFormat="1" ht="12.75" customHeight="1" x14ac:dyDescent="0.2">
      <c r="A128" s="770" t="s">
        <v>2264</v>
      </c>
      <c r="B128" s="770" t="s">
        <v>2265</v>
      </c>
      <c r="C128" s="776" t="s">
        <v>2266</v>
      </c>
      <c r="D128" s="774">
        <v>21.6</v>
      </c>
      <c r="E128" s="774">
        <v>0</v>
      </c>
      <c r="F128" s="792"/>
      <c r="G128" s="793"/>
    </row>
    <row r="129" spans="1:7" s="648" customFormat="1" ht="12.75" customHeight="1" x14ac:dyDescent="0.2">
      <c r="A129" s="770" t="s">
        <v>2270</v>
      </c>
      <c r="B129" s="770" t="s">
        <v>2271</v>
      </c>
      <c r="C129" s="776" t="s">
        <v>2272</v>
      </c>
      <c r="D129" s="774">
        <v>0</v>
      </c>
      <c r="E129" s="774">
        <v>0</v>
      </c>
      <c r="F129" s="796"/>
      <c r="G129" s="783"/>
    </row>
    <row r="130" spans="1:7" s="648" customFormat="1" ht="12.75" customHeight="1" x14ac:dyDescent="0.2">
      <c r="A130" s="770" t="s">
        <v>2273</v>
      </c>
      <c r="B130" s="770" t="s">
        <v>2274</v>
      </c>
      <c r="C130" s="776" t="s">
        <v>2275</v>
      </c>
      <c r="D130" s="774">
        <v>5941.8190000000004</v>
      </c>
      <c r="E130" s="774">
        <v>5527.692</v>
      </c>
      <c r="F130" s="792"/>
      <c r="G130" s="793"/>
    </row>
    <row r="131" spans="1:7" s="648" customFormat="1" ht="12.75" customHeight="1" x14ac:dyDescent="0.2">
      <c r="A131" s="770" t="s">
        <v>2276</v>
      </c>
      <c r="B131" s="770" t="s">
        <v>2277</v>
      </c>
      <c r="C131" s="776" t="s">
        <v>2278</v>
      </c>
      <c r="D131" s="774">
        <v>616.99400000000003</v>
      </c>
      <c r="E131" s="774">
        <v>717.64099999999996</v>
      </c>
      <c r="F131" s="792"/>
      <c r="G131" s="793"/>
    </row>
    <row r="132" spans="1:7" s="648" customFormat="1" ht="12.75" customHeight="1" x14ac:dyDescent="0.2">
      <c r="A132" s="770" t="s">
        <v>2279</v>
      </c>
      <c r="B132" s="770" t="s">
        <v>2065</v>
      </c>
      <c r="C132" s="776" t="s">
        <v>2066</v>
      </c>
      <c r="D132" s="774">
        <v>2545.3339999999998</v>
      </c>
      <c r="E132" s="774">
        <v>2523.7190000000001</v>
      </c>
      <c r="F132" s="792"/>
      <c r="G132" s="793"/>
    </row>
    <row r="133" spans="1:7" s="648" customFormat="1" ht="12.75" customHeight="1" x14ac:dyDescent="0.2">
      <c r="A133" s="770" t="s">
        <v>2280</v>
      </c>
      <c r="B133" s="770" t="s">
        <v>2068</v>
      </c>
      <c r="C133" s="776" t="s">
        <v>2069</v>
      </c>
      <c r="D133" s="774">
        <v>1093.248</v>
      </c>
      <c r="E133" s="774">
        <v>1084.317</v>
      </c>
      <c r="F133" s="792"/>
      <c r="G133" s="793"/>
    </row>
    <row r="134" spans="1:7" s="648" customFormat="1" ht="12.75" customHeight="1" x14ac:dyDescent="0.2">
      <c r="A134" s="770" t="s">
        <v>2281</v>
      </c>
      <c r="B134" s="770" t="s">
        <v>2071</v>
      </c>
      <c r="C134" s="776" t="s">
        <v>2072</v>
      </c>
      <c r="D134" s="774">
        <v>3.702</v>
      </c>
      <c r="E134" s="774">
        <v>3.407</v>
      </c>
      <c r="F134" s="792"/>
      <c r="G134" s="793"/>
    </row>
    <row r="135" spans="1:7" s="648" customFormat="1" ht="12.75" customHeight="1" x14ac:dyDescent="0.2">
      <c r="A135" s="770" t="s">
        <v>2282</v>
      </c>
      <c r="B135" s="770" t="s">
        <v>2074</v>
      </c>
      <c r="C135" s="776" t="s">
        <v>2075</v>
      </c>
      <c r="D135" s="774">
        <v>0</v>
      </c>
      <c r="E135" s="774">
        <v>0</v>
      </c>
      <c r="F135" s="796"/>
      <c r="G135" s="783"/>
    </row>
    <row r="136" spans="1:7" s="648" customFormat="1" ht="12.75" customHeight="1" x14ac:dyDescent="0.2">
      <c r="A136" s="770" t="s">
        <v>2283</v>
      </c>
      <c r="B136" s="770" t="s">
        <v>2077</v>
      </c>
      <c r="C136" s="776" t="s">
        <v>2078</v>
      </c>
      <c r="D136" s="774">
        <v>728.07</v>
      </c>
      <c r="E136" s="774">
        <v>761.60299999999995</v>
      </c>
      <c r="F136" s="792"/>
      <c r="G136" s="793"/>
    </row>
    <row r="137" spans="1:7" s="648" customFormat="1" ht="12.75" customHeight="1" x14ac:dyDescent="0.2">
      <c r="A137" s="770" t="s">
        <v>2284</v>
      </c>
      <c r="B137" s="770" t="s">
        <v>236</v>
      </c>
      <c r="C137" s="776" t="s">
        <v>2080</v>
      </c>
      <c r="D137" s="774">
        <v>7.4249999999999998</v>
      </c>
      <c r="E137" s="774">
        <v>32.883000000000003</v>
      </c>
      <c r="F137" s="796"/>
      <c r="G137" s="783"/>
    </row>
    <row r="138" spans="1:7" s="648" customFormat="1" ht="12.75" customHeight="1" x14ac:dyDescent="0.2">
      <c r="A138" s="770" t="s">
        <v>2285</v>
      </c>
      <c r="B138" s="770" t="s">
        <v>2286</v>
      </c>
      <c r="C138" s="776" t="s">
        <v>2287</v>
      </c>
      <c r="D138" s="774">
        <v>0</v>
      </c>
      <c r="E138" s="774">
        <v>0</v>
      </c>
      <c r="F138" s="792"/>
      <c r="G138" s="793"/>
    </row>
    <row r="139" spans="1:7" s="648" customFormat="1" ht="12.75" customHeight="1" x14ac:dyDescent="0.2">
      <c r="A139" s="770" t="s">
        <v>2288</v>
      </c>
      <c r="B139" s="770" t="s">
        <v>2289</v>
      </c>
      <c r="C139" s="776" t="s">
        <v>2290</v>
      </c>
      <c r="D139" s="774">
        <v>0</v>
      </c>
      <c r="E139" s="774">
        <v>0</v>
      </c>
      <c r="F139" s="796"/>
      <c r="G139" s="783"/>
    </row>
    <row r="140" spans="1:7" s="648" customFormat="1" ht="12.75" customHeight="1" x14ac:dyDescent="0.2">
      <c r="A140" s="770" t="s">
        <v>2291</v>
      </c>
      <c r="B140" s="770" t="s">
        <v>2292</v>
      </c>
      <c r="C140" s="776" t="s">
        <v>2293</v>
      </c>
      <c r="D140" s="774">
        <v>35.423720000000003</v>
      </c>
      <c r="E140" s="774">
        <v>0</v>
      </c>
      <c r="F140" s="792"/>
      <c r="G140" s="793"/>
    </row>
    <row r="141" spans="1:7" s="648" customFormat="1" ht="12.75" customHeight="1" x14ac:dyDescent="0.2">
      <c r="A141" s="770" t="s">
        <v>2304</v>
      </c>
      <c r="B141" s="770" t="s">
        <v>2305</v>
      </c>
      <c r="C141" s="776" t="s">
        <v>2306</v>
      </c>
      <c r="D141" s="774">
        <v>1587</v>
      </c>
      <c r="E141" s="774">
        <v>324.89350000000002</v>
      </c>
      <c r="F141" s="796"/>
      <c r="G141" s="783"/>
    </row>
    <row r="142" spans="1:7" s="648" customFormat="1" ht="12.75" customHeight="1" x14ac:dyDescent="0.2">
      <c r="A142" s="770" t="s">
        <v>2307</v>
      </c>
      <c r="B142" s="770" t="s">
        <v>2106</v>
      </c>
      <c r="C142" s="776" t="s">
        <v>2107</v>
      </c>
      <c r="D142" s="774">
        <v>0</v>
      </c>
      <c r="E142" s="774">
        <v>0</v>
      </c>
      <c r="F142" s="796"/>
      <c r="G142" s="783"/>
    </row>
    <row r="143" spans="1:7" s="648" customFormat="1" ht="12.75" customHeight="1" x14ac:dyDescent="0.2">
      <c r="A143" s="770" t="s">
        <v>2308</v>
      </c>
      <c r="B143" s="770" t="s">
        <v>2309</v>
      </c>
      <c r="C143" s="776" t="s">
        <v>2310</v>
      </c>
      <c r="D143" s="774">
        <v>2642.7446500000001</v>
      </c>
      <c r="E143" s="774">
        <v>2875.3838999999998</v>
      </c>
      <c r="F143" s="792"/>
      <c r="G143" s="793"/>
    </row>
    <row r="144" spans="1:7" s="648" customFormat="1" ht="12.75" customHeight="1" x14ac:dyDescent="0.2">
      <c r="A144" s="770" t="s">
        <v>2311</v>
      </c>
      <c r="B144" s="770" t="s">
        <v>2312</v>
      </c>
      <c r="C144" s="776" t="s">
        <v>2313</v>
      </c>
      <c r="D144" s="774">
        <v>2014.1596599999998</v>
      </c>
      <c r="E144" s="774">
        <v>1996.52009</v>
      </c>
      <c r="F144" s="796"/>
      <c r="G144" s="783"/>
    </row>
    <row r="145" spans="1:7" s="648" customFormat="1" ht="12.75" customHeight="1" x14ac:dyDescent="0.2">
      <c r="A145" s="770" t="s">
        <v>2314</v>
      </c>
      <c r="B145" s="770" t="s">
        <v>2315</v>
      </c>
      <c r="C145" s="776" t="s">
        <v>2316</v>
      </c>
      <c r="D145" s="774">
        <v>883.17803000000004</v>
      </c>
      <c r="E145" s="774">
        <v>958.68499999999995</v>
      </c>
      <c r="F145" s="792"/>
      <c r="G145" s="793"/>
    </row>
    <row r="146" spans="1:7" s="648" customFormat="1" ht="12.75" customHeight="1" x14ac:dyDescent="0.2">
      <c r="A146" s="777" t="s">
        <v>2317</v>
      </c>
      <c r="B146" s="777" t="s">
        <v>2318</v>
      </c>
      <c r="C146" s="778" t="s">
        <v>2319</v>
      </c>
      <c r="D146" s="798">
        <v>70.417330000000007</v>
      </c>
      <c r="E146" s="798">
        <v>552.65760999999998</v>
      </c>
      <c r="F146" s="796"/>
      <c r="G146" s="783"/>
    </row>
    <row r="147" spans="1:7" s="648" customFormat="1" x14ac:dyDescent="0.2">
      <c r="C147" s="546"/>
      <c r="D147" s="760"/>
      <c r="E147" s="760"/>
      <c r="F147" s="760"/>
      <c r="G147" s="760"/>
    </row>
    <row r="148" spans="1:7" s="648" customFormat="1" x14ac:dyDescent="0.2">
      <c r="C148" s="546"/>
      <c r="D148" s="760"/>
      <c r="E148" s="760"/>
      <c r="F148" s="760"/>
      <c r="G148" s="760"/>
    </row>
    <row r="149" spans="1:7" s="648" customFormat="1" x14ac:dyDescent="0.2">
      <c r="C149" s="546"/>
      <c r="D149" s="760"/>
      <c r="E149" s="760"/>
      <c r="F149" s="760"/>
      <c r="G149" s="760"/>
    </row>
    <row r="150" spans="1:7" s="648" customFormat="1" x14ac:dyDescent="0.2">
      <c r="C150" s="546"/>
      <c r="D150" s="760"/>
      <c r="E150" s="760"/>
      <c r="F150" s="760"/>
      <c r="G150" s="760"/>
    </row>
    <row r="151" spans="1:7" s="648" customFormat="1" x14ac:dyDescent="0.2">
      <c r="C151" s="546"/>
      <c r="D151" s="760"/>
      <c r="E151" s="760"/>
      <c r="F151" s="760"/>
      <c r="G151" s="760"/>
    </row>
    <row r="152" spans="1:7" s="648" customFormat="1" x14ac:dyDescent="0.2">
      <c r="C152" s="546"/>
      <c r="D152" s="760"/>
      <c r="E152" s="760"/>
      <c r="F152" s="760"/>
      <c r="G152" s="760"/>
    </row>
    <row r="153" spans="1:7" s="648" customFormat="1" x14ac:dyDescent="0.2">
      <c r="C153" s="546"/>
      <c r="D153" s="760"/>
      <c r="E153" s="760"/>
      <c r="F153" s="760"/>
      <c r="G153" s="760"/>
    </row>
    <row r="154" spans="1:7" s="648" customFormat="1" x14ac:dyDescent="0.2">
      <c r="C154" s="546"/>
      <c r="D154" s="760"/>
      <c r="E154" s="760"/>
      <c r="F154" s="760"/>
      <c r="G154" s="760"/>
    </row>
    <row r="155" spans="1:7" s="648" customFormat="1" x14ac:dyDescent="0.2">
      <c r="C155" s="546"/>
      <c r="D155" s="760"/>
      <c r="E155" s="760"/>
      <c r="F155" s="760"/>
      <c r="G155" s="760"/>
    </row>
    <row r="156" spans="1:7" s="648" customFormat="1" x14ac:dyDescent="0.2">
      <c r="C156" s="546"/>
      <c r="D156" s="760"/>
      <c r="E156" s="760"/>
      <c r="F156" s="760"/>
      <c r="G156" s="760"/>
    </row>
    <row r="157" spans="1:7" s="648" customFormat="1" x14ac:dyDescent="0.2">
      <c r="C157" s="546"/>
      <c r="D157" s="760"/>
      <c r="E157" s="760"/>
      <c r="F157" s="760"/>
      <c r="G157" s="760"/>
    </row>
    <row r="158" spans="1:7" s="648" customFormat="1" x14ac:dyDescent="0.2">
      <c r="C158" s="546"/>
      <c r="D158" s="760"/>
      <c r="E158" s="760"/>
      <c r="F158" s="760"/>
      <c r="G158" s="760"/>
    </row>
    <row r="159" spans="1:7" x14ac:dyDescent="0.2">
      <c r="A159" s="764"/>
      <c r="D159" s="760"/>
      <c r="E159" s="760"/>
      <c r="F159" s="760"/>
      <c r="G159" s="760"/>
    </row>
    <row r="160" spans="1:7" x14ac:dyDescent="0.2">
      <c r="A160" s="764"/>
      <c r="D160" s="760"/>
      <c r="E160" s="760"/>
      <c r="F160" s="760"/>
      <c r="G160" s="760"/>
    </row>
    <row r="161" spans="1:7" x14ac:dyDescent="0.2">
      <c r="A161" s="764"/>
      <c r="D161" s="760"/>
      <c r="E161" s="760"/>
      <c r="F161" s="760"/>
      <c r="G161" s="760"/>
    </row>
    <row r="162" spans="1:7" x14ac:dyDescent="0.2">
      <c r="A162" s="764"/>
      <c r="D162" s="760"/>
      <c r="E162" s="760"/>
      <c r="F162" s="760"/>
      <c r="G162" s="760"/>
    </row>
    <row r="163" spans="1:7" x14ac:dyDescent="0.2">
      <c r="A163" s="764"/>
      <c r="D163" s="760"/>
      <c r="E163" s="760"/>
      <c r="F163" s="760"/>
      <c r="G163" s="760"/>
    </row>
    <row r="164" spans="1:7" x14ac:dyDescent="0.2">
      <c r="A164" s="764"/>
      <c r="D164" s="760"/>
      <c r="E164" s="760"/>
      <c r="F164" s="760"/>
      <c r="G164" s="760"/>
    </row>
    <row r="165" spans="1:7" x14ac:dyDescent="0.2">
      <c r="A165" s="764"/>
      <c r="D165" s="760"/>
      <c r="E165" s="760"/>
      <c r="F165" s="760"/>
      <c r="G165" s="760"/>
    </row>
    <row r="166" spans="1:7" x14ac:dyDescent="0.2">
      <c r="A166" s="764"/>
      <c r="D166" s="760"/>
      <c r="E166" s="760"/>
      <c r="F166" s="760"/>
      <c r="G166" s="760"/>
    </row>
    <row r="167" spans="1:7" x14ac:dyDescent="0.2">
      <c r="A167" s="764"/>
      <c r="D167" s="760"/>
      <c r="E167" s="760"/>
      <c r="F167" s="760"/>
      <c r="G167" s="760"/>
    </row>
    <row r="168" spans="1:7" x14ac:dyDescent="0.2">
      <c r="A168" s="764"/>
      <c r="D168" s="760"/>
      <c r="E168" s="760"/>
      <c r="F168" s="760"/>
      <c r="G168" s="760"/>
    </row>
    <row r="169" spans="1:7" x14ac:dyDescent="0.2">
      <c r="A169" s="764"/>
      <c r="D169" s="760"/>
      <c r="E169" s="760"/>
      <c r="F169" s="760"/>
      <c r="G169" s="760"/>
    </row>
    <row r="170" spans="1:7" x14ac:dyDescent="0.2">
      <c r="A170" s="764"/>
      <c r="D170" s="760"/>
      <c r="E170" s="760"/>
      <c r="F170" s="760"/>
      <c r="G170" s="760"/>
    </row>
    <row r="171" spans="1:7" x14ac:dyDescent="0.2">
      <c r="A171" s="764"/>
      <c r="D171" s="760"/>
      <c r="E171" s="760"/>
      <c r="F171" s="760"/>
      <c r="G171" s="760"/>
    </row>
    <row r="172" spans="1:7" x14ac:dyDescent="0.2">
      <c r="A172" s="764"/>
      <c r="D172" s="760"/>
      <c r="E172" s="760"/>
      <c r="F172" s="760"/>
      <c r="G172" s="760"/>
    </row>
    <row r="173" spans="1:7" x14ac:dyDescent="0.2">
      <c r="A173" s="764"/>
      <c r="D173" s="760"/>
      <c r="E173" s="760"/>
      <c r="F173" s="760"/>
      <c r="G173" s="760"/>
    </row>
    <row r="174" spans="1:7" x14ac:dyDescent="0.2">
      <c r="A174" s="764"/>
      <c r="D174" s="760"/>
      <c r="E174" s="760"/>
      <c r="F174" s="760"/>
      <c r="G174" s="760"/>
    </row>
    <row r="175" spans="1:7" x14ac:dyDescent="0.2">
      <c r="A175" s="764"/>
      <c r="D175" s="760"/>
      <c r="E175" s="760"/>
      <c r="F175" s="760"/>
      <c r="G175" s="760"/>
    </row>
    <row r="176" spans="1:7" x14ac:dyDescent="0.2">
      <c r="A176" s="764"/>
      <c r="D176" s="760"/>
      <c r="E176" s="760"/>
      <c r="F176" s="760"/>
      <c r="G176" s="760"/>
    </row>
    <row r="177" spans="1:7" x14ac:dyDescent="0.2">
      <c r="A177" s="764"/>
      <c r="D177" s="760"/>
      <c r="E177" s="760"/>
      <c r="F177" s="760"/>
      <c r="G177" s="760"/>
    </row>
    <row r="178" spans="1:7" x14ac:dyDescent="0.2">
      <c r="A178" s="764"/>
      <c r="D178" s="760"/>
      <c r="E178" s="760"/>
      <c r="F178" s="760"/>
      <c r="G178" s="760"/>
    </row>
    <row r="179" spans="1:7" x14ac:dyDescent="0.2">
      <c r="A179" s="764"/>
      <c r="D179" s="760"/>
      <c r="E179" s="760"/>
      <c r="F179" s="760"/>
      <c r="G179" s="760"/>
    </row>
    <row r="180" spans="1:7" x14ac:dyDescent="0.2">
      <c r="A180" s="764"/>
      <c r="D180" s="760"/>
      <c r="E180" s="760"/>
      <c r="F180" s="760"/>
      <c r="G180" s="760"/>
    </row>
    <row r="181" spans="1:7" x14ac:dyDescent="0.2">
      <c r="A181" s="764"/>
      <c r="D181" s="760"/>
      <c r="E181" s="760"/>
      <c r="F181" s="760"/>
      <c r="G181" s="760"/>
    </row>
    <row r="182" spans="1:7" x14ac:dyDescent="0.2">
      <c r="A182" s="764"/>
      <c r="D182" s="760"/>
      <c r="E182" s="760"/>
      <c r="F182" s="760"/>
      <c r="G182" s="760"/>
    </row>
    <row r="183" spans="1:7" x14ac:dyDescent="0.2">
      <c r="A183" s="764"/>
      <c r="D183" s="760"/>
      <c r="E183" s="760"/>
      <c r="F183" s="760"/>
      <c r="G183" s="760"/>
    </row>
    <row r="184" spans="1:7" x14ac:dyDescent="0.2">
      <c r="A184" s="764"/>
      <c r="D184" s="760"/>
      <c r="E184" s="760"/>
      <c r="F184" s="760"/>
      <c r="G184" s="760"/>
    </row>
    <row r="185" spans="1:7" x14ac:dyDescent="0.2">
      <c r="A185" s="764"/>
      <c r="D185" s="760"/>
      <c r="E185" s="760"/>
      <c r="F185" s="760"/>
      <c r="G185" s="760"/>
    </row>
    <row r="186" spans="1:7" x14ac:dyDescent="0.2">
      <c r="A186" s="764"/>
      <c r="D186" s="760"/>
      <c r="E186" s="760"/>
      <c r="F186" s="760"/>
      <c r="G186" s="760"/>
    </row>
    <row r="187" spans="1:7" x14ac:dyDescent="0.2">
      <c r="A187" s="764"/>
      <c r="D187" s="760"/>
      <c r="E187" s="760"/>
      <c r="F187" s="760"/>
      <c r="G187" s="760"/>
    </row>
    <row r="188" spans="1:7" x14ac:dyDescent="0.2">
      <c r="A188" s="764"/>
      <c r="D188" s="760"/>
      <c r="E188" s="760"/>
      <c r="F188" s="760"/>
      <c r="G188" s="760"/>
    </row>
    <row r="189" spans="1:7" x14ac:dyDescent="0.2">
      <c r="A189" s="764"/>
      <c r="D189" s="760"/>
      <c r="E189" s="760"/>
      <c r="F189" s="760"/>
      <c r="G189" s="760"/>
    </row>
    <row r="190" spans="1:7" x14ac:dyDescent="0.2">
      <c r="A190" s="764"/>
      <c r="D190" s="760"/>
      <c r="E190" s="760"/>
      <c r="F190" s="760"/>
      <c r="G190" s="760"/>
    </row>
    <row r="191" spans="1:7" x14ac:dyDescent="0.2">
      <c r="A191" s="764"/>
      <c r="D191" s="760"/>
      <c r="E191" s="760"/>
      <c r="F191" s="760"/>
      <c r="G191" s="760"/>
    </row>
    <row r="192" spans="1:7" x14ac:dyDescent="0.2">
      <c r="A192" s="764"/>
      <c r="D192" s="760"/>
      <c r="E192" s="760"/>
      <c r="F192" s="760"/>
      <c r="G192" s="760"/>
    </row>
    <row r="193" spans="1:7" x14ac:dyDescent="0.2">
      <c r="A193" s="764"/>
      <c r="D193" s="760"/>
      <c r="E193" s="760"/>
      <c r="F193" s="760"/>
      <c r="G193" s="760"/>
    </row>
    <row r="194" spans="1:7" x14ac:dyDescent="0.2">
      <c r="A194" s="764"/>
      <c r="D194" s="760"/>
      <c r="E194" s="760"/>
      <c r="F194" s="760"/>
      <c r="G194" s="760"/>
    </row>
    <row r="195" spans="1:7" x14ac:dyDescent="0.2">
      <c r="A195" s="764"/>
      <c r="D195" s="760"/>
      <c r="E195" s="760"/>
      <c r="F195" s="760"/>
      <c r="G195" s="760"/>
    </row>
    <row r="196" spans="1:7" x14ac:dyDescent="0.2">
      <c r="A196" s="764"/>
      <c r="D196" s="760"/>
      <c r="E196" s="760"/>
      <c r="F196" s="760"/>
      <c r="G196" s="760"/>
    </row>
    <row r="197" spans="1:7" x14ac:dyDescent="0.2">
      <c r="A197" s="764"/>
      <c r="D197" s="760"/>
      <c r="E197" s="760"/>
      <c r="F197" s="760"/>
      <c r="G197" s="760"/>
    </row>
    <row r="198" spans="1:7" x14ac:dyDescent="0.2">
      <c r="A198" s="764"/>
      <c r="D198" s="760"/>
      <c r="E198" s="760"/>
      <c r="F198" s="760"/>
      <c r="G198" s="760"/>
    </row>
    <row r="199" spans="1:7" x14ac:dyDescent="0.2">
      <c r="A199" s="764"/>
      <c r="D199" s="760"/>
      <c r="E199" s="760"/>
      <c r="F199" s="760"/>
      <c r="G199" s="760"/>
    </row>
    <row r="200" spans="1:7" x14ac:dyDescent="0.2">
      <c r="A200" s="764"/>
      <c r="D200" s="760"/>
      <c r="E200" s="760"/>
      <c r="F200" s="760"/>
      <c r="G200" s="760"/>
    </row>
    <row r="201" spans="1:7" x14ac:dyDescent="0.2">
      <c r="A201" s="764"/>
      <c r="D201" s="760"/>
      <c r="E201" s="760"/>
      <c r="F201" s="760"/>
      <c r="G201" s="760"/>
    </row>
    <row r="202" spans="1:7" x14ac:dyDescent="0.2">
      <c r="A202" s="764"/>
      <c r="D202" s="760"/>
      <c r="E202" s="760"/>
      <c r="F202" s="760"/>
      <c r="G202" s="760"/>
    </row>
    <row r="203" spans="1:7" x14ac:dyDescent="0.2">
      <c r="A203" s="764"/>
      <c r="D203" s="760"/>
      <c r="E203" s="760"/>
      <c r="F203" s="760"/>
      <c r="G203" s="760"/>
    </row>
    <row r="204" spans="1:7" x14ac:dyDescent="0.2">
      <c r="A204" s="764"/>
      <c r="D204" s="760"/>
      <c r="E204" s="760"/>
      <c r="F204" s="760"/>
      <c r="G204" s="760"/>
    </row>
    <row r="205" spans="1:7" x14ac:dyDescent="0.2">
      <c r="A205" s="764"/>
      <c r="D205" s="760"/>
      <c r="E205" s="760"/>
      <c r="F205" s="760"/>
      <c r="G205" s="760"/>
    </row>
    <row r="206" spans="1:7" x14ac:dyDescent="0.2">
      <c r="A206" s="764"/>
      <c r="D206" s="760"/>
      <c r="E206" s="760"/>
      <c r="F206" s="760"/>
      <c r="G206" s="760"/>
    </row>
    <row r="207" spans="1:7" x14ac:dyDescent="0.2">
      <c r="A207" s="764"/>
      <c r="D207" s="760"/>
      <c r="E207" s="760"/>
      <c r="F207" s="760"/>
      <c r="G207" s="760"/>
    </row>
    <row r="208" spans="1:7" x14ac:dyDescent="0.2">
      <c r="A208" s="764"/>
      <c r="D208" s="760"/>
      <c r="E208" s="760"/>
      <c r="F208" s="760"/>
      <c r="G208" s="760"/>
    </row>
    <row r="209" spans="1:7" x14ac:dyDescent="0.2">
      <c r="A209" s="764"/>
      <c r="D209" s="760"/>
      <c r="E209" s="760"/>
      <c r="F209" s="760"/>
      <c r="G209" s="760"/>
    </row>
    <row r="210" spans="1:7" x14ac:dyDescent="0.2">
      <c r="A210" s="764"/>
      <c r="D210" s="760"/>
      <c r="E210" s="760"/>
      <c r="F210" s="760"/>
      <c r="G210" s="760"/>
    </row>
    <row r="211" spans="1:7" x14ac:dyDescent="0.2">
      <c r="A211" s="764"/>
      <c r="D211" s="760"/>
      <c r="E211" s="760"/>
      <c r="F211" s="760"/>
      <c r="G211" s="760"/>
    </row>
    <row r="212" spans="1:7" x14ac:dyDescent="0.2">
      <c r="A212" s="764"/>
      <c r="D212" s="760"/>
      <c r="E212" s="760"/>
      <c r="F212" s="760"/>
      <c r="G212" s="760"/>
    </row>
    <row r="213" spans="1:7" x14ac:dyDescent="0.2">
      <c r="A213" s="764"/>
      <c r="D213" s="760"/>
      <c r="E213" s="760"/>
      <c r="F213" s="760"/>
      <c r="G213" s="760"/>
    </row>
    <row r="214" spans="1:7" x14ac:dyDescent="0.2">
      <c r="A214" s="764"/>
      <c r="D214" s="760"/>
      <c r="E214" s="760"/>
      <c r="F214" s="760"/>
      <c r="G214" s="760"/>
    </row>
    <row r="215" spans="1:7" x14ac:dyDescent="0.2">
      <c r="A215" s="764"/>
      <c r="D215" s="760"/>
      <c r="E215" s="760"/>
      <c r="F215" s="760"/>
      <c r="G215" s="760"/>
    </row>
    <row r="216" spans="1:7" x14ac:dyDescent="0.2">
      <c r="A216" s="764"/>
      <c r="D216" s="760"/>
      <c r="E216" s="760"/>
      <c r="F216" s="760"/>
      <c r="G216" s="760"/>
    </row>
    <row r="217" spans="1:7" x14ac:dyDescent="0.2">
      <c r="A217" s="764"/>
      <c r="D217" s="760"/>
      <c r="E217" s="760"/>
      <c r="F217" s="760"/>
      <c r="G217" s="760"/>
    </row>
  </sheetData>
  <mergeCells count="10">
    <mergeCell ref="A93:B94"/>
    <mergeCell ref="C93:C94"/>
    <mergeCell ref="D93:E93"/>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75" firstPageNumber="466" fitToHeight="2" orientation="portrait" useFirstPageNumber="1" r:id="rId1"/>
  <headerFooter alignWithMargins="0">
    <oddHeader>&amp;L&amp;"Tahoma,Kurzíva"Závěrečný účet za rok 2015&amp;R&amp;"Tahoma,Kurzíva"Tabulka č. 36</oddHeader>
    <oddFooter>&amp;C&amp;"Tahoma,Obyčejné"&amp;P</oddFooter>
  </headerFooter>
  <rowBreaks count="1" manualBreakCount="1">
    <brk id="73" max="6"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zoomScaleNormal="100" zoomScaleSheetLayoutView="100" workbookViewId="0">
      <selection activeCell="L47" sqref="L47"/>
    </sheetView>
  </sheetViews>
  <sheetFormatPr defaultRowHeight="12.75" x14ac:dyDescent="0.2"/>
  <cols>
    <col min="1" max="1" width="6.7109375" style="211" customWidth="1"/>
    <col min="2" max="2" width="58.42578125" style="211" customWidth="1"/>
    <col min="3" max="3" width="8.5703125" style="847" customWidth="1"/>
    <col min="4" max="7" width="15.42578125" style="211" customWidth="1"/>
    <col min="8" max="8" width="5.28515625" style="211" customWidth="1"/>
    <col min="9" max="16384" width="9.140625" style="211"/>
  </cols>
  <sheetData>
    <row r="1" spans="1:7" s="837" customFormat="1" ht="18" customHeight="1" x14ac:dyDescent="0.2">
      <c r="A1" s="1493" t="s">
        <v>1874</v>
      </c>
      <c r="B1" s="1493"/>
      <c r="C1" s="1493"/>
      <c r="D1" s="1493"/>
      <c r="E1" s="1493"/>
      <c r="F1" s="1493"/>
      <c r="G1" s="1493"/>
    </row>
    <row r="2" spans="1:7" s="838" customFormat="1" ht="18" customHeight="1" x14ac:dyDescent="0.2">
      <c r="A2" s="1493" t="s">
        <v>2506</v>
      </c>
      <c r="B2" s="1493"/>
      <c r="C2" s="1493"/>
      <c r="D2" s="1493"/>
      <c r="E2" s="1493"/>
      <c r="F2" s="1493"/>
      <c r="G2" s="1493"/>
    </row>
    <row r="4" spans="1:7" ht="12.75" customHeight="1" x14ac:dyDescent="0.2">
      <c r="A4" s="839"/>
      <c r="B4" s="840"/>
      <c r="C4" s="841"/>
      <c r="D4" s="842">
        <v>1</v>
      </c>
      <c r="E4" s="842">
        <v>2</v>
      </c>
      <c r="F4" s="842">
        <v>3</v>
      </c>
      <c r="G4" s="842">
        <v>4</v>
      </c>
    </row>
    <row r="5" spans="1:7" s="843" customFormat="1" ht="12.75" customHeight="1" x14ac:dyDescent="0.2">
      <c r="A5" s="1517" t="s">
        <v>1876</v>
      </c>
      <c r="B5" s="1518"/>
      <c r="C5" s="1521" t="s">
        <v>1877</v>
      </c>
      <c r="D5" s="1523" t="s">
        <v>2324</v>
      </c>
      <c r="E5" s="1523"/>
      <c r="F5" s="1523" t="s">
        <v>2325</v>
      </c>
      <c r="G5" s="1523"/>
    </row>
    <row r="6" spans="1:7" s="843" customFormat="1" ht="21" x14ac:dyDescent="0.2">
      <c r="A6" s="1519"/>
      <c r="B6" s="1520"/>
      <c r="C6" s="1522"/>
      <c r="D6" s="844" t="s">
        <v>2326</v>
      </c>
      <c r="E6" s="844" t="s">
        <v>2327</v>
      </c>
      <c r="F6" s="845" t="s">
        <v>2326</v>
      </c>
      <c r="G6" s="845" t="s">
        <v>2327</v>
      </c>
    </row>
    <row r="7" spans="1:7" s="843" customFormat="1" x14ac:dyDescent="0.2">
      <c r="A7" s="804" t="s">
        <v>1885</v>
      </c>
      <c r="B7" s="804" t="s">
        <v>2328</v>
      </c>
      <c r="C7" s="805" t="s">
        <v>133</v>
      </c>
      <c r="D7" s="769">
        <v>231905.92540000001</v>
      </c>
      <c r="E7" s="769">
        <v>1078.8294099999998</v>
      </c>
      <c r="F7" s="769">
        <v>220825.91595</v>
      </c>
      <c r="G7" s="769">
        <v>1098.6913100000002</v>
      </c>
    </row>
    <row r="8" spans="1:7" x14ac:dyDescent="0.2">
      <c r="A8" s="767" t="s">
        <v>1887</v>
      </c>
      <c r="B8" s="767" t="s">
        <v>2329</v>
      </c>
      <c r="C8" s="812" t="s">
        <v>133</v>
      </c>
      <c r="D8" s="813">
        <v>231846.15229</v>
      </c>
      <c r="E8" s="813">
        <v>1078.5945200000001</v>
      </c>
      <c r="F8" s="813">
        <v>220601.54158000002</v>
      </c>
      <c r="G8" s="813">
        <v>1094.9549500000001</v>
      </c>
    </row>
    <row r="9" spans="1:7" x14ac:dyDescent="0.2">
      <c r="A9" s="827" t="s">
        <v>1889</v>
      </c>
      <c r="B9" s="827" t="s">
        <v>2330</v>
      </c>
      <c r="C9" s="828" t="s">
        <v>2331</v>
      </c>
      <c r="D9" s="806">
        <v>19176.322670000001</v>
      </c>
      <c r="E9" s="806">
        <v>11.64029</v>
      </c>
      <c r="F9" s="806">
        <v>14157.76922</v>
      </c>
      <c r="G9" s="806">
        <v>3.8064</v>
      </c>
    </row>
    <row r="10" spans="1:7" x14ac:dyDescent="0.2">
      <c r="A10" s="770" t="s">
        <v>1892</v>
      </c>
      <c r="B10" s="770" t="s">
        <v>2332</v>
      </c>
      <c r="C10" s="776" t="s">
        <v>2333</v>
      </c>
      <c r="D10" s="806">
        <v>10704.777310000001</v>
      </c>
      <c r="E10" s="806">
        <v>64.594279999999998</v>
      </c>
      <c r="F10" s="806">
        <v>10297.296829999999</v>
      </c>
      <c r="G10" s="806">
        <v>53.034330000000004</v>
      </c>
    </row>
    <row r="11" spans="1:7" x14ac:dyDescent="0.2">
      <c r="A11" s="770" t="s">
        <v>1895</v>
      </c>
      <c r="B11" s="770" t="s">
        <v>2334</v>
      </c>
      <c r="C11" s="776" t="s">
        <v>2335</v>
      </c>
      <c r="D11" s="806"/>
      <c r="E11" s="806"/>
      <c r="F11" s="806"/>
      <c r="G11" s="806"/>
    </row>
    <row r="12" spans="1:7" x14ac:dyDescent="0.2">
      <c r="A12" s="770" t="s">
        <v>1897</v>
      </c>
      <c r="B12" s="770" t="s">
        <v>2336</v>
      </c>
      <c r="C12" s="776" t="s">
        <v>2337</v>
      </c>
      <c r="D12" s="806">
        <v>1069.2484199999999</v>
      </c>
      <c r="E12" s="806">
        <v>476.64492999999999</v>
      </c>
      <c r="F12" s="806">
        <v>1029.6757299999999</v>
      </c>
      <c r="G12" s="806">
        <v>395.95274999999998</v>
      </c>
    </row>
    <row r="13" spans="1:7" x14ac:dyDescent="0.2">
      <c r="A13" s="770" t="s">
        <v>1900</v>
      </c>
      <c r="B13" s="770" t="s">
        <v>2338</v>
      </c>
      <c r="C13" s="776" t="s">
        <v>2339</v>
      </c>
      <c r="D13" s="806"/>
      <c r="E13" s="806"/>
      <c r="F13" s="806">
        <v>-20.536900000000003</v>
      </c>
      <c r="G13" s="806"/>
    </row>
    <row r="14" spans="1:7" x14ac:dyDescent="0.2">
      <c r="A14" s="770" t="s">
        <v>1903</v>
      </c>
      <c r="B14" s="770" t="s">
        <v>2340</v>
      </c>
      <c r="C14" s="776" t="s">
        <v>2341</v>
      </c>
      <c r="D14" s="806">
        <v>-41.989440000000002</v>
      </c>
      <c r="E14" s="806"/>
      <c r="F14" s="806">
        <v>-70.122350000000012</v>
      </c>
      <c r="G14" s="806"/>
    </row>
    <row r="15" spans="1:7" x14ac:dyDescent="0.2">
      <c r="A15" s="770" t="s">
        <v>1906</v>
      </c>
      <c r="B15" s="770" t="s">
        <v>2342</v>
      </c>
      <c r="C15" s="776" t="s">
        <v>2343</v>
      </c>
      <c r="D15" s="806">
        <v>-47.452559999999998</v>
      </c>
      <c r="E15" s="806"/>
      <c r="F15" s="806">
        <v>181.22232</v>
      </c>
      <c r="G15" s="806"/>
    </row>
    <row r="16" spans="1:7" x14ac:dyDescent="0.2">
      <c r="A16" s="770" t="s">
        <v>1909</v>
      </c>
      <c r="B16" s="770" t="s">
        <v>363</v>
      </c>
      <c r="C16" s="776" t="s">
        <v>2344</v>
      </c>
      <c r="D16" s="806">
        <v>18297.775160000001</v>
      </c>
      <c r="E16" s="806">
        <v>238.1447</v>
      </c>
      <c r="F16" s="806">
        <v>15052.5239</v>
      </c>
      <c r="G16" s="806">
        <v>280.77879999999999</v>
      </c>
    </row>
    <row r="17" spans="1:7" x14ac:dyDescent="0.2">
      <c r="A17" s="770" t="s">
        <v>1912</v>
      </c>
      <c r="B17" s="770" t="s">
        <v>2345</v>
      </c>
      <c r="C17" s="776" t="s">
        <v>2346</v>
      </c>
      <c r="D17" s="806">
        <v>1047.1039599999999</v>
      </c>
      <c r="E17" s="806"/>
      <c r="F17" s="806">
        <v>925.88980000000004</v>
      </c>
      <c r="G17" s="806"/>
    </row>
    <row r="18" spans="1:7" x14ac:dyDescent="0.2">
      <c r="A18" s="770" t="s">
        <v>1915</v>
      </c>
      <c r="B18" s="770" t="s">
        <v>2347</v>
      </c>
      <c r="C18" s="776" t="s">
        <v>2348</v>
      </c>
      <c r="D18" s="806">
        <v>219.80515</v>
      </c>
      <c r="E18" s="806"/>
      <c r="F18" s="806">
        <v>166.08870000000002</v>
      </c>
      <c r="G18" s="806"/>
    </row>
    <row r="19" spans="1:7" x14ac:dyDescent="0.2">
      <c r="A19" s="770" t="s">
        <v>2349</v>
      </c>
      <c r="B19" s="770" t="s">
        <v>2350</v>
      </c>
      <c r="C19" s="776" t="s">
        <v>2351</v>
      </c>
      <c r="D19" s="806"/>
      <c r="E19" s="806"/>
      <c r="F19" s="806"/>
      <c r="G19" s="806"/>
    </row>
    <row r="20" spans="1:7" x14ac:dyDescent="0.2">
      <c r="A20" s="770" t="s">
        <v>2352</v>
      </c>
      <c r="B20" s="770" t="s">
        <v>2353</v>
      </c>
      <c r="C20" s="776" t="s">
        <v>2354</v>
      </c>
      <c r="D20" s="806">
        <v>25048.658429999999</v>
      </c>
      <c r="E20" s="806">
        <v>9.4272399999999994</v>
      </c>
      <c r="F20" s="806">
        <v>23698.392690000001</v>
      </c>
      <c r="G20" s="806">
        <v>16.353629999999999</v>
      </c>
    </row>
    <row r="21" spans="1:7" x14ac:dyDescent="0.2">
      <c r="A21" s="770" t="s">
        <v>2355</v>
      </c>
      <c r="B21" s="770" t="s">
        <v>2356</v>
      </c>
      <c r="C21" s="776" t="s">
        <v>2357</v>
      </c>
      <c r="D21" s="806">
        <v>101574.59672</v>
      </c>
      <c r="E21" s="806">
        <v>169.65827999999999</v>
      </c>
      <c r="F21" s="806">
        <v>97985.644979999997</v>
      </c>
      <c r="G21" s="806">
        <v>222.82701999999998</v>
      </c>
    </row>
    <row r="22" spans="1:7" x14ac:dyDescent="0.2">
      <c r="A22" s="770" t="s">
        <v>2358</v>
      </c>
      <c r="B22" s="770" t="s">
        <v>2359</v>
      </c>
      <c r="C22" s="776" t="s">
        <v>2360</v>
      </c>
      <c r="D22" s="806">
        <v>32441.875070000002</v>
      </c>
      <c r="E22" s="806">
        <v>56.372930000000004</v>
      </c>
      <c r="F22" s="806">
        <v>31234.292590000001</v>
      </c>
      <c r="G22" s="806">
        <v>80.293410000000009</v>
      </c>
    </row>
    <row r="23" spans="1:7" x14ac:dyDescent="0.2">
      <c r="A23" s="770" t="s">
        <v>2361</v>
      </c>
      <c r="B23" s="770" t="s">
        <v>2362</v>
      </c>
      <c r="C23" s="776" t="s">
        <v>2363</v>
      </c>
      <c r="D23" s="806">
        <v>335.01693</v>
      </c>
      <c r="E23" s="806">
        <v>2.843E-2</v>
      </c>
      <c r="F23" s="806">
        <v>345.69736999999998</v>
      </c>
      <c r="G23" s="806">
        <v>2.6629999999999997E-2</v>
      </c>
    </row>
    <row r="24" spans="1:7" x14ac:dyDescent="0.2">
      <c r="A24" s="770" t="s">
        <v>2364</v>
      </c>
      <c r="B24" s="770" t="s">
        <v>2365</v>
      </c>
      <c r="C24" s="776" t="s">
        <v>2366</v>
      </c>
      <c r="D24" s="806">
        <v>3637.70912</v>
      </c>
      <c r="E24" s="806">
        <v>0.99153000000000002</v>
      </c>
      <c r="F24" s="806">
        <v>3416.4165699999999</v>
      </c>
      <c r="G24" s="806">
        <v>2.2493499999999997</v>
      </c>
    </row>
    <row r="25" spans="1:7" x14ac:dyDescent="0.2">
      <c r="A25" s="770" t="s">
        <v>2367</v>
      </c>
      <c r="B25" s="770" t="s">
        <v>2368</v>
      </c>
      <c r="C25" s="776" t="s">
        <v>2369</v>
      </c>
      <c r="D25" s="806">
        <v>19.1557</v>
      </c>
      <c r="E25" s="806"/>
      <c r="F25" s="806">
        <v>42.94988</v>
      </c>
      <c r="G25" s="806"/>
    </row>
    <row r="26" spans="1:7" x14ac:dyDescent="0.2">
      <c r="A26" s="770" t="s">
        <v>2370</v>
      </c>
      <c r="B26" s="770" t="s">
        <v>2371</v>
      </c>
      <c r="C26" s="776" t="s">
        <v>2372</v>
      </c>
      <c r="D26" s="806"/>
      <c r="E26" s="806"/>
      <c r="F26" s="806"/>
      <c r="G26" s="806"/>
    </row>
    <row r="27" spans="1:7" x14ac:dyDescent="0.2">
      <c r="A27" s="770" t="s">
        <v>2373</v>
      </c>
      <c r="B27" s="770" t="s">
        <v>2374</v>
      </c>
      <c r="C27" s="776" t="s">
        <v>2375</v>
      </c>
      <c r="D27" s="806">
        <v>3.3149999999999999</v>
      </c>
      <c r="E27" s="806"/>
      <c r="F27" s="806">
        <v>3.3149999999999999</v>
      </c>
      <c r="G27" s="806"/>
    </row>
    <row r="28" spans="1:7" x14ac:dyDescent="0.2">
      <c r="A28" s="770" t="s">
        <v>2376</v>
      </c>
      <c r="B28" s="770" t="s">
        <v>2377</v>
      </c>
      <c r="C28" s="776" t="s">
        <v>2378</v>
      </c>
      <c r="D28" s="806">
        <v>216.90772000000001</v>
      </c>
      <c r="E28" s="806"/>
      <c r="F28" s="806">
        <v>317.43455999999998</v>
      </c>
      <c r="G28" s="806"/>
    </row>
    <row r="29" spans="1:7" x14ac:dyDescent="0.2">
      <c r="A29" s="770" t="s">
        <v>2379</v>
      </c>
      <c r="B29" s="770" t="s">
        <v>2380</v>
      </c>
      <c r="C29" s="776" t="s">
        <v>2381</v>
      </c>
      <c r="D29" s="806">
        <v>0.1</v>
      </c>
      <c r="E29" s="806"/>
      <c r="F29" s="806"/>
      <c r="G29" s="806"/>
    </row>
    <row r="30" spans="1:7" x14ac:dyDescent="0.2">
      <c r="A30" s="770" t="s">
        <v>2382</v>
      </c>
      <c r="B30" s="770" t="s">
        <v>2383</v>
      </c>
      <c r="C30" s="776" t="s">
        <v>2384</v>
      </c>
      <c r="D30" s="806">
        <v>1</v>
      </c>
      <c r="E30" s="806"/>
      <c r="F30" s="806">
        <v>20.273330000000001</v>
      </c>
      <c r="G30" s="806"/>
    </row>
    <row r="31" spans="1:7" x14ac:dyDescent="0.2">
      <c r="A31" s="770" t="s">
        <v>2385</v>
      </c>
      <c r="B31" s="770" t="s">
        <v>2386</v>
      </c>
      <c r="C31" s="776" t="s">
        <v>2387</v>
      </c>
      <c r="D31" s="806"/>
      <c r="E31" s="806"/>
      <c r="F31" s="806"/>
      <c r="G31" s="806"/>
    </row>
    <row r="32" spans="1:7" x14ac:dyDescent="0.2">
      <c r="A32" s="770" t="s">
        <v>2388</v>
      </c>
      <c r="B32" s="770" t="s">
        <v>2389</v>
      </c>
      <c r="C32" s="776" t="s">
        <v>2390</v>
      </c>
      <c r="D32" s="806"/>
      <c r="E32" s="806"/>
      <c r="F32" s="806"/>
      <c r="G32" s="806"/>
    </row>
    <row r="33" spans="1:7" x14ac:dyDescent="0.2">
      <c r="A33" s="770" t="s">
        <v>2391</v>
      </c>
      <c r="B33" s="770" t="s">
        <v>2392</v>
      </c>
      <c r="C33" s="776" t="s">
        <v>2393</v>
      </c>
      <c r="D33" s="806">
        <v>84.751000000000005</v>
      </c>
      <c r="E33" s="806"/>
      <c r="F33" s="806">
        <v>1</v>
      </c>
      <c r="G33" s="806"/>
    </row>
    <row r="34" spans="1:7" x14ac:dyDescent="0.2">
      <c r="A34" s="770" t="s">
        <v>2394</v>
      </c>
      <c r="B34" s="770" t="s">
        <v>2395</v>
      </c>
      <c r="C34" s="776" t="s">
        <v>2396</v>
      </c>
      <c r="D34" s="806">
        <v>125</v>
      </c>
      <c r="E34" s="806"/>
      <c r="F34" s="806"/>
      <c r="G34" s="806"/>
    </row>
    <row r="35" spans="1:7" x14ac:dyDescent="0.2">
      <c r="A35" s="770" t="s">
        <v>2397</v>
      </c>
      <c r="B35" s="770" t="s">
        <v>2398</v>
      </c>
      <c r="C35" s="776" t="s">
        <v>2399</v>
      </c>
      <c r="D35" s="806">
        <v>9510.09627</v>
      </c>
      <c r="E35" s="806">
        <v>42.585999999999999</v>
      </c>
      <c r="F35" s="806">
        <v>14861.858269999999</v>
      </c>
      <c r="G35" s="806">
        <v>39.445999999999998</v>
      </c>
    </row>
    <row r="36" spans="1:7" x14ac:dyDescent="0.2">
      <c r="A36" s="770" t="s">
        <v>2400</v>
      </c>
      <c r="B36" s="770" t="s">
        <v>2401</v>
      </c>
      <c r="C36" s="776" t="s">
        <v>2402</v>
      </c>
      <c r="D36" s="806"/>
      <c r="E36" s="806"/>
      <c r="F36" s="806"/>
      <c r="G36" s="806"/>
    </row>
    <row r="37" spans="1:7" x14ac:dyDescent="0.2">
      <c r="A37" s="770" t="s">
        <v>2403</v>
      </c>
      <c r="B37" s="770" t="s">
        <v>2404</v>
      </c>
      <c r="C37" s="776" t="s">
        <v>2405</v>
      </c>
      <c r="D37" s="806"/>
      <c r="E37" s="806"/>
      <c r="F37" s="806"/>
      <c r="G37" s="806"/>
    </row>
    <row r="38" spans="1:7" x14ac:dyDescent="0.2">
      <c r="A38" s="770" t="s">
        <v>2406</v>
      </c>
      <c r="B38" s="770" t="s">
        <v>2407</v>
      </c>
      <c r="C38" s="776" t="s">
        <v>2408</v>
      </c>
      <c r="D38" s="806"/>
      <c r="E38" s="806"/>
      <c r="F38" s="806"/>
      <c r="G38" s="806"/>
    </row>
    <row r="39" spans="1:7" x14ac:dyDescent="0.2">
      <c r="A39" s="770" t="s">
        <v>2409</v>
      </c>
      <c r="B39" s="770" t="s">
        <v>2410</v>
      </c>
      <c r="C39" s="776" t="s">
        <v>2411</v>
      </c>
      <c r="D39" s="806"/>
      <c r="E39" s="806"/>
      <c r="F39" s="806"/>
      <c r="G39" s="806"/>
    </row>
    <row r="40" spans="1:7" x14ac:dyDescent="0.2">
      <c r="A40" s="770" t="s">
        <v>2412</v>
      </c>
      <c r="B40" s="770" t="s">
        <v>2413</v>
      </c>
      <c r="C40" s="776" t="s">
        <v>2414</v>
      </c>
      <c r="D40" s="806"/>
      <c r="E40" s="806"/>
      <c r="F40" s="806"/>
      <c r="G40" s="806"/>
    </row>
    <row r="41" spans="1:7" x14ac:dyDescent="0.2">
      <c r="A41" s="770" t="s">
        <v>2415</v>
      </c>
      <c r="B41" s="770" t="s">
        <v>2416</v>
      </c>
      <c r="C41" s="776" t="s">
        <v>2417</v>
      </c>
      <c r="D41" s="806">
        <v>20.934000000000001</v>
      </c>
      <c r="E41" s="806"/>
      <c r="F41" s="806">
        <v>1.242</v>
      </c>
      <c r="G41" s="806"/>
    </row>
    <row r="42" spans="1:7" x14ac:dyDescent="0.2">
      <c r="A42" s="770" t="s">
        <v>2418</v>
      </c>
      <c r="B42" s="770" t="s">
        <v>2419</v>
      </c>
      <c r="C42" s="776" t="s">
        <v>2420</v>
      </c>
      <c r="D42" s="806">
        <v>5818.7631200000005</v>
      </c>
      <c r="E42" s="806">
        <v>8.4990000000000006</v>
      </c>
      <c r="F42" s="806">
        <v>3554.0301400000003</v>
      </c>
      <c r="G42" s="806"/>
    </row>
    <row r="43" spans="1:7" x14ac:dyDescent="0.2">
      <c r="A43" s="770" t="s">
        <v>2421</v>
      </c>
      <c r="B43" s="770" t="s">
        <v>2422</v>
      </c>
      <c r="C43" s="776" t="s">
        <v>2423</v>
      </c>
      <c r="D43" s="806">
        <v>2582.6825400000002</v>
      </c>
      <c r="E43" s="806">
        <v>6.9100000000000003E-3</v>
      </c>
      <c r="F43" s="806">
        <v>3399.1869500000003</v>
      </c>
      <c r="G43" s="806">
        <v>0.18662999999999999</v>
      </c>
    </row>
    <row r="44" spans="1:7" x14ac:dyDescent="0.2">
      <c r="A44" s="767" t="s">
        <v>1918</v>
      </c>
      <c r="B44" s="767" t="s">
        <v>2424</v>
      </c>
      <c r="C44" s="812" t="s">
        <v>133</v>
      </c>
      <c r="D44" s="813">
        <v>43.701180000000001</v>
      </c>
      <c r="E44" s="814">
        <v>0.23488999999999999</v>
      </c>
      <c r="F44" s="813">
        <v>97.875679999999988</v>
      </c>
      <c r="G44" s="814">
        <v>0.12636</v>
      </c>
    </row>
    <row r="45" spans="1:7" x14ac:dyDescent="0.2">
      <c r="A45" s="770" t="s">
        <v>1920</v>
      </c>
      <c r="B45" s="770" t="s">
        <v>2425</v>
      </c>
      <c r="C45" s="776" t="s">
        <v>2426</v>
      </c>
      <c r="D45" s="806"/>
      <c r="E45" s="806"/>
      <c r="F45" s="806"/>
      <c r="G45" s="806"/>
    </row>
    <row r="46" spans="1:7" x14ac:dyDescent="0.2">
      <c r="A46" s="770" t="s">
        <v>1922</v>
      </c>
      <c r="B46" s="770" t="s">
        <v>2427</v>
      </c>
      <c r="C46" s="776" t="s">
        <v>2428</v>
      </c>
      <c r="D46" s="806"/>
      <c r="E46" s="806"/>
      <c r="F46" s="806"/>
      <c r="G46" s="806"/>
    </row>
    <row r="47" spans="1:7" x14ac:dyDescent="0.2">
      <c r="A47" s="770" t="s">
        <v>1925</v>
      </c>
      <c r="B47" s="770" t="s">
        <v>2429</v>
      </c>
      <c r="C47" s="776" t="s">
        <v>2430</v>
      </c>
      <c r="D47" s="806">
        <v>20.014669999999999</v>
      </c>
      <c r="E47" s="806"/>
      <c r="F47" s="806">
        <v>8.1842799999999993</v>
      </c>
      <c r="G47" s="806"/>
    </row>
    <row r="48" spans="1:7" x14ac:dyDescent="0.2">
      <c r="A48" s="770" t="s">
        <v>1928</v>
      </c>
      <c r="B48" s="770" t="s">
        <v>2431</v>
      </c>
      <c r="C48" s="776" t="s">
        <v>2432</v>
      </c>
      <c r="D48" s="806"/>
      <c r="E48" s="806">
        <v>0.1419</v>
      </c>
      <c r="F48" s="806"/>
      <c r="G48" s="806"/>
    </row>
    <row r="49" spans="1:7" x14ac:dyDescent="0.2">
      <c r="A49" s="770" t="s">
        <v>1931</v>
      </c>
      <c r="B49" s="770" t="s">
        <v>2433</v>
      </c>
      <c r="C49" s="776" t="s">
        <v>2434</v>
      </c>
      <c r="D49" s="806">
        <v>23.686509999999998</v>
      </c>
      <c r="E49" s="806">
        <v>9.2989999999999989E-2</v>
      </c>
      <c r="F49" s="806">
        <v>89.691399999999987</v>
      </c>
      <c r="G49" s="806">
        <v>0.12636</v>
      </c>
    </row>
    <row r="50" spans="1:7" x14ac:dyDescent="0.2">
      <c r="A50" s="767" t="s">
        <v>1952</v>
      </c>
      <c r="B50" s="767" t="s">
        <v>2435</v>
      </c>
      <c r="C50" s="812" t="s">
        <v>133</v>
      </c>
      <c r="D50" s="846">
        <v>0</v>
      </c>
      <c r="E50" s="846">
        <v>0</v>
      </c>
      <c r="F50" s="846">
        <v>0</v>
      </c>
      <c r="G50" s="846">
        <v>0</v>
      </c>
    </row>
    <row r="51" spans="1:7" x14ac:dyDescent="0.2">
      <c r="A51" s="770" t="s">
        <v>1954</v>
      </c>
      <c r="B51" s="770" t="s">
        <v>2436</v>
      </c>
      <c r="C51" s="776" t="s">
        <v>2437</v>
      </c>
      <c r="D51" s="806"/>
      <c r="E51" s="806"/>
      <c r="F51" s="806"/>
      <c r="G51" s="806"/>
    </row>
    <row r="52" spans="1:7" x14ac:dyDescent="0.2">
      <c r="A52" s="770" t="s">
        <v>1957</v>
      </c>
      <c r="B52" s="770" t="s">
        <v>2438</v>
      </c>
      <c r="C52" s="776" t="s">
        <v>2439</v>
      </c>
      <c r="D52" s="806"/>
      <c r="E52" s="806"/>
      <c r="F52" s="806"/>
      <c r="G52" s="806"/>
    </row>
    <row r="53" spans="1:7" x14ac:dyDescent="0.2">
      <c r="A53" s="767" t="s">
        <v>2440</v>
      </c>
      <c r="B53" s="767" t="s">
        <v>2074</v>
      </c>
      <c r="C53" s="812" t="s">
        <v>133</v>
      </c>
      <c r="D53" s="813">
        <v>16.071930000000002</v>
      </c>
      <c r="E53" s="814">
        <v>0</v>
      </c>
      <c r="F53" s="813">
        <v>126.49869</v>
      </c>
      <c r="G53" s="814">
        <v>3.61</v>
      </c>
    </row>
    <row r="54" spans="1:7" x14ac:dyDescent="0.2">
      <c r="A54" s="770" t="s">
        <v>2441</v>
      </c>
      <c r="B54" s="770" t="s">
        <v>2074</v>
      </c>
      <c r="C54" s="776" t="s">
        <v>2442</v>
      </c>
      <c r="D54" s="806">
        <v>16.071930000000002</v>
      </c>
      <c r="E54" s="806"/>
      <c r="F54" s="806">
        <v>126.49869</v>
      </c>
      <c r="G54" s="806">
        <v>3.61</v>
      </c>
    </row>
    <row r="55" spans="1:7" x14ac:dyDescent="0.2">
      <c r="A55" s="770" t="s">
        <v>2443</v>
      </c>
      <c r="B55" s="770" t="s">
        <v>2444</v>
      </c>
      <c r="C55" s="776" t="s">
        <v>2445</v>
      </c>
      <c r="D55" s="806"/>
      <c r="E55" s="806"/>
      <c r="F55" s="806"/>
      <c r="G55" s="806"/>
    </row>
    <row r="56" spans="1:7" x14ac:dyDescent="0.2">
      <c r="A56" s="767" t="s">
        <v>2001</v>
      </c>
      <c r="B56" s="767" t="s">
        <v>2446</v>
      </c>
      <c r="C56" s="812" t="s">
        <v>133</v>
      </c>
      <c r="D56" s="813">
        <v>231596.91503999999</v>
      </c>
      <c r="E56" s="814">
        <v>1766.7101699999998</v>
      </c>
      <c r="F56" s="813">
        <v>220680.98711000002</v>
      </c>
      <c r="G56" s="814">
        <v>1568.2733700000001</v>
      </c>
    </row>
    <row r="57" spans="1:7" x14ac:dyDescent="0.2">
      <c r="A57" s="767" t="s">
        <v>2003</v>
      </c>
      <c r="B57" s="767" t="s">
        <v>2447</v>
      </c>
      <c r="C57" s="812" t="s">
        <v>133</v>
      </c>
      <c r="D57" s="813">
        <v>30017.147440000001</v>
      </c>
      <c r="E57" s="814">
        <v>1766.7101699999998</v>
      </c>
      <c r="F57" s="813">
        <v>30689.16747</v>
      </c>
      <c r="G57" s="814">
        <v>1568.2733700000001</v>
      </c>
    </row>
    <row r="58" spans="1:7" x14ac:dyDescent="0.2">
      <c r="A58" s="770" t="s">
        <v>2005</v>
      </c>
      <c r="B58" s="770" t="s">
        <v>2448</v>
      </c>
      <c r="C58" s="776" t="s">
        <v>2449</v>
      </c>
      <c r="D58" s="806">
        <v>551.01562000000001</v>
      </c>
      <c r="E58" s="806"/>
      <c r="F58" s="806">
        <v>1270.326</v>
      </c>
      <c r="G58" s="806"/>
    </row>
    <row r="59" spans="1:7" x14ac:dyDescent="0.2">
      <c r="A59" s="770" t="s">
        <v>2008</v>
      </c>
      <c r="B59" s="770" t="s">
        <v>2450</v>
      </c>
      <c r="C59" s="776" t="s">
        <v>2451</v>
      </c>
      <c r="D59" s="806">
        <v>18516.392350000002</v>
      </c>
      <c r="E59" s="806">
        <v>262.70832000000001</v>
      </c>
      <c r="F59" s="806">
        <v>17540.422160000002</v>
      </c>
      <c r="G59" s="806">
        <v>214.87257</v>
      </c>
    </row>
    <row r="60" spans="1:7" x14ac:dyDescent="0.2">
      <c r="A60" s="770" t="s">
        <v>2011</v>
      </c>
      <c r="B60" s="770" t="s">
        <v>2452</v>
      </c>
      <c r="C60" s="776" t="s">
        <v>2453</v>
      </c>
      <c r="D60" s="806">
        <v>1169.595</v>
      </c>
      <c r="E60" s="806">
        <v>883.46695999999997</v>
      </c>
      <c r="F60" s="806">
        <v>1281.0650000000001</v>
      </c>
      <c r="G60" s="806">
        <v>858.85895999999991</v>
      </c>
    </row>
    <row r="61" spans="1:7" x14ac:dyDescent="0.2">
      <c r="A61" s="770" t="s">
        <v>2014</v>
      </c>
      <c r="B61" s="770" t="s">
        <v>2454</v>
      </c>
      <c r="C61" s="776" t="s">
        <v>2455</v>
      </c>
      <c r="D61" s="806">
        <v>151.55199999999999</v>
      </c>
      <c r="E61" s="806">
        <v>619.41680000000008</v>
      </c>
      <c r="F61" s="806">
        <v>223.88300000000001</v>
      </c>
      <c r="G61" s="806">
        <v>494.22500000000002</v>
      </c>
    </row>
    <row r="62" spans="1:7" x14ac:dyDescent="0.2">
      <c r="A62" s="770" t="s">
        <v>2026</v>
      </c>
      <c r="B62" s="770" t="s">
        <v>2456</v>
      </c>
      <c r="C62" s="776" t="s">
        <v>2457</v>
      </c>
      <c r="D62" s="806"/>
      <c r="E62" s="806"/>
      <c r="F62" s="806"/>
      <c r="G62" s="806"/>
    </row>
    <row r="63" spans="1:7" x14ac:dyDescent="0.2">
      <c r="A63" s="770" t="s">
        <v>2029</v>
      </c>
      <c r="B63" s="770" t="s">
        <v>2380</v>
      </c>
      <c r="C63" s="776" t="s">
        <v>2458</v>
      </c>
      <c r="D63" s="806"/>
      <c r="E63" s="806">
        <v>1.117</v>
      </c>
      <c r="F63" s="806">
        <v>271.88590999999997</v>
      </c>
      <c r="G63" s="806">
        <v>0.35</v>
      </c>
    </row>
    <row r="64" spans="1:7" x14ac:dyDescent="0.2">
      <c r="A64" s="770" t="s">
        <v>2032</v>
      </c>
      <c r="B64" s="770" t="s">
        <v>2383</v>
      </c>
      <c r="C64" s="776" t="s">
        <v>2459</v>
      </c>
      <c r="D64" s="806"/>
      <c r="E64" s="806"/>
      <c r="F64" s="806"/>
      <c r="G64" s="806"/>
    </row>
    <row r="65" spans="1:7" x14ac:dyDescent="0.2">
      <c r="A65" s="770" t="s">
        <v>2460</v>
      </c>
      <c r="B65" s="770" t="s">
        <v>2461</v>
      </c>
      <c r="C65" s="776" t="s">
        <v>2462</v>
      </c>
      <c r="D65" s="806"/>
      <c r="E65" s="806"/>
      <c r="F65" s="806"/>
      <c r="G65" s="806"/>
    </row>
    <row r="66" spans="1:7" x14ac:dyDescent="0.2">
      <c r="A66" s="770" t="s">
        <v>2463</v>
      </c>
      <c r="B66" s="770" t="s">
        <v>2464</v>
      </c>
      <c r="C66" s="776" t="s">
        <v>2465</v>
      </c>
      <c r="D66" s="806">
        <v>0.67800000000000005</v>
      </c>
      <c r="E66" s="806"/>
      <c r="F66" s="806">
        <v>0.97499999999999998</v>
      </c>
      <c r="G66" s="806"/>
    </row>
    <row r="67" spans="1:7" x14ac:dyDescent="0.2">
      <c r="A67" s="770" t="s">
        <v>2466</v>
      </c>
      <c r="B67" s="770" t="s">
        <v>2467</v>
      </c>
      <c r="C67" s="776" t="s">
        <v>2468</v>
      </c>
      <c r="D67" s="806"/>
      <c r="E67" s="806"/>
      <c r="F67" s="806"/>
      <c r="G67" s="806"/>
    </row>
    <row r="68" spans="1:7" x14ac:dyDescent="0.2">
      <c r="A68" s="770" t="s">
        <v>2469</v>
      </c>
      <c r="B68" s="770" t="s">
        <v>2470</v>
      </c>
      <c r="C68" s="776" t="s">
        <v>2471</v>
      </c>
      <c r="D68" s="806">
        <v>125</v>
      </c>
      <c r="E68" s="806"/>
      <c r="F68" s="806">
        <v>1</v>
      </c>
      <c r="G68" s="806"/>
    </row>
    <row r="69" spans="1:7" x14ac:dyDescent="0.2">
      <c r="A69" s="770" t="s">
        <v>2472</v>
      </c>
      <c r="B69" s="770" t="s">
        <v>2473</v>
      </c>
      <c r="C69" s="776" t="s">
        <v>2474</v>
      </c>
      <c r="D69" s="806"/>
      <c r="E69" s="806"/>
      <c r="F69" s="806"/>
      <c r="G69" s="806"/>
    </row>
    <row r="70" spans="1:7" x14ac:dyDescent="0.2">
      <c r="A70" s="770" t="s">
        <v>2475</v>
      </c>
      <c r="B70" s="770" t="s">
        <v>2476</v>
      </c>
      <c r="C70" s="776" t="s">
        <v>2477</v>
      </c>
      <c r="D70" s="806">
        <v>7709.8581399999994</v>
      </c>
      <c r="E70" s="806"/>
      <c r="F70" s="806">
        <v>8661.8612200000007</v>
      </c>
      <c r="G70" s="806"/>
    </row>
    <row r="71" spans="1:7" x14ac:dyDescent="0.2">
      <c r="A71" s="770" t="s">
        <v>2478</v>
      </c>
      <c r="B71" s="770" t="s">
        <v>2479</v>
      </c>
      <c r="C71" s="776" t="s">
        <v>2480</v>
      </c>
      <c r="D71" s="806">
        <v>1793.0563300000001</v>
      </c>
      <c r="E71" s="806"/>
      <c r="F71" s="806">
        <v>1437.74918</v>
      </c>
      <c r="G71" s="806">
        <v>-3.3159999999999995E-2</v>
      </c>
    </row>
    <row r="72" spans="1:7" x14ac:dyDescent="0.2">
      <c r="A72" s="767" t="s">
        <v>2035</v>
      </c>
      <c r="B72" s="767" t="s">
        <v>2481</v>
      </c>
      <c r="C72" s="812" t="s">
        <v>133</v>
      </c>
      <c r="D72" s="813">
        <v>95.195759999999993</v>
      </c>
      <c r="E72" s="846">
        <v>0</v>
      </c>
      <c r="F72" s="813">
        <v>284.89073999999999</v>
      </c>
      <c r="G72" s="846">
        <v>0</v>
      </c>
    </row>
    <row r="73" spans="1:7" x14ac:dyDescent="0.2">
      <c r="A73" s="770" t="s">
        <v>2037</v>
      </c>
      <c r="B73" s="770" t="s">
        <v>2482</v>
      </c>
      <c r="C73" s="776" t="s">
        <v>2483</v>
      </c>
      <c r="D73" s="806"/>
      <c r="E73" s="806"/>
      <c r="F73" s="806"/>
      <c r="G73" s="806"/>
    </row>
    <row r="74" spans="1:7" x14ac:dyDescent="0.2">
      <c r="A74" s="770" t="s">
        <v>2040</v>
      </c>
      <c r="B74" s="770" t="s">
        <v>2427</v>
      </c>
      <c r="C74" s="776" t="s">
        <v>2484</v>
      </c>
      <c r="D74" s="806">
        <v>87.837440000000001</v>
      </c>
      <c r="E74" s="806"/>
      <c r="F74" s="806">
        <v>281.45403000000005</v>
      </c>
      <c r="G74" s="806"/>
    </row>
    <row r="75" spans="1:7" x14ac:dyDescent="0.2">
      <c r="A75" s="770" t="s">
        <v>2043</v>
      </c>
      <c r="B75" s="770" t="s">
        <v>2485</v>
      </c>
      <c r="C75" s="776" t="s">
        <v>2486</v>
      </c>
      <c r="D75" s="806">
        <v>0.11342000000000001</v>
      </c>
      <c r="E75" s="806"/>
      <c r="F75" s="806">
        <v>1.00539</v>
      </c>
      <c r="G75" s="806"/>
    </row>
    <row r="76" spans="1:7" x14ac:dyDescent="0.2">
      <c r="A76" s="770" t="s">
        <v>2046</v>
      </c>
      <c r="B76" s="770" t="s">
        <v>2487</v>
      </c>
      <c r="C76" s="776" t="s">
        <v>2488</v>
      </c>
      <c r="D76" s="806"/>
      <c r="E76" s="806"/>
      <c r="F76" s="806"/>
      <c r="G76" s="806"/>
    </row>
    <row r="77" spans="1:7" x14ac:dyDescent="0.2">
      <c r="A77" s="770" t="s">
        <v>2052</v>
      </c>
      <c r="B77" s="770" t="s">
        <v>2489</v>
      </c>
      <c r="C77" s="776" t="s">
        <v>2490</v>
      </c>
      <c r="D77" s="806">
        <v>7.2448999999999995</v>
      </c>
      <c r="E77" s="806"/>
      <c r="F77" s="806">
        <v>2.4313200000000004</v>
      </c>
      <c r="G77" s="806"/>
    </row>
    <row r="78" spans="1:7" x14ac:dyDescent="0.2">
      <c r="A78" s="767" t="s">
        <v>2491</v>
      </c>
      <c r="B78" s="767" t="s">
        <v>2492</v>
      </c>
      <c r="C78" s="812" t="s">
        <v>133</v>
      </c>
      <c r="D78" s="813">
        <v>201484.57183999999</v>
      </c>
      <c r="E78" s="846">
        <v>0</v>
      </c>
      <c r="F78" s="813">
        <v>189706.9289</v>
      </c>
      <c r="G78" s="846">
        <v>0</v>
      </c>
    </row>
    <row r="79" spans="1:7" x14ac:dyDescent="0.2">
      <c r="A79" s="770" t="s">
        <v>2493</v>
      </c>
      <c r="B79" s="770" t="s">
        <v>2494</v>
      </c>
      <c r="C79" s="776" t="s">
        <v>2495</v>
      </c>
      <c r="D79" s="806"/>
      <c r="E79" s="806"/>
      <c r="F79" s="806"/>
      <c r="G79" s="806"/>
    </row>
    <row r="80" spans="1:7" x14ac:dyDescent="0.2">
      <c r="A80" s="770" t="s">
        <v>2496</v>
      </c>
      <c r="B80" s="770" t="s">
        <v>2497</v>
      </c>
      <c r="C80" s="776" t="s">
        <v>2498</v>
      </c>
      <c r="D80" s="806">
        <v>201484.57183999999</v>
      </c>
      <c r="E80" s="806"/>
      <c r="F80" s="806">
        <v>189706.9289</v>
      </c>
      <c r="G80" s="806"/>
    </row>
    <row r="81" spans="1:7" x14ac:dyDescent="0.2">
      <c r="A81" s="767" t="s">
        <v>2159</v>
      </c>
      <c r="B81" s="767" t="s">
        <v>2499</v>
      </c>
      <c r="C81" s="812" t="s">
        <v>133</v>
      </c>
      <c r="D81" s="813"/>
      <c r="E81" s="813"/>
      <c r="F81" s="813"/>
      <c r="G81" s="813"/>
    </row>
    <row r="82" spans="1:7" x14ac:dyDescent="0.2">
      <c r="A82" s="767" t="s">
        <v>2500</v>
      </c>
      <c r="B82" s="767" t="s">
        <v>2501</v>
      </c>
      <c r="C82" s="812" t="s">
        <v>133</v>
      </c>
      <c r="D82" s="813">
        <v>-292.93842999999998</v>
      </c>
      <c r="E82" s="814">
        <v>687.88076000000001</v>
      </c>
      <c r="F82" s="813">
        <v>-18.430150000000001</v>
      </c>
      <c r="G82" s="814">
        <v>473.19205999999997</v>
      </c>
    </row>
    <row r="83" spans="1:7" x14ac:dyDescent="0.2">
      <c r="A83" s="767" t="s">
        <v>2502</v>
      </c>
      <c r="B83" s="767" t="s">
        <v>2204</v>
      </c>
      <c r="C83" s="812" t="s">
        <v>133</v>
      </c>
      <c r="D83" s="813">
        <v>-309.01035999999999</v>
      </c>
      <c r="E83" s="814">
        <v>687.88076000000001</v>
      </c>
      <c r="F83" s="813">
        <v>-144.92884000000001</v>
      </c>
      <c r="G83" s="814">
        <v>469.58206000000001</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468" orientation="portrait" useFirstPageNumber="1" r:id="rId1"/>
  <headerFooter alignWithMargins="0">
    <oddHeader>&amp;L&amp;"Tahoma,Kurzíva"Závěrečný účet za rok 2015&amp;R&amp;"Tahoma,Kurzíva"Tabulka č. 37</oddHeader>
    <oddFooter>&amp;C&amp;"Tahoma,Obyčejné"&amp;P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7"/>
  <sheetViews>
    <sheetView showGridLines="0" zoomScaleNormal="100" zoomScaleSheetLayoutView="100" workbookViewId="0">
      <selection activeCell="I5" sqref="I5"/>
    </sheetView>
  </sheetViews>
  <sheetFormatPr defaultRowHeight="12.75" x14ac:dyDescent="0.2"/>
  <cols>
    <col min="1" max="1" width="7" style="836" customWidth="1"/>
    <col min="2" max="2" width="42.85546875" style="764" customWidth="1"/>
    <col min="3" max="3" width="8.7109375" style="835" customWidth="1"/>
    <col min="4" max="7" width="13.85546875" style="799" customWidth="1"/>
    <col min="8" max="8" width="9.140625" style="764" customWidth="1"/>
    <col min="9" max="16384" width="9.140625" style="764"/>
  </cols>
  <sheetData>
    <row r="1" spans="1:7" s="784" customFormat="1" ht="18" customHeight="1" x14ac:dyDescent="0.2">
      <c r="A1" s="1493" t="s">
        <v>1874</v>
      </c>
      <c r="B1" s="1493"/>
      <c r="C1" s="1493"/>
      <c r="D1" s="1493"/>
      <c r="E1" s="1493"/>
      <c r="F1" s="1493"/>
      <c r="G1" s="1493"/>
    </row>
    <row r="2" spans="1:7" s="784" customFormat="1" ht="18" customHeight="1" x14ac:dyDescent="0.2">
      <c r="A2" s="1494" t="s">
        <v>2507</v>
      </c>
      <c r="B2" s="1494"/>
      <c r="C2" s="1494"/>
      <c r="D2" s="1494"/>
      <c r="E2" s="1494"/>
      <c r="F2" s="1494"/>
      <c r="G2" s="1494"/>
    </row>
    <row r="3" spans="1:7" s="648" customFormat="1" x14ac:dyDescent="0.2">
      <c r="C3" s="546"/>
      <c r="D3" s="760"/>
      <c r="E3" s="760"/>
      <c r="F3" s="760"/>
      <c r="G3" s="760"/>
    </row>
    <row r="4" spans="1:7" x14ac:dyDescent="0.2">
      <c r="A4" s="761"/>
      <c r="B4" s="761"/>
      <c r="C4" s="762"/>
      <c r="D4" s="763">
        <v>1</v>
      </c>
      <c r="E4" s="763">
        <v>2</v>
      </c>
      <c r="F4" s="763">
        <v>3</v>
      </c>
      <c r="G4" s="763">
        <v>4</v>
      </c>
    </row>
    <row r="5" spans="1:7" s="825" customFormat="1" ht="12.75" customHeight="1" x14ac:dyDescent="0.2">
      <c r="A5" s="1495" t="s">
        <v>1876</v>
      </c>
      <c r="B5" s="1496"/>
      <c r="C5" s="1501" t="s">
        <v>1877</v>
      </c>
      <c r="D5" s="1506" t="s">
        <v>1878</v>
      </c>
      <c r="E5" s="1507"/>
      <c r="F5" s="1507"/>
      <c r="G5" s="1508"/>
    </row>
    <row r="6" spans="1:7" s="765" customFormat="1" x14ac:dyDescent="0.2">
      <c r="A6" s="1497"/>
      <c r="B6" s="1498"/>
      <c r="C6" s="1502"/>
      <c r="D6" s="1509" t="s">
        <v>1879</v>
      </c>
      <c r="E6" s="1510"/>
      <c r="F6" s="1511"/>
      <c r="G6" s="1512" t="s">
        <v>1880</v>
      </c>
    </row>
    <row r="7" spans="1:7" s="765" customFormat="1" x14ac:dyDescent="0.2">
      <c r="A7" s="1499"/>
      <c r="B7" s="1500"/>
      <c r="C7" s="1514"/>
      <c r="D7" s="803" t="s">
        <v>1881</v>
      </c>
      <c r="E7" s="803" t="s">
        <v>1882</v>
      </c>
      <c r="F7" s="803" t="s">
        <v>1883</v>
      </c>
      <c r="G7" s="1516"/>
    </row>
    <row r="8" spans="1:7" s="765" customFormat="1" x14ac:dyDescent="0.2">
      <c r="A8" s="804"/>
      <c r="B8" s="804" t="s">
        <v>1884</v>
      </c>
      <c r="C8" s="805" t="s">
        <v>133</v>
      </c>
      <c r="D8" s="769">
        <v>2930094.2870900002</v>
      </c>
      <c r="E8" s="769">
        <v>794315.58484999998</v>
      </c>
      <c r="F8" s="769">
        <v>2135778.70224</v>
      </c>
      <c r="G8" s="769">
        <v>1949620.60574</v>
      </c>
    </row>
    <row r="9" spans="1:7" s="826" customFormat="1" x14ac:dyDescent="0.2">
      <c r="A9" s="804" t="s">
        <v>1885</v>
      </c>
      <c r="B9" s="804" t="s">
        <v>1886</v>
      </c>
      <c r="C9" s="805" t="s">
        <v>133</v>
      </c>
      <c r="D9" s="769">
        <v>2598861.6680100001</v>
      </c>
      <c r="E9" s="769">
        <v>794315.58484999998</v>
      </c>
      <c r="F9" s="769">
        <v>1804546.0831600002</v>
      </c>
      <c r="G9" s="769">
        <v>1589713.8877699999</v>
      </c>
    </row>
    <row r="10" spans="1:7" s="826" customFormat="1" x14ac:dyDescent="0.2">
      <c r="A10" s="804" t="s">
        <v>1887</v>
      </c>
      <c r="B10" s="804" t="s">
        <v>1888</v>
      </c>
      <c r="C10" s="805" t="s">
        <v>133</v>
      </c>
      <c r="D10" s="769">
        <v>6802.6605799999998</v>
      </c>
      <c r="E10" s="769">
        <v>6640.5727800000004</v>
      </c>
      <c r="F10" s="769">
        <v>162.08779999999999</v>
      </c>
      <c r="G10" s="769">
        <v>189.10379999999998</v>
      </c>
    </row>
    <row r="11" spans="1:7" s="648" customFormat="1" x14ac:dyDescent="0.2">
      <c r="A11" s="770" t="s">
        <v>1889</v>
      </c>
      <c r="B11" s="770" t="s">
        <v>1890</v>
      </c>
      <c r="C11" s="776" t="s">
        <v>1891</v>
      </c>
      <c r="D11" s="772">
        <v>70</v>
      </c>
      <c r="E11" s="772">
        <v>70</v>
      </c>
      <c r="F11" s="772"/>
      <c r="G11" s="772"/>
    </row>
    <row r="12" spans="1:7" s="648" customFormat="1" x14ac:dyDescent="0.2">
      <c r="A12" s="770" t="s">
        <v>1892</v>
      </c>
      <c r="B12" s="770" t="s">
        <v>1893</v>
      </c>
      <c r="C12" s="776" t="s">
        <v>1894</v>
      </c>
      <c r="D12" s="773">
        <v>196.315</v>
      </c>
      <c r="E12" s="773">
        <v>114.483</v>
      </c>
      <c r="F12" s="773">
        <v>81.831999999999994</v>
      </c>
      <c r="G12" s="773">
        <v>89.563999999999993</v>
      </c>
    </row>
    <row r="13" spans="1:7" s="648" customFormat="1" x14ac:dyDescent="0.2">
      <c r="A13" s="770" t="s">
        <v>1895</v>
      </c>
      <c r="B13" s="770" t="s">
        <v>320</v>
      </c>
      <c r="C13" s="776" t="s">
        <v>1896</v>
      </c>
      <c r="D13" s="774">
        <v>0</v>
      </c>
      <c r="E13" s="774">
        <v>0</v>
      </c>
      <c r="F13" s="774">
        <v>0</v>
      </c>
      <c r="G13" s="774">
        <v>0</v>
      </c>
    </row>
    <row r="14" spans="1:7" s="648" customFormat="1" x14ac:dyDescent="0.2">
      <c r="A14" s="770" t="s">
        <v>1897</v>
      </c>
      <c r="B14" s="770" t="s">
        <v>1898</v>
      </c>
      <c r="C14" s="776" t="s">
        <v>1899</v>
      </c>
      <c r="D14" s="774">
        <v>0</v>
      </c>
      <c r="E14" s="774">
        <v>0</v>
      </c>
      <c r="F14" s="774">
        <v>0</v>
      </c>
      <c r="G14" s="774">
        <v>0</v>
      </c>
    </row>
    <row r="15" spans="1:7" s="648" customFormat="1" x14ac:dyDescent="0.2">
      <c r="A15" s="770" t="s">
        <v>1900</v>
      </c>
      <c r="B15" s="770" t="s">
        <v>1901</v>
      </c>
      <c r="C15" s="776" t="s">
        <v>1902</v>
      </c>
      <c r="D15" s="774">
        <v>5793.1397800000004</v>
      </c>
      <c r="E15" s="774">
        <v>5793.1397800000004</v>
      </c>
      <c r="F15" s="774">
        <v>0</v>
      </c>
      <c r="G15" s="774">
        <v>0</v>
      </c>
    </row>
    <row r="16" spans="1:7" s="648" customFormat="1" x14ac:dyDescent="0.2">
      <c r="A16" s="770" t="s">
        <v>1903</v>
      </c>
      <c r="B16" s="770" t="s">
        <v>1904</v>
      </c>
      <c r="C16" s="776" t="s">
        <v>1905</v>
      </c>
      <c r="D16" s="773">
        <v>685.20580000000007</v>
      </c>
      <c r="E16" s="773">
        <v>662.95</v>
      </c>
      <c r="F16" s="773">
        <v>22.255800000000001</v>
      </c>
      <c r="G16" s="773">
        <v>41.5398</v>
      </c>
    </row>
    <row r="17" spans="1:7" s="648" customFormat="1" x14ac:dyDescent="0.2">
      <c r="A17" s="770" t="s">
        <v>1906</v>
      </c>
      <c r="B17" s="770" t="s">
        <v>1907</v>
      </c>
      <c r="C17" s="776" t="s">
        <v>1908</v>
      </c>
      <c r="D17" s="773">
        <v>58</v>
      </c>
      <c r="E17" s="773"/>
      <c r="F17" s="773">
        <v>58</v>
      </c>
      <c r="G17" s="773">
        <v>58</v>
      </c>
    </row>
    <row r="18" spans="1:7" s="648" customFormat="1" ht="21" x14ac:dyDescent="0.2">
      <c r="A18" s="770" t="s">
        <v>1909</v>
      </c>
      <c r="B18" s="770" t="s">
        <v>1910</v>
      </c>
      <c r="C18" s="776" t="s">
        <v>1911</v>
      </c>
      <c r="D18" s="774">
        <v>0</v>
      </c>
      <c r="E18" s="774">
        <v>0</v>
      </c>
      <c r="F18" s="774">
        <v>0</v>
      </c>
      <c r="G18" s="774">
        <v>0</v>
      </c>
    </row>
    <row r="19" spans="1:7" s="648" customFormat="1" x14ac:dyDescent="0.2">
      <c r="A19" s="770" t="s">
        <v>1912</v>
      </c>
      <c r="B19" s="770" t="s">
        <v>1913</v>
      </c>
      <c r="C19" s="776" t="s">
        <v>1914</v>
      </c>
      <c r="D19" s="774">
        <v>0</v>
      </c>
      <c r="E19" s="773"/>
      <c r="F19" s="774">
        <v>0</v>
      </c>
      <c r="G19" s="773"/>
    </row>
    <row r="20" spans="1:7" s="648" customFormat="1" x14ac:dyDescent="0.2">
      <c r="A20" s="770" t="s">
        <v>1915</v>
      </c>
      <c r="B20" s="770" t="s">
        <v>1916</v>
      </c>
      <c r="C20" s="776" t="s">
        <v>1917</v>
      </c>
      <c r="D20" s="774">
        <v>0</v>
      </c>
      <c r="E20" s="773"/>
      <c r="F20" s="774">
        <v>0</v>
      </c>
      <c r="G20" s="773"/>
    </row>
    <row r="21" spans="1:7" s="826" customFormat="1" x14ac:dyDescent="0.2">
      <c r="A21" s="804" t="s">
        <v>1918</v>
      </c>
      <c r="B21" s="804" t="s">
        <v>1919</v>
      </c>
      <c r="C21" s="805" t="s">
        <v>133</v>
      </c>
      <c r="D21" s="769">
        <v>2591899.40937</v>
      </c>
      <c r="E21" s="769">
        <v>787675.01207000006</v>
      </c>
      <c r="F21" s="769">
        <v>1804224.3972999998</v>
      </c>
      <c r="G21" s="769">
        <v>1589379.7998900001</v>
      </c>
    </row>
    <row r="22" spans="1:7" s="648" customFormat="1" x14ac:dyDescent="0.2">
      <c r="A22" s="770" t="s">
        <v>1920</v>
      </c>
      <c r="B22" s="770" t="s">
        <v>264</v>
      </c>
      <c r="C22" s="776" t="s">
        <v>1921</v>
      </c>
      <c r="D22" s="773">
        <v>47192.366540000003</v>
      </c>
      <c r="E22" s="773"/>
      <c r="F22" s="773">
        <v>47192.366540000003</v>
      </c>
      <c r="G22" s="773">
        <v>47170.518060000002</v>
      </c>
    </row>
    <row r="23" spans="1:7" s="648" customFormat="1" x14ac:dyDescent="0.2">
      <c r="A23" s="770" t="s">
        <v>1922</v>
      </c>
      <c r="B23" s="770" t="s">
        <v>1923</v>
      </c>
      <c r="C23" s="776" t="s">
        <v>1924</v>
      </c>
      <c r="D23" s="773">
        <v>811.57500000000005</v>
      </c>
      <c r="E23" s="773"/>
      <c r="F23" s="773">
        <v>811.57500000000005</v>
      </c>
      <c r="G23" s="773">
        <v>817.57500000000005</v>
      </c>
    </row>
    <row r="24" spans="1:7" s="648" customFormat="1" x14ac:dyDescent="0.2">
      <c r="A24" s="770" t="s">
        <v>1925</v>
      </c>
      <c r="B24" s="770" t="s">
        <v>1926</v>
      </c>
      <c r="C24" s="776" t="s">
        <v>1927</v>
      </c>
      <c r="D24" s="773">
        <v>2006218.0712300001</v>
      </c>
      <c r="E24" s="773">
        <v>307302.78042000002</v>
      </c>
      <c r="F24" s="773">
        <v>1698915.2908099999</v>
      </c>
      <c r="G24" s="773">
        <v>1481819.2956900001</v>
      </c>
    </row>
    <row r="25" spans="1:7" s="648" customFormat="1" ht="21" x14ac:dyDescent="0.2">
      <c r="A25" s="770" t="s">
        <v>1928</v>
      </c>
      <c r="B25" s="770" t="s">
        <v>1929</v>
      </c>
      <c r="C25" s="776" t="s">
        <v>1930</v>
      </c>
      <c r="D25" s="773">
        <v>211401.46191999997</v>
      </c>
      <c r="E25" s="773">
        <v>163986.8891</v>
      </c>
      <c r="F25" s="773">
        <v>47414.572820000001</v>
      </c>
      <c r="G25" s="773">
        <v>42691.843380000006</v>
      </c>
    </row>
    <row r="26" spans="1:7" s="648" customFormat="1" x14ac:dyDescent="0.2">
      <c r="A26" s="770" t="s">
        <v>1931</v>
      </c>
      <c r="B26" s="770" t="s">
        <v>1932</v>
      </c>
      <c r="C26" s="776" t="s">
        <v>1933</v>
      </c>
      <c r="D26" s="773"/>
      <c r="E26" s="773"/>
      <c r="F26" s="773"/>
      <c r="G26" s="773"/>
    </row>
    <row r="27" spans="1:7" s="648" customFormat="1" x14ac:dyDescent="0.2">
      <c r="A27" s="770" t="s">
        <v>1934</v>
      </c>
      <c r="B27" s="770" t="s">
        <v>1935</v>
      </c>
      <c r="C27" s="776" t="s">
        <v>1936</v>
      </c>
      <c r="D27" s="773">
        <v>316377.00654999999</v>
      </c>
      <c r="E27" s="774">
        <v>316377.00654999999</v>
      </c>
      <c r="F27" s="773"/>
      <c r="G27" s="774">
        <v>0</v>
      </c>
    </row>
    <row r="28" spans="1:7" s="648" customFormat="1" x14ac:dyDescent="0.2">
      <c r="A28" s="770" t="s">
        <v>1937</v>
      </c>
      <c r="B28" s="770" t="s">
        <v>1938</v>
      </c>
      <c r="C28" s="776" t="s">
        <v>1939</v>
      </c>
      <c r="D28" s="773">
        <v>50</v>
      </c>
      <c r="E28" s="773">
        <v>8.3360000000000003</v>
      </c>
      <c r="F28" s="773">
        <v>41.664000000000001</v>
      </c>
      <c r="G28" s="773">
        <v>48.518999999999998</v>
      </c>
    </row>
    <row r="29" spans="1:7" s="648" customFormat="1" x14ac:dyDescent="0.2">
      <c r="A29" s="770" t="s">
        <v>1940</v>
      </c>
      <c r="B29" s="770" t="s">
        <v>1941</v>
      </c>
      <c r="C29" s="776" t="s">
        <v>1942</v>
      </c>
      <c r="D29" s="773">
        <v>9848.9281300000002</v>
      </c>
      <c r="E29" s="773"/>
      <c r="F29" s="773">
        <v>9848.9281300000002</v>
      </c>
      <c r="G29" s="773">
        <v>16832.048760000001</v>
      </c>
    </row>
    <row r="30" spans="1:7" s="648" customFormat="1" ht="21" x14ac:dyDescent="0.2">
      <c r="A30" s="770" t="s">
        <v>1943</v>
      </c>
      <c r="B30" s="770" t="s">
        <v>1944</v>
      </c>
      <c r="C30" s="776" t="s">
        <v>1945</v>
      </c>
      <c r="D30" s="774">
        <v>0</v>
      </c>
      <c r="E30" s="773"/>
      <c r="F30" s="774">
        <v>0</v>
      </c>
      <c r="G30" s="773"/>
    </row>
    <row r="31" spans="1:7" s="648" customFormat="1" x14ac:dyDescent="0.2">
      <c r="A31" s="770" t="s">
        <v>1946</v>
      </c>
      <c r="B31" s="770" t="s">
        <v>1947</v>
      </c>
      <c r="C31" s="776" t="s">
        <v>1948</v>
      </c>
      <c r="D31" s="773"/>
      <c r="E31" s="773"/>
      <c r="F31" s="773"/>
      <c r="G31" s="773"/>
    </row>
    <row r="32" spans="1:7" s="648" customFormat="1" x14ac:dyDescent="0.2">
      <c r="A32" s="770" t="s">
        <v>1949</v>
      </c>
      <c r="B32" s="770" t="s">
        <v>1950</v>
      </c>
      <c r="C32" s="776" t="s">
        <v>1951</v>
      </c>
      <c r="D32" s="773"/>
      <c r="E32" s="773"/>
      <c r="F32" s="773"/>
      <c r="G32" s="773"/>
    </row>
    <row r="33" spans="1:7" s="826" customFormat="1" x14ac:dyDescent="0.2">
      <c r="A33" s="804" t="s">
        <v>1952</v>
      </c>
      <c r="B33" s="804" t="s">
        <v>1953</v>
      </c>
      <c r="C33" s="805" t="s">
        <v>133</v>
      </c>
      <c r="D33" s="769">
        <v>159.59806</v>
      </c>
      <c r="E33" s="769">
        <v>0</v>
      </c>
      <c r="F33" s="769">
        <v>159.59806</v>
      </c>
      <c r="G33" s="769">
        <v>144.98407999999998</v>
      </c>
    </row>
    <row r="34" spans="1:7" s="648" customFormat="1" x14ac:dyDescent="0.2">
      <c r="A34" s="770" t="s">
        <v>1954</v>
      </c>
      <c r="B34" s="770" t="s">
        <v>1955</v>
      </c>
      <c r="C34" s="776" t="s">
        <v>1956</v>
      </c>
      <c r="D34" s="774">
        <v>0</v>
      </c>
      <c r="E34" s="774">
        <v>0</v>
      </c>
      <c r="F34" s="774">
        <v>0</v>
      </c>
      <c r="G34" s="774">
        <v>0</v>
      </c>
    </row>
    <row r="35" spans="1:7" s="648" customFormat="1" x14ac:dyDescent="0.2">
      <c r="A35" s="770" t="s">
        <v>1957</v>
      </c>
      <c r="B35" s="770" t="s">
        <v>1958</v>
      </c>
      <c r="C35" s="776" t="s">
        <v>1959</v>
      </c>
      <c r="D35" s="774">
        <v>0</v>
      </c>
      <c r="E35" s="774">
        <v>0</v>
      </c>
      <c r="F35" s="774">
        <v>0</v>
      </c>
      <c r="G35" s="774">
        <v>0</v>
      </c>
    </row>
    <row r="36" spans="1:7" s="648" customFormat="1" x14ac:dyDescent="0.2">
      <c r="A36" s="770" t="s">
        <v>1960</v>
      </c>
      <c r="B36" s="770" t="s">
        <v>1961</v>
      </c>
      <c r="C36" s="776" t="s">
        <v>1962</v>
      </c>
      <c r="D36" s="774">
        <v>0</v>
      </c>
      <c r="E36" s="774">
        <v>0</v>
      </c>
      <c r="F36" s="774">
        <v>0</v>
      </c>
      <c r="G36" s="774">
        <v>0</v>
      </c>
    </row>
    <row r="37" spans="1:7" s="648" customFormat="1" x14ac:dyDescent="0.2">
      <c r="A37" s="770" t="s">
        <v>1966</v>
      </c>
      <c r="B37" s="770" t="s">
        <v>1967</v>
      </c>
      <c r="C37" s="776" t="s">
        <v>1968</v>
      </c>
      <c r="D37" s="774">
        <v>0</v>
      </c>
      <c r="E37" s="774">
        <v>0</v>
      </c>
      <c r="F37" s="774">
        <v>0</v>
      </c>
      <c r="G37" s="774">
        <v>0</v>
      </c>
    </row>
    <row r="38" spans="1:7" s="648" customFormat="1" x14ac:dyDescent="0.2">
      <c r="A38" s="770" t="s">
        <v>1969</v>
      </c>
      <c r="B38" s="770" t="s">
        <v>1970</v>
      </c>
      <c r="C38" s="776" t="s">
        <v>1971</v>
      </c>
      <c r="D38" s="773">
        <v>159.59806</v>
      </c>
      <c r="E38" s="773"/>
      <c r="F38" s="773">
        <v>159.59806</v>
      </c>
      <c r="G38" s="773">
        <v>144.98407999999998</v>
      </c>
    </row>
    <row r="39" spans="1:7" s="826" customFormat="1" x14ac:dyDescent="0.2">
      <c r="A39" s="804" t="s">
        <v>1978</v>
      </c>
      <c r="B39" s="804" t="s">
        <v>1979</v>
      </c>
      <c r="C39" s="805" t="s">
        <v>133</v>
      </c>
      <c r="D39" s="769">
        <v>0</v>
      </c>
      <c r="E39" s="769">
        <v>0</v>
      </c>
      <c r="F39" s="769">
        <v>0</v>
      </c>
      <c r="G39" s="769">
        <v>0</v>
      </c>
    </row>
    <row r="40" spans="1:7" s="648" customFormat="1" x14ac:dyDescent="0.2">
      <c r="A40" s="770" t="s">
        <v>1980</v>
      </c>
      <c r="B40" s="770" t="s">
        <v>1981</v>
      </c>
      <c r="C40" s="776" t="s">
        <v>1982</v>
      </c>
      <c r="D40" s="774">
        <v>0</v>
      </c>
      <c r="E40" s="774">
        <v>0</v>
      </c>
      <c r="F40" s="774">
        <v>0</v>
      </c>
      <c r="G40" s="774">
        <v>0</v>
      </c>
    </row>
    <row r="41" spans="1:7" s="648" customFormat="1" x14ac:dyDescent="0.2">
      <c r="A41" s="770" t="s">
        <v>1983</v>
      </c>
      <c r="B41" s="770" t="s">
        <v>1984</v>
      </c>
      <c r="C41" s="776" t="s">
        <v>1985</v>
      </c>
      <c r="D41" s="774">
        <v>0</v>
      </c>
      <c r="E41" s="774">
        <v>0</v>
      </c>
      <c r="F41" s="774">
        <v>0</v>
      </c>
      <c r="G41" s="774">
        <v>0</v>
      </c>
    </row>
    <row r="42" spans="1:7" s="648" customFormat="1" x14ac:dyDescent="0.2">
      <c r="A42" s="770" t="s">
        <v>1986</v>
      </c>
      <c r="B42" s="770" t="s">
        <v>1987</v>
      </c>
      <c r="C42" s="776" t="s">
        <v>1988</v>
      </c>
      <c r="D42" s="774">
        <v>0</v>
      </c>
      <c r="E42" s="774">
        <v>0</v>
      </c>
      <c r="F42" s="774">
        <v>0</v>
      </c>
      <c r="G42" s="774">
        <v>0</v>
      </c>
    </row>
    <row r="43" spans="1:7" s="648" customFormat="1" x14ac:dyDescent="0.2">
      <c r="A43" s="770" t="s">
        <v>1992</v>
      </c>
      <c r="B43" s="770" t="s">
        <v>1993</v>
      </c>
      <c r="C43" s="776" t="s">
        <v>1994</v>
      </c>
      <c r="D43" s="774">
        <v>0</v>
      </c>
      <c r="E43" s="774">
        <v>0</v>
      </c>
      <c r="F43" s="774">
        <v>0</v>
      </c>
      <c r="G43" s="774">
        <v>0</v>
      </c>
    </row>
    <row r="44" spans="1:7" s="648" customFormat="1" x14ac:dyDescent="0.2">
      <c r="A44" s="770" t="s">
        <v>1995</v>
      </c>
      <c r="B44" s="775" t="s">
        <v>1996</v>
      </c>
      <c r="C44" s="815" t="s">
        <v>1997</v>
      </c>
      <c r="D44" s="774">
        <v>0</v>
      </c>
      <c r="E44" s="774">
        <v>0</v>
      </c>
      <c r="F44" s="774">
        <v>0</v>
      </c>
      <c r="G44" s="774">
        <v>0</v>
      </c>
    </row>
    <row r="45" spans="1:7" s="826" customFormat="1" x14ac:dyDescent="0.2">
      <c r="A45" s="775" t="s">
        <v>1998</v>
      </c>
      <c r="B45" s="775" t="s">
        <v>1999</v>
      </c>
      <c r="C45" s="815" t="s">
        <v>2000</v>
      </c>
      <c r="D45" s="773"/>
      <c r="E45" s="773"/>
      <c r="F45" s="773"/>
      <c r="G45" s="773"/>
    </row>
    <row r="46" spans="1:7" s="826" customFormat="1" x14ac:dyDescent="0.2">
      <c r="A46" s="804" t="s">
        <v>2001</v>
      </c>
      <c r="B46" s="804" t="s">
        <v>2002</v>
      </c>
      <c r="C46" s="805" t="s">
        <v>133</v>
      </c>
      <c r="D46" s="769">
        <v>331232.61907999997</v>
      </c>
      <c r="E46" s="769">
        <v>0</v>
      </c>
      <c r="F46" s="769">
        <v>331232.61907999997</v>
      </c>
      <c r="G46" s="769">
        <v>359906.71797000006</v>
      </c>
    </row>
    <row r="47" spans="1:7" s="648" customFormat="1" x14ac:dyDescent="0.2">
      <c r="A47" s="767" t="s">
        <v>2003</v>
      </c>
      <c r="B47" s="767" t="s">
        <v>2004</v>
      </c>
      <c r="C47" s="812" t="s">
        <v>133</v>
      </c>
      <c r="D47" s="769">
        <v>5951.9198799999995</v>
      </c>
      <c r="E47" s="769">
        <v>0</v>
      </c>
      <c r="F47" s="769">
        <v>5951.9198799999995</v>
      </c>
      <c r="G47" s="769">
        <v>6622.7203200000004</v>
      </c>
    </row>
    <row r="48" spans="1:7" s="648" customFormat="1" x14ac:dyDescent="0.2">
      <c r="A48" s="770" t="s">
        <v>2005</v>
      </c>
      <c r="B48" s="770" t="s">
        <v>2006</v>
      </c>
      <c r="C48" s="776" t="s">
        <v>2007</v>
      </c>
      <c r="D48" s="774">
        <v>0</v>
      </c>
      <c r="E48" s="774">
        <v>0</v>
      </c>
      <c r="F48" s="774">
        <v>0</v>
      </c>
      <c r="G48" s="774">
        <v>0</v>
      </c>
    </row>
    <row r="49" spans="1:7" s="648" customFormat="1" x14ac:dyDescent="0.2">
      <c r="A49" s="770" t="s">
        <v>2008</v>
      </c>
      <c r="B49" s="770" t="s">
        <v>2009</v>
      </c>
      <c r="C49" s="776" t="s">
        <v>2010</v>
      </c>
      <c r="D49" s="773">
        <v>5863.3790399999998</v>
      </c>
      <c r="E49" s="773"/>
      <c r="F49" s="773">
        <v>5863.3790399999998</v>
      </c>
      <c r="G49" s="773">
        <v>6558.3873200000007</v>
      </c>
    </row>
    <row r="50" spans="1:7" s="648" customFormat="1" x14ac:dyDescent="0.2">
      <c r="A50" s="770" t="s">
        <v>2011</v>
      </c>
      <c r="B50" s="770" t="s">
        <v>2012</v>
      </c>
      <c r="C50" s="776" t="s">
        <v>2013</v>
      </c>
      <c r="D50" s="773"/>
      <c r="E50" s="773"/>
      <c r="F50" s="773"/>
      <c r="G50" s="773"/>
    </row>
    <row r="51" spans="1:7" s="648" customFormat="1" x14ac:dyDescent="0.2">
      <c r="A51" s="770" t="s">
        <v>2014</v>
      </c>
      <c r="B51" s="770" t="s">
        <v>2015</v>
      </c>
      <c r="C51" s="776" t="s">
        <v>2016</v>
      </c>
      <c r="D51" s="773"/>
      <c r="E51" s="773"/>
      <c r="F51" s="773"/>
      <c r="G51" s="773"/>
    </row>
    <row r="52" spans="1:7" s="648" customFormat="1" x14ac:dyDescent="0.2">
      <c r="A52" s="770" t="s">
        <v>2017</v>
      </c>
      <c r="B52" s="770" t="s">
        <v>2018</v>
      </c>
      <c r="C52" s="776" t="s">
        <v>2019</v>
      </c>
      <c r="D52" s="774">
        <v>0</v>
      </c>
      <c r="E52" s="774">
        <v>0</v>
      </c>
      <c r="F52" s="774">
        <v>0</v>
      </c>
      <c r="G52" s="774">
        <v>0</v>
      </c>
    </row>
    <row r="53" spans="1:7" s="648" customFormat="1" x14ac:dyDescent="0.2">
      <c r="A53" s="770" t="s">
        <v>2020</v>
      </c>
      <c r="B53" s="770" t="s">
        <v>2021</v>
      </c>
      <c r="C53" s="776" t="s">
        <v>2022</v>
      </c>
      <c r="D53" s="773">
        <v>67.052000000000007</v>
      </c>
      <c r="E53" s="773"/>
      <c r="F53" s="773">
        <v>67.052000000000007</v>
      </c>
      <c r="G53" s="773">
        <v>61.332999999999998</v>
      </c>
    </row>
    <row r="54" spans="1:7" s="648" customFormat="1" x14ac:dyDescent="0.2">
      <c r="A54" s="770" t="s">
        <v>2023</v>
      </c>
      <c r="B54" s="770" t="s">
        <v>2024</v>
      </c>
      <c r="C54" s="776" t="s">
        <v>2025</v>
      </c>
      <c r="D54" s="774">
        <v>0</v>
      </c>
      <c r="E54" s="774">
        <v>0</v>
      </c>
      <c r="F54" s="774">
        <v>0</v>
      </c>
      <c r="G54" s="774">
        <v>0</v>
      </c>
    </row>
    <row r="55" spans="1:7" s="648" customFormat="1" x14ac:dyDescent="0.2">
      <c r="A55" s="770" t="s">
        <v>2026</v>
      </c>
      <c r="B55" s="770" t="s">
        <v>2027</v>
      </c>
      <c r="C55" s="776" t="s">
        <v>2028</v>
      </c>
      <c r="D55" s="773"/>
      <c r="E55" s="773"/>
      <c r="F55" s="773"/>
      <c r="G55" s="773"/>
    </row>
    <row r="56" spans="1:7" s="648" customFormat="1" x14ac:dyDescent="0.2">
      <c r="A56" s="770" t="s">
        <v>2029</v>
      </c>
      <c r="B56" s="770" t="s">
        <v>2030</v>
      </c>
      <c r="C56" s="776" t="s">
        <v>2031</v>
      </c>
      <c r="D56" s="773"/>
      <c r="E56" s="773"/>
      <c r="F56" s="773"/>
      <c r="G56" s="773"/>
    </row>
    <row r="57" spans="1:7" s="826" customFormat="1" x14ac:dyDescent="0.2">
      <c r="A57" s="775" t="s">
        <v>2032</v>
      </c>
      <c r="B57" s="775" t="s">
        <v>2033</v>
      </c>
      <c r="C57" s="815" t="s">
        <v>2034</v>
      </c>
      <c r="D57" s="773">
        <v>21.48884</v>
      </c>
      <c r="E57" s="773"/>
      <c r="F57" s="773">
        <v>21.48884</v>
      </c>
      <c r="G57" s="773">
        <v>3</v>
      </c>
    </row>
    <row r="58" spans="1:7" s="648" customFormat="1" x14ac:dyDescent="0.2">
      <c r="A58" s="767" t="s">
        <v>2035</v>
      </c>
      <c r="B58" s="767" t="s">
        <v>2036</v>
      </c>
      <c r="C58" s="812" t="s">
        <v>133</v>
      </c>
      <c r="D58" s="769">
        <v>20725.576379999999</v>
      </c>
      <c r="E58" s="769">
        <v>0</v>
      </c>
      <c r="F58" s="769">
        <v>20725.576379999999</v>
      </c>
      <c r="G58" s="769">
        <v>47158.85037</v>
      </c>
    </row>
    <row r="59" spans="1:7" s="648" customFormat="1" x14ac:dyDescent="0.2">
      <c r="A59" s="827" t="s">
        <v>2037</v>
      </c>
      <c r="B59" s="827" t="s">
        <v>2038</v>
      </c>
      <c r="C59" s="828" t="s">
        <v>2039</v>
      </c>
      <c r="D59" s="772">
        <v>4272.4186799999998</v>
      </c>
      <c r="E59" s="772"/>
      <c r="F59" s="772">
        <v>4272.4186799999998</v>
      </c>
      <c r="G59" s="772">
        <v>5183.5864900000006</v>
      </c>
    </row>
    <row r="60" spans="1:7" s="648" customFormat="1" x14ac:dyDescent="0.2">
      <c r="A60" s="770" t="s">
        <v>2046</v>
      </c>
      <c r="B60" s="770" t="s">
        <v>2047</v>
      </c>
      <c r="C60" s="776" t="s">
        <v>2048</v>
      </c>
      <c r="D60" s="773">
        <v>3039.9566400000003</v>
      </c>
      <c r="E60" s="773"/>
      <c r="F60" s="773">
        <v>3039.9566400000003</v>
      </c>
      <c r="G60" s="773">
        <v>2222.34274</v>
      </c>
    </row>
    <row r="61" spans="1:7" s="648" customFormat="1" x14ac:dyDescent="0.2">
      <c r="A61" s="770" t="s">
        <v>2049</v>
      </c>
      <c r="B61" s="770" t="s">
        <v>2050</v>
      </c>
      <c r="C61" s="776" t="s">
        <v>2051</v>
      </c>
      <c r="D61" s="773">
        <v>928.47337000000005</v>
      </c>
      <c r="E61" s="773"/>
      <c r="F61" s="773">
        <v>928.47337000000005</v>
      </c>
      <c r="G61" s="773">
        <v>1026.30465</v>
      </c>
    </row>
    <row r="62" spans="1:7" s="648" customFormat="1" x14ac:dyDescent="0.2">
      <c r="A62" s="770" t="s">
        <v>2052</v>
      </c>
      <c r="B62" s="770" t="s">
        <v>2053</v>
      </c>
      <c r="C62" s="776" t="s">
        <v>2054</v>
      </c>
      <c r="D62" s="774">
        <v>0</v>
      </c>
      <c r="E62" s="774"/>
      <c r="F62" s="774">
        <v>0</v>
      </c>
      <c r="G62" s="774">
        <v>0</v>
      </c>
    </row>
    <row r="63" spans="1:7" s="648" customFormat="1" x14ac:dyDescent="0.2">
      <c r="A63" s="770" t="s">
        <v>2061</v>
      </c>
      <c r="B63" s="770" t="s">
        <v>2062</v>
      </c>
      <c r="C63" s="776" t="s">
        <v>2063</v>
      </c>
      <c r="D63" s="774">
        <v>223.52151000000001</v>
      </c>
      <c r="E63" s="774"/>
      <c r="F63" s="774">
        <v>223.52151000000001</v>
      </c>
      <c r="G63" s="774">
        <v>180.04300000000001</v>
      </c>
    </row>
    <row r="64" spans="1:7" s="648" customFormat="1" x14ac:dyDescent="0.2">
      <c r="A64" s="770" t="s">
        <v>2064</v>
      </c>
      <c r="B64" s="770" t="s">
        <v>2065</v>
      </c>
      <c r="C64" s="776" t="s">
        <v>2066</v>
      </c>
      <c r="D64" s="773"/>
      <c r="E64" s="773"/>
      <c r="F64" s="773"/>
      <c r="G64" s="773"/>
    </row>
    <row r="65" spans="1:7" s="648" customFormat="1" x14ac:dyDescent="0.2">
      <c r="A65" s="770" t="s">
        <v>2067</v>
      </c>
      <c r="B65" s="770" t="s">
        <v>2068</v>
      </c>
      <c r="C65" s="776" t="s">
        <v>2069</v>
      </c>
      <c r="D65" s="774">
        <v>0</v>
      </c>
      <c r="E65" s="774"/>
      <c r="F65" s="774">
        <v>0</v>
      </c>
      <c r="G65" s="774">
        <v>0</v>
      </c>
    </row>
    <row r="66" spans="1:7" s="648" customFormat="1" x14ac:dyDescent="0.2">
      <c r="A66" s="770" t="s">
        <v>2070</v>
      </c>
      <c r="B66" s="770" t="s">
        <v>2071</v>
      </c>
      <c r="C66" s="776" t="s">
        <v>2072</v>
      </c>
      <c r="D66" s="773"/>
      <c r="E66" s="773"/>
      <c r="F66" s="773"/>
      <c r="G66" s="773"/>
    </row>
    <row r="67" spans="1:7" s="648" customFormat="1" x14ac:dyDescent="0.2">
      <c r="A67" s="770" t="s">
        <v>2073</v>
      </c>
      <c r="B67" s="770" t="s">
        <v>2074</v>
      </c>
      <c r="C67" s="776" t="s">
        <v>2075</v>
      </c>
      <c r="D67" s="774">
        <v>682.673</v>
      </c>
      <c r="E67" s="773"/>
      <c r="F67" s="774">
        <v>682.673</v>
      </c>
      <c r="G67" s="773">
        <v>337.66</v>
      </c>
    </row>
    <row r="68" spans="1:7" s="648" customFormat="1" x14ac:dyDescent="0.2">
      <c r="A68" s="770" t="s">
        <v>2076</v>
      </c>
      <c r="B68" s="770" t="s">
        <v>2077</v>
      </c>
      <c r="C68" s="776" t="s">
        <v>2078</v>
      </c>
      <c r="D68" s="773"/>
      <c r="E68" s="773"/>
      <c r="F68" s="773"/>
      <c r="G68" s="773"/>
    </row>
    <row r="69" spans="1:7" s="648" customFormat="1" x14ac:dyDescent="0.2">
      <c r="A69" s="770" t="s">
        <v>2079</v>
      </c>
      <c r="B69" s="770" t="s">
        <v>236</v>
      </c>
      <c r="C69" s="776" t="s">
        <v>2080</v>
      </c>
      <c r="D69" s="773"/>
      <c r="E69" s="773"/>
      <c r="F69" s="773"/>
      <c r="G69" s="773"/>
    </row>
    <row r="70" spans="1:7" s="648" customFormat="1" x14ac:dyDescent="0.2">
      <c r="A70" s="770" t="s">
        <v>2081</v>
      </c>
      <c r="B70" s="770" t="s">
        <v>2082</v>
      </c>
      <c r="C70" s="776" t="s">
        <v>2083</v>
      </c>
      <c r="D70" s="773"/>
      <c r="E70" s="773"/>
      <c r="F70" s="773"/>
      <c r="G70" s="773">
        <v>1.8380000000000001</v>
      </c>
    </row>
    <row r="71" spans="1:7" s="648" customFormat="1" x14ac:dyDescent="0.2">
      <c r="A71" s="770" t="s">
        <v>2084</v>
      </c>
      <c r="B71" s="770" t="s">
        <v>2085</v>
      </c>
      <c r="C71" s="776" t="s">
        <v>2086</v>
      </c>
      <c r="D71" s="773">
        <v>250.82300000000001</v>
      </c>
      <c r="E71" s="773"/>
      <c r="F71" s="773">
        <v>250.82300000000001</v>
      </c>
      <c r="G71" s="773">
        <v>611.29270999999994</v>
      </c>
    </row>
    <row r="72" spans="1:7" s="648" customFormat="1" x14ac:dyDescent="0.2">
      <c r="A72" s="770" t="s">
        <v>2087</v>
      </c>
      <c r="B72" s="770" t="s">
        <v>2088</v>
      </c>
      <c r="C72" s="776" t="s">
        <v>2089</v>
      </c>
      <c r="D72" s="774">
        <v>1476</v>
      </c>
      <c r="E72" s="774"/>
      <c r="F72" s="774">
        <v>1476</v>
      </c>
      <c r="G72" s="774">
        <v>10032.815000000001</v>
      </c>
    </row>
    <row r="73" spans="1:7" s="648" customFormat="1" x14ac:dyDescent="0.2">
      <c r="A73" s="777" t="s">
        <v>2102</v>
      </c>
      <c r="B73" s="777" t="s">
        <v>2103</v>
      </c>
      <c r="C73" s="778" t="s">
        <v>2104</v>
      </c>
      <c r="D73" s="798">
        <v>0</v>
      </c>
      <c r="E73" s="779"/>
      <c r="F73" s="798">
        <v>0</v>
      </c>
      <c r="G73" s="779"/>
    </row>
    <row r="74" spans="1:7" s="648" customFormat="1" x14ac:dyDescent="0.2">
      <c r="A74" s="770" t="s">
        <v>2105</v>
      </c>
      <c r="B74" s="848" t="s">
        <v>2106</v>
      </c>
      <c r="C74" s="776" t="s">
        <v>2107</v>
      </c>
      <c r="D74" s="774">
        <v>0</v>
      </c>
      <c r="E74" s="774">
        <v>0</v>
      </c>
      <c r="F74" s="774">
        <v>0</v>
      </c>
      <c r="G74" s="774">
        <v>0</v>
      </c>
    </row>
    <row r="75" spans="1:7" s="648" customFormat="1" x14ac:dyDescent="0.2">
      <c r="A75" s="770" t="s">
        <v>2108</v>
      </c>
      <c r="B75" s="770" t="s">
        <v>2109</v>
      </c>
      <c r="C75" s="776" t="s">
        <v>2110</v>
      </c>
      <c r="D75" s="774">
        <v>856.93631999999991</v>
      </c>
      <c r="E75" s="774">
        <v>0</v>
      </c>
      <c r="F75" s="774">
        <v>856.93631999999991</v>
      </c>
      <c r="G75" s="774">
        <v>845.70305000000008</v>
      </c>
    </row>
    <row r="76" spans="1:7" s="648" customFormat="1" x14ac:dyDescent="0.2">
      <c r="A76" s="770" t="s">
        <v>2111</v>
      </c>
      <c r="B76" s="770" t="s">
        <v>2112</v>
      </c>
      <c r="C76" s="776" t="s">
        <v>2113</v>
      </c>
      <c r="D76" s="773">
        <v>85.536179999999987</v>
      </c>
      <c r="E76" s="773"/>
      <c r="F76" s="773">
        <v>85.536179999999987</v>
      </c>
      <c r="G76" s="773">
        <v>120.46519000000001</v>
      </c>
    </row>
    <row r="77" spans="1:7" s="648" customFormat="1" x14ac:dyDescent="0.2">
      <c r="A77" s="770" t="s">
        <v>2114</v>
      </c>
      <c r="B77" s="770" t="s">
        <v>2115</v>
      </c>
      <c r="C77" s="776" t="s">
        <v>2116</v>
      </c>
      <c r="D77" s="774">
        <v>6794.3303299999998</v>
      </c>
      <c r="E77" s="774"/>
      <c r="F77" s="774">
        <v>6794.3303299999998</v>
      </c>
      <c r="G77" s="774">
        <v>25249.000670000001</v>
      </c>
    </row>
    <row r="78" spans="1:7" s="826" customFormat="1" x14ac:dyDescent="0.2">
      <c r="A78" s="775" t="s">
        <v>2117</v>
      </c>
      <c r="B78" s="829" t="s">
        <v>2118</v>
      </c>
      <c r="C78" s="830" t="s">
        <v>2119</v>
      </c>
      <c r="D78" s="779">
        <v>2114.90735</v>
      </c>
      <c r="E78" s="779"/>
      <c r="F78" s="779">
        <v>2114.90735</v>
      </c>
      <c r="G78" s="779">
        <v>1347.7988700000001</v>
      </c>
    </row>
    <row r="79" spans="1:7" s="826" customFormat="1" x14ac:dyDescent="0.2">
      <c r="A79" s="804" t="s">
        <v>2120</v>
      </c>
      <c r="B79" s="804" t="s">
        <v>2121</v>
      </c>
      <c r="C79" s="805" t="s">
        <v>133</v>
      </c>
      <c r="D79" s="769">
        <v>304555.12281999999</v>
      </c>
      <c r="E79" s="769">
        <v>0</v>
      </c>
      <c r="F79" s="769">
        <v>304555.12281999999</v>
      </c>
      <c r="G79" s="769">
        <v>306125.14727999998</v>
      </c>
    </row>
    <row r="80" spans="1:7" s="826" customFormat="1" x14ac:dyDescent="0.2">
      <c r="A80" s="775" t="s">
        <v>2122</v>
      </c>
      <c r="B80" s="775" t="s">
        <v>2123</v>
      </c>
      <c r="C80" s="815" t="s">
        <v>2124</v>
      </c>
      <c r="D80" s="773"/>
      <c r="E80" s="773"/>
      <c r="F80" s="773"/>
      <c r="G80" s="773"/>
    </row>
    <row r="81" spans="1:7" s="648" customFormat="1" x14ac:dyDescent="0.2">
      <c r="A81" s="770" t="s">
        <v>2125</v>
      </c>
      <c r="B81" s="770" t="s">
        <v>2126</v>
      </c>
      <c r="C81" s="776" t="s">
        <v>2127</v>
      </c>
      <c r="D81" s="773"/>
      <c r="E81" s="773"/>
      <c r="F81" s="773"/>
      <c r="G81" s="773"/>
    </row>
    <row r="82" spans="1:7" s="648" customFormat="1" x14ac:dyDescent="0.2">
      <c r="A82" s="770" t="s">
        <v>2128</v>
      </c>
      <c r="B82" s="770" t="s">
        <v>2129</v>
      </c>
      <c r="C82" s="776" t="s">
        <v>2130</v>
      </c>
      <c r="D82" s="773"/>
      <c r="E82" s="773"/>
      <c r="F82" s="773"/>
      <c r="G82" s="773"/>
    </row>
    <row r="83" spans="1:7" s="648" customFormat="1" x14ac:dyDescent="0.2">
      <c r="A83" s="770" t="s">
        <v>2131</v>
      </c>
      <c r="B83" s="770" t="s">
        <v>2132</v>
      </c>
      <c r="C83" s="776" t="s">
        <v>2133</v>
      </c>
      <c r="D83" s="773">
        <v>11176.873039999999</v>
      </c>
      <c r="E83" s="773"/>
      <c r="F83" s="773">
        <v>11176.873039999999</v>
      </c>
      <c r="G83" s="773">
        <v>15851.08539</v>
      </c>
    </row>
    <row r="84" spans="1:7" s="648" customFormat="1" x14ac:dyDescent="0.2">
      <c r="A84" s="770" t="s">
        <v>2134</v>
      </c>
      <c r="B84" s="770" t="s">
        <v>2135</v>
      </c>
      <c r="C84" s="776" t="s">
        <v>2136</v>
      </c>
      <c r="D84" s="773">
        <v>58019.378280000004</v>
      </c>
      <c r="E84" s="773"/>
      <c r="F84" s="773">
        <v>58019.378280000004</v>
      </c>
      <c r="G84" s="773">
        <v>70169.973740000001</v>
      </c>
    </row>
    <row r="85" spans="1:7" s="648" customFormat="1" x14ac:dyDescent="0.2">
      <c r="A85" s="770" t="s">
        <v>2137</v>
      </c>
      <c r="B85" s="770" t="s">
        <v>2138</v>
      </c>
      <c r="C85" s="776" t="s">
        <v>2139</v>
      </c>
      <c r="D85" s="773">
        <v>221502.13036000001</v>
      </c>
      <c r="E85" s="773"/>
      <c r="F85" s="773">
        <v>221502.13036000001</v>
      </c>
      <c r="G85" s="773">
        <v>214930.03531000001</v>
      </c>
    </row>
    <row r="86" spans="1:7" s="648" customFormat="1" x14ac:dyDescent="0.2">
      <c r="A86" s="770" t="s">
        <v>2140</v>
      </c>
      <c r="B86" s="770" t="s">
        <v>2141</v>
      </c>
      <c r="C86" s="776" t="s">
        <v>2142</v>
      </c>
      <c r="D86" s="773">
        <v>2729.8083999999999</v>
      </c>
      <c r="E86" s="773"/>
      <c r="F86" s="773">
        <v>2729.8083999999999</v>
      </c>
      <c r="G86" s="773">
        <v>2643.0097799999999</v>
      </c>
    </row>
    <row r="87" spans="1:7" s="648" customFormat="1" x14ac:dyDescent="0.2">
      <c r="A87" s="770" t="s">
        <v>2149</v>
      </c>
      <c r="B87" s="770" t="s">
        <v>2150</v>
      </c>
      <c r="C87" s="776" t="s">
        <v>2151</v>
      </c>
      <c r="D87" s="773">
        <v>105.452</v>
      </c>
      <c r="E87" s="773"/>
      <c r="F87" s="773">
        <v>105.452</v>
      </c>
      <c r="G87" s="773">
        <v>74.563999999999993</v>
      </c>
    </row>
    <row r="88" spans="1:7" s="648" customFormat="1" x14ac:dyDescent="0.2">
      <c r="A88" s="770" t="s">
        <v>2152</v>
      </c>
      <c r="B88" s="770" t="s">
        <v>2153</v>
      </c>
      <c r="C88" s="776" t="s">
        <v>2154</v>
      </c>
      <c r="D88" s="773">
        <v>8590.7327399999995</v>
      </c>
      <c r="E88" s="773"/>
      <c r="F88" s="773">
        <v>8590.7327399999995</v>
      </c>
      <c r="G88" s="773">
        <v>0.21706</v>
      </c>
    </row>
    <row r="89" spans="1:7" s="648" customFormat="1" ht="12.75" customHeight="1" x14ac:dyDescent="0.2">
      <c r="A89" s="777" t="s">
        <v>2155</v>
      </c>
      <c r="B89" s="777" t="s">
        <v>2156</v>
      </c>
      <c r="C89" s="778" t="s">
        <v>2157</v>
      </c>
      <c r="D89" s="779">
        <v>2430.748</v>
      </c>
      <c r="E89" s="779"/>
      <c r="F89" s="779">
        <v>2430.748</v>
      </c>
      <c r="G89" s="779">
        <v>2456.2620000000002</v>
      </c>
    </row>
    <row r="90" spans="1:7" s="834" customFormat="1" ht="12.75" customHeight="1" x14ac:dyDescent="0.2">
      <c r="A90" s="831"/>
      <c r="B90" s="831"/>
      <c r="C90" s="831"/>
      <c r="D90" s="832"/>
      <c r="E90" s="833"/>
      <c r="F90" s="832"/>
      <c r="G90" s="832"/>
    </row>
    <row r="91" spans="1:7" s="834" customFormat="1" x14ac:dyDescent="0.2">
      <c r="A91" s="831"/>
      <c r="B91" s="831"/>
      <c r="C91" s="831"/>
      <c r="D91" s="832"/>
      <c r="E91" s="833"/>
      <c r="F91" s="832"/>
      <c r="G91" s="832"/>
    </row>
    <row r="92" spans="1:7" x14ac:dyDescent="0.2">
      <c r="A92" s="819"/>
      <c r="B92" s="820"/>
      <c r="C92" s="821"/>
      <c r="D92" s="789">
        <v>1</v>
      </c>
      <c r="E92" s="789">
        <v>2</v>
      </c>
      <c r="F92" s="792"/>
      <c r="G92" s="793"/>
    </row>
    <row r="93" spans="1:7" s="765" customFormat="1" ht="12.75" customHeight="1" x14ac:dyDescent="0.2">
      <c r="A93" s="1495" t="s">
        <v>1876</v>
      </c>
      <c r="B93" s="1496"/>
      <c r="C93" s="1501" t="s">
        <v>1877</v>
      </c>
      <c r="D93" s="1515" t="s">
        <v>1878</v>
      </c>
      <c r="E93" s="1515"/>
      <c r="F93" s="792"/>
      <c r="G93" s="793"/>
    </row>
    <row r="94" spans="1:7" s="765" customFormat="1" x14ac:dyDescent="0.2">
      <c r="A94" s="1499"/>
      <c r="B94" s="1500"/>
      <c r="C94" s="1514"/>
      <c r="D94" s="794" t="s">
        <v>1879</v>
      </c>
      <c r="E94" s="795" t="s">
        <v>1880</v>
      </c>
      <c r="F94" s="792"/>
      <c r="G94" s="793"/>
    </row>
    <row r="95" spans="1:7" s="826" customFormat="1" x14ac:dyDescent="0.2">
      <c r="A95" s="804"/>
      <c r="B95" s="804" t="s">
        <v>2158</v>
      </c>
      <c r="C95" s="805" t="s">
        <v>133</v>
      </c>
      <c r="D95" s="769">
        <v>2135778.70224</v>
      </c>
      <c r="E95" s="769">
        <v>1949620.60574</v>
      </c>
      <c r="F95" s="790"/>
      <c r="G95" s="791"/>
    </row>
    <row r="96" spans="1:7" s="826" customFormat="1" x14ac:dyDescent="0.2">
      <c r="A96" s="804" t="s">
        <v>2159</v>
      </c>
      <c r="B96" s="804" t="s">
        <v>2160</v>
      </c>
      <c r="C96" s="805" t="s">
        <v>133</v>
      </c>
      <c r="D96" s="769">
        <v>1992925.1943399999</v>
      </c>
      <c r="E96" s="769">
        <v>1774467.2007299999</v>
      </c>
      <c r="F96" s="790"/>
      <c r="G96" s="791"/>
    </row>
    <row r="97" spans="1:7" s="826" customFormat="1" x14ac:dyDescent="0.2">
      <c r="A97" s="804" t="s">
        <v>2161</v>
      </c>
      <c r="B97" s="804" t="s">
        <v>2162</v>
      </c>
      <c r="C97" s="805" t="s">
        <v>133</v>
      </c>
      <c r="D97" s="769">
        <v>1806764.77948</v>
      </c>
      <c r="E97" s="769">
        <v>1593941.0165899999</v>
      </c>
      <c r="F97" s="790"/>
      <c r="G97" s="791"/>
    </row>
    <row r="98" spans="1:7" s="648" customFormat="1" x14ac:dyDescent="0.2">
      <c r="A98" s="770" t="s">
        <v>2163</v>
      </c>
      <c r="B98" s="770" t="s">
        <v>2164</v>
      </c>
      <c r="C98" s="776" t="s">
        <v>2165</v>
      </c>
      <c r="D98" s="773">
        <v>1492794.44236</v>
      </c>
      <c r="E98" s="773">
        <v>1448436.3007100001</v>
      </c>
      <c r="F98" s="792"/>
      <c r="G98" s="793"/>
    </row>
    <row r="99" spans="1:7" s="648" customFormat="1" x14ac:dyDescent="0.2">
      <c r="A99" s="770" t="s">
        <v>2166</v>
      </c>
      <c r="B99" s="770" t="s">
        <v>2167</v>
      </c>
      <c r="C99" s="776" t="s">
        <v>2168</v>
      </c>
      <c r="D99" s="774">
        <v>316183.86892000004</v>
      </c>
      <c r="E99" s="774">
        <v>147718.24768</v>
      </c>
      <c r="F99" s="792"/>
      <c r="G99" s="783"/>
    </row>
    <row r="100" spans="1:7" s="648" customFormat="1" x14ac:dyDescent="0.2">
      <c r="A100" s="770" t="s">
        <v>2169</v>
      </c>
      <c r="B100" s="770" t="s">
        <v>2170</v>
      </c>
      <c r="C100" s="776" t="s">
        <v>2171</v>
      </c>
      <c r="D100" s="774">
        <v>0</v>
      </c>
      <c r="E100" s="774">
        <v>0</v>
      </c>
      <c r="F100" s="796"/>
      <c r="G100" s="783"/>
    </row>
    <row r="101" spans="1:7" s="648" customFormat="1" x14ac:dyDescent="0.2">
      <c r="A101" s="770" t="s">
        <v>2172</v>
      </c>
      <c r="B101" s="770" t="s">
        <v>2173</v>
      </c>
      <c r="C101" s="776" t="s">
        <v>2174</v>
      </c>
      <c r="D101" s="774">
        <v>0</v>
      </c>
      <c r="E101" s="774">
        <v>0</v>
      </c>
      <c r="F101" s="796"/>
      <c r="G101" s="783"/>
    </row>
    <row r="102" spans="1:7" s="648" customFormat="1" x14ac:dyDescent="0.2">
      <c r="A102" s="770" t="s">
        <v>2175</v>
      </c>
      <c r="B102" s="770" t="s">
        <v>2176</v>
      </c>
      <c r="C102" s="776" t="s">
        <v>2177</v>
      </c>
      <c r="D102" s="774">
        <v>0</v>
      </c>
      <c r="E102" s="774">
        <v>0</v>
      </c>
      <c r="F102" s="796"/>
      <c r="G102" s="783"/>
    </row>
    <row r="103" spans="1:7" s="648" customFormat="1" x14ac:dyDescent="0.2">
      <c r="A103" s="770" t="s">
        <v>2178</v>
      </c>
      <c r="B103" s="770" t="s">
        <v>2179</v>
      </c>
      <c r="C103" s="776" t="s">
        <v>2180</v>
      </c>
      <c r="D103" s="779">
        <v>-2213.5317999999997</v>
      </c>
      <c r="E103" s="779">
        <v>-2213.5317999999997</v>
      </c>
      <c r="F103" s="796"/>
      <c r="G103" s="783"/>
    </row>
    <row r="104" spans="1:7" s="826" customFormat="1" ht="13.5" customHeight="1" x14ac:dyDescent="0.2">
      <c r="A104" s="804" t="s">
        <v>2181</v>
      </c>
      <c r="B104" s="804" t="s">
        <v>2182</v>
      </c>
      <c r="C104" s="805" t="s">
        <v>133</v>
      </c>
      <c r="D104" s="769">
        <v>185997.88631999999</v>
      </c>
      <c r="E104" s="769">
        <v>179792.89221000002</v>
      </c>
      <c r="F104" s="790"/>
      <c r="G104" s="791"/>
    </row>
    <row r="105" spans="1:7" s="648" customFormat="1" x14ac:dyDescent="0.2">
      <c r="A105" s="770" t="s">
        <v>2183</v>
      </c>
      <c r="B105" s="770" t="s">
        <v>2184</v>
      </c>
      <c r="C105" s="776" t="s">
        <v>2185</v>
      </c>
      <c r="D105" s="773">
        <v>8717.0580100000006</v>
      </c>
      <c r="E105" s="773">
        <v>8602.1790099999998</v>
      </c>
      <c r="F105" s="792"/>
      <c r="G105" s="793"/>
    </row>
    <row r="106" spans="1:7" s="648" customFormat="1" x14ac:dyDescent="0.2">
      <c r="A106" s="770" t="s">
        <v>2186</v>
      </c>
      <c r="B106" s="770" t="s">
        <v>2187</v>
      </c>
      <c r="C106" s="776" t="s">
        <v>2188</v>
      </c>
      <c r="D106" s="774">
        <v>3077.3766299999997</v>
      </c>
      <c r="E106" s="774">
        <v>2928.43091</v>
      </c>
      <c r="F106" s="792"/>
      <c r="G106" s="793"/>
    </row>
    <row r="107" spans="1:7" s="648" customFormat="1" ht="21" x14ac:dyDescent="0.2">
      <c r="A107" s="770" t="s">
        <v>2189</v>
      </c>
      <c r="B107" s="770" t="s">
        <v>2190</v>
      </c>
      <c r="C107" s="776" t="s">
        <v>2191</v>
      </c>
      <c r="D107" s="774">
        <v>37070.00144</v>
      </c>
      <c r="E107" s="774">
        <v>36568.225509999997</v>
      </c>
      <c r="F107" s="796"/>
      <c r="G107" s="783"/>
    </row>
    <row r="108" spans="1:7" s="648" customFormat="1" x14ac:dyDescent="0.2">
      <c r="A108" s="770" t="s">
        <v>2192</v>
      </c>
      <c r="B108" s="770" t="s">
        <v>2193</v>
      </c>
      <c r="C108" s="776" t="s">
        <v>2194</v>
      </c>
      <c r="D108" s="774">
        <v>14935.90444</v>
      </c>
      <c r="E108" s="774">
        <v>14861.340539999999</v>
      </c>
      <c r="F108" s="796"/>
      <c r="G108" s="783"/>
    </row>
    <row r="109" spans="1:7" s="648" customFormat="1" x14ac:dyDescent="0.2">
      <c r="A109" s="770" t="s">
        <v>2195</v>
      </c>
      <c r="B109" s="770" t="s">
        <v>2196</v>
      </c>
      <c r="C109" s="776" t="s">
        <v>2197</v>
      </c>
      <c r="D109" s="774">
        <v>122197.54579999999</v>
      </c>
      <c r="E109" s="774">
        <v>116832.71623999999</v>
      </c>
      <c r="F109" s="792"/>
      <c r="G109" s="793"/>
    </row>
    <row r="110" spans="1:7" s="826" customFormat="1" x14ac:dyDescent="0.2">
      <c r="A110" s="804" t="s">
        <v>2201</v>
      </c>
      <c r="B110" s="804" t="s">
        <v>2202</v>
      </c>
      <c r="C110" s="805" t="s">
        <v>133</v>
      </c>
      <c r="D110" s="769">
        <v>162.52854000000002</v>
      </c>
      <c r="E110" s="769">
        <v>733.29193000000009</v>
      </c>
      <c r="F110" s="790"/>
      <c r="G110" s="791"/>
    </row>
    <row r="111" spans="1:7" s="648" customFormat="1" x14ac:dyDescent="0.2">
      <c r="A111" s="770" t="s">
        <v>2203</v>
      </c>
      <c r="B111" s="770" t="s">
        <v>2204</v>
      </c>
      <c r="C111" s="776" t="s">
        <v>133</v>
      </c>
      <c r="D111" s="773">
        <v>162.52854000000002</v>
      </c>
      <c r="E111" s="773">
        <v>733.29193000000009</v>
      </c>
      <c r="F111" s="792"/>
      <c r="G111" s="783"/>
    </row>
    <row r="112" spans="1:7" s="648" customFormat="1" x14ac:dyDescent="0.2">
      <c r="A112" s="770" t="s">
        <v>2205</v>
      </c>
      <c r="B112" s="770" t="s">
        <v>2206</v>
      </c>
      <c r="C112" s="776" t="s">
        <v>2207</v>
      </c>
      <c r="D112" s="774">
        <v>0</v>
      </c>
      <c r="E112" s="774">
        <v>0</v>
      </c>
      <c r="F112" s="796"/>
      <c r="G112" s="793"/>
    </row>
    <row r="113" spans="1:7" s="648" customFormat="1" x14ac:dyDescent="0.2">
      <c r="A113" s="770" t="s">
        <v>2208</v>
      </c>
      <c r="B113" s="770" t="s">
        <v>2209</v>
      </c>
      <c r="C113" s="776" t="s">
        <v>2210</v>
      </c>
      <c r="D113" s="774">
        <v>0</v>
      </c>
      <c r="E113" s="774">
        <v>0</v>
      </c>
      <c r="F113" s="796"/>
      <c r="G113" s="783"/>
    </row>
    <row r="114" spans="1:7" s="826" customFormat="1" x14ac:dyDescent="0.2">
      <c r="A114" s="804" t="s">
        <v>2211</v>
      </c>
      <c r="B114" s="804" t="s">
        <v>2212</v>
      </c>
      <c r="C114" s="805" t="s">
        <v>133</v>
      </c>
      <c r="D114" s="769">
        <v>142853.5079</v>
      </c>
      <c r="E114" s="769">
        <v>175153.40500999999</v>
      </c>
      <c r="F114" s="790"/>
      <c r="G114" s="791"/>
    </row>
    <row r="115" spans="1:7" s="826" customFormat="1" x14ac:dyDescent="0.2">
      <c r="A115" s="804" t="s">
        <v>2213</v>
      </c>
      <c r="B115" s="804" t="s">
        <v>2214</v>
      </c>
      <c r="C115" s="805" t="s">
        <v>133</v>
      </c>
      <c r="D115" s="769">
        <v>0</v>
      </c>
      <c r="E115" s="769">
        <v>0</v>
      </c>
      <c r="F115" s="790"/>
      <c r="G115" s="791"/>
    </row>
    <row r="116" spans="1:7" s="648" customFormat="1" x14ac:dyDescent="0.2">
      <c r="A116" s="770" t="s">
        <v>2215</v>
      </c>
      <c r="B116" s="770" t="s">
        <v>2214</v>
      </c>
      <c r="C116" s="776" t="s">
        <v>2216</v>
      </c>
      <c r="D116" s="774">
        <v>0</v>
      </c>
      <c r="E116" s="774">
        <v>0</v>
      </c>
      <c r="F116" s="796"/>
      <c r="G116" s="783"/>
    </row>
    <row r="117" spans="1:7" s="826" customFormat="1" x14ac:dyDescent="0.2">
      <c r="A117" s="804" t="s">
        <v>2217</v>
      </c>
      <c r="B117" s="804" t="s">
        <v>2218</v>
      </c>
      <c r="C117" s="805" t="s">
        <v>133</v>
      </c>
      <c r="D117" s="769">
        <v>2533.49431</v>
      </c>
      <c r="E117" s="769">
        <v>14811.251550000001</v>
      </c>
      <c r="F117" s="790"/>
      <c r="G117" s="791"/>
    </row>
    <row r="118" spans="1:7" s="648" customFormat="1" x14ac:dyDescent="0.2">
      <c r="A118" s="770" t="s">
        <v>2219</v>
      </c>
      <c r="B118" s="770" t="s">
        <v>2220</v>
      </c>
      <c r="C118" s="776" t="s">
        <v>2221</v>
      </c>
      <c r="D118" s="774">
        <v>0</v>
      </c>
      <c r="E118" s="774">
        <v>0</v>
      </c>
      <c r="F118" s="796"/>
      <c r="G118" s="783"/>
    </row>
    <row r="119" spans="1:7" s="648" customFormat="1" x14ac:dyDescent="0.2">
      <c r="A119" s="770" t="s">
        <v>2222</v>
      </c>
      <c r="B119" s="770" t="s">
        <v>2223</v>
      </c>
      <c r="C119" s="776" t="s">
        <v>2224</v>
      </c>
      <c r="D119" s="774">
        <v>0</v>
      </c>
      <c r="E119" s="774">
        <v>0</v>
      </c>
      <c r="F119" s="796"/>
      <c r="G119" s="783"/>
    </row>
    <row r="120" spans="1:7" s="648" customFormat="1" x14ac:dyDescent="0.2">
      <c r="A120" s="770" t="s">
        <v>2228</v>
      </c>
      <c r="B120" s="770" t="s">
        <v>2229</v>
      </c>
      <c r="C120" s="776" t="s">
        <v>2230</v>
      </c>
      <c r="D120" s="774">
        <v>0</v>
      </c>
      <c r="E120" s="774">
        <v>0</v>
      </c>
      <c r="F120" s="796"/>
      <c r="G120" s="783"/>
    </row>
    <row r="121" spans="1:7" s="648" customFormat="1" x14ac:dyDescent="0.2">
      <c r="A121" s="770" t="s">
        <v>2237</v>
      </c>
      <c r="B121" s="770" t="s">
        <v>2238</v>
      </c>
      <c r="C121" s="776" t="s">
        <v>2239</v>
      </c>
      <c r="D121" s="774">
        <v>0</v>
      </c>
      <c r="E121" s="774">
        <v>1022.45073</v>
      </c>
      <c r="F121" s="796"/>
      <c r="G121" s="783"/>
    </row>
    <row r="122" spans="1:7" s="648" customFormat="1" x14ac:dyDescent="0.2">
      <c r="A122" s="770" t="s">
        <v>2240</v>
      </c>
      <c r="B122" s="770" t="s">
        <v>2241</v>
      </c>
      <c r="C122" s="776" t="s">
        <v>2242</v>
      </c>
      <c r="D122" s="774">
        <v>2533.49431</v>
      </c>
      <c r="E122" s="774">
        <v>13788.80082</v>
      </c>
      <c r="F122" s="796"/>
      <c r="G122" s="783"/>
    </row>
    <row r="123" spans="1:7" s="648" customFormat="1" x14ac:dyDescent="0.2">
      <c r="A123" s="770" t="s">
        <v>2243</v>
      </c>
      <c r="B123" s="770" t="s">
        <v>1999</v>
      </c>
      <c r="C123" s="776" t="s">
        <v>2000</v>
      </c>
      <c r="D123" s="774">
        <v>0</v>
      </c>
      <c r="E123" s="774">
        <v>0</v>
      </c>
      <c r="F123" s="796"/>
      <c r="G123" s="783"/>
    </row>
    <row r="124" spans="1:7" s="826" customFormat="1" x14ac:dyDescent="0.2">
      <c r="A124" s="804" t="s">
        <v>2244</v>
      </c>
      <c r="B124" s="804" t="s">
        <v>2245</v>
      </c>
      <c r="C124" s="805" t="s">
        <v>133</v>
      </c>
      <c r="D124" s="769">
        <v>140320.01359000002</v>
      </c>
      <c r="E124" s="769">
        <v>160342.15346</v>
      </c>
      <c r="F124" s="790"/>
      <c r="G124" s="791"/>
    </row>
    <row r="125" spans="1:7" s="648" customFormat="1" x14ac:dyDescent="0.2">
      <c r="A125" s="770" t="s">
        <v>2246</v>
      </c>
      <c r="B125" s="770" t="s">
        <v>2247</v>
      </c>
      <c r="C125" s="776" t="s">
        <v>2248</v>
      </c>
      <c r="D125" s="774">
        <v>0</v>
      </c>
      <c r="E125" s="774">
        <v>0</v>
      </c>
      <c r="F125" s="796"/>
      <c r="G125" s="783"/>
    </row>
    <row r="126" spans="1:7" s="648" customFormat="1" x14ac:dyDescent="0.2">
      <c r="A126" s="770" t="s">
        <v>2255</v>
      </c>
      <c r="B126" s="770" t="s">
        <v>2256</v>
      </c>
      <c r="C126" s="776" t="s">
        <v>2257</v>
      </c>
      <c r="D126" s="774">
        <v>0</v>
      </c>
      <c r="E126" s="774">
        <v>0</v>
      </c>
      <c r="F126" s="796"/>
      <c r="G126" s="783"/>
    </row>
    <row r="127" spans="1:7" s="648" customFormat="1" x14ac:dyDescent="0.2">
      <c r="A127" s="770" t="s">
        <v>2258</v>
      </c>
      <c r="B127" s="770" t="s">
        <v>2259</v>
      </c>
      <c r="C127" s="776" t="s">
        <v>2260</v>
      </c>
      <c r="D127" s="774">
        <v>10727.565140000001</v>
      </c>
      <c r="E127" s="774">
        <v>12733.93498</v>
      </c>
      <c r="F127" s="792"/>
      <c r="G127" s="793"/>
    </row>
    <row r="128" spans="1:7" s="648" customFormat="1" ht="12.75" customHeight="1" x14ac:dyDescent="0.2">
      <c r="A128" s="770" t="s">
        <v>2264</v>
      </c>
      <c r="B128" s="770" t="s">
        <v>2265</v>
      </c>
      <c r="C128" s="776" t="s">
        <v>2266</v>
      </c>
      <c r="D128" s="774">
        <v>3644.3420899999996</v>
      </c>
      <c r="E128" s="774">
        <v>2841.5037200000002</v>
      </c>
      <c r="F128" s="792"/>
      <c r="G128" s="793"/>
    </row>
    <row r="129" spans="1:7" s="648" customFormat="1" ht="12.75" customHeight="1" x14ac:dyDescent="0.2">
      <c r="A129" s="770" t="s">
        <v>2270</v>
      </c>
      <c r="B129" s="770" t="s">
        <v>2271</v>
      </c>
      <c r="C129" s="776" t="s">
        <v>2272</v>
      </c>
      <c r="D129" s="774">
        <v>0</v>
      </c>
      <c r="E129" s="774">
        <v>0</v>
      </c>
      <c r="F129" s="796"/>
      <c r="G129" s="783"/>
    </row>
    <row r="130" spans="1:7" s="648" customFormat="1" ht="12.75" customHeight="1" x14ac:dyDescent="0.2">
      <c r="A130" s="770" t="s">
        <v>2273</v>
      </c>
      <c r="B130" s="770" t="s">
        <v>2274</v>
      </c>
      <c r="C130" s="776" t="s">
        <v>2275</v>
      </c>
      <c r="D130" s="774">
        <v>26641.934000000001</v>
      </c>
      <c r="E130" s="774">
        <v>24553.999</v>
      </c>
      <c r="F130" s="792"/>
      <c r="G130" s="793"/>
    </row>
    <row r="131" spans="1:7" s="648" customFormat="1" ht="12.75" customHeight="1" x14ac:dyDescent="0.2">
      <c r="A131" s="770" t="s">
        <v>2276</v>
      </c>
      <c r="B131" s="770" t="s">
        <v>2277</v>
      </c>
      <c r="C131" s="776" t="s">
        <v>2278</v>
      </c>
      <c r="D131" s="774">
        <v>1786.933</v>
      </c>
      <c r="E131" s="774">
        <v>1528.5811999999999</v>
      </c>
      <c r="F131" s="792"/>
      <c r="G131" s="793"/>
    </row>
    <row r="132" spans="1:7" s="648" customFormat="1" ht="12.75" customHeight="1" x14ac:dyDescent="0.2">
      <c r="A132" s="770" t="s">
        <v>2279</v>
      </c>
      <c r="B132" s="770" t="s">
        <v>2065</v>
      </c>
      <c r="C132" s="776" t="s">
        <v>2066</v>
      </c>
      <c r="D132" s="774">
        <v>11623.24375</v>
      </c>
      <c r="E132" s="774">
        <v>11399.516</v>
      </c>
      <c r="F132" s="792"/>
      <c r="G132" s="793"/>
    </row>
    <row r="133" spans="1:7" s="648" customFormat="1" ht="12.75" customHeight="1" x14ac:dyDescent="0.2">
      <c r="A133" s="770" t="s">
        <v>2280</v>
      </c>
      <c r="B133" s="770" t="s">
        <v>2068</v>
      </c>
      <c r="C133" s="776" t="s">
        <v>2069</v>
      </c>
      <c r="D133" s="774">
        <v>4997.8969999999999</v>
      </c>
      <c r="E133" s="774">
        <v>4374.41</v>
      </c>
      <c r="F133" s="792"/>
      <c r="G133" s="793"/>
    </row>
    <row r="134" spans="1:7" s="648" customFormat="1" ht="12.75" customHeight="1" x14ac:dyDescent="0.2">
      <c r="A134" s="770" t="s">
        <v>2281</v>
      </c>
      <c r="B134" s="770" t="s">
        <v>2071</v>
      </c>
      <c r="C134" s="776" t="s">
        <v>2072</v>
      </c>
      <c r="D134" s="774">
        <v>34.292999999999999</v>
      </c>
      <c r="E134" s="774">
        <v>24.873000000000001</v>
      </c>
      <c r="F134" s="792"/>
      <c r="G134" s="793"/>
    </row>
    <row r="135" spans="1:7" s="648" customFormat="1" ht="12.75" customHeight="1" x14ac:dyDescent="0.2">
      <c r="A135" s="770" t="s">
        <v>2282</v>
      </c>
      <c r="B135" s="770" t="s">
        <v>2074</v>
      </c>
      <c r="C135" s="776" t="s">
        <v>2075</v>
      </c>
      <c r="D135" s="774">
        <v>0</v>
      </c>
      <c r="E135" s="774">
        <v>541.40499999999997</v>
      </c>
      <c r="F135" s="796"/>
      <c r="G135" s="783"/>
    </row>
    <row r="136" spans="1:7" s="648" customFormat="1" ht="12.75" customHeight="1" x14ac:dyDescent="0.2">
      <c r="A136" s="770" t="s">
        <v>2283</v>
      </c>
      <c r="B136" s="770" t="s">
        <v>2077</v>
      </c>
      <c r="C136" s="776" t="s">
        <v>2078</v>
      </c>
      <c r="D136" s="774">
        <v>2973.63</v>
      </c>
      <c r="E136" s="774">
        <v>2798.1239999999998</v>
      </c>
      <c r="F136" s="792"/>
      <c r="G136" s="793"/>
    </row>
    <row r="137" spans="1:7" s="648" customFormat="1" ht="12.75" customHeight="1" x14ac:dyDescent="0.2">
      <c r="A137" s="770" t="s">
        <v>2284</v>
      </c>
      <c r="B137" s="770" t="s">
        <v>236</v>
      </c>
      <c r="C137" s="776" t="s">
        <v>2080</v>
      </c>
      <c r="D137" s="774">
        <v>155.70767999999998</v>
      </c>
      <c r="E137" s="774">
        <v>492.83364</v>
      </c>
      <c r="F137" s="796"/>
      <c r="G137" s="783"/>
    </row>
    <row r="138" spans="1:7" s="648" customFormat="1" ht="12.75" customHeight="1" x14ac:dyDescent="0.2">
      <c r="A138" s="770" t="s">
        <v>2285</v>
      </c>
      <c r="B138" s="770" t="s">
        <v>2286</v>
      </c>
      <c r="C138" s="776" t="s">
        <v>2287</v>
      </c>
      <c r="D138" s="774">
        <v>0</v>
      </c>
      <c r="E138" s="774">
        <v>16.309000000000001</v>
      </c>
      <c r="F138" s="792"/>
      <c r="G138" s="793"/>
    </row>
    <row r="139" spans="1:7" s="648" customFormat="1" ht="12.75" customHeight="1" x14ac:dyDescent="0.2">
      <c r="A139" s="770" t="s">
        <v>2288</v>
      </c>
      <c r="B139" s="770" t="s">
        <v>2289</v>
      </c>
      <c r="C139" s="776" t="s">
        <v>2290</v>
      </c>
      <c r="D139" s="774">
        <v>1.9481900000000001</v>
      </c>
      <c r="E139" s="774">
        <v>0</v>
      </c>
      <c r="F139" s="796"/>
      <c r="G139" s="783"/>
    </row>
    <row r="140" spans="1:7" s="648" customFormat="1" ht="12.75" customHeight="1" x14ac:dyDescent="0.2">
      <c r="A140" s="770" t="s">
        <v>2291</v>
      </c>
      <c r="B140" s="770" t="s">
        <v>2292</v>
      </c>
      <c r="C140" s="776" t="s">
        <v>2293</v>
      </c>
      <c r="D140" s="774">
        <v>11.858000000000001</v>
      </c>
      <c r="E140" s="774">
        <v>37.610720000000001</v>
      </c>
      <c r="F140" s="796"/>
      <c r="G140" s="783"/>
    </row>
    <row r="141" spans="1:7" s="648" customFormat="1" ht="12.75" customHeight="1" x14ac:dyDescent="0.2">
      <c r="A141" s="770" t="s">
        <v>2304</v>
      </c>
      <c r="B141" s="770" t="s">
        <v>2305</v>
      </c>
      <c r="C141" s="776" t="s">
        <v>2306</v>
      </c>
      <c r="D141" s="774">
        <v>2588.7082500000001</v>
      </c>
      <c r="E141" s="774">
        <v>15456.07998</v>
      </c>
      <c r="F141" s="796"/>
      <c r="G141" s="783"/>
    </row>
    <row r="142" spans="1:7" s="648" customFormat="1" ht="12.75" customHeight="1" x14ac:dyDescent="0.2">
      <c r="A142" s="770" t="s">
        <v>2307</v>
      </c>
      <c r="B142" s="770" t="s">
        <v>2106</v>
      </c>
      <c r="C142" s="776" t="s">
        <v>2107</v>
      </c>
      <c r="D142" s="774">
        <v>0</v>
      </c>
      <c r="E142" s="774">
        <v>0</v>
      </c>
      <c r="F142" s="796"/>
      <c r="G142" s="783"/>
    </row>
    <row r="143" spans="1:7" s="648" customFormat="1" ht="12.75" customHeight="1" x14ac:dyDescent="0.2">
      <c r="A143" s="770" t="s">
        <v>2308</v>
      </c>
      <c r="B143" s="770" t="s">
        <v>2309</v>
      </c>
      <c r="C143" s="776" t="s">
        <v>2310</v>
      </c>
      <c r="D143" s="774">
        <v>402.06567999999999</v>
      </c>
      <c r="E143" s="774">
        <v>883.68239000000005</v>
      </c>
      <c r="F143" s="796"/>
      <c r="G143" s="783"/>
    </row>
    <row r="144" spans="1:7" s="648" customFormat="1" ht="12.75" customHeight="1" x14ac:dyDescent="0.2">
      <c r="A144" s="770" t="s">
        <v>2311</v>
      </c>
      <c r="B144" s="770" t="s">
        <v>2312</v>
      </c>
      <c r="C144" s="776" t="s">
        <v>2313</v>
      </c>
      <c r="D144" s="774">
        <v>8140.3114800000003</v>
      </c>
      <c r="E144" s="774">
        <v>10970.561019999999</v>
      </c>
      <c r="F144" s="796"/>
      <c r="G144" s="783"/>
    </row>
    <row r="145" spans="1:7" s="648" customFormat="1" ht="12.75" customHeight="1" x14ac:dyDescent="0.2">
      <c r="A145" s="770" t="s">
        <v>2314</v>
      </c>
      <c r="B145" s="770" t="s">
        <v>2315</v>
      </c>
      <c r="C145" s="776" t="s">
        <v>2316</v>
      </c>
      <c r="D145" s="774">
        <v>3833.8004500000002</v>
      </c>
      <c r="E145" s="774">
        <v>1473.95208</v>
      </c>
      <c r="F145" s="796"/>
      <c r="G145" s="783"/>
    </row>
    <row r="146" spans="1:7" s="648" customFormat="1" ht="12.75" customHeight="1" x14ac:dyDescent="0.2">
      <c r="A146" s="777" t="s">
        <v>2317</v>
      </c>
      <c r="B146" s="777" t="s">
        <v>2318</v>
      </c>
      <c r="C146" s="778" t="s">
        <v>2319</v>
      </c>
      <c r="D146" s="798">
        <v>62755.775880000001</v>
      </c>
      <c r="E146" s="798">
        <v>70214.777730000002</v>
      </c>
      <c r="F146" s="796"/>
      <c r="G146" s="783"/>
    </row>
    <row r="147" spans="1:7" s="648" customFormat="1" x14ac:dyDescent="0.2">
      <c r="C147" s="546"/>
      <c r="D147" s="760"/>
      <c r="E147" s="760"/>
      <c r="F147" s="760"/>
      <c r="G147" s="760"/>
    </row>
    <row r="148" spans="1:7" s="648" customFormat="1" x14ac:dyDescent="0.2">
      <c r="C148" s="546"/>
      <c r="D148" s="760"/>
      <c r="E148" s="760"/>
      <c r="F148" s="760"/>
      <c r="G148" s="760"/>
    </row>
    <row r="149" spans="1:7" s="648" customFormat="1" x14ac:dyDescent="0.2">
      <c r="C149" s="546"/>
      <c r="D149" s="760"/>
      <c r="E149" s="760"/>
      <c r="F149" s="760"/>
      <c r="G149" s="760"/>
    </row>
    <row r="150" spans="1:7" s="648" customFormat="1" x14ac:dyDescent="0.2">
      <c r="C150" s="546"/>
      <c r="D150" s="760"/>
      <c r="E150" s="760"/>
      <c r="F150" s="760"/>
      <c r="G150" s="760"/>
    </row>
    <row r="151" spans="1:7" s="648" customFormat="1" x14ac:dyDescent="0.2">
      <c r="C151" s="546"/>
      <c r="D151" s="760"/>
      <c r="E151" s="760"/>
      <c r="F151" s="760"/>
      <c r="G151" s="760"/>
    </row>
    <row r="152" spans="1:7" s="648" customFormat="1" x14ac:dyDescent="0.2">
      <c r="C152" s="546"/>
      <c r="D152" s="760"/>
      <c r="E152" s="760"/>
      <c r="F152" s="760"/>
      <c r="G152" s="760"/>
    </row>
    <row r="153" spans="1:7" s="648" customFormat="1" x14ac:dyDescent="0.2">
      <c r="C153" s="546"/>
      <c r="D153" s="760"/>
      <c r="E153" s="760"/>
      <c r="F153" s="760"/>
      <c r="G153" s="760"/>
    </row>
    <row r="154" spans="1:7" s="648" customFormat="1" x14ac:dyDescent="0.2">
      <c r="C154" s="546"/>
      <c r="D154" s="760"/>
      <c r="E154" s="760"/>
      <c r="F154" s="760"/>
      <c r="G154" s="760"/>
    </row>
    <row r="155" spans="1:7" s="648" customFormat="1" x14ac:dyDescent="0.2">
      <c r="C155" s="546"/>
      <c r="D155" s="760"/>
      <c r="E155" s="760"/>
      <c r="F155" s="760"/>
      <c r="G155" s="760"/>
    </row>
    <row r="156" spans="1:7" s="648" customFormat="1" x14ac:dyDescent="0.2">
      <c r="C156" s="546"/>
      <c r="D156" s="760"/>
      <c r="E156" s="760"/>
      <c r="F156" s="760"/>
      <c r="G156" s="760"/>
    </row>
    <row r="157" spans="1:7" s="648" customFormat="1" x14ac:dyDescent="0.2">
      <c r="C157" s="546"/>
      <c r="D157" s="760"/>
      <c r="E157" s="760"/>
      <c r="F157" s="760"/>
      <c r="G157" s="760"/>
    </row>
    <row r="158" spans="1:7" s="648" customFormat="1" x14ac:dyDescent="0.2">
      <c r="C158" s="546"/>
      <c r="D158" s="760"/>
      <c r="E158" s="760"/>
      <c r="F158" s="760"/>
      <c r="G158" s="760"/>
    </row>
    <row r="159" spans="1:7" x14ac:dyDescent="0.2">
      <c r="A159" s="764"/>
      <c r="D159" s="760"/>
      <c r="E159" s="760"/>
      <c r="F159" s="760"/>
      <c r="G159" s="760"/>
    </row>
    <row r="160" spans="1:7" x14ac:dyDescent="0.2">
      <c r="A160" s="764"/>
      <c r="D160" s="760"/>
      <c r="E160" s="760"/>
      <c r="F160" s="760"/>
      <c r="G160" s="760"/>
    </row>
    <row r="161" spans="1:7" x14ac:dyDescent="0.2">
      <c r="A161" s="764"/>
      <c r="D161" s="760"/>
      <c r="E161" s="760"/>
      <c r="F161" s="760"/>
      <c r="G161" s="760"/>
    </row>
    <row r="162" spans="1:7" x14ac:dyDescent="0.2">
      <c r="A162" s="764"/>
      <c r="D162" s="760"/>
      <c r="E162" s="760"/>
      <c r="F162" s="760"/>
      <c r="G162" s="760"/>
    </row>
    <row r="163" spans="1:7" x14ac:dyDescent="0.2">
      <c r="A163" s="764"/>
      <c r="D163" s="760"/>
      <c r="E163" s="760"/>
      <c r="F163" s="760"/>
      <c r="G163" s="760"/>
    </row>
    <row r="164" spans="1:7" x14ac:dyDescent="0.2">
      <c r="A164" s="764"/>
      <c r="D164" s="760"/>
      <c r="E164" s="760"/>
      <c r="F164" s="760"/>
      <c r="G164" s="760"/>
    </row>
    <row r="165" spans="1:7" x14ac:dyDescent="0.2">
      <c r="A165" s="764"/>
      <c r="D165" s="760"/>
      <c r="E165" s="760"/>
      <c r="F165" s="760"/>
      <c r="G165" s="760"/>
    </row>
    <row r="166" spans="1:7" x14ac:dyDescent="0.2">
      <c r="A166" s="764"/>
      <c r="D166" s="760"/>
      <c r="E166" s="760"/>
      <c r="F166" s="760"/>
      <c r="G166" s="760"/>
    </row>
    <row r="167" spans="1:7" x14ac:dyDescent="0.2">
      <c r="A167" s="764"/>
      <c r="D167" s="760"/>
      <c r="E167" s="760"/>
      <c r="F167" s="760"/>
      <c r="G167" s="760"/>
    </row>
    <row r="168" spans="1:7" x14ac:dyDescent="0.2">
      <c r="A168" s="764"/>
      <c r="D168" s="760"/>
      <c r="E168" s="760"/>
      <c r="F168" s="760"/>
      <c r="G168" s="760"/>
    </row>
    <row r="169" spans="1:7" x14ac:dyDescent="0.2">
      <c r="A169" s="764"/>
      <c r="D169" s="760"/>
      <c r="E169" s="760"/>
      <c r="F169" s="760"/>
      <c r="G169" s="760"/>
    </row>
    <row r="170" spans="1:7" x14ac:dyDescent="0.2">
      <c r="A170" s="764"/>
      <c r="D170" s="760"/>
      <c r="E170" s="760"/>
      <c r="F170" s="760"/>
      <c r="G170" s="760"/>
    </row>
    <row r="171" spans="1:7" x14ac:dyDescent="0.2">
      <c r="A171" s="764"/>
      <c r="D171" s="760"/>
      <c r="E171" s="760"/>
      <c r="F171" s="760"/>
      <c r="G171" s="760"/>
    </row>
    <row r="172" spans="1:7" x14ac:dyDescent="0.2">
      <c r="A172" s="764"/>
      <c r="D172" s="760"/>
      <c r="E172" s="760"/>
      <c r="F172" s="760"/>
      <c r="G172" s="760"/>
    </row>
    <row r="173" spans="1:7" x14ac:dyDescent="0.2">
      <c r="A173" s="764"/>
      <c r="D173" s="760"/>
      <c r="E173" s="760"/>
      <c r="F173" s="760"/>
      <c r="G173" s="760"/>
    </row>
    <row r="174" spans="1:7" x14ac:dyDescent="0.2">
      <c r="A174" s="764"/>
      <c r="D174" s="760"/>
      <c r="E174" s="760"/>
      <c r="F174" s="760"/>
      <c r="G174" s="760"/>
    </row>
    <row r="175" spans="1:7" x14ac:dyDescent="0.2">
      <c r="A175" s="764"/>
      <c r="D175" s="760"/>
      <c r="E175" s="760"/>
      <c r="F175" s="760"/>
      <c r="G175" s="760"/>
    </row>
    <row r="176" spans="1:7" x14ac:dyDescent="0.2">
      <c r="A176" s="764"/>
      <c r="D176" s="760"/>
      <c r="E176" s="760"/>
      <c r="F176" s="760"/>
      <c r="G176" s="760"/>
    </row>
    <row r="177" spans="1:7" x14ac:dyDescent="0.2">
      <c r="A177" s="764"/>
      <c r="D177" s="760"/>
      <c r="E177" s="760"/>
      <c r="F177" s="760"/>
      <c r="G177" s="760"/>
    </row>
    <row r="178" spans="1:7" x14ac:dyDescent="0.2">
      <c r="A178" s="764"/>
      <c r="D178" s="760"/>
      <c r="E178" s="760"/>
      <c r="F178" s="760"/>
      <c r="G178" s="760"/>
    </row>
    <row r="179" spans="1:7" x14ac:dyDescent="0.2">
      <c r="A179" s="764"/>
      <c r="D179" s="760"/>
      <c r="E179" s="760"/>
      <c r="F179" s="760"/>
      <c r="G179" s="760"/>
    </row>
    <row r="180" spans="1:7" x14ac:dyDescent="0.2">
      <c r="A180" s="764"/>
      <c r="D180" s="760"/>
      <c r="E180" s="760"/>
      <c r="F180" s="760"/>
      <c r="G180" s="760"/>
    </row>
    <row r="181" spans="1:7" x14ac:dyDescent="0.2">
      <c r="A181" s="764"/>
      <c r="D181" s="760"/>
      <c r="E181" s="760"/>
      <c r="F181" s="760"/>
      <c r="G181" s="760"/>
    </row>
    <row r="182" spans="1:7" x14ac:dyDescent="0.2">
      <c r="A182" s="764"/>
      <c r="D182" s="760"/>
      <c r="E182" s="760"/>
      <c r="F182" s="760"/>
      <c r="G182" s="760"/>
    </row>
    <row r="183" spans="1:7" x14ac:dyDescent="0.2">
      <c r="A183" s="764"/>
      <c r="D183" s="760"/>
      <c r="E183" s="760"/>
      <c r="F183" s="760"/>
      <c r="G183" s="760"/>
    </row>
    <row r="184" spans="1:7" x14ac:dyDescent="0.2">
      <c r="A184" s="764"/>
      <c r="D184" s="760"/>
      <c r="E184" s="760"/>
      <c r="F184" s="760"/>
      <c r="G184" s="760"/>
    </row>
    <row r="185" spans="1:7" x14ac:dyDescent="0.2">
      <c r="A185" s="764"/>
      <c r="D185" s="760"/>
      <c r="E185" s="760"/>
      <c r="F185" s="760"/>
      <c r="G185" s="760"/>
    </row>
    <row r="186" spans="1:7" x14ac:dyDescent="0.2">
      <c r="A186" s="764"/>
      <c r="D186" s="760"/>
      <c r="E186" s="760"/>
      <c r="F186" s="760"/>
      <c r="G186" s="760"/>
    </row>
    <row r="187" spans="1:7" x14ac:dyDescent="0.2">
      <c r="A187" s="764"/>
      <c r="D187" s="760"/>
      <c r="E187" s="760"/>
      <c r="F187" s="760"/>
      <c r="G187" s="760"/>
    </row>
    <row r="188" spans="1:7" x14ac:dyDescent="0.2">
      <c r="A188" s="764"/>
      <c r="D188" s="760"/>
      <c r="E188" s="760"/>
      <c r="F188" s="760"/>
      <c r="G188" s="760"/>
    </row>
    <row r="189" spans="1:7" x14ac:dyDescent="0.2">
      <c r="A189" s="764"/>
      <c r="D189" s="760"/>
      <c r="E189" s="760"/>
      <c r="F189" s="760"/>
      <c r="G189" s="760"/>
    </row>
    <row r="190" spans="1:7" x14ac:dyDescent="0.2">
      <c r="A190" s="764"/>
      <c r="D190" s="760"/>
      <c r="E190" s="760"/>
      <c r="F190" s="760"/>
      <c r="G190" s="760"/>
    </row>
    <row r="191" spans="1:7" x14ac:dyDescent="0.2">
      <c r="A191" s="764"/>
      <c r="D191" s="760"/>
      <c r="E191" s="760"/>
      <c r="F191" s="760"/>
      <c r="G191" s="760"/>
    </row>
    <row r="192" spans="1:7" x14ac:dyDescent="0.2">
      <c r="A192" s="764"/>
      <c r="D192" s="760"/>
      <c r="E192" s="760"/>
      <c r="F192" s="760"/>
      <c r="G192" s="760"/>
    </row>
    <row r="193" spans="1:7" x14ac:dyDescent="0.2">
      <c r="A193" s="764"/>
      <c r="D193" s="760"/>
      <c r="E193" s="760"/>
      <c r="F193" s="760"/>
      <c r="G193" s="760"/>
    </row>
    <row r="194" spans="1:7" x14ac:dyDescent="0.2">
      <c r="A194" s="764"/>
      <c r="D194" s="760"/>
      <c r="E194" s="760"/>
      <c r="F194" s="760"/>
      <c r="G194" s="760"/>
    </row>
    <row r="195" spans="1:7" x14ac:dyDescent="0.2">
      <c r="A195" s="764"/>
      <c r="D195" s="760"/>
      <c r="E195" s="760"/>
      <c r="F195" s="760"/>
      <c r="G195" s="760"/>
    </row>
    <row r="196" spans="1:7" x14ac:dyDescent="0.2">
      <c r="A196" s="764"/>
      <c r="D196" s="760"/>
      <c r="E196" s="760"/>
      <c r="F196" s="760"/>
      <c r="G196" s="760"/>
    </row>
    <row r="197" spans="1:7" x14ac:dyDescent="0.2">
      <c r="A197" s="764"/>
      <c r="D197" s="760"/>
      <c r="E197" s="760"/>
      <c r="F197" s="760"/>
      <c r="G197" s="760"/>
    </row>
    <row r="198" spans="1:7" x14ac:dyDescent="0.2">
      <c r="A198" s="764"/>
      <c r="D198" s="760"/>
      <c r="E198" s="760"/>
      <c r="F198" s="760"/>
      <c r="G198" s="760"/>
    </row>
    <row r="199" spans="1:7" x14ac:dyDescent="0.2">
      <c r="A199" s="764"/>
      <c r="D199" s="760"/>
      <c r="E199" s="760"/>
      <c r="F199" s="760"/>
      <c r="G199" s="760"/>
    </row>
    <row r="200" spans="1:7" x14ac:dyDescent="0.2">
      <c r="A200" s="764"/>
      <c r="D200" s="760"/>
      <c r="E200" s="760"/>
      <c r="F200" s="760"/>
      <c r="G200" s="760"/>
    </row>
    <row r="201" spans="1:7" x14ac:dyDescent="0.2">
      <c r="A201" s="764"/>
      <c r="D201" s="760"/>
      <c r="E201" s="760"/>
      <c r="F201" s="760"/>
      <c r="G201" s="760"/>
    </row>
    <row r="202" spans="1:7" x14ac:dyDescent="0.2">
      <c r="A202" s="764"/>
      <c r="D202" s="760"/>
      <c r="E202" s="760"/>
      <c r="F202" s="760"/>
      <c r="G202" s="760"/>
    </row>
    <row r="203" spans="1:7" x14ac:dyDescent="0.2">
      <c r="A203" s="764"/>
      <c r="D203" s="760"/>
      <c r="E203" s="760"/>
      <c r="F203" s="760"/>
      <c r="G203" s="760"/>
    </row>
    <row r="204" spans="1:7" x14ac:dyDescent="0.2">
      <c r="A204" s="764"/>
      <c r="D204" s="760"/>
      <c r="E204" s="760"/>
      <c r="F204" s="760"/>
      <c r="G204" s="760"/>
    </row>
    <row r="205" spans="1:7" x14ac:dyDescent="0.2">
      <c r="A205" s="764"/>
      <c r="D205" s="760"/>
      <c r="E205" s="760"/>
      <c r="F205" s="760"/>
      <c r="G205" s="760"/>
    </row>
    <row r="206" spans="1:7" x14ac:dyDescent="0.2">
      <c r="A206" s="764"/>
      <c r="D206" s="760"/>
      <c r="E206" s="760"/>
      <c r="F206" s="760"/>
      <c r="G206" s="760"/>
    </row>
    <row r="207" spans="1:7" x14ac:dyDescent="0.2">
      <c r="A207" s="764"/>
      <c r="D207" s="760"/>
      <c r="E207" s="760"/>
      <c r="F207" s="760"/>
      <c r="G207" s="760"/>
    </row>
    <row r="208" spans="1:7" x14ac:dyDescent="0.2">
      <c r="A208" s="764"/>
      <c r="D208" s="760"/>
      <c r="E208" s="760"/>
      <c r="F208" s="760"/>
      <c r="G208" s="760"/>
    </row>
    <row r="209" spans="1:7" x14ac:dyDescent="0.2">
      <c r="A209" s="764"/>
      <c r="D209" s="760"/>
      <c r="E209" s="760"/>
      <c r="F209" s="760"/>
      <c r="G209" s="760"/>
    </row>
    <row r="210" spans="1:7" x14ac:dyDescent="0.2">
      <c r="A210" s="764"/>
      <c r="D210" s="760"/>
      <c r="E210" s="760"/>
      <c r="F210" s="760"/>
      <c r="G210" s="760"/>
    </row>
    <row r="211" spans="1:7" x14ac:dyDescent="0.2">
      <c r="A211" s="764"/>
      <c r="D211" s="760"/>
      <c r="E211" s="760"/>
      <c r="F211" s="760"/>
      <c r="G211" s="760"/>
    </row>
    <row r="212" spans="1:7" x14ac:dyDescent="0.2">
      <c r="A212" s="764"/>
      <c r="D212" s="760"/>
      <c r="E212" s="760"/>
      <c r="F212" s="760"/>
      <c r="G212" s="760"/>
    </row>
    <row r="213" spans="1:7" x14ac:dyDescent="0.2">
      <c r="A213" s="764"/>
      <c r="D213" s="760"/>
      <c r="E213" s="760"/>
      <c r="F213" s="760"/>
      <c r="G213" s="760"/>
    </row>
    <row r="214" spans="1:7" x14ac:dyDescent="0.2">
      <c r="A214" s="764"/>
      <c r="D214" s="760"/>
      <c r="E214" s="760"/>
      <c r="F214" s="760"/>
      <c r="G214" s="760"/>
    </row>
    <row r="215" spans="1:7" x14ac:dyDescent="0.2">
      <c r="A215" s="764"/>
      <c r="D215" s="760"/>
      <c r="E215" s="760"/>
      <c r="F215" s="760"/>
      <c r="G215" s="760"/>
    </row>
    <row r="216" spans="1:7" x14ac:dyDescent="0.2">
      <c r="A216" s="764"/>
      <c r="D216" s="760"/>
      <c r="E216" s="760"/>
      <c r="F216" s="760"/>
      <c r="G216" s="760"/>
    </row>
    <row r="217" spans="1:7" x14ac:dyDescent="0.2">
      <c r="A217" s="764"/>
      <c r="D217" s="760"/>
      <c r="E217" s="760"/>
      <c r="F217" s="760"/>
      <c r="G217" s="760"/>
    </row>
  </sheetData>
  <mergeCells count="10">
    <mergeCell ref="A93:B94"/>
    <mergeCell ref="C93:C94"/>
    <mergeCell ref="D93:E93"/>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75" firstPageNumber="469" fitToHeight="2" orientation="portrait" useFirstPageNumber="1" r:id="rId1"/>
  <headerFooter alignWithMargins="0">
    <oddHeader>&amp;L&amp;"Tahoma,Kurzíva"Závěrečný účet za rok 2015&amp;R&amp;"Tahoma,Kurzíva"Tabulka č. 38</oddHeader>
    <oddFooter>&amp;C&amp;"Tahoma,Obyčejné"&amp;P</oddFooter>
  </headerFooter>
  <rowBreaks count="1" manualBreakCount="1">
    <brk id="73" max="6"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zoomScaleNormal="100" zoomScaleSheetLayoutView="100" workbookViewId="0">
      <selection activeCell="I5" sqref="I5"/>
    </sheetView>
  </sheetViews>
  <sheetFormatPr defaultRowHeight="12.75" x14ac:dyDescent="0.2"/>
  <cols>
    <col min="1" max="1" width="6.7109375" style="211" customWidth="1"/>
    <col min="2" max="2" width="58.42578125" style="211" customWidth="1"/>
    <col min="3" max="3" width="8.5703125" style="847" customWidth="1"/>
    <col min="4" max="7" width="15.42578125" style="211" customWidth="1"/>
    <col min="8" max="16384" width="9.140625" style="211"/>
  </cols>
  <sheetData>
    <row r="1" spans="1:7" s="837" customFormat="1" ht="18" customHeight="1" x14ac:dyDescent="0.2">
      <c r="A1" s="1493" t="s">
        <v>1874</v>
      </c>
      <c r="B1" s="1493"/>
      <c r="C1" s="1493"/>
      <c r="D1" s="1493"/>
      <c r="E1" s="1493"/>
      <c r="F1" s="1493"/>
      <c r="G1" s="1493"/>
    </row>
    <row r="2" spans="1:7" s="838" customFormat="1" ht="18" customHeight="1" x14ac:dyDescent="0.2">
      <c r="A2" s="1493" t="s">
        <v>2508</v>
      </c>
      <c r="B2" s="1493"/>
      <c r="C2" s="1493"/>
      <c r="D2" s="1493"/>
      <c r="E2" s="1493"/>
      <c r="F2" s="1493"/>
      <c r="G2" s="1493"/>
    </row>
    <row r="4" spans="1:7" ht="12.75" customHeight="1" x14ac:dyDescent="0.2">
      <c r="A4" s="839"/>
      <c r="B4" s="840"/>
      <c r="C4" s="841"/>
      <c r="D4" s="842">
        <v>1</v>
      </c>
      <c r="E4" s="842">
        <v>2</v>
      </c>
      <c r="F4" s="842">
        <v>3</v>
      </c>
      <c r="G4" s="842">
        <v>4</v>
      </c>
    </row>
    <row r="5" spans="1:7" s="843" customFormat="1" ht="12.75" customHeight="1" x14ac:dyDescent="0.2">
      <c r="A5" s="1517" t="s">
        <v>2509</v>
      </c>
      <c r="B5" s="1518"/>
      <c r="C5" s="1521" t="s">
        <v>1877</v>
      </c>
      <c r="D5" s="1523" t="s">
        <v>2324</v>
      </c>
      <c r="E5" s="1523"/>
      <c r="F5" s="1523" t="s">
        <v>2325</v>
      </c>
      <c r="G5" s="1523"/>
    </row>
    <row r="6" spans="1:7" s="843" customFormat="1" ht="21" x14ac:dyDescent="0.2">
      <c r="A6" s="1519"/>
      <c r="B6" s="1520"/>
      <c r="C6" s="1522"/>
      <c r="D6" s="844" t="s">
        <v>2326</v>
      </c>
      <c r="E6" s="844" t="s">
        <v>2327</v>
      </c>
      <c r="F6" s="845" t="s">
        <v>2326</v>
      </c>
      <c r="G6" s="845" t="s">
        <v>2327</v>
      </c>
    </row>
    <row r="7" spans="1:7" s="843" customFormat="1" x14ac:dyDescent="0.2">
      <c r="A7" s="804" t="s">
        <v>1885</v>
      </c>
      <c r="B7" s="804" t="s">
        <v>2328</v>
      </c>
      <c r="C7" s="805" t="s">
        <v>133</v>
      </c>
      <c r="D7" s="769">
        <v>825848.23814999999</v>
      </c>
      <c r="E7" s="769">
        <v>1933.8910900000001</v>
      </c>
      <c r="F7" s="769">
        <v>777051.81394000002</v>
      </c>
      <c r="G7" s="769">
        <v>4460.2760399999997</v>
      </c>
    </row>
    <row r="8" spans="1:7" x14ac:dyDescent="0.2">
      <c r="A8" s="767" t="s">
        <v>1887</v>
      </c>
      <c r="B8" s="767" t="s">
        <v>2329</v>
      </c>
      <c r="C8" s="812" t="s">
        <v>133</v>
      </c>
      <c r="D8" s="813">
        <v>825764.44269000005</v>
      </c>
      <c r="E8" s="813">
        <v>1933.89129</v>
      </c>
      <c r="F8" s="813">
        <v>775982.47950000002</v>
      </c>
      <c r="G8" s="813">
        <v>4449.0000399999999</v>
      </c>
    </row>
    <row r="9" spans="1:7" x14ac:dyDescent="0.2">
      <c r="A9" s="827" t="s">
        <v>1889</v>
      </c>
      <c r="B9" s="827" t="s">
        <v>2330</v>
      </c>
      <c r="C9" s="828" t="s">
        <v>2331</v>
      </c>
      <c r="D9" s="806">
        <v>84005.661129999993</v>
      </c>
      <c r="E9" s="806">
        <v>936.67394999999999</v>
      </c>
      <c r="F9" s="806">
        <v>82489.061930000011</v>
      </c>
      <c r="G9" s="806">
        <v>2109.5138099999999</v>
      </c>
    </row>
    <row r="10" spans="1:7" x14ac:dyDescent="0.2">
      <c r="A10" s="770" t="s">
        <v>1892</v>
      </c>
      <c r="B10" s="770" t="s">
        <v>2332</v>
      </c>
      <c r="C10" s="776" t="s">
        <v>2333</v>
      </c>
      <c r="D10" s="806">
        <v>50610.858500000002</v>
      </c>
      <c r="E10" s="806">
        <v>140.92189999999999</v>
      </c>
      <c r="F10" s="806">
        <v>48987.316350000001</v>
      </c>
      <c r="G10" s="806">
        <v>347.72296</v>
      </c>
    </row>
    <row r="11" spans="1:7" x14ac:dyDescent="0.2">
      <c r="A11" s="770" t="s">
        <v>1895</v>
      </c>
      <c r="B11" s="770" t="s">
        <v>2334</v>
      </c>
      <c r="C11" s="776" t="s">
        <v>2335</v>
      </c>
      <c r="D11" s="806"/>
      <c r="E11" s="806"/>
      <c r="F11" s="806"/>
      <c r="G11" s="806"/>
    </row>
    <row r="12" spans="1:7" x14ac:dyDescent="0.2">
      <c r="A12" s="770" t="s">
        <v>1897</v>
      </c>
      <c r="B12" s="770" t="s">
        <v>2336</v>
      </c>
      <c r="C12" s="776" t="s">
        <v>2337</v>
      </c>
      <c r="D12" s="806"/>
      <c r="E12" s="806">
        <v>40.794160000000005</v>
      </c>
      <c r="F12" s="806"/>
      <c r="G12" s="806"/>
    </row>
    <row r="13" spans="1:7" x14ac:dyDescent="0.2">
      <c r="A13" s="770" t="s">
        <v>1900</v>
      </c>
      <c r="B13" s="770" t="s">
        <v>2338</v>
      </c>
      <c r="C13" s="776" t="s">
        <v>2339</v>
      </c>
      <c r="D13" s="806">
        <v>-23.67</v>
      </c>
      <c r="E13" s="806"/>
      <c r="F13" s="806">
        <v>-43.651000000000003</v>
      </c>
      <c r="G13" s="806"/>
    </row>
    <row r="14" spans="1:7" x14ac:dyDescent="0.2">
      <c r="A14" s="770" t="s">
        <v>1903</v>
      </c>
      <c r="B14" s="770" t="s">
        <v>2340</v>
      </c>
      <c r="C14" s="776" t="s">
        <v>2341</v>
      </c>
      <c r="D14" s="806">
        <v>-4.79861</v>
      </c>
      <c r="E14" s="806">
        <v>-5.7</v>
      </c>
      <c r="F14" s="806">
        <v>-1.3213499999999998</v>
      </c>
      <c r="G14" s="806">
        <v>-6.1277799999999996</v>
      </c>
    </row>
    <row r="15" spans="1:7" x14ac:dyDescent="0.2">
      <c r="A15" s="770" t="s">
        <v>1906</v>
      </c>
      <c r="B15" s="770" t="s">
        <v>2342</v>
      </c>
      <c r="C15" s="776" t="s">
        <v>2343</v>
      </c>
      <c r="D15" s="806">
        <v>-5.7190000000000003</v>
      </c>
      <c r="E15" s="806"/>
      <c r="F15" s="806">
        <v>-11.022</v>
      </c>
      <c r="G15" s="806"/>
    </row>
    <row r="16" spans="1:7" x14ac:dyDescent="0.2">
      <c r="A16" s="770" t="s">
        <v>1909</v>
      </c>
      <c r="B16" s="770" t="s">
        <v>363</v>
      </c>
      <c r="C16" s="776" t="s">
        <v>2344</v>
      </c>
      <c r="D16" s="806">
        <v>22524.64284</v>
      </c>
      <c r="E16" s="806">
        <v>16.33548</v>
      </c>
      <c r="F16" s="806">
        <v>27334.492559999999</v>
      </c>
      <c r="G16" s="806">
        <v>40.670780000000001</v>
      </c>
    </row>
    <row r="17" spans="1:7" x14ac:dyDescent="0.2">
      <c r="A17" s="770" t="s">
        <v>1912</v>
      </c>
      <c r="B17" s="770" t="s">
        <v>2345</v>
      </c>
      <c r="C17" s="776" t="s">
        <v>2346</v>
      </c>
      <c r="D17" s="806">
        <v>882.26008999999999</v>
      </c>
      <c r="E17" s="806"/>
      <c r="F17" s="806">
        <v>719.31119999999999</v>
      </c>
      <c r="G17" s="806">
        <v>0.08</v>
      </c>
    </row>
    <row r="18" spans="1:7" x14ac:dyDescent="0.2">
      <c r="A18" s="770" t="s">
        <v>1915</v>
      </c>
      <c r="B18" s="770" t="s">
        <v>2347</v>
      </c>
      <c r="C18" s="776" t="s">
        <v>2348</v>
      </c>
      <c r="D18" s="806">
        <v>334.99021000000005</v>
      </c>
      <c r="E18" s="806">
        <v>0.65</v>
      </c>
      <c r="F18" s="806">
        <v>273.21569</v>
      </c>
      <c r="G18" s="806">
        <v>0.08</v>
      </c>
    </row>
    <row r="19" spans="1:7" x14ac:dyDescent="0.2">
      <c r="A19" s="770" t="s">
        <v>2349</v>
      </c>
      <c r="B19" s="770" t="s">
        <v>2350</v>
      </c>
      <c r="C19" s="776" t="s">
        <v>2351</v>
      </c>
      <c r="D19" s="806"/>
      <c r="E19" s="806"/>
      <c r="F19" s="806">
        <v>-23.96</v>
      </c>
      <c r="G19" s="806"/>
    </row>
    <row r="20" spans="1:7" x14ac:dyDescent="0.2">
      <c r="A20" s="770" t="s">
        <v>2352</v>
      </c>
      <c r="B20" s="770" t="s">
        <v>2353</v>
      </c>
      <c r="C20" s="776" t="s">
        <v>2354</v>
      </c>
      <c r="D20" s="806">
        <v>41693.595780000003</v>
      </c>
      <c r="E20" s="806">
        <v>104.29303</v>
      </c>
      <c r="F20" s="806">
        <v>37831.962070000001</v>
      </c>
      <c r="G20" s="806">
        <v>138.86855</v>
      </c>
    </row>
    <row r="21" spans="1:7" x14ac:dyDescent="0.2">
      <c r="A21" s="770" t="s">
        <v>2355</v>
      </c>
      <c r="B21" s="770" t="s">
        <v>2356</v>
      </c>
      <c r="C21" s="776" t="s">
        <v>2357</v>
      </c>
      <c r="D21" s="806">
        <v>418528.38426999998</v>
      </c>
      <c r="E21" s="806">
        <v>465.12771000000004</v>
      </c>
      <c r="F21" s="806">
        <v>384121.79592</v>
      </c>
      <c r="G21" s="806">
        <v>1271.9545800000001</v>
      </c>
    </row>
    <row r="22" spans="1:7" x14ac:dyDescent="0.2">
      <c r="A22" s="770" t="s">
        <v>2358</v>
      </c>
      <c r="B22" s="770" t="s">
        <v>2359</v>
      </c>
      <c r="C22" s="776" t="s">
        <v>2360</v>
      </c>
      <c r="D22" s="806">
        <v>139409.61426</v>
      </c>
      <c r="E22" s="806">
        <v>157.83910999999998</v>
      </c>
      <c r="F22" s="806">
        <v>128020.77540000001</v>
      </c>
      <c r="G22" s="806">
        <v>389.22459999999995</v>
      </c>
    </row>
    <row r="23" spans="1:7" x14ac:dyDescent="0.2">
      <c r="A23" s="770" t="s">
        <v>2361</v>
      </c>
      <c r="B23" s="770" t="s">
        <v>2362</v>
      </c>
      <c r="C23" s="776" t="s">
        <v>2363</v>
      </c>
      <c r="D23" s="806">
        <v>1696.72928</v>
      </c>
      <c r="E23" s="806">
        <v>1.4101300000000001</v>
      </c>
      <c r="F23" s="806">
        <v>1564.33979</v>
      </c>
      <c r="G23" s="806">
        <v>4.8913799999999998</v>
      </c>
    </row>
    <row r="24" spans="1:7" x14ac:dyDescent="0.2">
      <c r="A24" s="770" t="s">
        <v>2364</v>
      </c>
      <c r="B24" s="770" t="s">
        <v>2365</v>
      </c>
      <c r="C24" s="776" t="s">
        <v>2366</v>
      </c>
      <c r="D24" s="806">
        <v>10440.329320000001</v>
      </c>
      <c r="E24" s="806">
        <v>7.1142899999999996</v>
      </c>
      <c r="F24" s="806">
        <v>8520.1797399999996</v>
      </c>
      <c r="G24" s="806">
        <v>10.70983</v>
      </c>
    </row>
    <row r="25" spans="1:7" x14ac:dyDescent="0.2">
      <c r="A25" s="770" t="s">
        <v>2367</v>
      </c>
      <c r="B25" s="770" t="s">
        <v>2368</v>
      </c>
      <c r="C25" s="776" t="s">
        <v>2369</v>
      </c>
      <c r="D25" s="806">
        <v>488.32544999999999</v>
      </c>
      <c r="E25" s="806"/>
      <c r="F25" s="806">
        <v>1319.3679399999999</v>
      </c>
      <c r="G25" s="806">
        <v>1.5897600000000001</v>
      </c>
    </row>
    <row r="26" spans="1:7" x14ac:dyDescent="0.2">
      <c r="A26" s="770" t="s">
        <v>2370</v>
      </c>
      <c r="B26" s="770" t="s">
        <v>2371</v>
      </c>
      <c r="C26" s="776" t="s">
        <v>2372</v>
      </c>
      <c r="D26" s="806">
        <v>121.634</v>
      </c>
      <c r="E26" s="806"/>
      <c r="F26" s="806">
        <v>108.477</v>
      </c>
      <c r="G26" s="806">
        <v>17.155999999999999</v>
      </c>
    </row>
    <row r="27" spans="1:7" x14ac:dyDescent="0.2">
      <c r="A27" s="770" t="s">
        <v>2373</v>
      </c>
      <c r="B27" s="770" t="s">
        <v>2374</v>
      </c>
      <c r="C27" s="776" t="s">
        <v>2375</v>
      </c>
      <c r="D27" s="806"/>
      <c r="E27" s="806"/>
      <c r="F27" s="806"/>
      <c r="G27" s="806"/>
    </row>
    <row r="28" spans="1:7" x14ac:dyDescent="0.2">
      <c r="A28" s="770" t="s">
        <v>2376</v>
      </c>
      <c r="B28" s="770" t="s">
        <v>2377</v>
      </c>
      <c r="C28" s="776" t="s">
        <v>2378</v>
      </c>
      <c r="D28" s="806">
        <v>82.648960000000002</v>
      </c>
      <c r="E28" s="806"/>
      <c r="F28" s="806">
        <v>112.02535</v>
      </c>
      <c r="G28" s="806">
        <v>2</v>
      </c>
    </row>
    <row r="29" spans="1:7" x14ac:dyDescent="0.2">
      <c r="A29" s="770" t="s">
        <v>2379</v>
      </c>
      <c r="B29" s="770" t="s">
        <v>2380</v>
      </c>
      <c r="C29" s="776" t="s">
        <v>2381</v>
      </c>
      <c r="D29" s="806">
        <v>9.7615499999999997</v>
      </c>
      <c r="E29" s="806"/>
      <c r="F29" s="806">
        <v>3.8801700000000001</v>
      </c>
      <c r="G29" s="806"/>
    </row>
    <row r="30" spans="1:7" x14ac:dyDescent="0.2">
      <c r="A30" s="770" t="s">
        <v>2382</v>
      </c>
      <c r="B30" s="770" t="s">
        <v>2383</v>
      </c>
      <c r="C30" s="776" t="s">
        <v>2384</v>
      </c>
      <c r="D30" s="806">
        <v>8.6210000000000004</v>
      </c>
      <c r="E30" s="806"/>
      <c r="F30" s="806">
        <v>4.6139999999999999</v>
      </c>
      <c r="G30" s="806"/>
    </row>
    <row r="31" spans="1:7" x14ac:dyDescent="0.2">
      <c r="A31" s="770" t="s">
        <v>2385</v>
      </c>
      <c r="B31" s="770" t="s">
        <v>2386</v>
      </c>
      <c r="C31" s="776" t="s">
        <v>2387</v>
      </c>
      <c r="D31" s="806"/>
      <c r="E31" s="806"/>
      <c r="F31" s="806"/>
      <c r="G31" s="806"/>
    </row>
    <row r="32" spans="1:7" x14ac:dyDescent="0.2">
      <c r="A32" s="770" t="s">
        <v>2388</v>
      </c>
      <c r="B32" s="770" t="s">
        <v>2389</v>
      </c>
      <c r="C32" s="776" t="s">
        <v>2390</v>
      </c>
      <c r="D32" s="806"/>
      <c r="E32" s="806"/>
      <c r="F32" s="806"/>
      <c r="G32" s="806"/>
    </row>
    <row r="33" spans="1:7" x14ac:dyDescent="0.2">
      <c r="A33" s="770" t="s">
        <v>2391</v>
      </c>
      <c r="B33" s="770" t="s">
        <v>2392</v>
      </c>
      <c r="C33" s="776" t="s">
        <v>2393</v>
      </c>
      <c r="D33" s="806">
        <v>99.105879999999999</v>
      </c>
      <c r="E33" s="806"/>
      <c r="F33" s="806">
        <v>42.916530000000002</v>
      </c>
      <c r="G33" s="806">
        <v>0.96753</v>
      </c>
    </row>
    <row r="34" spans="1:7" x14ac:dyDescent="0.2">
      <c r="A34" s="770" t="s">
        <v>2394</v>
      </c>
      <c r="B34" s="770" t="s">
        <v>2395</v>
      </c>
      <c r="C34" s="776" t="s">
        <v>2396</v>
      </c>
      <c r="D34" s="806">
        <v>126.48603</v>
      </c>
      <c r="E34" s="806"/>
      <c r="F34" s="806">
        <v>60.265999999999998</v>
      </c>
      <c r="G34" s="806"/>
    </row>
    <row r="35" spans="1:7" x14ac:dyDescent="0.2">
      <c r="A35" s="770" t="s">
        <v>2397</v>
      </c>
      <c r="B35" s="770" t="s">
        <v>2398</v>
      </c>
      <c r="C35" s="776" t="s">
        <v>2399</v>
      </c>
      <c r="D35" s="806">
        <v>33930.173270000007</v>
      </c>
      <c r="E35" s="806">
        <v>66.464880000000008</v>
      </c>
      <c r="F35" s="806">
        <v>31281.536889999999</v>
      </c>
      <c r="G35" s="806">
        <v>110.99006</v>
      </c>
    </row>
    <row r="36" spans="1:7" x14ac:dyDescent="0.2">
      <c r="A36" s="770" t="s">
        <v>2400</v>
      </c>
      <c r="B36" s="770" t="s">
        <v>2401</v>
      </c>
      <c r="C36" s="776" t="s">
        <v>2402</v>
      </c>
      <c r="D36" s="806"/>
      <c r="E36" s="806"/>
      <c r="F36" s="806"/>
      <c r="G36" s="806"/>
    </row>
    <row r="37" spans="1:7" x14ac:dyDescent="0.2">
      <c r="A37" s="770" t="s">
        <v>2403</v>
      </c>
      <c r="B37" s="770" t="s">
        <v>2404</v>
      </c>
      <c r="C37" s="776" t="s">
        <v>2405</v>
      </c>
      <c r="D37" s="806">
        <v>29</v>
      </c>
      <c r="E37" s="806"/>
      <c r="F37" s="806">
        <v>8.1660000000000004</v>
      </c>
      <c r="G37" s="806"/>
    </row>
    <row r="38" spans="1:7" x14ac:dyDescent="0.2">
      <c r="A38" s="770" t="s">
        <v>2406</v>
      </c>
      <c r="B38" s="770" t="s">
        <v>2407</v>
      </c>
      <c r="C38" s="776" t="s">
        <v>2408</v>
      </c>
      <c r="D38" s="806"/>
      <c r="E38" s="806"/>
      <c r="F38" s="806"/>
      <c r="G38" s="806"/>
    </row>
    <row r="39" spans="1:7" x14ac:dyDescent="0.2">
      <c r="A39" s="770" t="s">
        <v>2409</v>
      </c>
      <c r="B39" s="770" t="s">
        <v>2410</v>
      </c>
      <c r="C39" s="776" t="s">
        <v>2411</v>
      </c>
      <c r="D39" s="806"/>
      <c r="E39" s="806"/>
      <c r="F39" s="806"/>
      <c r="G39" s="806"/>
    </row>
    <row r="40" spans="1:7" x14ac:dyDescent="0.2">
      <c r="A40" s="770" t="s">
        <v>2412</v>
      </c>
      <c r="B40" s="770" t="s">
        <v>2413</v>
      </c>
      <c r="C40" s="776" t="s">
        <v>2414</v>
      </c>
      <c r="D40" s="806"/>
      <c r="E40" s="806"/>
      <c r="F40" s="806"/>
      <c r="G40" s="806"/>
    </row>
    <row r="41" spans="1:7" x14ac:dyDescent="0.2">
      <c r="A41" s="770" t="s">
        <v>2415</v>
      </c>
      <c r="B41" s="770" t="s">
        <v>2416</v>
      </c>
      <c r="C41" s="776" t="s">
        <v>2417</v>
      </c>
      <c r="D41" s="806">
        <v>38.897599999999997</v>
      </c>
      <c r="E41" s="806"/>
      <c r="F41" s="806">
        <v>123.2646</v>
      </c>
      <c r="G41" s="806"/>
    </row>
    <row r="42" spans="1:7" x14ac:dyDescent="0.2">
      <c r="A42" s="770" t="s">
        <v>2418</v>
      </c>
      <c r="B42" s="770" t="s">
        <v>2419</v>
      </c>
      <c r="C42" s="776" t="s">
        <v>2420</v>
      </c>
      <c r="D42" s="806">
        <v>19950.673269999999</v>
      </c>
      <c r="E42" s="806">
        <v>1.96665</v>
      </c>
      <c r="F42" s="806">
        <v>21935.212469999999</v>
      </c>
      <c r="G42" s="806">
        <v>8.7079799999999992</v>
      </c>
    </row>
    <row r="43" spans="1:7" x14ac:dyDescent="0.2">
      <c r="A43" s="770" t="s">
        <v>2421</v>
      </c>
      <c r="B43" s="770" t="s">
        <v>2422</v>
      </c>
      <c r="C43" s="776" t="s">
        <v>2423</v>
      </c>
      <c r="D43" s="806">
        <v>786.23761000000002</v>
      </c>
      <c r="E43" s="806"/>
      <c r="F43" s="806">
        <v>1200.2562499999999</v>
      </c>
      <c r="G43" s="806"/>
    </row>
    <row r="44" spans="1:7" x14ac:dyDescent="0.2">
      <c r="A44" s="767" t="s">
        <v>1918</v>
      </c>
      <c r="B44" s="767" t="s">
        <v>2424</v>
      </c>
      <c r="C44" s="812" t="s">
        <v>133</v>
      </c>
      <c r="D44" s="814">
        <v>105.66313000000001</v>
      </c>
      <c r="E44" s="813">
        <v>-2.0000000000000001E-4</v>
      </c>
      <c r="F44" s="814">
        <v>161.89189000000002</v>
      </c>
      <c r="G44" s="813">
        <v>3.7759999999999998</v>
      </c>
    </row>
    <row r="45" spans="1:7" x14ac:dyDescent="0.2">
      <c r="A45" s="770" t="s">
        <v>1920</v>
      </c>
      <c r="B45" s="770" t="s">
        <v>2425</v>
      </c>
      <c r="C45" s="776" t="s">
        <v>2426</v>
      </c>
      <c r="D45" s="806"/>
      <c r="E45" s="806"/>
      <c r="F45" s="806"/>
      <c r="G45" s="806"/>
    </row>
    <row r="46" spans="1:7" x14ac:dyDescent="0.2">
      <c r="A46" s="770" t="s">
        <v>1922</v>
      </c>
      <c r="B46" s="770" t="s">
        <v>2427</v>
      </c>
      <c r="C46" s="776" t="s">
        <v>2428</v>
      </c>
      <c r="D46" s="806"/>
      <c r="E46" s="806"/>
      <c r="F46" s="806"/>
      <c r="G46" s="806"/>
    </row>
    <row r="47" spans="1:7" x14ac:dyDescent="0.2">
      <c r="A47" s="770" t="s">
        <v>1925</v>
      </c>
      <c r="B47" s="770" t="s">
        <v>2429</v>
      </c>
      <c r="C47" s="776" t="s">
        <v>2430</v>
      </c>
      <c r="D47" s="806"/>
      <c r="E47" s="806"/>
      <c r="F47" s="806"/>
      <c r="G47" s="806"/>
    </row>
    <row r="48" spans="1:7" x14ac:dyDescent="0.2">
      <c r="A48" s="770" t="s">
        <v>1928</v>
      </c>
      <c r="B48" s="770" t="s">
        <v>2431</v>
      </c>
      <c r="C48" s="776" t="s">
        <v>2432</v>
      </c>
      <c r="D48" s="806"/>
      <c r="E48" s="806"/>
      <c r="F48" s="806"/>
      <c r="G48" s="806"/>
    </row>
    <row r="49" spans="1:7" x14ac:dyDescent="0.2">
      <c r="A49" s="770" t="s">
        <v>1931</v>
      </c>
      <c r="B49" s="770" t="s">
        <v>2433</v>
      </c>
      <c r="C49" s="776" t="s">
        <v>2434</v>
      </c>
      <c r="D49" s="806">
        <v>105.66313000000001</v>
      </c>
      <c r="E49" s="806">
        <v>-2.0000000000000001E-4</v>
      </c>
      <c r="F49" s="806">
        <v>161.89189000000002</v>
      </c>
      <c r="G49" s="806">
        <v>3.7759999999999998</v>
      </c>
    </row>
    <row r="50" spans="1:7" x14ac:dyDescent="0.2">
      <c r="A50" s="767" t="s">
        <v>1952</v>
      </c>
      <c r="B50" s="767" t="s">
        <v>2435</v>
      </c>
      <c r="C50" s="812" t="s">
        <v>133</v>
      </c>
      <c r="D50" s="846">
        <v>0</v>
      </c>
      <c r="E50" s="846">
        <v>0</v>
      </c>
      <c r="F50" s="846">
        <v>0</v>
      </c>
      <c r="G50" s="846">
        <v>0</v>
      </c>
    </row>
    <row r="51" spans="1:7" x14ac:dyDescent="0.2">
      <c r="A51" s="770" t="s">
        <v>1954</v>
      </c>
      <c r="B51" s="770" t="s">
        <v>2436</v>
      </c>
      <c r="C51" s="776" t="s">
        <v>2437</v>
      </c>
      <c r="D51" s="806"/>
      <c r="E51" s="806"/>
      <c r="F51" s="806"/>
      <c r="G51" s="806"/>
    </row>
    <row r="52" spans="1:7" x14ac:dyDescent="0.2">
      <c r="A52" s="770" t="s">
        <v>1957</v>
      </c>
      <c r="B52" s="770" t="s">
        <v>2438</v>
      </c>
      <c r="C52" s="776" t="s">
        <v>2439</v>
      </c>
      <c r="D52" s="806"/>
      <c r="E52" s="806"/>
      <c r="F52" s="806"/>
      <c r="G52" s="806"/>
    </row>
    <row r="53" spans="1:7" x14ac:dyDescent="0.2">
      <c r="A53" s="767" t="s">
        <v>2440</v>
      </c>
      <c r="B53" s="767" t="s">
        <v>2074</v>
      </c>
      <c r="C53" s="812" t="s">
        <v>133</v>
      </c>
      <c r="D53" s="814">
        <v>-21.867669999999997</v>
      </c>
      <c r="E53" s="813">
        <v>0</v>
      </c>
      <c r="F53" s="814">
        <v>907.4425500000001</v>
      </c>
      <c r="G53" s="813">
        <v>7.5</v>
      </c>
    </row>
    <row r="54" spans="1:7" x14ac:dyDescent="0.2">
      <c r="A54" s="770" t="s">
        <v>2441</v>
      </c>
      <c r="B54" s="770" t="s">
        <v>2074</v>
      </c>
      <c r="C54" s="776" t="s">
        <v>2442</v>
      </c>
      <c r="D54" s="806">
        <v>-21.867669999999997</v>
      </c>
      <c r="E54" s="806"/>
      <c r="F54" s="806">
        <v>898.11255000000006</v>
      </c>
      <c r="G54" s="806">
        <v>7.5</v>
      </c>
    </row>
    <row r="55" spans="1:7" x14ac:dyDescent="0.2">
      <c r="A55" s="770" t="s">
        <v>2443</v>
      </c>
      <c r="B55" s="770" t="s">
        <v>2444</v>
      </c>
      <c r="C55" s="776" t="s">
        <v>2445</v>
      </c>
      <c r="D55" s="806"/>
      <c r="E55" s="806"/>
      <c r="F55" s="806">
        <v>9.33</v>
      </c>
      <c r="G55" s="806"/>
    </row>
    <row r="56" spans="1:7" x14ac:dyDescent="0.2">
      <c r="A56" s="767" t="s">
        <v>2001</v>
      </c>
      <c r="B56" s="767" t="s">
        <v>2446</v>
      </c>
      <c r="C56" s="812" t="s">
        <v>133</v>
      </c>
      <c r="D56" s="814">
        <v>825610.97117999999</v>
      </c>
      <c r="E56" s="813">
        <v>2333.6866</v>
      </c>
      <c r="F56" s="814">
        <v>777595.58973000001</v>
      </c>
      <c r="G56" s="813">
        <v>4649.7921799999995</v>
      </c>
    </row>
    <row r="57" spans="1:7" x14ac:dyDescent="0.2">
      <c r="A57" s="767" t="s">
        <v>2003</v>
      </c>
      <c r="B57" s="767" t="s">
        <v>2447</v>
      </c>
      <c r="C57" s="812" t="s">
        <v>133</v>
      </c>
      <c r="D57" s="814">
        <v>436841.37116000004</v>
      </c>
      <c r="E57" s="813">
        <v>2333.6866</v>
      </c>
      <c r="F57" s="814">
        <v>441896.31449999998</v>
      </c>
      <c r="G57" s="813">
        <v>4649.7921799999995</v>
      </c>
    </row>
    <row r="58" spans="1:7" x14ac:dyDescent="0.2">
      <c r="A58" s="770" t="s">
        <v>2005</v>
      </c>
      <c r="B58" s="770" t="s">
        <v>2448</v>
      </c>
      <c r="C58" s="776" t="s">
        <v>2449</v>
      </c>
      <c r="D58" s="806">
        <v>428.66204999999997</v>
      </c>
      <c r="E58" s="806">
        <v>11.44317</v>
      </c>
      <c r="F58" s="806">
        <v>399.16199999999998</v>
      </c>
      <c r="G58" s="806">
        <v>468.44622999999996</v>
      </c>
    </row>
    <row r="59" spans="1:7" x14ac:dyDescent="0.2">
      <c r="A59" s="770" t="s">
        <v>2008</v>
      </c>
      <c r="B59" s="770" t="s">
        <v>2450</v>
      </c>
      <c r="C59" s="776" t="s">
        <v>2451</v>
      </c>
      <c r="D59" s="806">
        <v>430263.17802999995</v>
      </c>
      <c r="E59" s="806">
        <v>2036.00263</v>
      </c>
      <c r="F59" s="806">
        <v>432827.49734</v>
      </c>
      <c r="G59" s="806">
        <v>3903.4571900000001</v>
      </c>
    </row>
    <row r="60" spans="1:7" x14ac:dyDescent="0.2">
      <c r="A60" s="770" t="s">
        <v>2011</v>
      </c>
      <c r="B60" s="770" t="s">
        <v>2452</v>
      </c>
      <c r="C60" s="776" t="s">
        <v>2453</v>
      </c>
      <c r="D60" s="806">
        <v>173.49233999999998</v>
      </c>
      <c r="E60" s="806">
        <v>222.08845000000002</v>
      </c>
      <c r="F60" s="806">
        <v>479.67280999999997</v>
      </c>
      <c r="G60" s="806">
        <v>258.82384000000002</v>
      </c>
    </row>
    <row r="61" spans="1:7" x14ac:dyDescent="0.2">
      <c r="A61" s="770" t="s">
        <v>2014</v>
      </c>
      <c r="B61" s="770" t="s">
        <v>2454</v>
      </c>
      <c r="C61" s="776" t="s">
        <v>2455</v>
      </c>
      <c r="D61" s="806"/>
      <c r="E61" s="806">
        <v>40.548999999999999</v>
      </c>
      <c r="F61" s="806">
        <v>34.088760000000001</v>
      </c>
      <c r="G61" s="806"/>
    </row>
    <row r="62" spans="1:7" x14ac:dyDescent="0.2">
      <c r="A62" s="770" t="s">
        <v>2026</v>
      </c>
      <c r="B62" s="770" t="s">
        <v>2456</v>
      </c>
      <c r="C62" s="776" t="s">
        <v>2457</v>
      </c>
      <c r="D62" s="806">
        <v>4.9005000000000001</v>
      </c>
      <c r="E62" s="806"/>
      <c r="F62" s="806">
        <v>1.3213499999999998</v>
      </c>
      <c r="G62" s="806"/>
    </row>
    <row r="63" spans="1:7" x14ac:dyDescent="0.2">
      <c r="A63" s="770" t="s">
        <v>2029</v>
      </c>
      <c r="B63" s="770" t="s">
        <v>2380</v>
      </c>
      <c r="C63" s="776" t="s">
        <v>2458</v>
      </c>
      <c r="D63" s="806">
        <v>61.253999999999998</v>
      </c>
      <c r="E63" s="806"/>
      <c r="F63" s="806"/>
      <c r="G63" s="806"/>
    </row>
    <row r="64" spans="1:7" x14ac:dyDescent="0.2">
      <c r="A64" s="770" t="s">
        <v>2032</v>
      </c>
      <c r="B64" s="770" t="s">
        <v>2383</v>
      </c>
      <c r="C64" s="776" t="s">
        <v>2459</v>
      </c>
      <c r="D64" s="806"/>
      <c r="E64" s="806"/>
      <c r="F64" s="806"/>
      <c r="G64" s="806"/>
    </row>
    <row r="65" spans="1:7" x14ac:dyDescent="0.2">
      <c r="A65" s="770" t="s">
        <v>2460</v>
      </c>
      <c r="B65" s="770" t="s">
        <v>2461</v>
      </c>
      <c r="C65" s="776" t="s">
        <v>2462</v>
      </c>
      <c r="D65" s="806"/>
      <c r="E65" s="806"/>
      <c r="F65" s="806"/>
      <c r="G65" s="806"/>
    </row>
    <row r="66" spans="1:7" x14ac:dyDescent="0.2">
      <c r="A66" s="770" t="s">
        <v>2463</v>
      </c>
      <c r="B66" s="770" t="s">
        <v>2464</v>
      </c>
      <c r="C66" s="776" t="s">
        <v>2465</v>
      </c>
      <c r="D66" s="806">
        <v>8.4019999999999992</v>
      </c>
      <c r="E66" s="806"/>
      <c r="F66" s="806">
        <v>9.5206</v>
      </c>
      <c r="G66" s="806"/>
    </row>
    <row r="67" spans="1:7" x14ac:dyDescent="0.2">
      <c r="A67" s="770" t="s">
        <v>2466</v>
      </c>
      <c r="B67" s="770" t="s">
        <v>2467</v>
      </c>
      <c r="C67" s="776" t="s">
        <v>2468</v>
      </c>
      <c r="D67" s="806"/>
      <c r="E67" s="806"/>
      <c r="F67" s="806"/>
      <c r="G67" s="806"/>
    </row>
    <row r="68" spans="1:7" x14ac:dyDescent="0.2">
      <c r="A68" s="770" t="s">
        <v>2469</v>
      </c>
      <c r="B68" s="770" t="s">
        <v>2470</v>
      </c>
      <c r="C68" s="776" t="s">
        <v>2471</v>
      </c>
      <c r="D68" s="806">
        <v>196.75279999999998</v>
      </c>
      <c r="E68" s="806"/>
      <c r="F68" s="806">
        <v>132.81700000000001</v>
      </c>
      <c r="G68" s="806"/>
    </row>
    <row r="69" spans="1:7" x14ac:dyDescent="0.2">
      <c r="A69" s="770" t="s">
        <v>2472</v>
      </c>
      <c r="B69" s="770" t="s">
        <v>2473</v>
      </c>
      <c r="C69" s="776" t="s">
        <v>2474</v>
      </c>
      <c r="D69" s="806"/>
      <c r="E69" s="806"/>
      <c r="F69" s="806"/>
      <c r="G69" s="806"/>
    </row>
    <row r="70" spans="1:7" x14ac:dyDescent="0.2">
      <c r="A70" s="770" t="s">
        <v>2475</v>
      </c>
      <c r="B70" s="770" t="s">
        <v>2476</v>
      </c>
      <c r="C70" s="776" t="s">
        <v>2477</v>
      </c>
      <c r="D70" s="806">
        <v>2872.9900400000001</v>
      </c>
      <c r="E70" s="806"/>
      <c r="F70" s="806">
        <v>4366.94146</v>
      </c>
      <c r="G70" s="806"/>
    </row>
    <row r="71" spans="1:7" x14ac:dyDescent="0.2">
      <c r="A71" s="770" t="s">
        <v>2478</v>
      </c>
      <c r="B71" s="770" t="s">
        <v>2479</v>
      </c>
      <c r="C71" s="776" t="s">
        <v>2480</v>
      </c>
      <c r="D71" s="806">
        <v>2831.7393999999999</v>
      </c>
      <c r="E71" s="806">
        <v>23.603349999999999</v>
      </c>
      <c r="F71" s="806">
        <v>3645.2931800000001</v>
      </c>
      <c r="G71" s="806">
        <v>19.064919999999997</v>
      </c>
    </row>
    <row r="72" spans="1:7" x14ac:dyDescent="0.2">
      <c r="A72" s="767" t="s">
        <v>2035</v>
      </c>
      <c r="B72" s="767" t="s">
        <v>2481</v>
      </c>
      <c r="C72" s="812" t="s">
        <v>133</v>
      </c>
      <c r="D72" s="846">
        <v>240.36935</v>
      </c>
      <c r="E72" s="813">
        <v>0</v>
      </c>
      <c r="F72" s="846">
        <v>556.69573000000003</v>
      </c>
      <c r="G72" s="813">
        <v>0</v>
      </c>
    </row>
    <row r="73" spans="1:7" x14ac:dyDescent="0.2">
      <c r="A73" s="770" t="s">
        <v>2037</v>
      </c>
      <c r="B73" s="770" t="s">
        <v>2482</v>
      </c>
      <c r="C73" s="776" t="s">
        <v>2483</v>
      </c>
      <c r="D73" s="806"/>
      <c r="E73" s="806"/>
      <c r="F73" s="806"/>
      <c r="G73" s="806"/>
    </row>
    <row r="74" spans="1:7" x14ac:dyDescent="0.2">
      <c r="A74" s="770" t="s">
        <v>2040</v>
      </c>
      <c r="B74" s="770" t="s">
        <v>2427</v>
      </c>
      <c r="C74" s="776" t="s">
        <v>2484</v>
      </c>
      <c r="D74" s="806">
        <v>198.94735999999997</v>
      </c>
      <c r="E74" s="806"/>
      <c r="F74" s="806">
        <v>518.62484000000006</v>
      </c>
      <c r="G74" s="806"/>
    </row>
    <row r="75" spans="1:7" x14ac:dyDescent="0.2">
      <c r="A75" s="770" t="s">
        <v>2043</v>
      </c>
      <c r="B75" s="770" t="s">
        <v>2485</v>
      </c>
      <c r="C75" s="776" t="s">
        <v>2486</v>
      </c>
      <c r="D75" s="806"/>
      <c r="E75" s="806"/>
      <c r="F75" s="806"/>
      <c r="G75" s="806"/>
    </row>
    <row r="76" spans="1:7" x14ac:dyDescent="0.2">
      <c r="A76" s="770" t="s">
        <v>2046</v>
      </c>
      <c r="B76" s="770" t="s">
        <v>2487</v>
      </c>
      <c r="C76" s="776" t="s">
        <v>2488</v>
      </c>
      <c r="D76" s="806">
        <v>29</v>
      </c>
      <c r="E76" s="806"/>
      <c r="F76" s="806"/>
      <c r="G76" s="806"/>
    </row>
    <row r="77" spans="1:7" x14ac:dyDescent="0.2">
      <c r="A77" s="770" t="s">
        <v>2052</v>
      </c>
      <c r="B77" s="770" t="s">
        <v>2489</v>
      </c>
      <c r="C77" s="776" t="s">
        <v>2490</v>
      </c>
      <c r="D77" s="806">
        <v>12.421989999999999</v>
      </c>
      <c r="E77" s="806"/>
      <c r="F77" s="806">
        <v>38.070889999999999</v>
      </c>
      <c r="G77" s="806"/>
    </row>
    <row r="78" spans="1:7" x14ac:dyDescent="0.2">
      <c r="A78" s="767" t="s">
        <v>2491</v>
      </c>
      <c r="B78" s="767" t="s">
        <v>2492</v>
      </c>
      <c r="C78" s="812" t="s">
        <v>133</v>
      </c>
      <c r="D78" s="846">
        <v>388529.23067000002</v>
      </c>
      <c r="E78" s="813">
        <v>0</v>
      </c>
      <c r="F78" s="846">
        <v>335142.57949999999</v>
      </c>
      <c r="G78" s="813">
        <v>0</v>
      </c>
    </row>
    <row r="79" spans="1:7" x14ac:dyDescent="0.2">
      <c r="A79" s="770" t="s">
        <v>2493</v>
      </c>
      <c r="B79" s="770" t="s">
        <v>2494</v>
      </c>
      <c r="C79" s="776" t="s">
        <v>2495</v>
      </c>
      <c r="D79" s="806"/>
      <c r="E79" s="806"/>
      <c r="F79" s="806"/>
      <c r="G79" s="806"/>
    </row>
    <row r="80" spans="1:7" x14ac:dyDescent="0.2">
      <c r="A80" s="770" t="s">
        <v>2496</v>
      </c>
      <c r="B80" s="770" t="s">
        <v>2497</v>
      </c>
      <c r="C80" s="776" t="s">
        <v>2498</v>
      </c>
      <c r="D80" s="806">
        <v>388529.23067000002</v>
      </c>
      <c r="E80" s="806"/>
      <c r="F80" s="806">
        <v>335142.57949999999</v>
      </c>
      <c r="G80" s="806"/>
    </row>
    <row r="81" spans="1:7" x14ac:dyDescent="0.2">
      <c r="A81" s="767" t="s">
        <v>2159</v>
      </c>
      <c r="B81" s="767" t="s">
        <v>2499</v>
      </c>
      <c r="C81" s="812" t="s">
        <v>133</v>
      </c>
      <c r="D81" s="813"/>
      <c r="E81" s="813"/>
      <c r="F81" s="813"/>
      <c r="G81" s="813"/>
    </row>
    <row r="82" spans="1:7" x14ac:dyDescent="0.2">
      <c r="A82" s="767" t="s">
        <v>2500</v>
      </c>
      <c r="B82" s="767" t="s">
        <v>2501</v>
      </c>
      <c r="C82" s="812" t="s">
        <v>133</v>
      </c>
      <c r="D82" s="814">
        <v>-259.13463999999999</v>
      </c>
      <c r="E82" s="813">
        <v>399.79551000000004</v>
      </c>
      <c r="F82" s="814">
        <v>1451.2183400000001</v>
      </c>
      <c r="G82" s="813">
        <v>197.01614000000001</v>
      </c>
    </row>
    <row r="83" spans="1:7" x14ac:dyDescent="0.2">
      <c r="A83" s="767" t="s">
        <v>2502</v>
      </c>
      <c r="B83" s="767" t="s">
        <v>2204</v>
      </c>
      <c r="C83" s="812" t="s">
        <v>133</v>
      </c>
      <c r="D83" s="814">
        <v>-237.26697000000001</v>
      </c>
      <c r="E83" s="813">
        <v>399.79551000000004</v>
      </c>
      <c r="F83" s="814">
        <v>543.77579000000003</v>
      </c>
      <c r="G83" s="813">
        <v>189.51614000000001</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471" orientation="portrait" useFirstPageNumber="1" r:id="rId1"/>
  <headerFooter alignWithMargins="0">
    <oddHeader>&amp;L&amp;"Tahoma,Kurzíva"Závěrečný účet za rok 2015&amp;R&amp;"Tahoma,Kurzíva"Tabulka č. 39</oddHeader>
    <oddFooter>&amp;C&amp;"Tahoma,Obyčejné"&amp;P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7"/>
  <sheetViews>
    <sheetView showGridLines="0" zoomScaleNormal="100" zoomScaleSheetLayoutView="100" workbookViewId="0">
      <selection activeCell="I5" sqref="I5"/>
    </sheetView>
  </sheetViews>
  <sheetFormatPr defaultRowHeight="12.75" x14ac:dyDescent="0.2"/>
  <cols>
    <col min="1" max="1" width="7" style="836" customWidth="1"/>
    <col min="2" max="2" width="42.85546875" style="764" customWidth="1"/>
    <col min="3" max="3" width="8.7109375" style="835" customWidth="1"/>
    <col min="4" max="7" width="13.85546875" style="799" customWidth="1"/>
    <col min="8" max="16384" width="9.140625" style="764"/>
  </cols>
  <sheetData>
    <row r="1" spans="1:7" s="849" customFormat="1" ht="18" customHeight="1" x14ac:dyDescent="0.2">
      <c r="A1" s="1493" t="s">
        <v>1874</v>
      </c>
      <c r="B1" s="1493"/>
      <c r="C1" s="1493"/>
      <c r="D1" s="1493"/>
      <c r="E1" s="1493"/>
      <c r="F1" s="1493"/>
      <c r="G1" s="1493"/>
    </row>
    <row r="2" spans="1:7" s="850" customFormat="1" ht="18" customHeight="1" x14ac:dyDescent="0.2">
      <c r="A2" s="1494" t="s">
        <v>2510</v>
      </c>
      <c r="B2" s="1494"/>
      <c r="C2" s="1494"/>
      <c r="D2" s="1494"/>
      <c r="E2" s="1494"/>
      <c r="F2" s="1494"/>
      <c r="G2" s="1494"/>
    </row>
    <row r="3" spans="1:7" s="648" customFormat="1" x14ac:dyDescent="0.2">
      <c r="C3" s="546"/>
      <c r="D3" s="760"/>
      <c r="E3" s="760"/>
      <c r="F3" s="760"/>
      <c r="G3" s="760"/>
    </row>
    <row r="4" spans="1:7" x14ac:dyDescent="0.2">
      <c r="A4" s="761"/>
      <c r="B4" s="761"/>
      <c r="C4" s="762"/>
      <c r="D4" s="763">
        <v>1</v>
      </c>
      <c r="E4" s="763">
        <v>2</v>
      </c>
      <c r="F4" s="763">
        <v>3</v>
      </c>
      <c r="G4" s="763">
        <v>4</v>
      </c>
    </row>
    <row r="5" spans="1:7" s="825" customFormat="1" ht="12.75" customHeight="1" x14ac:dyDescent="0.2">
      <c r="A5" s="1495" t="s">
        <v>1876</v>
      </c>
      <c r="B5" s="1496"/>
      <c r="C5" s="1501" t="s">
        <v>1877</v>
      </c>
      <c r="D5" s="1506" t="s">
        <v>1878</v>
      </c>
      <c r="E5" s="1507"/>
      <c r="F5" s="1507"/>
      <c r="G5" s="1508"/>
    </row>
    <row r="6" spans="1:7" s="765" customFormat="1" x14ac:dyDescent="0.2">
      <c r="A6" s="1497"/>
      <c r="B6" s="1498"/>
      <c r="C6" s="1502"/>
      <c r="D6" s="1509" t="s">
        <v>1879</v>
      </c>
      <c r="E6" s="1510"/>
      <c r="F6" s="1511"/>
      <c r="G6" s="1512" t="s">
        <v>1880</v>
      </c>
    </row>
    <row r="7" spans="1:7" s="765" customFormat="1" x14ac:dyDescent="0.2">
      <c r="A7" s="1499"/>
      <c r="B7" s="1500"/>
      <c r="C7" s="1514"/>
      <c r="D7" s="803" t="s">
        <v>1881</v>
      </c>
      <c r="E7" s="803" t="s">
        <v>1882</v>
      </c>
      <c r="F7" s="803" t="s">
        <v>1883</v>
      </c>
      <c r="G7" s="1516"/>
    </row>
    <row r="8" spans="1:7" s="765" customFormat="1" x14ac:dyDescent="0.2">
      <c r="A8" s="804"/>
      <c r="B8" s="804" t="s">
        <v>1884</v>
      </c>
      <c r="C8" s="805" t="s">
        <v>133</v>
      </c>
      <c r="D8" s="769">
        <v>11794014.15093</v>
      </c>
      <c r="E8" s="769">
        <v>5095058.7709999997</v>
      </c>
      <c r="F8" s="769">
        <v>6698955.3799300008</v>
      </c>
      <c r="G8" s="769">
        <v>6270310.96361</v>
      </c>
    </row>
    <row r="9" spans="1:7" s="826" customFormat="1" x14ac:dyDescent="0.2">
      <c r="A9" s="804" t="s">
        <v>1885</v>
      </c>
      <c r="B9" s="804" t="s">
        <v>1886</v>
      </c>
      <c r="C9" s="805" t="s">
        <v>133</v>
      </c>
      <c r="D9" s="769">
        <v>10870884.144030001</v>
      </c>
      <c r="E9" s="769">
        <v>5093419.4384899996</v>
      </c>
      <c r="F9" s="769">
        <v>5777464.7055399995</v>
      </c>
      <c r="G9" s="769">
        <v>5147127.1952399993</v>
      </c>
    </row>
    <row r="10" spans="1:7" s="826" customFormat="1" x14ac:dyDescent="0.2">
      <c r="A10" s="804" t="s">
        <v>1887</v>
      </c>
      <c r="B10" s="804" t="s">
        <v>1888</v>
      </c>
      <c r="C10" s="805" t="s">
        <v>133</v>
      </c>
      <c r="D10" s="769">
        <v>78174.051650000009</v>
      </c>
      <c r="E10" s="769">
        <v>70128.294110000003</v>
      </c>
      <c r="F10" s="769">
        <v>8045.7575399999996</v>
      </c>
      <c r="G10" s="769">
        <v>2819.1749599999998</v>
      </c>
    </row>
    <row r="11" spans="1:7" s="648" customFormat="1" x14ac:dyDescent="0.2">
      <c r="A11" s="770" t="s">
        <v>1889</v>
      </c>
      <c r="B11" s="770" t="s">
        <v>1890</v>
      </c>
      <c r="C11" s="776" t="s">
        <v>1891</v>
      </c>
      <c r="D11" s="772"/>
      <c r="E11" s="772"/>
      <c r="F11" s="772"/>
      <c r="G11" s="772"/>
    </row>
    <row r="12" spans="1:7" s="648" customFormat="1" x14ac:dyDescent="0.2">
      <c r="A12" s="770" t="s">
        <v>1892</v>
      </c>
      <c r="B12" s="770" t="s">
        <v>1893</v>
      </c>
      <c r="C12" s="776" t="s">
        <v>1894</v>
      </c>
      <c r="D12" s="773">
        <v>15013.899670000001</v>
      </c>
      <c r="E12" s="773">
        <v>7337.2907300000006</v>
      </c>
      <c r="F12" s="773">
        <v>7676.6089400000001</v>
      </c>
      <c r="G12" s="773">
        <v>2272.94526</v>
      </c>
    </row>
    <row r="13" spans="1:7" s="648" customFormat="1" x14ac:dyDescent="0.2">
      <c r="A13" s="770" t="s">
        <v>1895</v>
      </c>
      <c r="B13" s="770" t="s">
        <v>320</v>
      </c>
      <c r="C13" s="776" t="s">
        <v>1896</v>
      </c>
      <c r="D13" s="774">
        <v>0</v>
      </c>
      <c r="E13" s="774">
        <v>0</v>
      </c>
      <c r="F13" s="774">
        <v>0</v>
      </c>
      <c r="G13" s="774">
        <v>0</v>
      </c>
    </row>
    <row r="14" spans="1:7" s="648" customFormat="1" x14ac:dyDescent="0.2">
      <c r="A14" s="770" t="s">
        <v>1897</v>
      </c>
      <c r="B14" s="770" t="s">
        <v>1898</v>
      </c>
      <c r="C14" s="776" t="s">
        <v>1899</v>
      </c>
      <c r="D14" s="774">
        <v>0</v>
      </c>
      <c r="E14" s="774">
        <v>0</v>
      </c>
      <c r="F14" s="774">
        <v>0</v>
      </c>
      <c r="G14" s="774">
        <v>0</v>
      </c>
    </row>
    <row r="15" spans="1:7" s="648" customFormat="1" x14ac:dyDescent="0.2">
      <c r="A15" s="770" t="s">
        <v>1900</v>
      </c>
      <c r="B15" s="770" t="s">
        <v>1901</v>
      </c>
      <c r="C15" s="776" t="s">
        <v>1902</v>
      </c>
      <c r="D15" s="774">
        <v>61741.208380000004</v>
      </c>
      <c r="E15" s="774">
        <v>61741.208380000004</v>
      </c>
      <c r="F15" s="774">
        <v>0</v>
      </c>
      <c r="G15" s="774">
        <v>0</v>
      </c>
    </row>
    <row r="16" spans="1:7" s="648" customFormat="1" x14ac:dyDescent="0.2">
      <c r="A16" s="770" t="s">
        <v>1903</v>
      </c>
      <c r="B16" s="770" t="s">
        <v>1904</v>
      </c>
      <c r="C16" s="776" t="s">
        <v>1905</v>
      </c>
      <c r="D16" s="773">
        <v>1185.8027999999999</v>
      </c>
      <c r="E16" s="773">
        <v>1049.7950000000001</v>
      </c>
      <c r="F16" s="773">
        <v>136.00779999999997</v>
      </c>
      <c r="G16" s="773">
        <v>79.601900000000001</v>
      </c>
    </row>
    <row r="17" spans="1:7" s="648" customFormat="1" x14ac:dyDescent="0.2">
      <c r="A17" s="770" t="s">
        <v>1906</v>
      </c>
      <c r="B17" s="770" t="s">
        <v>1907</v>
      </c>
      <c r="C17" s="776" t="s">
        <v>1908</v>
      </c>
      <c r="D17" s="773">
        <v>233.14079999999998</v>
      </c>
      <c r="E17" s="773"/>
      <c r="F17" s="773">
        <v>233.14079999999998</v>
      </c>
      <c r="G17" s="773">
        <v>466.62779999999998</v>
      </c>
    </row>
    <row r="18" spans="1:7" s="648" customFormat="1" ht="21" x14ac:dyDescent="0.2">
      <c r="A18" s="770" t="s">
        <v>1909</v>
      </c>
      <c r="B18" s="770" t="s">
        <v>1910</v>
      </c>
      <c r="C18" s="776" t="s">
        <v>1911</v>
      </c>
      <c r="D18" s="774">
        <v>0</v>
      </c>
      <c r="E18" s="774"/>
      <c r="F18" s="774">
        <v>0</v>
      </c>
      <c r="G18" s="774">
        <v>0</v>
      </c>
    </row>
    <row r="19" spans="1:7" s="648" customFormat="1" x14ac:dyDescent="0.2">
      <c r="A19" s="770" t="s">
        <v>1912</v>
      </c>
      <c r="B19" s="770" t="s">
        <v>1913</v>
      </c>
      <c r="C19" s="776" t="s">
        <v>1914</v>
      </c>
      <c r="D19" s="774">
        <v>0</v>
      </c>
      <c r="E19" s="773"/>
      <c r="F19" s="774">
        <v>0</v>
      </c>
      <c r="G19" s="773"/>
    </row>
    <row r="20" spans="1:7" s="826" customFormat="1" x14ac:dyDescent="0.2">
      <c r="A20" s="770" t="s">
        <v>1915</v>
      </c>
      <c r="B20" s="770" t="s">
        <v>1916</v>
      </c>
      <c r="C20" s="776" t="s">
        <v>1917</v>
      </c>
      <c r="D20" s="774">
        <v>0</v>
      </c>
      <c r="E20" s="773"/>
      <c r="F20" s="774">
        <v>0</v>
      </c>
      <c r="G20" s="773"/>
    </row>
    <row r="21" spans="1:7" s="648" customFormat="1" x14ac:dyDescent="0.2">
      <c r="A21" s="804" t="s">
        <v>1918</v>
      </c>
      <c r="B21" s="804" t="s">
        <v>1919</v>
      </c>
      <c r="C21" s="805" t="s">
        <v>133</v>
      </c>
      <c r="D21" s="769">
        <v>10791390.548600001</v>
      </c>
      <c r="E21" s="769">
        <v>5023291.1443800004</v>
      </c>
      <c r="F21" s="769">
        <v>5768099.4042199999</v>
      </c>
      <c r="G21" s="769">
        <v>5142425.7702200003</v>
      </c>
    </row>
    <row r="22" spans="1:7" s="648" customFormat="1" x14ac:dyDescent="0.2">
      <c r="A22" s="770" t="s">
        <v>1920</v>
      </c>
      <c r="B22" s="770" t="s">
        <v>264</v>
      </c>
      <c r="C22" s="776" t="s">
        <v>1921</v>
      </c>
      <c r="D22" s="773">
        <v>532117.82464999997</v>
      </c>
      <c r="E22" s="773"/>
      <c r="F22" s="773">
        <v>532117.82464999997</v>
      </c>
      <c r="G22" s="773">
        <v>530410.29637</v>
      </c>
    </row>
    <row r="23" spans="1:7" s="648" customFormat="1" x14ac:dyDescent="0.2">
      <c r="A23" s="770" t="s">
        <v>1922</v>
      </c>
      <c r="B23" s="770" t="s">
        <v>1923</v>
      </c>
      <c r="C23" s="776" t="s">
        <v>1924</v>
      </c>
      <c r="D23" s="773">
        <v>5516.6454000000003</v>
      </c>
      <c r="E23" s="773"/>
      <c r="F23" s="773">
        <v>5516.6454000000003</v>
      </c>
      <c r="G23" s="773">
        <v>5576.6454000000003</v>
      </c>
    </row>
    <row r="24" spans="1:7" s="648" customFormat="1" x14ac:dyDescent="0.2">
      <c r="A24" s="770" t="s">
        <v>1925</v>
      </c>
      <c r="B24" s="770" t="s">
        <v>1926</v>
      </c>
      <c r="C24" s="776" t="s">
        <v>1927</v>
      </c>
      <c r="D24" s="773">
        <v>7406824.2579799993</v>
      </c>
      <c r="E24" s="773">
        <v>2548836.6359200003</v>
      </c>
      <c r="F24" s="773">
        <v>4857987.62206</v>
      </c>
      <c r="G24" s="773">
        <v>4266710.9801000003</v>
      </c>
    </row>
    <row r="25" spans="1:7" s="648" customFormat="1" ht="21" x14ac:dyDescent="0.2">
      <c r="A25" s="770" t="s">
        <v>1928</v>
      </c>
      <c r="B25" s="770" t="s">
        <v>1929</v>
      </c>
      <c r="C25" s="776" t="s">
        <v>1930</v>
      </c>
      <c r="D25" s="773">
        <v>1160588.06094</v>
      </c>
      <c r="E25" s="773">
        <v>808832.777</v>
      </c>
      <c r="F25" s="773">
        <v>351755.28393999999</v>
      </c>
      <c r="G25" s="773">
        <v>312041.78425999999</v>
      </c>
    </row>
    <row r="26" spans="1:7" s="648" customFormat="1" x14ac:dyDescent="0.2">
      <c r="A26" s="770" t="s">
        <v>1931</v>
      </c>
      <c r="B26" s="770" t="s">
        <v>1932</v>
      </c>
      <c r="C26" s="776" t="s">
        <v>1933</v>
      </c>
      <c r="D26" s="773"/>
      <c r="E26" s="773"/>
      <c r="F26" s="773"/>
      <c r="G26" s="773"/>
    </row>
    <row r="27" spans="1:7" s="648" customFormat="1" x14ac:dyDescent="0.2">
      <c r="A27" s="770" t="s">
        <v>1934</v>
      </c>
      <c r="B27" s="770" t="s">
        <v>1935</v>
      </c>
      <c r="C27" s="776" t="s">
        <v>1936</v>
      </c>
      <c r="D27" s="773">
        <v>1665537.4754600001</v>
      </c>
      <c r="E27" s="774">
        <v>1665537.4754600001</v>
      </c>
      <c r="F27" s="773"/>
      <c r="G27" s="774">
        <v>0</v>
      </c>
    </row>
    <row r="28" spans="1:7" s="648" customFormat="1" x14ac:dyDescent="0.2">
      <c r="A28" s="770" t="s">
        <v>1937</v>
      </c>
      <c r="B28" s="770" t="s">
        <v>1938</v>
      </c>
      <c r="C28" s="776" t="s">
        <v>1939</v>
      </c>
      <c r="D28" s="773">
        <v>189.07201999999998</v>
      </c>
      <c r="E28" s="773">
        <v>84.256</v>
      </c>
      <c r="F28" s="773">
        <v>104.81602000000001</v>
      </c>
      <c r="G28" s="773">
        <v>130.16721000000001</v>
      </c>
    </row>
    <row r="29" spans="1:7" s="648" customFormat="1" x14ac:dyDescent="0.2">
      <c r="A29" s="770" t="s">
        <v>1940</v>
      </c>
      <c r="B29" s="770" t="s">
        <v>1941</v>
      </c>
      <c r="C29" s="776" t="s">
        <v>1942</v>
      </c>
      <c r="D29" s="773">
        <v>20499.829739999997</v>
      </c>
      <c r="E29" s="773"/>
      <c r="F29" s="773">
        <v>20499.829739999997</v>
      </c>
      <c r="G29" s="773">
        <v>27433.24422</v>
      </c>
    </row>
    <row r="30" spans="1:7" s="648" customFormat="1" ht="21" x14ac:dyDescent="0.2">
      <c r="A30" s="770" t="s">
        <v>1943</v>
      </c>
      <c r="B30" s="770" t="s">
        <v>1944</v>
      </c>
      <c r="C30" s="776" t="s">
        <v>1945</v>
      </c>
      <c r="D30" s="774">
        <v>0</v>
      </c>
      <c r="E30" s="773"/>
      <c r="F30" s="774">
        <v>0</v>
      </c>
      <c r="G30" s="773"/>
    </row>
    <row r="31" spans="1:7" s="826" customFormat="1" x14ac:dyDescent="0.2">
      <c r="A31" s="770" t="s">
        <v>1946</v>
      </c>
      <c r="B31" s="770" t="s">
        <v>1947</v>
      </c>
      <c r="C31" s="776" t="s">
        <v>1948</v>
      </c>
      <c r="D31" s="773">
        <v>117.38241000000001</v>
      </c>
      <c r="E31" s="773"/>
      <c r="F31" s="773">
        <v>117.38241000000001</v>
      </c>
      <c r="G31" s="773">
        <v>122.65266</v>
      </c>
    </row>
    <row r="32" spans="1:7" s="648" customFormat="1" x14ac:dyDescent="0.2">
      <c r="A32" s="770" t="s">
        <v>1949</v>
      </c>
      <c r="B32" s="770" t="s">
        <v>1950</v>
      </c>
      <c r="C32" s="776" t="s">
        <v>1951</v>
      </c>
      <c r="D32" s="773"/>
      <c r="E32" s="773"/>
      <c r="F32" s="773"/>
      <c r="G32" s="773"/>
    </row>
    <row r="33" spans="1:7" s="648" customFormat="1" x14ac:dyDescent="0.2">
      <c r="A33" s="804" t="s">
        <v>1952</v>
      </c>
      <c r="B33" s="804" t="s">
        <v>1953</v>
      </c>
      <c r="C33" s="805" t="s">
        <v>133</v>
      </c>
      <c r="D33" s="769">
        <v>0</v>
      </c>
      <c r="E33" s="769">
        <v>0</v>
      </c>
      <c r="F33" s="769">
        <v>0</v>
      </c>
      <c r="G33" s="769">
        <v>0</v>
      </c>
    </row>
    <row r="34" spans="1:7" s="648" customFormat="1" x14ac:dyDescent="0.2">
      <c r="A34" s="770" t="s">
        <v>1954</v>
      </c>
      <c r="B34" s="770" t="s">
        <v>1955</v>
      </c>
      <c r="C34" s="776" t="s">
        <v>1956</v>
      </c>
      <c r="D34" s="774">
        <v>0</v>
      </c>
      <c r="E34" s="774">
        <v>0</v>
      </c>
      <c r="F34" s="774">
        <v>0</v>
      </c>
      <c r="G34" s="774">
        <v>0</v>
      </c>
    </row>
    <row r="35" spans="1:7" s="648" customFormat="1" x14ac:dyDescent="0.2">
      <c r="A35" s="770" t="s">
        <v>1957</v>
      </c>
      <c r="B35" s="770" t="s">
        <v>1958</v>
      </c>
      <c r="C35" s="776" t="s">
        <v>1959</v>
      </c>
      <c r="D35" s="774">
        <v>0</v>
      </c>
      <c r="E35" s="774">
        <v>0</v>
      </c>
      <c r="F35" s="774">
        <v>0</v>
      </c>
      <c r="G35" s="774">
        <v>0</v>
      </c>
    </row>
    <row r="36" spans="1:7" s="648" customFormat="1" x14ac:dyDescent="0.2">
      <c r="A36" s="770" t="s">
        <v>1960</v>
      </c>
      <c r="B36" s="770" t="s">
        <v>1961</v>
      </c>
      <c r="C36" s="776" t="s">
        <v>1962</v>
      </c>
      <c r="D36" s="774">
        <v>0</v>
      </c>
      <c r="E36" s="774">
        <v>0</v>
      </c>
      <c r="F36" s="774">
        <v>0</v>
      </c>
      <c r="G36" s="774">
        <v>0</v>
      </c>
    </row>
    <row r="37" spans="1:7" s="826" customFormat="1" x14ac:dyDescent="0.2">
      <c r="A37" s="770" t="s">
        <v>1966</v>
      </c>
      <c r="B37" s="770" t="s">
        <v>1967</v>
      </c>
      <c r="C37" s="776" t="s">
        <v>1968</v>
      </c>
      <c r="D37" s="774">
        <v>0</v>
      </c>
      <c r="E37" s="774">
        <v>0</v>
      </c>
      <c r="F37" s="774">
        <v>0</v>
      </c>
      <c r="G37" s="774">
        <v>0</v>
      </c>
    </row>
    <row r="38" spans="1:7" s="648" customFormat="1" x14ac:dyDescent="0.2">
      <c r="A38" s="770" t="s">
        <v>1969</v>
      </c>
      <c r="B38" s="770" t="s">
        <v>1970</v>
      </c>
      <c r="C38" s="776" t="s">
        <v>1971</v>
      </c>
      <c r="D38" s="773"/>
      <c r="E38" s="773"/>
      <c r="F38" s="773"/>
      <c r="G38" s="773"/>
    </row>
    <row r="39" spans="1:7" s="648" customFormat="1" x14ac:dyDescent="0.2">
      <c r="A39" s="804" t="s">
        <v>1978</v>
      </c>
      <c r="B39" s="804" t="s">
        <v>1979</v>
      </c>
      <c r="C39" s="805" t="s">
        <v>133</v>
      </c>
      <c r="D39" s="769">
        <v>1319.54378</v>
      </c>
      <c r="E39" s="769">
        <v>0</v>
      </c>
      <c r="F39" s="769">
        <v>1319.54378</v>
      </c>
      <c r="G39" s="769">
        <v>1882.2500600000001</v>
      </c>
    </row>
    <row r="40" spans="1:7" s="648" customFormat="1" x14ac:dyDescent="0.2">
      <c r="A40" s="770" t="s">
        <v>1980</v>
      </c>
      <c r="B40" s="770" t="s">
        <v>1981</v>
      </c>
      <c r="C40" s="776" t="s">
        <v>1982</v>
      </c>
      <c r="D40" s="774">
        <v>0</v>
      </c>
      <c r="E40" s="774">
        <v>0</v>
      </c>
      <c r="F40" s="774">
        <v>0</v>
      </c>
      <c r="G40" s="774">
        <v>0</v>
      </c>
    </row>
    <row r="41" spans="1:7" s="648" customFormat="1" x14ac:dyDescent="0.2">
      <c r="A41" s="770" t="s">
        <v>1983</v>
      </c>
      <c r="B41" s="770" t="s">
        <v>1984</v>
      </c>
      <c r="C41" s="776" t="s">
        <v>1985</v>
      </c>
      <c r="D41" s="774">
        <v>0</v>
      </c>
      <c r="E41" s="774">
        <v>0</v>
      </c>
      <c r="F41" s="774">
        <v>0</v>
      </c>
      <c r="G41" s="774">
        <v>0</v>
      </c>
    </row>
    <row r="42" spans="1:7" s="648" customFormat="1" x14ac:dyDescent="0.2">
      <c r="A42" s="770" t="s">
        <v>1986</v>
      </c>
      <c r="B42" s="770" t="s">
        <v>1987</v>
      </c>
      <c r="C42" s="776" t="s">
        <v>1988</v>
      </c>
      <c r="D42" s="774">
        <v>56.690109999999997</v>
      </c>
      <c r="E42" s="774">
        <v>0</v>
      </c>
      <c r="F42" s="774">
        <v>56.690109999999997</v>
      </c>
      <c r="G42" s="774">
        <v>57.256389999999996</v>
      </c>
    </row>
    <row r="43" spans="1:7" s="826" customFormat="1" x14ac:dyDescent="0.2">
      <c r="A43" s="770" t="s">
        <v>1992</v>
      </c>
      <c r="B43" s="770" t="s">
        <v>1993</v>
      </c>
      <c r="C43" s="776" t="s">
        <v>1994</v>
      </c>
      <c r="D43" s="774">
        <v>1262.85367</v>
      </c>
      <c r="E43" s="774">
        <v>0</v>
      </c>
      <c r="F43" s="774">
        <v>1262.85367</v>
      </c>
      <c r="G43" s="774">
        <v>1824.9936699999998</v>
      </c>
    </row>
    <row r="44" spans="1:7" s="826" customFormat="1" x14ac:dyDescent="0.2">
      <c r="A44" s="770" t="s">
        <v>1995</v>
      </c>
      <c r="B44" s="775" t="s">
        <v>1996</v>
      </c>
      <c r="C44" s="815" t="s">
        <v>1997</v>
      </c>
      <c r="D44" s="774">
        <v>0</v>
      </c>
      <c r="E44" s="774">
        <v>0</v>
      </c>
      <c r="F44" s="774">
        <v>0</v>
      </c>
      <c r="G44" s="774">
        <v>0</v>
      </c>
    </row>
    <row r="45" spans="1:7" s="648" customFormat="1" x14ac:dyDescent="0.2">
      <c r="A45" s="775" t="s">
        <v>1998</v>
      </c>
      <c r="B45" s="775" t="s">
        <v>1999</v>
      </c>
      <c r="C45" s="815" t="s">
        <v>2000</v>
      </c>
      <c r="D45" s="773"/>
      <c r="E45" s="773"/>
      <c r="F45" s="773"/>
      <c r="G45" s="773"/>
    </row>
    <row r="46" spans="1:7" s="648" customFormat="1" x14ac:dyDescent="0.2">
      <c r="A46" s="804" t="s">
        <v>2001</v>
      </c>
      <c r="B46" s="804" t="s">
        <v>2002</v>
      </c>
      <c r="C46" s="805" t="s">
        <v>133</v>
      </c>
      <c r="D46" s="769">
        <v>923130.00689999992</v>
      </c>
      <c r="E46" s="769">
        <v>1639.33251</v>
      </c>
      <c r="F46" s="769">
        <v>921490.67438999994</v>
      </c>
      <c r="G46" s="769">
        <v>1123183.7683699999</v>
      </c>
    </row>
    <row r="47" spans="1:7" s="648" customFormat="1" x14ac:dyDescent="0.2">
      <c r="A47" s="767" t="s">
        <v>2003</v>
      </c>
      <c r="B47" s="767" t="s">
        <v>2004</v>
      </c>
      <c r="C47" s="812" t="s">
        <v>133</v>
      </c>
      <c r="D47" s="769">
        <v>41489.068909999995</v>
      </c>
      <c r="E47" s="769">
        <v>0</v>
      </c>
      <c r="F47" s="769">
        <v>41489.068909999995</v>
      </c>
      <c r="G47" s="769">
        <v>35946.622689999997</v>
      </c>
    </row>
    <row r="48" spans="1:7" s="648" customFormat="1" x14ac:dyDescent="0.2">
      <c r="A48" s="770" t="s">
        <v>2005</v>
      </c>
      <c r="B48" s="770" t="s">
        <v>2006</v>
      </c>
      <c r="C48" s="776" t="s">
        <v>2007</v>
      </c>
      <c r="D48" s="774">
        <v>0</v>
      </c>
      <c r="E48" s="774">
        <v>0</v>
      </c>
      <c r="F48" s="774">
        <v>0</v>
      </c>
      <c r="G48" s="774">
        <v>0</v>
      </c>
    </row>
    <row r="49" spans="1:7" s="648" customFormat="1" x14ac:dyDescent="0.2">
      <c r="A49" s="770" t="s">
        <v>2008</v>
      </c>
      <c r="B49" s="770" t="s">
        <v>2009</v>
      </c>
      <c r="C49" s="776" t="s">
        <v>2010</v>
      </c>
      <c r="D49" s="773">
        <v>16518.259099999999</v>
      </c>
      <c r="E49" s="773"/>
      <c r="F49" s="773">
        <v>16518.259099999999</v>
      </c>
      <c r="G49" s="773">
        <v>15014.90236</v>
      </c>
    </row>
    <row r="50" spans="1:7" s="648" customFormat="1" x14ac:dyDescent="0.2">
      <c r="A50" s="770" t="s">
        <v>2011</v>
      </c>
      <c r="B50" s="770" t="s">
        <v>2012</v>
      </c>
      <c r="C50" s="776" t="s">
        <v>2013</v>
      </c>
      <c r="D50" s="773"/>
      <c r="E50" s="773"/>
      <c r="F50" s="773"/>
      <c r="G50" s="773">
        <v>40.139000000000003</v>
      </c>
    </row>
    <row r="51" spans="1:7" s="648" customFormat="1" x14ac:dyDescent="0.2">
      <c r="A51" s="770" t="s">
        <v>2014</v>
      </c>
      <c r="B51" s="770" t="s">
        <v>2015</v>
      </c>
      <c r="C51" s="776" t="s">
        <v>2016</v>
      </c>
      <c r="D51" s="773">
        <v>8678.2893499999991</v>
      </c>
      <c r="E51" s="773"/>
      <c r="F51" s="773">
        <v>8678.2893499999991</v>
      </c>
      <c r="G51" s="773">
        <v>7616.2198899999994</v>
      </c>
    </row>
    <row r="52" spans="1:7" s="648" customFormat="1" x14ac:dyDescent="0.2">
      <c r="A52" s="770" t="s">
        <v>2017</v>
      </c>
      <c r="B52" s="770" t="s">
        <v>2018</v>
      </c>
      <c r="C52" s="776" t="s">
        <v>2019</v>
      </c>
      <c r="D52" s="774">
        <v>0</v>
      </c>
      <c r="E52" s="774"/>
      <c r="F52" s="774">
        <v>0</v>
      </c>
      <c r="G52" s="774">
        <v>0</v>
      </c>
    </row>
    <row r="53" spans="1:7" s="648" customFormat="1" x14ac:dyDescent="0.2">
      <c r="A53" s="770" t="s">
        <v>2020</v>
      </c>
      <c r="B53" s="770" t="s">
        <v>2021</v>
      </c>
      <c r="C53" s="776" t="s">
        <v>2022</v>
      </c>
      <c r="D53" s="773">
        <v>12260.57864</v>
      </c>
      <c r="E53" s="773"/>
      <c r="F53" s="773">
        <v>12260.57864</v>
      </c>
      <c r="G53" s="773">
        <v>9270.5115299999998</v>
      </c>
    </row>
    <row r="54" spans="1:7" s="648" customFormat="1" x14ac:dyDescent="0.2">
      <c r="A54" s="770" t="s">
        <v>2023</v>
      </c>
      <c r="B54" s="770" t="s">
        <v>2024</v>
      </c>
      <c r="C54" s="776" t="s">
        <v>2025</v>
      </c>
      <c r="D54" s="774">
        <v>0</v>
      </c>
      <c r="E54" s="774"/>
      <c r="F54" s="774">
        <v>0</v>
      </c>
      <c r="G54" s="774">
        <v>0</v>
      </c>
    </row>
    <row r="55" spans="1:7" s="826" customFormat="1" x14ac:dyDescent="0.2">
      <c r="A55" s="770" t="s">
        <v>2026</v>
      </c>
      <c r="B55" s="770" t="s">
        <v>2027</v>
      </c>
      <c r="C55" s="776" t="s">
        <v>2028</v>
      </c>
      <c r="D55" s="773">
        <v>1324.5653</v>
      </c>
      <c r="E55" s="773"/>
      <c r="F55" s="773">
        <v>1324.5653</v>
      </c>
      <c r="G55" s="773">
        <v>1490.8671100000001</v>
      </c>
    </row>
    <row r="56" spans="1:7" s="648" customFormat="1" x14ac:dyDescent="0.2">
      <c r="A56" s="770" t="s">
        <v>2029</v>
      </c>
      <c r="B56" s="770" t="s">
        <v>2030</v>
      </c>
      <c r="C56" s="776" t="s">
        <v>2031</v>
      </c>
      <c r="D56" s="773"/>
      <c r="E56" s="773"/>
      <c r="F56" s="773"/>
      <c r="G56" s="773"/>
    </row>
    <row r="57" spans="1:7" s="648" customFormat="1" x14ac:dyDescent="0.2">
      <c r="A57" s="775" t="s">
        <v>2032</v>
      </c>
      <c r="B57" s="775" t="s">
        <v>2033</v>
      </c>
      <c r="C57" s="815" t="s">
        <v>2034</v>
      </c>
      <c r="D57" s="773">
        <v>2707.3765199999998</v>
      </c>
      <c r="E57" s="773"/>
      <c r="F57" s="773">
        <v>2707.3765199999998</v>
      </c>
      <c r="G57" s="773">
        <v>2513.9827999999998</v>
      </c>
    </row>
    <row r="58" spans="1:7" s="648" customFormat="1" x14ac:dyDescent="0.2">
      <c r="A58" s="767" t="s">
        <v>2035</v>
      </c>
      <c r="B58" s="767" t="s">
        <v>2036</v>
      </c>
      <c r="C58" s="812" t="s">
        <v>133</v>
      </c>
      <c r="D58" s="769">
        <v>181854.94503</v>
      </c>
      <c r="E58" s="769">
        <v>1639.33251</v>
      </c>
      <c r="F58" s="769">
        <v>180215.61252000002</v>
      </c>
      <c r="G58" s="769">
        <v>356393.24088999996</v>
      </c>
    </row>
    <row r="59" spans="1:7" s="648" customFormat="1" x14ac:dyDescent="0.2">
      <c r="A59" s="827" t="s">
        <v>2037</v>
      </c>
      <c r="B59" s="827" t="s">
        <v>2038</v>
      </c>
      <c r="C59" s="828" t="s">
        <v>2039</v>
      </c>
      <c r="D59" s="772">
        <v>19822.875479999999</v>
      </c>
      <c r="E59" s="772">
        <v>1639.33251</v>
      </c>
      <c r="F59" s="772">
        <v>18183.542969999999</v>
      </c>
      <c r="G59" s="772">
        <v>18166.750260000001</v>
      </c>
    </row>
    <row r="60" spans="1:7" s="648" customFormat="1" x14ac:dyDescent="0.2">
      <c r="A60" s="770" t="s">
        <v>2046</v>
      </c>
      <c r="B60" s="770" t="s">
        <v>2047</v>
      </c>
      <c r="C60" s="776" t="s">
        <v>2048</v>
      </c>
      <c r="D60" s="773">
        <v>25566.689589999998</v>
      </c>
      <c r="E60" s="773"/>
      <c r="F60" s="773">
        <v>25566.689589999998</v>
      </c>
      <c r="G60" s="773">
        <v>22147.259590000001</v>
      </c>
    </row>
    <row r="61" spans="1:7" s="648" customFormat="1" x14ac:dyDescent="0.2">
      <c r="A61" s="770" t="s">
        <v>2049</v>
      </c>
      <c r="B61" s="770" t="s">
        <v>2050</v>
      </c>
      <c r="C61" s="776" t="s">
        <v>2051</v>
      </c>
      <c r="D61" s="773">
        <v>6711.5133599999999</v>
      </c>
      <c r="E61" s="773"/>
      <c r="F61" s="773">
        <v>6711.5133599999999</v>
      </c>
      <c r="G61" s="773">
        <v>10208.91411</v>
      </c>
    </row>
    <row r="62" spans="1:7" s="648" customFormat="1" x14ac:dyDescent="0.2">
      <c r="A62" s="770" t="s">
        <v>2052</v>
      </c>
      <c r="B62" s="770" t="s">
        <v>2053</v>
      </c>
      <c r="C62" s="776" t="s">
        <v>2054</v>
      </c>
      <c r="D62" s="774">
        <v>0</v>
      </c>
      <c r="E62" s="774"/>
      <c r="F62" s="774">
        <v>0</v>
      </c>
      <c r="G62" s="774">
        <v>0</v>
      </c>
    </row>
    <row r="63" spans="1:7" s="648" customFormat="1" x14ac:dyDescent="0.2">
      <c r="A63" s="770" t="s">
        <v>2061</v>
      </c>
      <c r="B63" s="770" t="s">
        <v>2062</v>
      </c>
      <c r="C63" s="776" t="s">
        <v>2063</v>
      </c>
      <c r="D63" s="774">
        <v>1302.9340099999999</v>
      </c>
      <c r="E63" s="774"/>
      <c r="F63" s="774">
        <v>1302.9340099999999</v>
      </c>
      <c r="G63" s="774">
        <v>1537.82124</v>
      </c>
    </row>
    <row r="64" spans="1:7" s="648" customFormat="1" x14ac:dyDescent="0.2">
      <c r="A64" s="770" t="s">
        <v>2064</v>
      </c>
      <c r="B64" s="770" t="s">
        <v>2065</v>
      </c>
      <c r="C64" s="776" t="s">
        <v>2066</v>
      </c>
      <c r="D64" s="773"/>
      <c r="E64" s="773"/>
      <c r="F64" s="773"/>
      <c r="G64" s="773"/>
    </row>
    <row r="65" spans="1:7" s="648" customFormat="1" x14ac:dyDescent="0.2">
      <c r="A65" s="770" t="s">
        <v>2067</v>
      </c>
      <c r="B65" s="770" t="s">
        <v>2068</v>
      </c>
      <c r="C65" s="776" t="s">
        <v>2069</v>
      </c>
      <c r="D65" s="774"/>
      <c r="E65" s="774"/>
      <c r="F65" s="774"/>
      <c r="G65" s="774"/>
    </row>
    <row r="66" spans="1:7" s="648" customFormat="1" x14ac:dyDescent="0.2">
      <c r="A66" s="770" t="s">
        <v>2070</v>
      </c>
      <c r="B66" s="770" t="s">
        <v>2071</v>
      </c>
      <c r="C66" s="776" t="s">
        <v>2072</v>
      </c>
      <c r="D66" s="773"/>
      <c r="E66" s="773"/>
      <c r="F66" s="773"/>
      <c r="G66" s="773"/>
    </row>
    <row r="67" spans="1:7" s="648" customFormat="1" x14ac:dyDescent="0.2">
      <c r="A67" s="770" t="s">
        <v>2073</v>
      </c>
      <c r="B67" s="770" t="s">
        <v>2074</v>
      </c>
      <c r="C67" s="776" t="s">
        <v>2075</v>
      </c>
      <c r="D67" s="774">
        <v>466.017</v>
      </c>
      <c r="E67" s="773"/>
      <c r="F67" s="774">
        <v>466.017</v>
      </c>
      <c r="G67" s="773">
        <v>385.37799999999999</v>
      </c>
    </row>
    <row r="68" spans="1:7" s="648" customFormat="1" x14ac:dyDescent="0.2">
      <c r="A68" s="770" t="s">
        <v>2076</v>
      </c>
      <c r="B68" s="770" t="s">
        <v>2077</v>
      </c>
      <c r="C68" s="776" t="s">
        <v>2078</v>
      </c>
      <c r="D68" s="773"/>
      <c r="E68" s="773"/>
      <c r="F68" s="773"/>
      <c r="G68" s="773"/>
    </row>
    <row r="69" spans="1:7" s="648" customFormat="1" x14ac:dyDescent="0.2">
      <c r="A69" s="770" t="s">
        <v>2079</v>
      </c>
      <c r="B69" s="770" t="s">
        <v>236</v>
      </c>
      <c r="C69" s="776" t="s">
        <v>2080</v>
      </c>
      <c r="D69" s="773">
        <v>1226.7548100000001</v>
      </c>
      <c r="E69" s="773"/>
      <c r="F69" s="773">
        <v>1226.7548100000001</v>
      </c>
      <c r="G69" s="773">
        <v>83.422470000000004</v>
      </c>
    </row>
    <row r="70" spans="1:7" s="648" customFormat="1" x14ac:dyDescent="0.2">
      <c r="A70" s="770" t="s">
        <v>2081</v>
      </c>
      <c r="B70" s="770" t="s">
        <v>2082</v>
      </c>
      <c r="C70" s="776" t="s">
        <v>2083</v>
      </c>
      <c r="D70" s="773">
        <v>501.98</v>
      </c>
      <c r="E70" s="773"/>
      <c r="F70" s="773">
        <v>501.98</v>
      </c>
      <c r="G70" s="773">
        <v>11.925000000000001</v>
      </c>
    </row>
    <row r="71" spans="1:7" s="648" customFormat="1" x14ac:dyDescent="0.2">
      <c r="A71" s="770" t="s">
        <v>2084</v>
      </c>
      <c r="B71" s="770" t="s">
        <v>2085</v>
      </c>
      <c r="C71" s="776" t="s">
        <v>2086</v>
      </c>
      <c r="D71" s="773">
        <v>4412.9081200000001</v>
      </c>
      <c r="E71" s="773"/>
      <c r="F71" s="773">
        <v>4412.9081200000001</v>
      </c>
      <c r="G71" s="773">
        <v>4839.2111999999997</v>
      </c>
    </row>
    <row r="72" spans="1:7" s="648" customFormat="1" x14ac:dyDescent="0.2">
      <c r="A72" s="770" t="s">
        <v>2087</v>
      </c>
      <c r="B72" s="770" t="s">
        <v>2088</v>
      </c>
      <c r="C72" s="776" t="s">
        <v>2089</v>
      </c>
      <c r="D72" s="774">
        <v>9621.5483100000001</v>
      </c>
      <c r="E72" s="774"/>
      <c r="F72" s="774">
        <v>9621.5483100000001</v>
      </c>
      <c r="G72" s="774">
        <v>26578.768929999998</v>
      </c>
    </row>
    <row r="73" spans="1:7" s="648" customFormat="1" x14ac:dyDescent="0.2">
      <c r="A73" s="777" t="s">
        <v>2102</v>
      </c>
      <c r="B73" s="777" t="s">
        <v>2103</v>
      </c>
      <c r="C73" s="778" t="s">
        <v>2104</v>
      </c>
      <c r="D73" s="798">
        <v>10577.357029999999</v>
      </c>
      <c r="E73" s="779"/>
      <c r="F73" s="798">
        <v>10577.357029999999</v>
      </c>
      <c r="G73" s="779">
        <v>11232.380999999999</v>
      </c>
    </row>
    <row r="74" spans="1:7" s="648" customFormat="1" x14ac:dyDescent="0.2">
      <c r="A74" s="770" t="s">
        <v>2105</v>
      </c>
      <c r="B74" s="848" t="s">
        <v>2106</v>
      </c>
      <c r="C74" s="776" t="s">
        <v>2107</v>
      </c>
      <c r="D74" s="774">
        <v>0</v>
      </c>
      <c r="E74" s="774">
        <v>0</v>
      </c>
      <c r="F74" s="774">
        <v>0</v>
      </c>
      <c r="G74" s="774">
        <v>0</v>
      </c>
    </row>
    <row r="75" spans="1:7" s="826" customFormat="1" x14ac:dyDescent="0.2">
      <c r="A75" s="770" t="s">
        <v>2108</v>
      </c>
      <c r="B75" s="770" t="s">
        <v>2109</v>
      </c>
      <c r="C75" s="776" t="s">
        <v>2110</v>
      </c>
      <c r="D75" s="774">
        <v>9071.6627200000003</v>
      </c>
      <c r="E75" s="774">
        <v>0</v>
      </c>
      <c r="F75" s="774">
        <v>9071.6627200000003</v>
      </c>
      <c r="G75" s="774">
        <v>8005.23117</v>
      </c>
    </row>
    <row r="76" spans="1:7" s="648" customFormat="1" x14ac:dyDescent="0.2">
      <c r="A76" s="770" t="s">
        <v>2111</v>
      </c>
      <c r="B76" s="770" t="s">
        <v>2112</v>
      </c>
      <c r="C76" s="776" t="s">
        <v>2113</v>
      </c>
      <c r="D76" s="773">
        <v>1564.2487100000001</v>
      </c>
      <c r="E76" s="773"/>
      <c r="F76" s="773">
        <v>1564.2487100000001</v>
      </c>
      <c r="G76" s="773">
        <v>1978.90698</v>
      </c>
    </row>
    <row r="77" spans="1:7" s="648" customFormat="1" x14ac:dyDescent="0.2">
      <c r="A77" s="770" t="s">
        <v>2114</v>
      </c>
      <c r="B77" s="770" t="s">
        <v>2115</v>
      </c>
      <c r="C77" s="776" t="s">
        <v>2116</v>
      </c>
      <c r="D77" s="774">
        <v>77759.235819999987</v>
      </c>
      <c r="E77" s="774"/>
      <c r="F77" s="774">
        <v>77759.235819999987</v>
      </c>
      <c r="G77" s="774">
        <v>235693.40300999998</v>
      </c>
    </row>
    <row r="78" spans="1:7" s="648" customFormat="1" x14ac:dyDescent="0.2">
      <c r="A78" s="775" t="s">
        <v>2117</v>
      </c>
      <c r="B78" s="829" t="s">
        <v>2118</v>
      </c>
      <c r="C78" s="830" t="s">
        <v>2119</v>
      </c>
      <c r="D78" s="779">
        <v>13249.220069999999</v>
      </c>
      <c r="E78" s="779"/>
      <c r="F78" s="779">
        <v>13249.220069999999</v>
      </c>
      <c r="G78" s="779">
        <v>15523.86793</v>
      </c>
    </row>
    <row r="79" spans="1:7" s="648" customFormat="1" x14ac:dyDescent="0.2">
      <c r="A79" s="804" t="s">
        <v>2120</v>
      </c>
      <c r="B79" s="804" t="s">
        <v>2121</v>
      </c>
      <c r="C79" s="805" t="s">
        <v>133</v>
      </c>
      <c r="D79" s="769">
        <v>699785.99296000006</v>
      </c>
      <c r="E79" s="769">
        <v>0</v>
      </c>
      <c r="F79" s="769">
        <v>699785.99296000006</v>
      </c>
      <c r="G79" s="769">
        <v>730843.90478999994</v>
      </c>
    </row>
    <row r="80" spans="1:7" s="648" customFormat="1" x14ac:dyDescent="0.2">
      <c r="A80" s="775" t="s">
        <v>2122</v>
      </c>
      <c r="B80" s="775" t="s">
        <v>2123</v>
      </c>
      <c r="C80" s="815" t="s">
        <v>2124</v>
      </c>
      <c r="D80" s="773"/>
      <c r="E80" s="773"/>
      <c r="F80" s="773"/>
      <c r="G80" s="773"/>
    </row>
    <row r="81" spans="1:7" s="648" customFormat="1" x14ac:dyDescent="0.2">
      <c r="A81" s="770" t="s">
        <v>2125</v>
      </c>
      <c r="B81" s="770" t="s">
        <v>2126</v>
      </c>
      <c r="C81" s="776" t="s">
        <v>2127</v>
      </c>
      <c r="D81" s="773"/>
      <c r="E81" s="773"/>
      <c r="F81" s="773"/>
      <c r="G81" s="773"/>
    </row>
    <row r="82" spans="1:7" s="648" customFormat="1" x14ac:dyDescent="0.2">
      <c r="A82" s="770" t="s">
        <v>2128</v>
      </c>
      <c r="B82" s="770" t="s">
        <v>2129</v>
      </c>
      <c r="C82" s="776" t="s">
        <v>2130</v>
      </c>
      <c r="D82" s="773"/>
      <c r="E82" s="773"/>
      <c r="F82" s="773"/>
      <c r="G82" s="773"/>
    </row>
    <row r="83" spans="1:7" s="648" customFormat="1" x14ac:dyDescent="0.2">
      <c r="A83" s="770" t="s">
        <v>2131</v>
      </c>
      <c r="B83" s="770" t="s">
        <v>2132</v>
      </c>
      <c r="C83" s="776" t="s">
        <v>2133</v>
      </c>
      <c r="D83" s="773">
        <v>12047.61922</v>
      </c>
      <c r="E83" s="773"/>
      <c r="F83" s="773">
        <v>12047.61922</v>
      </c>
      <c r="G83" s="773">
        <v>8597.2362200000007</v>
      </c>
    </row>
    <row r="84" spans="1:7" s="648" customFormat="1" x14ac:dyDescent="0.2">
      <c r="A84" s="770" t="s">
        <v>2134</v>
      </c>
      <c r="B84" s="770" t="s">
        <v>2135</v>
      </c>
      <c r="C84" s="776" t="s">
        <v>2136</v>
      </c>
      <c r="D84" s="773">
        <v>2554.6812799999998</v>
      </c>
      <c r="E84" s="773"/>
      <c r="F84" s="773">
        <v>2554.6812799999998</v>
      </c>
      <c r="G84" s="773">
        <v>9159.1432199999999</v>
      </c>
    </row>
    <row r="85" spans="1:7" s="648" customFormat="1" x14ac:dyDescent="0.2">
      <c r="A85" s="770" t="s">
        <v>2137</v>
      </c>
      <c r="B85" s="770" t="s">
        <v>2138</v>
      </c>
      <c r="C85" s="776" t="s">
        <v>2139</v>
      </c>
      <c r="D85" s="773">
        <v>662169.80966999999</v>
      </c>
      <c r="E85" s="773"/>
      <c r="F85" s="773">
        <v>662169.80966999999</v>
      </c>
      <c r="G85" s="773">
        <v>690661.00910999998</v>
      </c>
    </row>
    <row r="86" spans="1:7" s="648" customFormat="1" x14ac:dyDescent="0.2">
      <c r="A86" s="770" t="s">
        <v>2140</v>
      </c>
      <c r="B86" s="770" t="s">
        <v>2141</v>
      </c>
      <c r="C86" s="776" t="s">
        <v>2142</v>
      </c>
      <c r="D86" s="773">
        <v>15649.78154</v>
      </c>
      <c r="E86" s="773"/>
      <c r="F86" s="773">
        <v>15649.78154</v>
      </c>
      <c r="G86" s="773">
        <v>15442.052009999999</v>
      </c>
    </row>
    <row r="87" spans="1:7" s="648" customFormat="1" x14ac:dyDescent="0.2">
      <c r="A87" s="770" t="s">
        <v>2149</v>
      </c>
      <c r="B87" s="770" t="s">
        <v>2150</v>
      </c>
      <c r="C87" s="776" t="s">
        <v>2151</v>
      </c>
      <c r="D87" s="773">
        <v>804.62729999999999</v>
      </c>
      <c r="E87" s="773"/>
      <c r="F87" s="773">
        <v>804.62729999999999</v>
      </c>
      <c r="G87" s="773">
        <v>936.95083</v>
      </c>
    </row>
    <row r="88" spans="1:7" s="648" customFormat="1" x14ac:dyDescent="0.2">
      <c r="A88" s="770" t="s">
        <v>2152</v>
      </c>
      <c r="B88" s="770" t="s">
        <v>2153</v>
      </c>
      <c r="C88" s="776" t="s">
        <v>2154</v>
      </c>
      <c r="D88" s="773">
        <v>0.28000000000000003</v>
      </c>
      <c r="E88" s="773"/>
      <c r="F88" s="773">
        <v>0.28000000000000003</v>
      </c>
      <c r="G88" s="773">
        <v>49.6</v>
      </c>
    </row>
    <row r="89" spans="1:7" ht="12.75" customHeight="1" x14ac:dyDescent="0.2">
      <c r="A89" s="777" t="s">
        <v>2155</v>
      </c>
      <c r="B89" s="777" t="s">
        <v>2156</v>
      </c>
      <c r="C89" s="778" t="s">
        <v>2157</v>
      </c>
      <c r="D89" s="779">
        <v>6559.1939499999999</v>
      </c>
      <c r="E89" s="779"/>
      <c r="F89" s="779">
        <v>6559.1939499999999</v>
      </c>
      <c r="G89" s="779">
        <v>5997.9134000000004</v>
      </c>
    </row>
    <row r="90" spans="1:7" s="765" customFormat="1" ht="12.75" customHeight="1" x14ac:dyDescent="0.2">
      <c r="A90" s="831"/>
      <c r="B90" s="831"/>
      <c r="C90" s="831"/>
      <c r="D90" s="832"/>
      <c r="E90" s="833"/>
      <c r="F90" s="832"/>
      <c r="G90" s="832"/>
    </row>
    <row r="91" spans="1:7" s="765" customFormat="1" x14ac:dyDescent="0.2">
      <c r="A91" s="831"/>
      <c r="B91" s="831"/>
      <c r="C91" s="831"/>
      <c r="D91" s="832"/>
      <c r="E91" s="833"/>
      <c r="F91" s="832"/>
      <c r="G91" s="832"/>
    </row>
    <row r="92" spans="1:7" s="826" customFormat="1" x14ac:dyDescent="0.2">
      <c r="A92" s="819"/>
      <c r="B92" s="820"/>
      <c r="C92" s="821"/>
      <c r="D92" s="789">
        <v>1</v>
      </c>
      <c r="E92" s="789">
        <v>2</v>
      </c>
      <c r="F92" s="792"/>
      <c r="G92" s="793"/>
    </row>
    <row r="93" spans="1:7" s="826" customFormat="1" ht="12.75" customHeight="1" x14ac:dyDescent="0.2">
      <c r="A93" s="1495" t="s">
        <v>1876</v>
      </c>
      <c r="B93" s="1496"/>
      <c r="C93" s="1501" t="s">
        <v>1877</v>
      </c>
      <c r="D93" s="1515" t="s">
        <v>1878</v>
      </c>
      <c r="E93" s="1515"/>
      <c r="F93" s="792"/>
      <c r="G93" s="793"/>
    </row>
    <row r="94" spans="1:7" s="826" customFormat="1" x14ac:dyDescent="0.2">
      <c r="A94" s="1499"/>
      <c r="B94" s="1500"/>
      <c r="C94" s="1514"/>
      <c r="D94" s="794" t="s">
        <v>1879</v>
      </c>
      <c r="E94" s="795" t="s">
        <v>1880</v>
      </c>
      <c r="F94" s="792"/>
      <c r="G94" s="793"/>
    </row>
    <row r="95" spans="1:7" s="648" customFormat="1" x14ac:dyDescent="0.2">
      <c r="A95" s="804"/>
      <c r="B95" s="804" t="s">
        <v>2158</v>
      </c>
      <c r="C95" s="805" t="s">
        <v>133</v>
      </c>
      <c r="D95" s="769">
        <v>6698955.3799300008</v>
      </c>
      <c r="E95" s="769">
        <v>6270310.96361</v>
      </c>
      <c r="F95" s="790"/>
      <c r="G95" s="791"/>
    </row>
    <row r="96" spans="1:7" s="648" customFormat="1" x14ac:dyDescent="0.2">
      <c r="A96" s="804" t="s">
        <v>2159</v>
      </c>
      <c r="B96" s="804" t="s">
        <v>2160</v>
      </c>
      <c r="C96" s="805" t="s">
        <v>133</v>
      </c>
      <c r="D96" s="769">
        <v>6169147.6995600006</v>
      </c>
      <c r="E96" s="769">
        <v>5531553.5353199998</v>
      </c>
      <c r="F96" s="790"/>
      <c r="G96" s="791"/>
    </row>
    <row r="97" spans="1:7" s="648" customFormat="1" x14ac:dyDescent="0.2">
      <c r="A97" s="804" t="s">
        <v>2161</v>
      </c>
      <c r="B97" s="804" t="s">
        <v>2162</v>
      </c>
      <c r="C97" s="805" t="s">
        <v>133</v>
      </c>
      <c r="D97" s="769">
        <v>5761509.4718900006</v>
      </c>
      <c r="E97" s="769">
        <v>5158405.4200799996</v>
      </c>
      <c r="F97" s="790"/>
      <c r="G97" s="791"/>
    </row>
    <row r="98" spans="1:7" s="648" customFormat="1" x14ac:dyDescent="0.2">
      <c r="A98" s="770" t="s">
        <v>2163</v>
      </c>
      <c r="B98" s="770" t="s">
        <v>2164</v>
      </c>
      <c r="C98" s="776" t="s">
        <v>2165</v>
      </c>
      <c r="D98" s="773">
        <v>5463094.8432299998</v>
      </c>
      <c r="E98" s="773">
        <v>5155162.8727000002</v>
      </c>
      <c r="F98" s="792"/>
      <c r="G98" s="793"/>
    </row>
    <row r="99" spans="1:7" s="648" customFormat="1" x14ac:dyDescent="0.2">
      <c r="A99" s="770" t="s">
        <v>2166</v>
      </c>
      <c r="B99" s="770" t="s">
        <v>2167</v>
      </c>
      <c r="C99" s="776" t="s">
        <v>2168</v>
      </c>
      <c r="D99" s="774">
        <v>973667.34855999995</v>
      </c>
      <c r="E99" s="774">
        <v>626343.38170999999</v>
      </c>
      <c r="F99" s="792"/>
      <c r="G99" s="783"/>
    </row>
    <row r="100" spans="1:7" s="648" customFormat="1" x14ac:dyDescent="0.2">
      <c r="A100" s="770" t="s">
        <v>2169</v>
      </c>
      <c r="B100" s="770" t="s">
        <v>2170</v>
      </c>
      <c r="C100" s="776" t="s">
        <v>2171</v>
      </c>
      <c r="D100" s="774">
        <v>0</v>
      </c>
      <c r="E100" s="774">
        <v>0</v>
      </c>
      <c r="F100" s="796"/>
      <c r="G100" s="783"/>
    </row>
    <row r="101" spans="1:7" s="826" customFormat="1" x14ac:dyDescent="0.2">
      <c r="A101" s="770" t="s">
        <v>2172</v>
      </c>
      <c r="B101" s="770" t="s">
        <v>2173</v>
      </c>
      <c r="C101" s="776" t="s">
        <v>2174</v>
      </c>
      <c r="D101" s="774">
        <v>-669983.49519000005</v>
      </c>
      <c r="E101" s="774">
        <v>-619497.65997000004</v>
      </c>
      <c r="F101" s="796"/>
      <c r="G101" s="783"/>
    </row>
    <row r="102" spans="1:7" s="648" customFormat="1" x14ac:dyDescent="0.2">
      <c r="A102" s="770" t="s">
        <v>2175</v>
      </c>
      <c r="B102" s="770" t="s">
        <v>2176</v>
      </c>
      <c r="C102" s="776" t="s">
        <v>2177</v>
      </c>
      <c r="D102" s="774">
        <v>0</v>
      </c>
      <c r="E102" s="774">
        <v>0</v>
      </c>
      <c r="F102" s="796"/>
      <c r="G102" s="783"/>
    </row>
    <row r="103" spans="1:7" s="648" customFormat="1" x14ac:dyDescent="0.2">
      <c r="A103" s="770" t="s">
        <v>2178</v>
      </c>
      <c r="B103" s="770" t="s">
        <v>2179</v>
      </c>
      <c r="C103" s="776" t="s">
        <v>2180</v>
      </c>
      <c r="D103" s="779">
        <v>-5269.2247100000004</v>
      </c>
      <c r="E103" s="779">
        <v>-3603.17436</v>
      </c>
      <c r="F103" s="796"/>
      <c r="G103" s="783"/>
    </row>
    <row r="104" spans="1:7" s="648" customFormat="1" ht="13.5" customHeight="1" x14ac:dyDescent="0.2">
      <c r="A104" s="804" t="s">
        <v>2181</v>
      </c>
      <c r="B104" s="804" t="s">
        <v>2182</v>
      </c>
      <c r="C104" s="805" t="s">
        <v>133</v>
      </c>
      <c r="D104" s="769">
        <v>363418.54824000003</v>
      </c>
      <c r="E104" s="769">
        <v>350691.30445</v>
      </c>
      <c r="F104" s="790"/>
      <c r="G104" s="791"/>
    </row>
    <row r="105" spans="1:7" s="648" customFormat="1" x14ac:dyDescent="0.2">
      <c r="A105" s="770" t="s">
        <v>2183</v>
      </c>
      <c r="B105" s="770" t="s">
        <v>2184</v>
      </c>
      <c r="C105" s="776" t="s">
        <v>2185</v>
      </c>
      <c r="D105" s="773">
        <v>28154.908609999999</v>
      </c>
      <c r="E105" s="773">
        <v>27650.357989999997</v>
      </c>
      <c r="F105" s="792"/>
      <c r="G105" s="793"/>
    </row>
    <row r="106" spans="1:7" s="648" customFormat="1" x14ac:dyDescent="0.2">
      <c r="A106" s="770" t="s">
        <v>2186</v>
      </c>
      <c r="B106" s="770" t="s">
        <v>2187</v>
      </c>
      <c r="C106" s="776" t="s">
        <v>2188</v>
      </c>
      <c r="D106" s="774">
        <v>18104.409</v>
      </c>
      <c r="E106" s="774">
        <v>18105.814999999999</v>
      </c>
      <c r="F106" s="792"/>
      <c r="G106" s="793"/>
    </row>
    <row r="107" spans="1:7" s="648" customFormat="1" ht="21" x14ac:dyDescent="0.2">
      <c r="A107" s="770" t="s">
        <v>2189</v>
      </c>
      <c r="B107" s="770" t="s">
        <v>2190</v>
      </c>
      <c r="C107" s="776" t="s">
        <v>2191</v>
      </c>
      <c r="D107" s="774">
        <v>77178.447780000002</v>
      </c>
      <c r="E107" s="774">
        <v>71027.058059999996</v>
      </c>
      <c r="F107" s="792"/>
      <c r="G107" s="793"/>
    </row>
    <row r="108" spans="1:7" s="826" customFormat="1" x14ac:dyDescent="0.2">
      <c r="A108" s="770" t="s">
        <v>2192</v>
      </c>
      <c r="B108" s="770" t="s">
        <v>2193</v>
      </c>
      <c r="C108" s="776" t="s">
        <v>2194</v>
      </c>
      <c r="D108" s="774">
        <v>18990.711230000001</v>
      </c>
      <c r="E108" s="774">
        <v>19525.174210000001</v>
      </c>
      <c r="F108" s="796"/>
      <c r="G108" s="783"/>
    </row>
    <row r="109" spans="1:7" s="648" customFormat="1" x14ac:dyDescent="0.2">
      <c r="A109" s="770" t="s">
        <v>2195</v>
      </c>
      <c r="B109" s="770" t="s">
        <v>2196</v>
      </c>
      <c r="C109" s="776" t="s">
        <v>2197</v>
      </c>
      <c r="D109" s="774">
        <v>220990.07162</v>
      </c>
      <c r="E109" s="774">
        <v>214382.89919</v>
      </c>
      <c r="F109" s="792"/>
      <c r="G109" s="793"/>
    </row>
    <row r="110" spans="1:7" s="648" customFormat="1" x14ac:dyDescent="0.2">
      <c r="A110" s="804" t="s">
        <v>2201</v>
      </c>
      <c r="B110" s="804" t="s">
        <v>2202</v>
      </c>
      <c r="C110" s="805" t="s">
        <v>133</v>
      </c>
      <c r="D110" s="769">
        <v>44219.679429999997</v>
      </c>
      <c r="E110" s="769">
        <v>22456.81079</v>
      </c>
      <c r="F110" s="790"/>
      <c r="G110" s="791"/>
    </row>
    <row r="111" spans="1:7" s="648" customFormat="1" x14ac:dyDescent="0.2">
      <c r="A111" s="770" t="s">
        <v>2203</v>
      </c>
      <c r="B111" s="770" t="s">
        <v>2204</v>
      </c>
      <c r="C111" s="776" t="s">
        <v>133</v>
      </c>
      <c r="D111" s="773">
        <v>35021.80586</v>
      </c>
      <c r="E111" s="773">
        <v>22214.446250000001</v>
      </c>
      <c r="F111" s="792"/>
      <c r="G111" s="783"/>
    </row>
    <row r="112" spans="1:7" s="826" customFormat="1" x14ac:dyDescent="0.2">
      <c r="A112" s="770" t="s">
        <v>2205</v>
      </c>
      <c r="B112" s="770" t="s">
        <v>2206</v>
      </c>
      <c r="C112" s="776" t="s">
        <v>2207</v>
      </c>
      <c r="D112" s="774">
        <v>0</v>
      </c>
      <c r="E112" s="774">
        <v>0</v>
      </c>
      <c r="F112" s="796"/>
      <c r="G112" s="793"/>
    </row>
    <row r="113" spans="1:7" s="826" customFormat="1" x14ac:dyDescent="0.2">
      <c r="A113" s="770" t="s">
        <v>2208</v>
      </c>
      <c r="B113" s="770" t="s">
        <v>2209</v>
      </c>
      <c r="C113" s="776" t="s">
        <v>2210</v>
      </c>
      <c r="D113" s="774">
        <v>9197.8735699999997</v>
      </c>
      <c r="E113" s="774">
        <v>242.36454000000001</v>
      </c>
      <c r="F113" s="796"/>
      <c r="G113" s="783"/>
    </row>
    <row r="114" spans="1:7" s="648" customFormat="1" x14ac:dyDescent="0.2">
      <c r="A114" s="804" t="s">
        <v>2211</v>
      </c>
      <c r="B114" s="804" t="s">
        <v>2212</v>
      </c>
      <c r="C114" s="805" t="s">
        <v>133</v>
      </c>
      <c r="D114" s="769">
        <v>529807.68036999996</v>
      </c>
      <c r="E114" s="769">
        <v>738757.42828999995</v>
      </c>
      <c r="F114" s="790"/>
      <c r="G114" s="791"/>
    </row>
    <row r="115" spans="1:7" s="826" customFormat="1" x14ac:dyDescent="0.2">
      <c r="A115" s="804" t="s">
        <v>2213</v>
      </c>
      <c r="B115" s="804" t="s">
        <v>2214</v>
      </c>
      <c r="C115" s="805" t="s">
        <v>133</v>
      </c>
      <c r="D115" s="769">
        <v>0</v>
      </c>
      <c r="E115" s="769">
        <v>0</v>
      </c>
      <c r="F115" s="790"/>
      <c r="G115" s="791"/>
    </row>
    <row r="116" spans="1:7" s="648" customFormat="1" x14ac:dyDescent="0.2">
      <c r="A116" s="770" t="s">
        <v>2215</v>
      </c>
      <c r="B116" s="770" t="s">
        <v>2214</v>
      </c>
      <c r="C116" s="776" t="s">
        <v>2216</v>
      </c>
      <c r="D116" s="774">
        <v>0</v>
      </c>
      <c r="E116" s="774">
        <v>0</v>
      </c>
      <c r="F116" s="796"/>
      <c r="G116" s="783"/>
    </row>
    <row r="117" spans="1:7" s="648" customFormat="1" x14ac:dyDescent="0.2">
      <c r="A117" s="804" t="s">
        <v>2217</v>
      </c>
      <c r="B117" s="804" t="s">
        <v>2218</v>
      </c>
      <c r="C117" s="805" t="s">
        <v>133</v>
      </c>
      <c r="D117" s="769">
        <v>35196.435729999997</v>
      </c>
      <c r="E117" s="769">
        <v>235319.04175999999</v>
      </c>
      <c r="F117" s="790"/>
      <c r="G117" s="791"/>
    </row>
    <row r="118" spans="1:7" s="648" customFormat="1" x14ac:dyDescent="0.2">
      <c r="A118" s="770" t="s">
        <v>2219</v>
      </c>
      <c r="B118" s="770" t="s">
        <v>2220</v>
      </c>
      <c r="C118" s="776" t="s">
        <v>2221</v>
      </c>
      <c r="D118" s="774">
        <v>0</v>
      </c>
      <c r="E118" s="774">
        <v>0</v>
      </c>
      <c r="F118" s="796"/>
      <c r="G118" s="783"/>
    </row>
    <row r="119" spans="1:7" s="648" customFormat="1" x14ac:dyDescent="0.2">
      <c r="A119" s="770" t="s">
        <v>2222</v>
      </c>
      <c r="B119" s="770" t="s">
        <v>2223</v>
      </c>
      <c r="C119" s="776" t="s">
        <v>2224</v>
      </c>
      <c r="D119" s="774">
        <v>0</v>
      </c>
      <c r="E119" s="774">
        <v>0</v>
      </c>
      <c r="F119" s="796"/>
      <c r="G119" s="783"/>
    </row>
    <row r="120" spans="1:7" s="648" customFormat="1" x14ac:dyDescent="0.2">
      <c r="A120" s="770" t="s">
        <v>2228</v>
      </c>
      <c r="B120" s="770" t="s">
        <v>2229</v>
      </c>
      <c r="C120" s="776" t="s">
        <v>2230</v>
      </c>
      <c r="D120" s="774">
        <v>137.33920999999998</v>
      </c>
      <c r="E120" s="774">
        <v>1087.67758</v>
      </c>
      <c r="F120" s="796"/>
      <c r="G120" s="783"/>
    </row>
    <row r="121" spans="1:7" s="648" customFormat="1" x14ac:dyDescent="0.2">
      <c r="A121" s="770" t="s">
        <v>2237</v>
      </c>
      <c r="B121" s="770" t="s">
        <v>2238</v>
      </c>
      <c r="C121" s="776" t="s">
        <v>2239</v>
      </c>
      <c r="D121" s="774">
        <v>133.28448</v>
      </c>
      <c r="E121" s="774">
        <v>508.47077000000002</v>
      </c>
      <c r="F121" s="796"/>
      <c r="G121" s="783"/>
    </row>
    <row r="122" spans="1:7" s="826" customFormat="1" x14ac:dyDescent="0.2">
      <c r="A122" s="770" t="s">
        <v>2240</v>
      </c>
      <c r="B122" s="770" t="s">
        <v>2241</v>
      </c>
      <c r="C122" s="776" t="s">
        <v>2242</v>
      </c>
      <c r="D122" s="774">
        <v>34925.812039999997</v>
      </c>
      <c r="E122" s="774">
        <v>227576.18263</v>
      </c>
      <c r="F122" s="796"/>
      <c r="G122" s="783"/>
    </row>
    <row r="123" spans="1:7" s="648" customFormat="1" x14ac:dyDescent="0.2">
      <c r="A123" s="770" t="s">
        <v>2243</v>
      </c>
      <c r="B123" s="770" t="s">
        <v>1999</v>
      </c>
      <c r="C123" s="776" t="s">
        <v>2000</v>
      </c>
      <c r="D123" s="774">
        <v>0</v>
      </c>
      <c r="E123" s="774">
        <v>6146.7107800000003</v>
      </c>
      <c r="F123" s="796"/>
      <c r="G123" s="783"/>
    </row>
    <row r="124" spans="1:7" s="648" customFormat="1" x14ac:dyDescent="0.2">
      <c r="A124" s="804" t="s">
        <v>2244</v>
      </c>
      <c r="B124" s="804" t="s">
        <v>2245</v>
      </c>
      <c r="C124" s="805" t="s">
        <v>133</v>
      </c>
      <c r="D124" s="769">
        <v>494611.24463999999</v>
      </c>
      <c r="E124" s="769">
        <v>503438.38652999996</v>
      </c>
      <c r="F124" s="790"/>
      <c r="G124" s="791"/>
    </row>
    <row r="125" spans="1:7" s="648" customFormat="1" x14ac:dyDescent="0.2">
      <c r="A125" s="770" t="s">
        <v>2246</v>
      </c>
      <c r="B125" s="770" t="s">
        <v>2247</v>
      </c>
      <c r="C125" s="776" t="s">
        <v>2248</v>
      </c>
      <c r="D125" s="774">
        <v>0</v>
      </c>
      <c r="E125" s="774">
        <v>1484.9829999999999</v>
      </c>
      <c r="F125" s="796"/>
      <c r="G125" s="783"/>
    </row>
    <row r="126" spans="1:7" s="648" customFormat="1" x14ac:dyDescent="0.2">
      <c r="A126" s="770" t="s">
        <v>2255</v>
      </c>
      <c r="B126" s="770" t="s">
        <v>2256</v>
      </c>
      <c r="C126" s="776" t="s">
        <v>2257</v>
      </c>
      <c r="D126" s="774">
        <v>0</v>
      </c>
      <c r="E126" s="774">
        <v>0</v>
      </c>
      <c r="F126" s="796"/>
      <c r="G126" s="783"/>
    </row>
    <row r="127" spans="1:7" s="648" customFormat="1" x14ac:dyDescent="0.2">
      <c r="A127" s="770" t="s">
        <v>2258</v>
      </c>
      <c r="B127" s="770" t="s">
        <v>2259</v>
      </c>
      <c r="C127" s="776" t="s">
        <v>2260</v>
      </c>
      <c r="D127" s="774">
        <v>35416.55169</v>
      </c>
      <c r="E127" s="774">
        <v>38244.428209999998</v>
      </c>
      <c r="F127" s="792"/>
      <c r="G127" s="793"/>
    </row>
    <row r="128" spans="1:7" s="648" customFormat="1" ht="12.75" customHeight="1" x14ac:dyDescent="0.2">
      <c r="A128" s="770" t="s">
        <v>2264</v>
      </c>
      <c r="B128" s="770" t="s">
        <v>2265</v>
      </c>
      <c r="C128" s="776" t="s">
        <v>2266</v>
      </c>
      <c r="D128" s="774">
        <v>19963.125030000003</v>
      </c>
      <c r="E128" s="774">
        <v>26268.771399999998</v>
      </c>
      <c r="F128" s="792"/>
      <c r="G128" s="793"/>
    </row>
    <row r="129" spans="1:7" s="648" customFormat="1" ht="12.75" customHeight="1" x14ac:dyDescent="0.2">
      <c r="A129" s="770" t="s">
        <v>2270</v>
      </c>
      <c r="B129" s="770" t="s">
        <v>2271</v>
      </c>
      <c r="C129" s="776" t="s">
        <v>2272</v>
      </c>
      <c r="D129" s="774">
        <v>5100</v>
      </c>
      <c r="E129" s="774">
        <v>3000</v>
      </c>
      <c r="F129" s="796"/>
      <c r="G129" s="783"/>
    </row>
    <row r="130" spans="1:7" s="648" customFormat="1" ht="12.75" customHeight="1" x14ac:dyDescent="0.2">
      <c r="A130" s="770" t="s">
        <v>2273</v>
      </c>
      <c r="B130" s="770" t="s">
        <v>2274</v>
      </c>
      <c r="C130" s="776" t="s">
        <v>2275</v>
      </c>
      <c r="D130" s="774">
        <v>131698.59</v>
      </c>
      <c r="E130" s="774">
        <v>131925.804</v>
      </c>
      <c r="F130" s="792"/>
      <c r="G130" s="793"/>
    </row>
    <row r="131" spans="1:7" s="648" customFormat="1" ht="12.75" customHeight="1" x14ac:dyDescent="0.2">
      <c r="A131" s="770" t="s">
        <v>2276</v>
      </c>
      <c r="B131" s="770" t="s">
        <v>2277</v>
      </c>
      <c r="C131" s="776" t="s">
        <v>2278</v>
      </c>
      <c r="D131" s="774">
        <v>31204.716</v>
      </c>
      <c r="E131" s="774">
        <v>31920.544000000002</v>
      </c>
      <c r="F131" s="792"/>
      <c r="G131" s="793"/>
    </row>
    <row r="132" spans="1:7" s="648" customFormat="1" ht="12.75" customHeight="1" x14ac:dyDescent="0.2">
      <c r="A132" s="770" t="s">
        <v>2279</v>
      </c>
      <c r="B132" s="770" t="s">
        <v>2065</v>
      </c>
      <c r="C132" s="776" t="s">
        <v>2066</v>
      </c>
      <c r="D132" s="774">
        <v>71204.565499999997</v>
      </c>
      <c r="E132" s="774">
        <v>72359.479749999999</v>
      </c>
      <c r="F132" s="792"/>
      <c r="G132" s="793"/>
    </row>
    <row r="133" spans="1:7" s="648" customFormat="1" ht="12.75" customHeight="1" x14ac:dyDescent="0.2">
      <c r="A133" s="770" t="s">
        <v>2280</v>
      </c>
      <c r="B133" s="770" t="s">
        <v>2068</v>
      </c>
      <c r="C133" s="776" t="s">
        <v>2069</v>
      </c>
      <c r="D133" s="774">
        <v>30609.800600000002</v>
      </c>
      <c r="E133" s="774">
        <v>30565.423999999999</v>
      </c>
      <c r="F133" s="792"/>
      <c r="G133" s="793"/>
    </row>
    <row r="134" spans="1:7" s="648" customFormat="1" ht="12.75" customHeight="1" x14ac:dyDescent="0.2">
      <c r="A134" s="770" t="s">
        <v>2281</v>
      </c>
      <c r="B134" s="770" t="s">
        <v>2071</v>
      </c>
      <c r="C134" s="776" t="s">
        <v>2072</v>
      </c>
      <c r="D134" s="774">
        <v>183.392</v>
      </c>
      <c r="E134" s="774">
        <v>179.68299999999999</v>
      </c>
      <c r="F134" s="792"/>
      <c r="G134" s="793"/>
    </row>
    <row r="135" spans="1:7" s="648" customFormat="1" ht="12.75" customHeight="1" x14ac:dyDescent="0.2">
      <c r="A135" s="770" t="s">
        <v>2282</v>
      </c>
      <c r="B135" s="770" t="s">
        <v>2074</v>
      </c>
      <c r="C135" s="776" t="s">
        <v>2075</v>
      </c>
      <c r="D135" s="774">
        <v>849.28300000000002</v>
      </c>
      <c r="E135" s="774">
        <v>1049.5989999999999</v>
      </c>
      <c r="F135" s="796"/>
      <c r="G135" s="783"/>
    </row>
    <row r="136" spans="1:7" s="648" customFormat="1" ht="12.75" customHeight="1" x14ac:dyDescent="0.2">
      <c r="A136" s="770" t="s">
        <v>2283</v>
      </c>
      <c r="B136" s="770" t="s">
        <v>2077</v>
      </c>
      <c r="C136" s="776" t="s">
        <v>2078</v>
      </c>
      <c r="D136" s="774">
        <v>24969.677</v>
      </c>
      <c r="E136" s="774">
        <v>25206.358</v>
      </c>
      <c r="F136" s="792"/>
      <c r="G136" s="793"/>
    </row>
    <row r="137" spans="1:7" s="648" customFormat="1" ht="12.75" customHeight="1" x14ac:dyDescent="0.2">
      <c r="A137" s="770" t="s">
        <v>2284</v>
      </c>
      <c r="B137" s="770" t="s">
        <v>236</v>
      </c>
      <c r="C137" s="776" t="s">
        <v>2080</v>
      </c>
      <c r="D137" s="774">
        <v>4895.0870000000004</v>
      </c>
      <c r="E137" s="774">
        <v>5107.9366900000005</v>
      </c>
      <c r="F137" s="796"/>
      <c r="G137" s="783"/>
    </row>
    <row r="138" spans="1:7" s="648" customFormat="1" ht="12.75" customHeight="1" x14ac:dyDescent="0.2">
      <c r="A138" s="770" t="s">
        <v>2285</v>
      </c>
      <c r="B138" s="770" t="s">
        <v>2286</v>
      </c>
      <c r="C138" s="776" t="s">
        <v>2287</v>
      </c>
      <c r="D138" s="774">
        <v>8.4971499999999995</v>
      </c>
      <c r="E138" s="774">
        <v>0</v>
      </c>
      <c r="F138" s="792"/>
      <c r="G138" s="793"/>
    </row>
    <row r="139" spans="1:7" s="648" customFormat="1" ht="12.75" customHeight="1" x14ac:dyDescent="0.2">
      <c r="A139" s="770" t="s">
        <v>2288</v>
      </c>
      <c r="B139" s="770" t="s">
        <v>2289</v>
      </c>
      <c r="C139" s="776" t="s">
        <v>2290</v>
      </c>
      <c r="D139" s="774">
        <v>223.77199999999999</v>
      </c>
      <c r="E139" s="774">
        <v>1088.43676</v>
      </c>
      <c r="F139" s="796"/>
      <c r="G139" s="783"/>
    </row>
    <row r="140" spans="1:7" s="648" customFormat="1" ht="12.75" customHeight="1" x14ac:dyDescent="0.2">
      <c r="A140" s="770" t="s">
        <v>2291</v>
      </c>
      <c r="B140" s="770" t="s">
        <v>2292</v>
      </c>
      <c r="C140" s="776" t="s">
        <v>2293</v>
      </c>
      <c r="D140" s="774">
        <v>467.10452000000004</v>
      </c>
      <c r="E140" s="774">
        <v>916.15206999999998</v>
      </c>
      <c r="F140" s="796"/>
      <c r="G140" s="783"/>
    </row>
    <row r="141" spans="1:7" s="648" customFormat="1" ht="12.75" customHeight="1" x14ac:dyDescent="0.2">
      <c r="A141" s="770" t="s">
        <v>2304</v>
      </c>
      <c r="B141" s="770" t="s">
        <v>2305</v>
      </c>
      <c r="C141" s="776" t="s">
        <v>2306</v>
      </c>
      <c r="D141" s="774">
        <v>57647.179170000003</v>
      </c>
      <c r="E141" s="774">
        <v>59219.715859999997</v>
      </c>
      <c r="F141" s="796"/>
      <c r="G141" s="783"/>
    </row>
    <row r="142" spans="1:7" s="648" customFormat="1" ht="12.75" customHeight="1" x14ac:dyDescent="0.2">
      <c r="A142" s="770" t="s">
        <v>2307</v>
      </c>
      <c r="B142" s="770" t="s">
        <v>2106</v>
      </c>
      <c r="C142" s="776" t="s">
        <v>2107</v>
      </c>
      <c r="D142" s="774">
        <v>0</v>
      </c>
      <c r="E142" s="774">
        <v>0</v>
      </c>
      <c r="F142" s="796"/>
      <c r="G142" s="783"/>
    </row>
    <row r="143" spans="1:7" s="648" customFormat="1" ht="12.75" customHeight="1" x14ac:dyDescent="0.2">
      <c r="A143" s="770" t="s">
        <v>2308</v>
      </c>
      <c r="B143" s="770" t="s">
        <v>2309</v>
      </c>
      <c r="C143" s="776" t="s">
        <v>2310</v>
      </c>
      <c r="D143" s="774">
        <v>7514.27351</v>
      </c>
      <c r="E143" s="774">
        <v>9511.380439999999</v>
      </c>
      <c r="F143" s="796"/>
      <c r="G143" s="783"/>
    </row>
    <row r="144" spans="1:7" s="648" customFormat="1" ht="12.75" customHeight="1" x14ac:dyDescent="0.2">
      <c r="A144" s="770" t="s">
        <v>2311</v>
      </c>
      <c r="B144" s="770" t="s">
        <v>2312</v>
      </c>
      <c r="C144" s="776" t="s">
        <v>2313</v>
      </c>
      <c r="D144" s="774">
        <v>15261.401179999999</v>
      </c>
      <c r="E144" s="774">
        <v>15052.949710000001</v>
      </c>
      <c r="F144" s="796"/>
      <c r="G144" s="783"/>
    </row>
    <row r="145" spans="1:7" s="648" customFormat="1" ht="12.75" customHeight="1" x14ac:dyDescent="0.2">
      <c r="A145" s="770" t="s">
        <v>2314</v>
      </c>
      <c r="B145" s="770" t="s">
        <v>2315</v>
      </c>
      <c r="C145" s="776" t="s">
        <v>2316</v>
      </c>
      <c r="D145" s="774">
        <v>31931.560809999999</v>
      </c>
      <c r="E145" s="774">
        <v>19654.97046</v>
      </c>
      <c r="F145" s="792"/>
      <c r="G145" s="793"/>
    </row>
    <row r="146" spans="1:7" s="648" customFormat="1" ht="12.75" customHeight="1" x14ac:dyDescent="0.2">
      <c r="A146" s="777" t="s">
        <v>2317</v>
      </c>
      <c r="B146" s="777" t="s">
        <v>2318</v>
      </c>
      <c r="C146" s="778" t="s">
        <v>2319</v>
      </c>
      <c r="D146" s="798">
        <v>25462.66848</v>
      </c>
      <c r="E146" s="798">
        <v>30681.77018</v>
      </c>
      <c r="F146" s="796"/>
      <c r="G146" s="783"/>
    </row>
    <row r="147" spans="1:7" s="648" customFormat="1" x14ac:dyDescent="0.2">
      <c r="A147" s="851"/>
      <c r="C147" s="546"/>
      <c r="D147" s="799"/>
      <c r="E147" s="799"/>
      <c r="F147" s="799"/>
      <c r="G147" s="799"/>
    </row>
  </sheetData>
  <mergeCells count="10">
    <mergeCell ref="A93:B94"/>
    <mergeCell ref="C93:C94"/>
    <mergeCell ref="D93:E93"/>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75" firstPageNumber="472" fitToHeight="2" orientation="portrait" useFirstPageNumber="1" r:id="rId1"/>
  <headerFooter alignWithMargins="0">
    <oddHeader>&amp;L&amp;"Tahoma,Kurzíva"Závěrečný účet za rok 2015&amp;R&amp;"Tahoma,Kurzíva"Tabulka č. 40</oddHeader>
    <oddFooter>&amp;C&amp;"Tahoma,Obyčejné"&amp;P</oddFooter>
  </headerFooter>
  <rowBreaks count="1" manualBreakCount="1">
    <brk id="73" max="6"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zoomScaleNormal="100" zoomScaleSheetLayoutView="100" workbookViewId="0">
      <selection activeCell="I5" sqref="I5"/>
    </sheetView>
  </sheetViews>
  <sheetFormatPr defaultRowHeight="12.75" x14ac:dyDescent="0.2"/>
  <cols>
    <col min="1" max="1" width="6.7109375" style="211" customWidth="1"/>
    <col min="2" max="2" width="58.42578125" style="211" customWidth="1"/>
    <col min="3" max="3" width="8.5703125" style="847" customWidth="1"/>
    <col min="4" max="7" width="15.42578125" style="211" customWidth="1"/>
    <col min="8" max="16384" width="9.140625" style="211"/>
  </cols>
  <sheetData>
    <row r="1" spans="1:7" s="837" customFormat="1" ht="18" customHeight="1" x14ac:dyDescent="0.2">
      <c r="A1" s="1493" t="s">
        <v>1874</v>
      </c>
      <c r="B1" s="1493"/>
      <c r="C1" s="1493"/>
      <c r="D1" s="1493"/>
      <c r="E1" s="1493"/>
      <c r="F1" s="1493"/>
      <c r="G1" s="1493"/>
    </row>
    <row r="2" spans="1:7" s="838" customFormat="1" ht="18" customHeight="1" x14ac:dyDescent="0.2">
      <c r="A2" s="1493" t="s">
        <v>2511</v>
      </c>
      <c r="B2" s="1493"/>
      <c r="C2" s="1493"/>
      <c r="D2" s="1493"/>
      <c r="E2" s="1493"/>
      <c r="F2" s="1493"/>
      <c r="G2" s="1493"/>
    </row>
    <row r="4" spans="1:7" ht="12.75" customHeight="1" x14ac:dyDescent="0.2">
      <c r="A4" s="839"/>
      <c r="B4" s="840"/>
      <c r="C4" s="841"/>
      <c r="D4" s="842">
        <v>1</v>
      </c>
      <c r="E4" s="842">
        <v>2</v>
      </c>
      <c r="F4" s="842">
        <v>3</v>
      </c>
      <c r="G4" s="842">
        <v>4</v>
      </c>
    </row>
    <row r="5" spans="1:7" s="843" customFormat="1" ht="12.75" customHeight="1" x14ac:dyDescent="0.2">
      <c r="A5" s="1517" t="s">
        <v>2509</v>
      </c>
      <c r="B5" s="1518"/>
      <c r="C5" s="1521" t="s">
        <v>1877</v>
      </c>
      <c r="D5" s="1523" t="s">
        <v>2324</v>
      </c>
      <c r="E5" s="1523"/>
      <c r="F5" s="1523" t="s">
        <v>2325</v>
      </c>
      <c r="G5" s="1523"/>
    </row>
    <row r="6" spans="1:7" s="843" customFormat="1" ht="21" x14ac:dyDescent="0.2">
      <c r="A6" s="1519"/>
      <c r="B6" s="1520"/>
      <c r="C6" s="1522"/>
      <c r="D6" s="844" t="s">
        <v>2326</v>
      </c>
      <c r="E6" s="844" t="s">
        <v>2327</v>
      </c>
      <c r="F6" s="845" t="s">
        <v>2326</v>
      </c>
      <c r="G6" s="845" t="s">
        <v>2327</v>
      </c>
    </row>
    <row r="7" spans="1:7" s="843" customFormat="1" x14ac:dyDescent="0.2">
      <c r="A7" s="804" t="s">
        <v>1885</v>
      </c>
      <c r="B7" s="804" t="s">
        <v>2328</v>
      </c>
      <c r="C7" s="805" t="s">
        <v>133</v>
      </c>
      <c r="D7" s="769">
        <v>4525617.0915600006</v>
      </c>
      <c r="E7" s="769">
        <v>165551.46067</v>
      </c>
      <c r="F7" s="769">
        <v>4525091.7571</v>
      </c>
      <c r="G7" s="769">
        <v>174584.10677000001</v>
      </c>
    </row>
    <row r="8" spans="1:7" x14ac:dyDescent="0.2">
      <c r="A8" s="767" t="s">
        <v>1887</v>
      </c>
      <c r="B8" s="767" t="s">
        <v>2329</v>
      </c>
      <c r="C8" s="812" t="s">
        <v>133</v>
      </c>
      <c r="D8" s="813">
        <v>4512623.2986000003</v>
      </c>
      <c r="E8" s="813">
        <v>164385.49386000002</v>
      </c>
      <c r="F8" s="813">
        <v>4523658.8407899998</v>
      </c>
      <c r="G8" s="813">
        <v>173766.90682</v>
      </c>
    </row>
    <row r="9" spans="1:7" x14ac:dyDescent="0.2">
      <c r="A9" s="827" t="s">
        <v>1889</v>
      </c>
      <c r="B9" s="827" t="s">
        <v>2330</v>
      </c>
      <c r="C9" s="828" t="s">
        <v>2331</v>
      </c>
      <c r="D9" s="806">
        <v>246971.54094000001</v>
      </c>
      <c r="E9" s="806">
        <v>32994.484320000003</v>
      </c>
      <c r="F9" s="806">
        <v>247958.71513999999</v>
      </c>
      <c r="G9" s="806">
        <v>33593.606630000002</v>
      </c>
    </row>
    <row r="10" spans="1:7" x14ac:dyDescent="0.2">
      <c r="A10" s="770" t="s">
        <v>1892</v>
      </c>
      <c r="B10" s="770" t="s">
        <v>2332</v>
      </c>
      <c r="C10" s="776" t="s">
        <v>2333</v>
      </c>
      <c r="D10" s="806">
        <v>208972.35963999998</v>
      </c>
      <c r="E10" s="806">
        <v>28841.600559999999</v>
      </c>
      <c r="F10" s="806">
        <v>218721.12174</v>
      </c>
      <c r="G10" s="806">
        <v>29928.990109999999</v>
      </c>
    </row>
    <row r="11" spans="1:7" x14ac:dyDescent="0.2">
      <c r="A11" s="770" t="s">
        <v>1895</v>
      </c>
      <c r="B11" s="770" t="s">
        <v>2334</v>
      </c>
      <c r="C11" s="776" t="s">
        <v>2335</v>
      </c>
      <c r="D11" s="806">
        <v>227.15220000000002</v>
      </c>
      <c r="E11" s="806">
        <v>29.11561</v>
      </c>
      <c r="F11" s="806">
        <v>223.14664999999999</v>
      </c>
      <c r="G11" s="806">
        <v>11.692</v>
      </c>
    </row>
    <row r="12" spans="1:7" x14ac:dyDescent="0.2">
      <c r="A12" s="770" t="s">
        <v>1897</v>
      </c>
      <c r="B12" s="770" t="s">
        <v>2336</v>
      </c>
      <c r="C12" s="776" t="s">
        <v>2337</v>
      </c>
      <c r="D12" s="806">
        <v>1414.91913</v>
      </c>
      <c r="E12" s="806">
        <v>5697.4054100000003</v>
      </c>
      <c r="F12" s="806">
        <v>1415.9502199999999</v>
      </c>
      <c r="G12" s="806">
        <v>6119.4631799999997</v>
      </c>
    </row>
    <row r="13" spans="1:7" x14ac:dyDescent="0.2">
      <c r="A13" s="770" t="s">
        <v>1900</v>
      </c>
      <c r="B13" s="770" t="s">
        <v>2338</v>
      </c>
      <c r="C13" s="776" t="s">
        <v>2339</v>
      </c>
      <c r="D13" s="806">
        <v>-483.18741999999997</v>
      </c>
      <c r="E13" s="806"/>
      <c r="F13" s="806">
        <v>-101.35150999999999</v>
      </c>
      <c r="G13" s="806">
        <v>-129.75514000000001</v>
      </c>
    </row>
    <row r="14" spans="1:7" x14ac:dyDescent="0.2">
      <c r="A14" s="770" t="s">
        <v>1903</v>
      </c>
      <c r="B14" s="770" t="s">
        <v>2340</v>
      </c>
      <c r="C14" s="776" t="s">
        <v>2341</v>
      </c>
      <c r="D14" s="806">
        <v>-657.11589000000004</v>
      </c>
      <c r="E14" s="806">
        <v>-347.29651000000001</v>
      </c>
      <c r="F14" s="806">
        <v>-736.19348000000002</v>
      </c>
      <c r="G14" s="806">
        <v>-264.45191999999997</v>
      </c>
    </row>
    <row r="15" spans="1:7" x14ac:dyDescent="0.2">
      <c r="A15" s="770" t="s">
        <v>1906</v>
      </c>
      <c r="B15" s="770" t="s">
        <v>2342</v>
      </c>
      <c r="C15" s="776" t="s">
        <v>2343</v>
      </c>
      <c r="D15" s="806">
        <v>-115.23052</v>
      </c>
      <c r="E15" s="806">
        <v>-2944.0022999999997</v>
      </c>
      <c r="F15" s="806">
        <v>48.380249999999997</v>
      </c>
      <c r="G15" s="806">
        <v>953.47812999999996</v>
      </c>
    </row>
    <row r="16" spans="1:7" x14ac:dyDescent="0.2">
      <c r="A16" s="770" t="s">
        <v>1909</v>
      </c>
      <c r="B16" s="770" t="s">
        <v>363</v>
      </c>
      <c r="C16" s="776" t="s">
        <v>2344</v>
      </c>
      <c r="D16" s="806">
        <v>152526.52036000002</v>
      </c>
      <c r="E16" s="806">
        <v>6387.1457</v>
      </c>
      <c r="F16" s="806">
        <v>143889.61937999999</v>
      </c>
      <c r="G16" s="806">
        <v>5854.6592000000001</v>
      </c>
    </row>
    <row r="17" spans="1:7" x14ac:dyDescent="0.2">
      <c r="A17" s="770" t="s">
        <v>1912</v>
      </c>
      <c r="B17" s="770" t="s">
        <v>2345</v>
      </c>
      <c r="C17" s="776" t="s">
        <v>2346</v>
      </c>
      <c r="D17" s="806">
        <v>26974.461859999999</v>
      </c>
      <c r="E17" s="806">
        <v>81.594160000000002</v>
      </c>
      <c r="F17" s="806">
        <v>17509.518929999998</v>
      </c>
      <c r="G17" s="806">
        <v>114.00138000000001</v>
      </c>
    </row>
    <row r="18" spans="1:7" x14ac:dyDescent="0.2">
      <c r="A18" s="770" t="s">
        <v>1915</v>
      </c>
      <c r="B18" s="770" t="s">
        <v>2347</v>
      </c>
      <c r="C18" s="776" t="s">
        <v>2348</v>
      </c>
      <c r="D18" s="806">
        <v>809.78968999999995</v>
      </c>
      <c r="E18" s="806">
        <v>127.09231</v>
      </c>
      <c r="F18" s="806">
        <v>762.65935999999999</v>
      </c>
      <c r="G18" s="806">
        <v>161.49057000000002</v>
      </c>
    </row>
    <row r="19" spans="1:7" x14ac:dyDescent="0.2">
      <c r="A19" s="770" t="s">
        <v>2349</v>
      </c>
      <c r="B19" s="770" t="s">
        <v>2350</v>
      </c>
      <c r="C19" s="776" t="s">
        <v>2351</v>
      </c>
      <c r="D19" s="806">
        <v>-10488.511980000001</v>
      </c>
      <c r="E19" s="806">
        <v>-323.31375000000003</v>
      </c>
      <c r="F19" s="806">
        <v>-10758.882160000001</v>
      </c>
      <c r="G19" s="806">
        <v>-263.60134999999997</v>
      </c>
    </row>
    <row r="20" spans="1:7" x14ac:dyDescent="0.2">
      <c r="A20" s="770" t="s">
        <v>2352</v>
      </c>
      <c r="B20" s="770" t="s">
        <v>2353</v>
      </c>
      <c r="C20" s="776" t="s">
        <v>2354</v>
      </c>
      <c r="D20" s="806">
        <v>235075.56675</v>
      </c>
      <c r="E20" s="806">
        <v>19498.01713</v>
      </c>
      <c r="F20" s="806">
        <v>222672.65933000002</v>
      </c>
      <c r="G20" s="806">
        <v>18641.849670000003</v>
      </c>
    </row>
    <row r="21" spans="1:7" x14ac:dyDescent="0.2">
      <c r="A21" s="770" t="s">
        <v>2355</v>
      </c>
      <c r="B21" s="770" t="s">
        <v>2356</v>
      </c>
      <c r="C21" s="776" t="s">
        <v>2357</v>
      </c>
      <c r="D21" s="806">
        <v>2485900.1486599999</v>
      </c>
      <c r="E21" s="806">
        <v>49556.769659999998</v>
      </c>
      <c r="F21" s="806">
        <v>2506220.80651</v>
      </c>
      <c r="G21" s="806">
        <v>51378.779009999998</v>
      </c>
    </row>
    <row r="22" spans="1:7" x14ac:dyDescent="0.2">
      <c r="A22" s="770" t="s">
        <v>2358</v>
      </c>
      <c r="B22" s="770" t="s">
        <v>2359</v>
      </c>
      <c r="C22" s="776" t="s">
        <v>2360</v>
      </c>
      <c r="D22" s="806">
        <v>823854.79301999998</v>
      </c>
      <c r="E22" s="806">
        <v>14205.11341</v>
      </c>
      <c r="F22" s="806">
        <v>822354.26552999998</v>
      </c>
      <c r="G22" s="806">
        <v>15057.81047</v>
      </c>
    </row>
    <row r="23" spans="1:7" x14ac:dyDescent="0.2">
      <c r="A23" s="770" t="s">
        <v>2361</v>
      </c>
      <c r="B23" s="770" t="s">
        <v>2362</v>
      </c>
      <c r="C23" s="776" t="s">
        <v>2363</v>
      </c>
      <c r="D23" s="806">
        <v>10229.84232</v>
      </c>
      <c r="E23" s="806">
        <v>155.40795</v>
      </c>
      <c r="F23" s="806">
        <v>10172.74588</v>
      </c>
      <c r="G23" s="806">
        <v>150.98607000000001</v>
      </c>
    </row>
    <row r="24" spans="1:7" x14ac:dyDescent="0.2">
      <c r="A24" s="770" t="s">
        <v>2364</v>
      </c>
      <c r="B24" s="770" t="s">
        <v>2365</v>
      </c>
      <c r="C24" s="776" t="s">
        <v>2366</v>
      </c>
      <c r="D24" s="806">
        <v>51585.068500000001</v>
      </c>
      <c r="E24" s="806">
        <v>1111.84772</v>
      </c>
      <c r="F24" s="806">
        <v>47244.55027</v>
      </c>
      <c r="G24" s="806">
        <v>1097.8389199999999</v>
      </c>
    </row>
    <row r="25" spans="1:7" x14ac:dyDescent="0.2">
      <c r="A25" s="770" t="s">
        <v>2367</v>
      </c>
      <c r="B25" s="770" t="s">
        <v>2368</v>
      </c>
      <c r="C25" s="776" t="s">
        <v>2369</v>
      </c>
      <c r="D25" s="806">
        <v>3930.6516499999998</v>
      </c>
      <c r="E25" s="806">
        <v>288.71957000000003</v>
      </c>
      <c r="F25" s="806">
        <v>3952.6297000000004</v>
      </c>
      <c r="G25" s="806">
        <v>404.25382000000002</v>
      </c>
    </row>
    <row r="26" spans="1:7" x14ac:dyDescent="0.2">
      <c r="A26" s="770" t="s">
        <v>2370</v>
      </c>
      <c r="B26" s="770" t="s">
        <v>2371</v>
      </c>
      <c r="C26" s="776" t="s">
        <v>2372</v>
      </c>
      <c r="D26" s="806">
        <v>141.36250000000001</v>
      </c>
      <c r="E26" s="806">
        <v>167.0615</v>
      </c>
      <c r="F26" s="806">
        <v>142.68700000000001</v>
      </c>
      <c r="G26" s="806">
        <v>157.4</v>
      </c>
    </row>
    <row r="27" spans="1:7" x14ac:dyDescent="0.2">
      <c r="A27" s="770" t="s">
        <v>2373</v>
      </c>
      <c r="B27" s="770" t="s">
        <v>2374</v>
      </c>
      <c r="C27" s="776" t="s">
        <v>2375</v>
      </c>
      <c r="D27" s="806"/>
      <c r="E27" s="806">
        <v>-73.322000000000003</v>
      </c>
      <c r="F27" s="806"/>
      <c r="G27" s="806">
        <v>10.476000000000001</v>
      </c>
    </row>
    <row r="28" spans="1:7" x14ac:dyDescent="0.2">
      <c r="A28" s="770" t="s">
        <v>2376</v>
      </c>
      <c r="B28" s="770" t="s">
        <v>2377</v>
      </c>
      <c r="C28" s="776" t="s">
        <v>2378</v>
      </c>
      <c r="D28" s="806">
        <v>539.05766000000006</v>
      </c>
      <c r="E28" s="806">
        <v>102.41109</v>
      </c>
      <c r="F28" s="806">
        <v>1185.4009099999998</v>
      </c>
      <c r="G28" s="806">
        <v>155.83545000000001</v>
      </c>
    </row>
    <row r="29" spans="1:7" x14ac:dyDescent="0.2">
      <c r="A29" s="770" t="s">
        <v>2379</v>
      </c>
      <c r="B29" s="770" t="s">
        <v>2380</v>
      </c>
      <c r="C29" s="776" t="s">
        <v>2381</v>
      </c>
      <c r="D29" s="806">
        <v>5.7918700000000003</v>
      </c>
      <c r="E29" s="806"/>
      <c r="F29" s="806">
        <v>15.599</v>
      </c>
      <c r="G29" s="806"/>
    </row>
    <row r="30" spans="1:7" x14ac:dyDescent="0.2">
      <c r="A30" s="770" t="s">
        <v>2382</v>
      </c>
      <c r="B30" s="770" t="s">
        <v>2383</v>
      </c>
      <c r="C30" s="776" t="s">
        <v>2384</v>
      </c>
      <c r="D30" s="806">
        <v>902.03282999999999</v>
      </c>
      <c r="E30" s="806">
        <v>9.7249999999999996</v>
      </c>
      <c r="F30" s="806">
        <v>1755.05276</v>
      </c>
      <c r="G30" s="806">
        <v>13.446999999999999</v>
      </c>
    </row>
    <row r="31" spans="1:7" x14ac:dyDescent="0.2">
      <c r="A31" s="770" t="s">
        <v>2385</v>
      </c>
      <c r="B31" s="770" t="s">
        <v>2386</v>
      </c>
      <c r="C31" s="776" t="s">
        <v>2387</v>
      </c>
      <c r="D31" s="806"/>
      <c r="E31" s="806"/>
      <c r="F31" s="806">
        <v>5.4870000000000001</v>
      </c>
      <c r="G31" s="806"/>
    </row>
    <row r="32" spans="1:7" x14ac:dyDescent="0.2">
      <c r="A32" s="770" t="s">
        <v>2388</v>
      </c>
      <c r="B32" s="770" t="s">
        <v>2389</v>
      </c>
      <c r="C32" s="776" t="s">
        <v>2390</v>
      </c>
      <c r="D32" s="806">
        <v>400.15174999999999</v>
      </c>
      <c r="E32" s="806">
        <v>166.05392000000001</v>
      </c>
      <c r="F32" s="806">
        <v>258.29086999999998</v>
      </c>
      <c r="G32" s="806">
        <v>34.928930000000001</v>
      </c>
    </row>
    <row r="33" spans="1:7" x14ac:dyDescent="0.2">
      <c r="A33" s="770" t="s">
        <v>2391</v>
      </c>
      <c r="B33" s="770" t="s">
        <v>2392</v>
      </c>
      <c r="C33" s="776" t="s">
        <v>2393</v>
      </c>
      <c r="D33" s="806">
        <v>700.72861999999998</v>
      </c>
      <c r="E33" s="806">
        <v>151.87965</v>
      </c>
      <c r="F33" s="806">
        <v>466.77825000000001</v>
      </c>
      <c r="G33" s="806">
        <v>5.7742899999999997</v>
      </c>
    </row>
    <row r="34" spans="1:7" x14ac:dyDescent="0.2">
      <c r="A34" s="770" t="s">
        <v>2394</v>
      </c>
      <c r="B34" s="770" t="s">
        <v>2395</v>
      </c>
      <c r="C34" s="776" t="s">
        <v>2396</v>
      </c>
      <c r="D34" s="806">
        <v>712.81745000000001</v>
      </c>
      <c r="E34" s="806"/>
      <c r="F34" s="806">
        <v>14.89988</v>
      </c>
      <c r="G34" s="806"/>
    </row>
    <row r="35" spans="1:7" x14ac:dyDescent="0.2">
      <c r="A35" s="770" t="s">
        <v>2397</v>
      </c>
      <c r="B35" s="770" t="s">
        <v>2398</v>
      </c>
      <c r="C35" s="776" t="s">
        <v>2399</v>
      </c>
      <c r="D35" s="806">
        <v>135366.54818000001</v>
      </c>
      <c r="E35" s="806">
        <v>6493.5239299999994</v>
      </c>
      <c r="F35" s="806">
        <v>137110.59666000001</v>
      </c>
      <c r="G35" s="806">
        <v>7059.8988499999996</v>
      </c>
    </row>
    <row r="36" spans="1:7" x14ac:dyDescent="0.2">
      <c r="A36" s="770" t="s">
        <v>2400</v>
      </c>
      <c r="B36" s="770" t="s">
        <v>2401</v>
      </c>
      <c r="C36" s="776" t="s">
        <v>2402</v>
      </c>
      <c r="D36" s="806"/>
      <c r="E36" s="806"/>
      <c r="F36" s="806"/>
      <c r="G36" s="806"/>
    </row>
    <row r="37" spans="1:7" x14ac:dyDescent="0.2">
      <c r="A37" s="770" t="s">
        <v>2403</v>
      </c>
      <c r="B37" s="770" t="s">
        <v>2404</v>
      </c>
      <c r="C37" s="776" t="s">
        <v>2405</v>
      </c>
      <c r="D37" s="806">
        <v>12.037270000000001</v>
      </c>
      <c r="E37" s="806"/>
      <c r="F37" s="806">
        <v>40.879829999999998</v>
      </c>
      <c r="G37" s="806">
        <v>628.23059999999998</v>
      </c>
    </row>
    <row r="38" spans="1:7" x14ac:dyDescent="0.2">
      <c r="A38" s="770" t="s">
        <v>2406</v>
      </c>
      <c r="B38" s="770" t="s">
        <v>2407</v>
      </c>
      <c r="C38" s="776" t="s">
        <v>2408</v>
      </c>
      <c r="D38" s="806"/>
      <c r="E38" s="806"/>
      <c r="F38" s="806"/>
      <c r="G38" s="806"/>
    </row>
    <row r="39" spans="1:7" x14ac:dyDescent="0.2">
      <c r="A39" s="770" t="s">
        <v>2409</v>
      </c>
      <c r="B39" s="770" t="s">
        <v>2410</v>
      </c>
      <c r="C39" s="776" t="s">
        <v>2411</v>
      </c>
      <c r="D39" s="806"/>
      <c r="E39" s="806"/>
      <c r="F39" s="806"/>
      <c r="G39" s="806"/>
    </row>
    <row r="40" spans="1:7" x14ac:dyDescent="0.2">
      <c r="A40" s="770" t="s">
        <v>2412</v>
      </c>
      <c r="B40" s="770" t="s">
        <v>2413</v>
      </c>
      <c r="C40" s="776" t="s">
        <v>2414</v>
      </c>
      <c r="D40" s="806">
        <v>274.13357000000002</v>
      </c>
      <c r="E40" s="806">
        <v>-76.450879999999998</v>
      </c>
      <c r="F40" s="806">
        <v>-12.446770000000001</v>
      </c>
      <c r="G40" s="806">
        <v>-824.40724</v>
      </c>
    </row>
    <row r="41" spans="1:7" x14ac:dyDescent="0.2">
      <c r="A41" s="770" t="s">
        <v>2415</v>
      </c>
      <c r="B41" s="770" t="s">
        <v>2416</v>
      </c>
      <c r="C41" s="776" t="s">
        <v>2417</v>
      </c>
      <c r="D41" s="806">
        <v>600.72554000000002</v>
      </c>
      <c r="E41" s="806">
        <v>102.61883</v>
      </c>
      <c r="F41" s="806">
        <v>1281.72858</v>
      </c>
      <c r="G41" s="806">
        <v>1009.0595999999999</v>
      </c>
    </row>
    <row r="42" spans="1:7" x14ac:dyDescent="0.2">
      <c r="A42" s="770" t="s">
        <v>2418</v>
      </c>
      <c r="B42" s="770" t="s">
        <v>2419</v>
      </c>
      <c r="C42" s="776" t="s">
        <v>2420</v>
      </c>
      <c r="D42" s="806">
        <v>110640.62271</v>
      </c>
      <c r="E42" s="806">
        <v>876.94118000000003</v>
      </c>
      <c r="F42" s="806">
        <v>127643.93640000001</v>
      </c>
      <c r="G42" s="806">
        <v>1444.98964</v>
      </c>
    </row>
    <row r="43" spans="1:7" x14ac:dyDescent="0.2">
      <c r="A43" s="770" t="s">
        <v>2421</v>
      </c>
      <c r="B43" s="770" t="s">
        <v>2422</v>
      </c>
      <c r="C43" s="776" t="s">
        <v>2423</v>
      </c>
      <c r="D43" s="806">
        <v>25598.51974</v>
      </c>
      <c r="E43" s="806">
        <v>1105.35069</v>
      </c>
      <c r="F43" s="806">
        <v>22199.608680000001</v>
      </c>
      <c r="G43" s="806">
        <v>1260.1829499999999</v>
      </c>
    </row>
    <row r="44" spans="1:7" x14ac:dyDescent="0.2">
      <c r="A44" s="767" t="s">
        <v>1918</v>
      </c>
      <c r="B44" s="767" t="s">
        <v>2424</v>
      </c>
      <c r="C44" s="812" t="s">
        <v>133</v>
      </c>
      <c r="D44" s="813">
        <v>654.57493999999997</v>
      </c>
      <c r="E44" s="814">
        <v>0.70974000000000004</v>
      </c>
      <c r="F44" s="813">
        <v>794.08087</v>
      </c>
      <c r="G44" s="814">
        <v>0.45674000000000003</v>
      </c>
    </row>
    <row r="45" spans="1:7" x14ac:dyDescent="0.2">
      <c r="A45" s="770" t="s">
        <v>1920</v>
      </c>
      <c r="B45" s="770" t="s">
        <v>2425</v>
      </c>
      <c r="C45" s="776" t="s">
        <v>2426</v>
      </c>
      <c r="D45" s="806"/>
      <c r="E45" s="806"/>
      <c r="F45" s="806"/>
      <c r="G45" s="806"/>
    </row>
    <row r="46" spans="1:7" x14ac:dyDescent="0.2">
      <c r="A46" s="770" t="s">
        <v>1922</v>
      </c>
      <c r="B46" s="770" t="s">
        <v>2427</v>
      </c>
      <c r="C46" s="776" t="s">
        <v>2428</v>
      </c>
      <c r="D46" s="806">
        <v>21.585619999999999</v>
      </c>
      <c r="E46" s="806"/>
      <c r="F46" s="806">
        <v>0.3054</v>
      </c>
      <c r="G46" s="806"/>
    </row>
    <row r="47" spans="1:7" x14ac:dyDescent="0.2">
      <c r="A47" s="770" t="s">
        <v>1925</v>
      </c>
      <c r="B47" s="770" t="s">
        <v>2429</v>
      </c>
      <c r="C47" s="776" t="s">
        <v>2430</v>
      </c>
      <c r="D47" s="806">
        <v>541.32636000000002</v>
      </c>
      <c r="E47" s="806">
        <v>0.55949000000000004</v>
      </c>
      <c r="F47" s="806">
        <v>557.02893000000006</v>
      </c>
      <c r="G47" s="806">
        <v>0.31886000000000003</v>
      </c>
    </row>
    <row r="48" spans="1:7" x14ac:dyDescent="0.2">
      <c r="A48" s="770" t="s">
        <v>1928</v>
      </c>
      <c r="B48" s="770" t="s">
        <v>2431</v>
      </c>
      <c r="C48" s="776" t="s">
        <v>2432</v>
      </c>
      <c r="D48" s="806"/>
      <c r="E48" s="806"/>
      <c r="F48" s="806"/>
      <c r="G48" s="806"/>
    </row>
    <row r="49" spans="1:7" x14ac:dyDescent="0.2">
      <c r="A49" s="770" t="s">
        <v>1931</v>
      </c>
      <c r="B49" s="770" t="s">
        <v>2433</v>
      </c>
      <c r="C49" s="776" t="s">
        <v>2434</v>
      </c>
      <c r="D49" s="806">
        <v>91.662960000000012</v>
      </c>
      <c r="E49" s="806">
        <v>0.15024999999999999</v>
      </c>
      <c r="F49" s="806">
        <v>236.74654000000001</v>
      </c>
      <c r="G49" s="806">
        <v>0.13788</v>
      </c>
    </row>
    <row r="50" spans="1:7" x14ac:dyDescent="0.2">
      <c r="A50" s="767" t="s">
        <v>1952</v>
      </c>
      <c r="B50" s="767" t="s">
        <v>2435</v>
      </c>
      <c r="C50" s="812" t="s">
        <v>133</v>
      </c>
      <c r="D50" s="813">
        <v>11961.11318</v>
      </c>
      <c r="E50" s="846">
        <v>0</v>
      </c>
      <c r="F50" s="846">
        <v>85.55210000000001</v>
      </c>
      <c r="G50" s="846">
        <v>0</v>
      </c>
    </row>
    <row r="51" spans="1:7" x14ac:dyDescent="0.2">
      <c r="A51" s="770" t="s">
        <v>1954</v>
      </c>
      <c r="B51" s="770" t="s">
        <v>2436</v>
      </c>
      <c r="C51" s="776" t="s">
        <v>2437</v>
      </c>
      <c r="D51" s="806"/>
      <c r="E51" s="806"/>
      <c r="F51" s="806"/>
      <c r="G51" s="806"/>
    </row>
    <row r="52" spans="1:7" x14ac:dyDescent="0.2">
      <c r="A52" s="770" t="s">
        <v>1957</v>
      </c>
      <c r="B52" s="770" t="s">
        <v>2438</v>
      </c>
      <c r="C52" s="776" t="s">
        <v>2439</v>
      </c>
      <c r="D52" s="806">
        <v>11961.11318</v>
      </c>
      <c r="E52" s="806"/>
      <c r="F52" s="806">
        <v>85.55210000000001</v>
      </c>
      <c r="G52" s="806"/>
    </row>
    <row r="53" spans="1:7" x14ac:dyDescent="0.2">
      <c r="A53" s="767" t="s">
        <v>2440</v>
      </c>
      <c r="B53" s="767" t="s">
        <v>2074</v>
      </c>
      <c r="C53" s="812" t="s">
        <v>133</v>
      </c>
      <c r="D53" s="813">
        <v>378.10484000000002</v>
      </c>
      <c r="E53" s="814">
        <v>1165.2570700000001</v>
      </c>
      <c r="F53" s="813">
        <v>553.28333999999995</v>
      </c>
      <c r="G53" s="814">
        <v>816.74320999999998</v>
      </c>
    </row>
    <row r="54" spans="1:7" x14ac:dyDescent="0.2">
      <c r="A54" s="770" t="s">
        <v>2441</v>
      </c>
      <c r="B54" s="770" t="s">
        <v>2074</v>
      </c>
      <c r="C54" s="776" t="s">
        <v>2442</v>
      </c>
      <c r="D54" s="806">
        <v>378.10484000000002</v>
      </c>
      <c r="E54" s="806">
        <v>1165.2570700000001</v>
      </c>
      <c r="F54" s="806">
        <v>553.28333999999995</v>
      </c>
      <c r="G54" s="806">
        <v>816.74320999999998</v>
      </c>
    </row>
    <row r="55" spans="1:7" x14ac:dyDescent="0.2">
      <c r="A55" s="770" t="s">
        <v>2443</v>
      </c>
      <c r="B55" s="770" t="s">
        <v>2444</v>
      </c>
      <c r="C55" s="776" t="s">
        <v>2445</v>
      </c>
      <c r="D55" s="806"/>
      <c r="E55" s="806"/>
      <c r="F55" s="806"/>
      <c r="G55" s="806"/>
    </row>
    <row r="56" spans="1:7" x14ac:dyDescent="0.2">
      <c r="A56" s="767" t="s">
        <v>2001</v>
      </c>
      <c r="B56" s="767" t="s">
        <v>2446</v>
      </c>
      <c r="C56" s="812" t="s">
        <v>133</v>
      </c>
      <c r="D56" s="813">
        <v>4534391.81587</v>
      </c>
      <c r="E56" s="814">
        <v>191798.54222</v>
      </c>
      <c r="F56" s="813">
        <v>4523791.9506599996</v>
      </c>
      <c r="G56" s="814">
        <v>198452.03743999999</v>
      </c>
    </row>
    <row r="57" spans="1:7" x14ac:dyDescent="0.2">
      <c r="A57" s="767" t="s">
        <v>2003</v>
      </c>
      <c r="B57" s="767" t="s">
        <v>2447</v>
      </c>
      <c r="C57" s="812" t="s">
        <v>133</v>
      </c>
      <c r="D57" s="813">
        <v>347838.80174000002</v>
      </c>
      <c r="E57" s="814">
        <v>187941.93071000002</v>
      </c>
      <c r="F57" s="813">
        <v>320830.14306000003</v>
      </c>
      <c r="G57" s="814">
        <v>191464.71567999999</v>
      </c>
    </row>
    <row r="58" spans="1:7" x14ac:dyDescent="0.2">
      <c r="A58" s="770" t="s">
        <v>2005</v>
      </c>
      <c r="B58" s="770" t="s">
        <v>2448</v>
      </c>
      <c r="C58" s="776" t="s">
        <v>2449</v>
      </c>
      <c r="D58" s="806">
        <v>4539.0619999999999</v>
      </c>
      <c r="E58" s="806">
        <v>23416.833260000003</v>
      </c>
      <c r="F58" s="806">
        <v>4665.6710000000003</v>
      </c>
      <c r="G58" s="806">
        <v>26578.129789999999</v>
      </c>
    </row>
    <row r="59" spans="1:7" x14ac:dyDescent="0.2">
      <c r="A59" s="770" t="s">
        <v>2008</v>
      </c>
      <c r="B59" s="770" t="s">
        <v>2450</v>
      </c>
      <c r="C59" s="776" t="s">
        <v>2451</v>
      </c>
      <c r="D59" s="806">
        <v>231189.20578999998</v>
      </c>
      <c r="E59" s="806">
        <v>120322.62562999999</v>
      </c>
      <c r="F59" s="806">
        <v>231343.34461</v>
      </c>
      <c r="G59" s="806">
        <v>120139.47787</v>
      </c>
    </row>
    <row r="60" spans="1:7" x14ac:dyDescent="0.2">
      <c r="A60" s="770" t="s">
        <v>2011</v>
      </c>
      <c r="B60" s="770" t="s">
        <v>2452</v>
      </c>
      <c r="C60" s="776" t="s">
        <v>2453</v>
      </c>
      <c r="D60" s="806">
        <v>358.99516999999997</v>
      </c>
      <c r="E60" s="806">
        <v>34525.129959999998</v>
      </c>
      <c r="F60" s="806">
        <v>382.72435999999999</v>
      </c>
      <c r="G60" s="806">
        <v>33097.130600000004</v>
      </c>
    </row>
    <row r="61" spans="1:7" x14ac:dyDescent="0.2">
      <c r="A61" s="770" t="s">
        <v>2014</v>
      </c>
      <c r="B61" s="770" t="s">
        <v>2454</v>
      </c>
      <c r="C61" s="776" t="s">
        <v>2455</v>
      </c>
      <c r="D61" s="806">
        <v>2680.8111099999996</v>
      </c>
      <c r="E61" s="806">
        <v>7581.10041</v>
      </c>
      <c r="F61" s="806">
        <v>2756.11879</v>
      </c>
      <c r="G61" s="806">
        <v>7925.8185800000001</v>
      </c>
    </row>
    <row r="62" spans="1:7" x14ac:dyDescent="0.2">
      <c r="A62" s="770" t="s">
        <v>2026</v>
      </c>
      <c r="B62" s="770" t="s">
        <v>2456</v>
      </c>
      <c r="C62" s="776" t="s">
        <v>2457</v>
      </c>
      <c r="D62" s="806">
        <v>858.90270999999996</v>
      </c>
      <c r="E62" s="806">
        <v>230.41077999999999</v>
      </c>
      <c r="F62" s="806">
        <v>832.12601000000006</v>
      </c>
      <c r="G62" s="806">
        <v>161.39073000000002</v>
      </c>
    </row>
    <row r="63" spans="1:7" x14ac:dyDescent="0.2">
      <c r="A63" s="770" t="s">
        <v>2029</v>
      </c>
      <c r="B63" s="770" t="s">
        <v>2380</v>
      </c>
      <c r="C63" s="776" t="s">
        <v>2458</v>
      </c>
      <c r="D63" s="806">
        <v>253.76774</v>
      </c>
      <c r="E63" s="806">
        <v>26.76972</v>
      </c>
      <c r="F63" s="806">
        <v>97.191609999999997</v>
      </c>
      <c r="G63" s="806">
        <v>0.75975999999999999</v>
      </c>
    </row>
    <row r="64" spans="1:7" x14ac:dyDescent="0.2">
      <c r="A64" s="770" t="s">
        <v>2032</v>
      </c>
      <c r="B64" s="770" t="s">
        <v>2383</v>
      </c>
      <c r="C64" s="776" t="s">
        <v>2459</v>
      </c>
      <c r="D64" s="806">
        <v>27.312999999999999</v>
      </c>
      <c r="E64" s="806">
        <v>6.0442299999999998</v>
      </c>
      <c r="F64" s="806">
        <v>140.56700000000001</v>
      </c>
      <c r="G64" s="806">
        <v>12.9253</v>
      </c>
    </row>
    <row r="65" spans="1:7" x14ac:dyDescent="0.2">
      <c r="A65" s="770" t="s">
        <v>2460</v>
      </c>
      <c r="B65" s="770" t="s">
        <v>2461</v>
      </c>
      <c r="C65" s="776" t="s">
        <v>2462</v>
      </c>
      <c r="D65" s="806">
        <v>5.6920000000000002</v>
      </c>
      <c r="E65" s="806">
        <v>4.05</v>
      </c>
      <c r="F65" s="806">
        <v>9.3670000000000009</v>
      </c>
      <c r="G65" s="806"/>
    </row>
    <row r="66" spans="1:7" x14ac:dyDescent="0.2">
      <c r="A66" s="770" t="s">
        <v>2463</v>
      </c>
      <c r="B66" s="770" t="s">
        <v>2464</v>
      </c>
      <c r="C66" s="776" t="s">
        <v>2465</v>
      </c>
      <c r="D66" s="806">
        <v>1005.29065</v>
      </c>
      <c r="E66" s="806">
        <v>150.02173000000002</v>
      </c>
      <c r="F66" s="806">
        <v>1073.41724</v>
      </c>
      <c r="G66" s="806">
        <v>140.68812</v>
      </c>
    </row>
    <row r="67" spans="1:7" x14ac:dyDescent="0.2">
      <c r="A67" s="770" t="s">
        <v>2466</v>
      </c>
      <c r="B67" s="770" t="s">
        <v>2467</v>
      </c>
      <c r="C67" s="776" t="s">
        <v>2468</v>
      </c>
      <c r="D67" s="806"/>
      <c r="E67" s="806"/>
      <c r="F67" s="806"/>
      <c r="G67" s="806"/>
    </row>
    <row r="68" spans="1:7" x14ac:dyDescent="0.2">
      <c r="A68" s="770" t="s">
        <v>2469</v>
      </c>
      <c r="B68" s="770" t="s">
        <v>2470</v>
      </c>
      <c r="C68" s="776" t="s">
        <v>2471</v>
      </c>
      <c r="D68" s="806">
        <v>2351.4599199999998</v>
      </c>
      <c r="E68" s="806">
        <v>26.83464</v>
      </c>
      <c r="F68" s="806">
        <v>323.02753999999999</v>
      </c>
      <c r="G68" s="806">
        <v>779.58399999999995</v>
      </c>
    </row>
    <row r="69" spans="1:7" x14ac:dyDescent="0.2">
      <c r="A69" s="770" t="s">
        <v>2472</v>
      </c>
      <c r="B69" s="770" t="s">
        <v>2473</v>
      </c>
      <c r="C69" s="776" t="s">
        <v>2474</v>
      </c>
      <c r="D69" s="806"/>
      <c r="E69" s="806"/>
      <c r="F69" s="806"/>
      <c r="G69" s="806"/>
    </row>
    <row r="70" spans="1:7" x14ac:dyDescent="0.2">
      <c r="A70" s="770" t="s">
        <v>2475</v>
      </c>
      <c r="B70" s="770" t="s">
        <v>2476</v>
      </c>
      <c r="C70" s="776" t="s">
        <v>2477</v>
      </c>
      <c r="D70" s="806">
        <v>77553.620239999989</v>
      </c>
      <c r="E70" s="806">
        <v>433.90440999999998</v>
      </c>
      <c r="F70" s="806">
        <v>52363.20104</v>
      </c>
      <c r="G70" s="806">
        <v>1433.8895500000001</v>
      </c>
    </row>
    <row r="71" spans="1:7" x14ac:dyDescent="0.2">
      <c r="A71" s="770" t="s">
        <v>2478</v>
      </c>
      <c r="B71" s="770" t="s">
        <v>2479</v>
      </c>
      <c r="C71" s="776" t="s">
        <v>2480</v>
      </c>
      <c r="D71" s="806">
        <v>27014.681410000001</v>
      </c>
      <c r="E71" s="806">
        <v>1218.2059400000001</v>
      </c>
      <c r="F71" s="806">
        <v>26843.386859999999</v>
      </c>
      <c r="G71" s="806">
        <v>1194.92138</v>
      </c>
    </row>
    <row r="72" spans="1:7" x14ac:dyDescent="0.2">
      <c r="A72" s="767" t="s">
        <v>2035</v>
      </c>
      <c r="B72" s="767" t="s">
        <v>2481</v>
      </c>
      <c r="C72" s="812" t="s">
        <v>133</v>
      </c>
      <c r="D72" s="813">
        <v>1654.1905400000001</v>
      </c>
      <c r="E72" s="814">
        <v>12.3255</v>
      </c>
      <c r="F72" s="813">
        <v>3182.78242</v>
      </c>
      <c r="G72" s="814">
        <v>645.048</v>
      </c>
    </row>
    <row r="73" spans="1:7" x14ac:dyDescent="0.2">
      <c r="A73" s="770" t="s">
        <v>2037</v>
      </c>
      <c r="B73" s="770" t="s">
        <v>2482</v>
      </c>
      <c r="C73" s="776" t="s">
        <v>2483</v>
      </c>
      <c r="D73" s="806"/>
      <c r="E73" s="806"/>
      <c r="F73" s="806"/>
      <c r="G73" s="806"/>
    </row>
    <row r="74" spans="1:7" x14ac:dyDescent="0.2">
      <c r="A74" s="770" t="s">
        <v>2040</v>
      </c>
      <c r="B74" s="770" t="s">
        <v>2427</v>
      </c>
      <c r="C74" s="776" t="s">
        <v>2484</v>
      </c>
      <c r="D74" s="806">
        <v>664.81052999999997</v>
      </c>
      <c r="E74" s="806">
        <v>7.5385400000000002</v>
      </c>
      <c r="F74" s="806">
        <v>1945.0642800000001</v>
      </c>
      <c r="G74" s="806">
        <v>7.4293800000000001</v>
      </c>
    </row>
    <row r="75" spans="1:7" x14ac:dyDescent="0.2">
      <c r="A75" s="770" t="s">
        <v>2043</v>
      </c>
      <c r="B75" s="770" t="s">
        <v>2485</v>
      </c>
      <c r="C75" s="776" t="s">
        <v>2486</v>
      </c>
      <c r="D75" s="806">
        <v>162.79101</v>
      </c>
      <c r="E75" s="806">
        <v>1.0637699999999999</v>
      </c>
      <c r="F75" s="806">
        <v>487.83963</v>
      </c>
      <c r="G75" s="806">
        <v>1.8449599999999999</v>
      </c>
    </row>
    <row r="76" spans="1:7" x14ac:dyDescent="0.2">
      <c r="A76" s="770" t="s">
        <v>2046</v>
      </c>
      <c r="B76" s="770" t="s">
        <v>2487</v>
      </c>
      <c r="C76" s="776" t="s">
        <v>2488</v>
      </c>
      <c r="D76" s="806"/>
      <c r="E76" s="806"/>
      <c r="F76" s="806"/>
      <c r="G76" s="806"/>
    </row>
    <row r="77" spans="1:7" x14ac:dyDescent="0.2">
      <c r="A77" s="770" t="s">
        <v>2052</v>
      </c>
      <c r="B77" s="770" t="s">
        <v>2489</v>
      </c>
      <c r="C77" s="776" t="s">
        <v>2490</v>
      </c>
      <c r="D77" s="806">
        <v>826.58900000000006</v>
      </c>
      <c r="E77" s="806">
        <v>3.7231900000000002</v>
      </c>
      <c r="F77" s="806">
        <v>749.87851000000001</v>
      </c>
      <c r="G77" s="806">
        <v>635.77366000000006</v>
      </c>
    </row>
    <row r="78" spans="1:7" x14ac:dyDescent="0.2">
      <c r="A78" s="767" t="s">
        <v>2491</v>
      </c>
      <c r="B78" s="767" t="s">
        <v>2492</v>
      </c>
      <c r="C78" s="812" t="s">
        <v>133</v>
      </c>
      <c r="D78" s="813">
        <v>4184898.8235900002</v>
      </c>
      <c r="E78" s="814">
        <v>3844.2860099999998</v>
      </c>
      <c r="F78" s="813">
        <v>4199779.0251799999</v>
      </c>
      <c r="G78" s="814">
        <v>6342.27376</v>
      </c>
    </row>
    <row r="79" spans="1:7" x14ac:dyDescent="0.2">
      <c r="A79" s="770" t="s">
        <v>2493</v>
      </c>
      <c r="B79" s="770" t="s">
        <v>2494</v>
      </c>
      <c r="C79" s="776" t="s">
        <v>2495</v>
      </c>
      <c r="D79" s="806"/>
      <c r="E79" s="806"/>
      <c r="F79" s="806"/>
      <c r="G79" s="806"/>
    </row>
    <row r="80" spans="1:7" x14ac:dyDescent="0.2">
      <c r="A80" s="770" t="s">
        <v>2496</v>
      </c>
      <c r="B80" s="770" t="s">
        <v>2497</v>
      </c>
      <c r="C80" s="776" t="s">
        <v>2498</v>
      </c>
      <c r="D80" s="806">
        <v>4184898.8235900002</v>
      </c>
      <c r="E80" s="806">
        <v>3844.2860099999998</v>
      </c>
      <c r="F80" s="806">
        <v>4199779.0251799999</v>
      </c>
      <c r="G80" s="806">
        <v>6342.27376</v>
      </c>
    </row>
    <row r="81" spans="1:7" x14ac:dyDescent="0.2">
      <c r="A81" s="767" t="s">
        <v>2159</v>
      </c>
      <c r="B81" s="767" t="s">
        <v>2499</v>
      </c>
      <c r="C81" s="812" t="s">
        <v>133</v>
      </c>
      <c r="D81" s="813"/>
      <c r="E81" s="813"/>
      <c r="F81" s="813"/>
      <c r="G81" s="813"/>
    </row>
    <row r="82" spans="1:7" x14ac:dyDescent="0.2">
      <c r="A82" s="767" t="s">
        <v>2500</v>
      </c>
      <c r="B82" s="767" t="s">
        <v>2501</v>
      </c>
      <c r="C82" s="812" t="s">
        <v>133</v>
      </c>
      <c r="D82" s="813">
        <v>9152.8291499999996</v>
      </c>
      <c r="E82" s="814">
        <v>27412.338620000002</v>
      </c>
      <c r="F82" s="813">
        <v>-746.52306999999996</v>
      </c>
      <c r="G82" s="813">
        <v>24675.673879999998</v>
      </c>
    </row>
    <row r="83" spans="1:7" x14ac:dyDescent="0.2">
      <c r="A83" s="767" t="s">
        <v>2502</v>
      </c>
      <c r="B83" s="767" t="s">
        <v>2204</v>
      </c>
      <c r="C83" s="812" t="s">
        <v>133</v>
      </c>
      <c r="D83" s="813">
        <v>8774.7243100000014</v>
      </c>
      <c r="E83" s="814">
        <v>26247.081549999999</v>
      </c>
      <c r="F83" s="813">
        <v>-1299.8064099999999</v>
      </c>
      <c r="G83" s="814">
        <v>23858.930670000002</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474" orientation="portrait" useFirstPageNumber="1" r:id="rId1"/>
  <headerFooter alignWithMargins="0">
    <oddHeader>&amp;L&amp;"Tahoma,Kurzíva"Závěrečný účet za rok 2015&amp;R&amp;"Tahoma,Kurzíva"Tabulka č. 41</oddHeader>
    <oddFooter>&amp;C&amp;"Tahoma,Obyčejné"&amp;P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7"/>
  <sheetViews>
    <sheetView showGridLines="0" zoomScaleNormal="100" zoomScaleSheetLayoutView="100" workbookViewId="0">
      <selection activeCell="B138" sqref="B138"/>
    </sheetView>
  </sheetViews>
  <sheetFormatPr defaultRowHeight="12.75" x14ac:dyDescent="0.2"/>
  <cols>
    <col min="1" max="1" width="7" style="836" customWidth="1"/>
    <col min="2" max="2" width="42.85546875" style="764" customWidth="1"/>
    <col min="3" max="3" width="8.7109375" style="835" customWidth="1"/>
    <col min="4" max="7" width="13.85546875" style="799" customWidth="1"/>
    <col min="8" max="16384" width="9.140625" style="764"/>
  </cols>
  <sheetData>
    <row r="1" spans="1:7" s="849" customFormat="1" ht="18" customHeight="1" x14ac:dyDescent="0.2">
      <c r="A1" s="1493" t="s">
        <v>1874</v>
      </c>
      <c r="B1" s="1493"/>
      <c r="C1" s="1493"/>
      <c r="D1" s="1493"/>
      <c r="E1" s="1493"/>
      <c r="F1" s="1493"/>
      <c r="G1" s="1493"/>
    </row>
    <row r="2" spans="1:7" s="850" customFormat="1" ht="18" customHeight="1" x14ac:dyDescent="0.2">
      <c r="A2" s="1494" t="s">
        <v>2512</v>
      </c>
      <c r="B2" s="1494"/>
      <c r="C2" s="1494"/>
      <c r="D2" s="1494"/>
      <c r="E2" s="1494"/>
      <c r="F2" s="1494"/>
      <c r="G2" s="1494"/>
    </row>
    <row r="3" spans="1:7" s="648" customFormat="1" x14ac:dyDescent="0.2">
      <c r="C3" s="546"/>
      <c r="D3" s="760"/>
      <c r="E3" s="760"/>
      <c r="F3" s="760"/>
      <c r="G3" s="760"/>
    </row>
    <row r="4" spans="1:7" x14ac:dyDescent="0.2">
      <c r="A4" s="761"/>
      <c r="B4" s="761"/>
      <c r="C4" s="762"/>
      <c r="D4" s="763">
        <v>1</v>
      </c>
      <c r="E4" s="763">
        <v>2</v>
      </c>
      <c r="F4" s="763">
        <v>3</v>
      </c>
      <c r="G4" s="763">
        <v>4</v>
      </c>
    </row>
    <row r="5" spans="1:7" s="825" customFormat="1" ht="12.75" customHeight="1" x14ac:dyDescent="0.2">
      <c r="A5" s="1495" t="s">
        <v>1876</v>
      </c>
      <c r="B5" s="1496"/>
      <c r="C5" s="1501" t="s">
        <v>1877</v>
      </c>
      <c r="D5" s="1506" t="s">
        <v>1878</v>
      </c>
      <c r="E5" s="1507"/>
      <c r="F5" s="1507"/>
      <c r="G5" s="1508"/>
    </row>
    <row r="6" spans="1:7" s="765" customFormat="1" x14ac:dyDescent="0.2">
      <c r="A6" s="1497"/>
      <c r="B6" s="1498"/>
      <c r="C6" s="1502"/>
      <c r="D6" s="1509" t="s">
        <v>1879</v>
      </c>
      <c r="E6" s="1510"/>
      <c r="F6" s="1511"/>
      <c r="G6" s="1512" t="s">
        <v>1880</v>
      </c>
    </row>
    <row r="7" spans="1:7" s="765" customFormat="1" x14ac:dyDescent="0.2">
      <c r="A7" s="1499"/>
      <c r="B7" s="1500"/>
      <c r="C7" s="1514"/>
      <c r="D7" s="803" t="s">
        <v>1881</v>
      </c>
      <c r="E7" s="803" t="s">
        <v>1882</v>
      </c>
      <c r="F7" s="803" t="s">
        <v>1883</v>
      </c>
      <c r="G7" s="1516"/>
    </row>
    <row r="8" spans="1:7" s="765" customFormat="1" x14ac:dyDescent="0.2">
      <c r="A8" s="804"/>
      <c r="B8" s="804" t="s">
        <v>1884</v>
      </c>
      <c r="C8" s="805" t="s">
        <v>133</v>
      </c>
      <c r="D8" s="769">
        <v>11668362.49174</v>
      </c>
      <c r="E8" s="769">
        <v>4652445.0478599994</v>
      </c>
      <c r="F8" s="769">
        <v>7015917.4438800002</v>
      </c>
      <c r="G8" s="769">
        <v>6124599.0144799994</v>
      </c>
    </row>
    <row r="9" spans="1:7" s="826" customFormat="1" x14ac:dyDescent="0.2">
      <c r="A9" s="804" t="s">
        <v>1885</v>
      </c>
      <c r="B9" s="804" t="s">
        <v>1886</v>
      </c>
      <c r="C9" s="805" t="s">
        <v>133</v>
      </c>
      <c r="D9" s="769">
        <v>10497791.30311</v>
      </c>
      <c r="E9" s="769">
        <v>4650770.3518599998</v>
      </c>
      <c r="F9" s="769">
        <v>5847020.9512499999</v>
      </c>
      <c r="G9" s="769">
        <v>4963018.79507</v>
      </c>
    </row>
    <row r="10" spans="1:7" s="826" customFormat="1" x14ac:dyDescent="0.2">
      <c r="A10" s="804" t="s">
        <v>1887</v>
      </c>
      <c r="B10" s="804" t="s">
        <v>1888</v>
      </c>
      <c r="C10" s="805" t="s">
        <v>133</v>
      </c>
      <c r="D10" s="769">
        <v>164393.85423</v>
      </c>
      <c r="E10" s="769">
        <v>129010.8306</v>
      </c>
      <c r="F10" s="769">
        <v>35383.023630000003</v>
      </c>
      <c r="G10" s="769">
        <v>25224.567210000001</v>
      </c>
    </row>
    <row r="11" spans="1:7" s="648" customFormat="1" x14ac:dyDescent="0.2">
      <c r="A11" s="770" t="s">
        <v>1889</v>
      </c>
      <c r="B11" s="770" t="s">
        <v>1890</v>
      </c>
      <c r="C11" s="776" t="s">
        <v>1891</v>
      </c>
      <c r="D11" s="772">
        <v>205.25</v>
      </c>
      <c r="E11" s="772">
        <v>179.476</v>
      </c>
      <c r="F11" s="772">
        <v>25.774000000000001</v>
      </c>
      <c r="G11" s="772">
        <v>37.69</v>
      </c>
    </row>
    <row r="12" spans="1:7" s="648" customFormat="1" x14ac:dyDescent="0.2">
      <c r="A12" s="770" t="s">
        <v>1892</v>
      </c>
      <c r="B12" s="770" t="s">
        <v>1893</v>
      </c>
      <c r="C12" s="776" t="s">
        <v>1894</v>
      </c>
      <c r="D12" s="773">
        <v>148522.64122999998</v>
      </c>
      <c r="E12" s="773">
        <v>116036.72159999999</v>
      </c>
      <c r="F12" s="773">
        <v>32485.91963</v>
      </c>
      <c r="G12" s="773">
        <v>22926.797210000001</v>
      </c>
    </row>
    <row r="13" spans="1:7" s="648" customFormat="1" x14ac:dyDescent="0.2">
      <c r="A13" s="770" t="s">
        <v>1895</v>
      </c>
      <c r="B13" s="770" t="s">
        <v>320</v>
      </c>
      <c r="C13" s="776" t="s">
        <v>1896</v>
      </c>
      <c r="D13" s="774">
        <v>0</v>
      </c>
      <c r="E13" s="774">
        <v>0</v>
      </c>
      <c r="F13" s="774">
        <v>0</v>
      </c>
      <c r="G13" s="774">
        <v>0</v>
      </c>
    </row>
    <row r="14" spans="1:7" s="648" customFormat="1" x14ac:dyDescent="0.2">
      <c r="A14" s="770" t="s">
        <v>1897</v>
      </c>
      <c r="B14" s="770" t="s">
        <v>1898</v>
      </c>
      <c r="C14" s="776" t="s">
        <v>1899</v>
      </c>
      <c r="D14" s="774">
        <v>0</v>
      </c>
      <c r="E14" s="774">
        <v>0</v>
      </c>
      <c r="F14" s="774">
        <v>0</v>
      </c>
      <c r="G14" s="774">
        <v>0</v>
      </c>
    </row>
    <row r="15" spans="1:7" s="648" customFormat="1" x14ac:dyDescent="0.2">
      <c r="A15" s="770" t="s">
        <v>1900</v>
      </c>
      <c r="B15" s="770" t="s">
        <v>1901</v>
      </c>
      <c r="C15" s="776" t="s">
        <v>1902</v>
      </c>
      <c r="D15" s="774">
        <v>12794.633</v>
      </c>
      <c r="E15" s="774">
        <v>12794.633</v>
      </c>
      <c r="F15" s="774">
        <v>0</v>
      </c>
      <c r="G15" s="774">
        <v>0</v>
      </c>
    </row>
    <row r="16" spans="1:7" s="648" customFormat="1" x14ac:dyDescent="0.2">
      <c r="A16" s="770" t="s">
        <v>1903</v>
      </c>
      <c r="B16" s="770" t="s">
        <v>1904</v>
      </c>
      <c r="C16" s="776" t="s">
        <v>1905</v>
      </c>
      <c r="D16" s="773"/>
      <c r="E16" s="773"/>
      <c r="F16" s="773"/>
      <c r="G16" s="773"/>
    </row>
    <row r="17" spans="1:7" s="648" customFormat="1" x14ac:dyDescent="0.2">
      <c r="A17" s="770" t="s">
        <v>1906</v>
      </c>
      <c r="B17" s="770" t="s">
        <v>1907</v>
      </c>
      <c r="C17" s="776" t="s">
        <v>1908</v>
      </c>
      <c r="D17" s="773">
        <v>2871.33</v>
      </c>
      <c r="E17" s="773"/>
      <c r="F17" s="773">
        <v>2871.33</v>
      </c>
      <c r="G17" s="773">
        <v>2260.08</v>
      </c>
    </row>
    <row r="18" spans="1:7" s="648" customFormat="1" ht="21" x14ac:dyDescent="0.2">
      <c r="A18" s="770" t="s">
        <v>1909</v>
      </c>
      <c r="B18" s="770" t="s">
        <v>1910</v>
      </c>
      <c r="C18" s="776" t="s">
        <v>1911</v>
      </c>
      <c r="D18" s="774">
        <v>0</v>
      </c>
      <c r="E18" s="774">
        <v>0</v>
      </c>
      <c r="F18" s="774">
        <v>0</v>
      </c>
      <c r="G18" s="774">
        <v>0</v>
      </c>
    </row>
    <row r="19" spans="1:7" s="648" customFormat="1" x14ac:dyDescent="0.2">
      <c r="A19" s="770" t="s">
        <v>1912</v>
      </c>
      <c r="B19" s="770" t="s">
        <v>1913</v>
      </c>
      <c r="C19" s="776" t="s">
        <v>1914</v>
      </c>
      <c r="D19" s="774">
        <v>0</v>
      </c>
      <c r="E19" s="773"/>
      <c r="F19" s="774">
        <v>0</v>
      </c>
      <c r="G19" s="773"/>
    </row>
    <row r="20" spans="1:7" s="826" customFormat="1" x14ac:dyDescent="0.2">
      <c r="A20" s="770" t="s">
        <v>1915</v>
      </c>
      <c r="B20" s="770" t="s">
        <v>1916</v>
      </c>
      <c r="C20" s="776" t="s">
        <v>1917</v>
      </c>
      <c r="D20" s="774">
        <v>0</v>
      </c>
      <c r="E20" s="773"/>
      <c r="F20" s="774">
        <v>0</v>
      </c>
      <c r="G20" s="773"/>
    </row>
    <row r="21" spans="1:7" s="648" customFormat="1" x14ac:dyDescent="0.2">
      <c r="A21" s="804" t="s">
        <v>1918</v>
      </c>
      <c r="B21" s="804" t="s">
        <v>1919</v>
      </c>
      <c r="C21" s="805" t="s">
        <v>133</v>
      </c>
      <c r="D21" s="769">
        <v>10333210.086879998</v>
      </c>
      <c r="E21" s="769">
        <v>4521759.5212599998</v>
      </c>
      <c r="F21" s="769">
        <v>5811450.5656199995</v>
      </c>
      <c r="G21" s="769">
        <v>4937606.8658599993</v>
      </c>
    </row>
    <row r="22" spans="1:7" s="648" customFormat="1" x14ac:dyDescent="0.2">
      <c r="A22" s="770" t="s">
        <v>1920</v>
      </c>
      <c r="B22" s="770" t="s">
        <v>264</v>
      </c>
      <c r="C22" s="776" t="s">
        <v>1921</v>
      </c>
      <c r="D22" s="773">
        <v>77016.783819999997</v>
      </c>
      <c r="E22" s="773"/>
      <c r="F22" s="773">
        <v>77016.783819999997</v>
      </c>
      <c r="G22" s="773">
        <v>76995.856450000007</v>
      </c>
    </row>
    <row r="23" spans="1:7" s="648" customFormat="1" x14ac:dyDescent="0.2">
      <c r="A23" s="770" t="s">
        <v>1922</v>
      </c>
      <c r="B23" s="770" t="s">
        <v>1923</v>
      </c>
      <c r="C23" s="776" t="s">
        <v>1924</v>
      </c>
      <c r="D23" s="773">
        <v>3578.2150000000001</v>
      </c>
      <c r="E23" s="773"/>
      <c r="F23" s="773">
        <v>3578.2150000000001</v>
      </c>
      <c r="G23" s="773">
        <v>3586.3150000000001</v>
      </c>
    </row>
    <row r="24" spans="1:7" s="648" customFormat="1" x14ac:dyDescent="0.2">
      <c r="A24" s="770" t="s">
        <v>1925</v>
      </c>
      <c r="B24" s="770" t="s">
        <v>1926</v>
      </c>
      <c r="C24" s="776" t="s">
        <v>1927</v>
      </c>
      <c r="D24" s="773">
        <v>6029708.6813400006</v>
      </c>
      <c r="E24" s="773">
        <v>1428952.88433</v>
      </c>
      <c r="F24" s="773">
        <v>4600755.7970099999</v>
      </c>
      <c r="G24" s="773">
        <v>4004718.4835700002</v>
      </c>
    </row>
    <row r="25" spans="1:7" s="648" customFormat="1" ht="21" x14ac:dyDescent="0.2">
      <c r="A25" s="770" t="s">
        <v>1928</v>
      </c>
      <c r="B25" s="770" t="s">
        <v>1929</v>
      </c>
      <c r="C25" s="776" t="s">
        <v>1930</v>
      </c>
      <c r="D25" s="773">
        <v>3490806.4141100002</v>
      </c>
      <c r="E25" s="773">
        <v>2456612.5200100001</v>
      </c>
      <c r="F25" s="773">
        <v>1034193.8941</v>
      </c>
      <c r="G25" s="773">
        <v>718443.94265999994</v>
      </c>
    </row>
    <row r="26" spans="1:7" s="648" customFormat="1" x14ac:dyDescent="0.2">
      <c r="A26" s="770" t="s">
        <v>1931</v>
      </c>
      <c r="B26" s="770" t="s">
        <v>1932</v>
      </c>
      <c r="C26" s="776" t="s">
        <v>1933</v>
      </c>
      <c r="D26" s="773"/>
      <c r="E26" s="773"/>
      <c r="F26" s="773"/>
      <c r="G26" s="773"/>
    </row>
    <row r="27" spans="1:7" s="648" customFormat="1" x14ac:dyDescent="0.2">
      <c r="A27" s="770" t="s">
        <v>1934</v>
      </c>
      <c r="B27" s="770" t="s">
        <v>1935</v>
      </c>
      <c r="C27" s="776" t="s">
        <v>1936</v>
      </c>
      <c r="D27" s="773">
        <v>636194.11691999994</v>
      </c>
      <c r="E27" s="774">
        <v>636194.11691999994</v>
      </c>
      <c r="F27" s="773"/>
      <c r="G27" s="774">
        <v>0</v>
      </c>
    </row>
    <row r="28" spans="1:7" s="648" customFormat="1" x14ac:dyDescent="0.2">
      <c r="A28" s="770" t="s">
        <v>1937</v>
      </c>
      <c r="B28" s="770" t="s">
        <v>1938</v>
      </c>
      <c r="C28" s="776" t="s">
        <v>1939</v>
      </c>
      <c r="D28" s="773"/>
      <c r="E28" s="773"/>
      <c r="F28" s="773"/>
      <c r="G28" s="773"/>
    </row>
    <row r="29" spans="1:7" s="648" customFormat="1" x14ac:dyDescent="0.2">
      <c r="A29" s="770" t="s">
        <v>1940</v>
      </c>
      <c r="B29" s="770" t="s">
        <v>1941</v>
      </c>
      <c r="C29" s="776" t="s">
        <v>1942</v>
      </c>
      <c r="D29" s="773">
        <v>95905.875690000001</v>
      </c>
      <c r="E29" s="773"/>
      <c r="F29" s="773">
        <v>95905.875690000001</v>
      </c>
      <c r="G29" s="773">
        <v>132575.62818</v>
      </c>
    </row>
    <row r="30" spans="1:7" s="648" customFormat="1" ht="21" x14ac:dyDescent="0.2">
      <c r="A30" s="770" t="s">
        <v>1943</v>
      </c>
      <c r="B30" s="770" t="s">
        <v>1944</v>
      </c>
      <c r="C30" s="776" t="s">
        <v>1945</v>
      </c>
      <c r="D30" s="774">
        <v>0</v>
      </c>
      <c r="E30" s="773"/>
      <c r="F30" s="774">
        <v>0</v>
      </c>
      <c r="G30" s="773"/>
    </row>
    <row r="31" spans="1:7" s="826" customFormat="1" x14ac:dyDescent="0.2">
      <c r="A31" s="770" t="s">
        <v>1946</v>
      </c>
      <c r="B31" s="770" t="s">
        <v>1947</v>
      </c>
      <c r="C31" s="776" t="s">
        <v>1948</v>
      </c>
      <c r="D31" s="773"/>
      <c r="E31" s="773"/>
      <c r="F31" s="773"/>
      <c r="G31" s="773">
        <v>1286.6400000000001</v>
      </c>
    </row>
    <row r="32" spans="1:7" s="648" customFormat="1" x14ac:dyDescent="0.2">
      <c r="A32" s="770" t="s">
        <v>1949</v>
      </c>
      <c r="B32" s="770" t="s">
        <v>1950</v>
      </c>
      <c r="C32" s="776" t="s">
        <v>1951</v>
      </c>
      <c r="D32" s="773"/>
      <c r="E32" s="773"/>
      <c r="F32" s="773"/>
      <c r="G32" s="773"/>
    </row>
    <row r="33" spans="1:7" s="648" customFormat="1" x14ac:dyDescent="0.2">
      <c r="A33" s="804" t="s">
        <v>1952</v>
      </c>
      <c r="B33" s="804" t="s">
        <v>1953</v>
      </c>
      <c r="C33" s="805" t="s">
        <v>133</v>
      </c>
      <c r="D33" s="769">
        <v>137.36199999999999</v>
      </c>
      <c r="E33" s="769">
        <v>0</v>
      </c>
      <c r="F33" s="769">
        <v>137.36199999999999</v>
      </c>
      <c r="G33" s="769">
        <v>137.36199999999999</v>
      </c>
    </row>
    <row r="34" spans="1:7" s="648" customFormat="1" x14ac:dyDescent="0.2">
      <c r="A34" s="770" t="s">
        <v>1954</v>
      </c>
      <c r="B34" s="770" t="s">
        <v>1955</v>
      </c>
      <c r="C34" s="776" t="s">
        <v>1956</v>
      </c>
      <c r="D34" s="774">
        <v>0</v>
      </c>
      <c r="E34" s="774">
        <v>0</v>
      </c>
      <c r="F34" s="774">
        <v>0</v>
      </c>
      <c r="G34" s="774">
        <v>0</v>
      </c>
    </row>
    <row r="35" spans="1:7" s="648" customFormat="1" x14ac:dyDescent="0.2">
      <c r="A35" s="770" t="s">
        <v>1957</v>
      </c>
      <c r="B35" s="770" t="s">
        <v>1958</v>
      </c>
      <c r="C35" s="776" t="s">
        <v>1959</v>
      </c>
      <c r="D35" s="774">
        <v>0</v>
      </c>
      <c r="E35" s="774">
        <v>0</v>
      </c>
      <c r="F35" s="774">
        <v>0</v>
      </c>
      <c r="G35" s="774">
        <v>0</v>
      </c>
    </row>
    <row r="36" spans="1:7" s="648" customFormat="1" x14ac:dyDescent="0.2">
      <c r="A36" s="770" t="s">
        <v>1960</v>
      </c>
      <c r="B36" s="770" t="s">
        <v>1961</v>
      </c>
      <c r="C36" s="776" t="s">
        <v>1962</v>
      </c>
      <c r="D36" s="774">
        <v>0</v>
      </c>
      <c r="E36" s="774">
        <v>0</v>
      </c>
      <c r="F36" s="774">
        <v>0</v>
      </c>
      <c r="G36" s="774">
        <v>0</v>
      </c>
    </row>
    <row r="37" spans="1:7" s="826" customFormat="1" x14ac:dyDescent="0.2">
      <c r="A37" s="770" t="s">
        <v>1966</v>
      </c>
      <c r="B37" s="770" t="s">
        <v>1967</v>
      </c>
      <c r="C37" s="776" t="s">
        <v>1968</v>
      </c>
      <c r="D37" s="774">
        <v>0</v>
      </c>
      <c r="E37" s="774">
        <v>0</v>
      </c>
      <c r="F37" s="774">
        <v>0</v>
      </c>
      <c r="G37" s="774">
        <v>0</v>
      </c>
    </row>
    <row r="38" spans="1:7" s="648" customFormat="1" x14ac:dyDescent="0.2">
      <c r="A38" s="770" t="s">
        <v>1969</v>
      </c>
      <c r="B38" s="770" t="s">
        <v>1970</v>
      </c>
      <c r="C38" s="776" t="s">
        <v>1971</v>
      </c>
      <c r="D38" s="773">
        <v>137.36199999999999</v>
      </c>
      <c r="E38" s="773"/>
      <c r="F38" s="773">
        <v>137.36199999999999</v>
      </c>
      <c r="G38" s="773">
        <v>137.36199999999999</v>
      </c>
    </row>
    <row r="39" spans="1:7" s="648" customFormat="1" x14ac:dyDescent="0.2">
      <c r="A39" s="804" t="s">
        <v>1978</v>
      </c>
      <c r="B39" s="804" t="s">
        <v>1979</v>
      </c>
      <c r="C39" s="805" t="s">
        <v>133</v>
      </c>
      <c r="D39" s="769">
        <v>50</v>
      </c>
      <c r="E39" s="769">
        <v>0</v>
      </c>
      <c r="F39" s="769">
        <v>50</v>
      </c>
      <c r="G39" s="769">
        <v>50</v>
      </c>
    </row>
    <row r="40" spans="1:7" s="648" customFormat="1" x14ac:dyDescent="0.2">
      <c r="A40" s="770" t="s">
        <v>1980</v>
      </c>
      <c r="B40" s="770" t="s">
        <v>1981</v>
      </c>
      <c r="C40" s="776" t="s">
        <v>1982</v>
      </c>
      <c r="D40" s="774">
        <v>0</v>
      </c>
      <c r="E40" s="774">
        <v>0</v>
      </c>
      <c r="F40" s="774">
        <v>0</v>
      </c>
      <c r="G40" s="774">
        <v>0</v>
      </c>
    </row>
    <row r="41" spans="1:7" s="648" customFormat="1" x14ac:dyDescent="0.2">
      <c r="A41" s="770" t="s">
        <v>1983</v>
      </c>
      <c r="B41" s="770" t="s">
        <v>1984</v>
      </c>
      <c r="C41" s="776" t="s">
        <v>1985</v>
      </c>
      <c r="D41" s="774">
        <v>0</v>
      </c>
      <c r="E41" s="774">
        <v>0</v>
      </c>
      <c r="F41" s="774">
        <v>0</v>
      </c>
      <c r="G41" s="774">
        <v>0</v>
      </c>
    </row>
    <row r="42" spans="1:7" s="648" customFormat="1" x14ac:dyDescent="0.2">
      <c r="A42" s="770" t="s">
        <v>1986</v>
      </c>
      <c r="B42" s="770" t="s">
        <v>1987</v>
      </c>
      <c r="C42" s="776" t="s">
        <v>1988</v>
      </c>
      <c r="D42" s="774">
        <v>50</v>
      </c>
      <c r="E42" s="774">
        <v>0</v>
      </c>
      <c r="F42" s="774">
        <v>50</v>
      </c>
      <c r="G42" s="774">
        <v>50</v>
      </c>
    </row>
    <row r="43" spans="1:7" s="826" customFormat="1" x14ac:dyDescent="0.2">
      <c r="A43" s="770" t="s">
        <v>1992</v>
      </c>
      <c r="B43" s="770" t="s">
        <v>1993</v>
      </c>
      <c r="C43" s="776" t="s">
        <v>1994</v>
      </c>
      <c r="D43" s="774">
        <v>0</v>
      </c>
      <c r="E43" s="774">
        <v>0</v>
      </c>
      <c r="F43" s="774">
        <v>0</v>
      </c>
      <c r="G43" s="774">
        <v>0</v>
      </c>
    </row>
    <row r="44" spans="1:7" s="826" customFormat="1" x14ac:dyDescent="0.2">
      <c r="A44" s="770" t="s">
        <v>1995</v>
      </c>
      <c r="B44" s="775" t="s">
        <v>1996</v>
      </c>
      <c r="C44" s="815" t="s">
        <v>1997</v>
      </c>
      <c r="D44" s="774">
        <v>0</v>
      </c>
      <c r="E44" s="774">
        <v>0</v>
      </c>
      <c r="F44" s="774">
        <v>0</v>
      </c>
      <c r="G44" s="774">
        <v>0</v>
      </c>
    </row>
    <row r="45" spans="1:7" s="648" customFormat="1" x14ac:dyDescent="0.2">
      <c r="A45" s="775" t="s">
        <v>1998</v>
      </c>
      <c r="B45" s="775" t="s">
        <v>1999</v>
      </c>
      <c r="C45" s="815" t="s">
        <v>2000</v>
      </c>
      <c r="D45" s="773"/>
      <c r="E45" s="773"/>
      <c r="F45" s="773"/>
      <c r="G45" s="773"/>
    </row>
    <row r="46" spans="1:7" s="648" customFormat="1" x14ac:dyDescent="0.2">
      <c r="A46" s="804" t="s">
        <v>2001</v>
      </c>
      <c r="B46" s="804" t="s">
        <v>2002</v>
      </c>
      <c r="C46" s="805" t="s">
        <v>133</v>
      </c>
      <c r="D46" s="769">
        <v>1170571.1886300002</v>
      </c>
      <c r="E46" s="769">
        <v>1674.6959999999999</v>
      </c>
      <c r="F46" s="769">
        <v>1168896.4926300002</v>
      </c>
      <c r="G46" s="769">
        <v>1161580.2194100001</v>
      </c>
    </row>
    <row r="47" spans="1:7" s="648" customFormat="1" x14ac:dyDescent="0.2">
      <c r="A47" s="767" t="s">
        <v>2003</v>
      </c>
      <c r="B47" s="767" t="s">
        <v>2004</v>
      </c>
      <c r="C47" s="812" t="s">
        <v>133</v>
      </c>
      <c r="D47" s="769">
        <v>153734.36859</v>
      </c>
      <c r="E47" s="769">
        <v>0</v>
      </c>
      <c r="F47" s="769">
        <v>153734.36859</v>
      </c>
      <c r="G47" s="769">
        <v>143671.36925999998</v>
      </c>
    </row>
    <row r="48" spans="1:7" s="648" customFormat="1" x14ac:dyDescent="0.2">
      <c r="A48" s="770" t="s">
        <v>2005</v>
      </c>
      <c r="B48" s="770" t="s">
        <v>2006</v>
      </c>
      <c r="C48" s="776" t="s">
        <v>2007</v>
      </c>
      <c r="D48" s="774">
        <v>0</v>
      </c>
      <c r="E48" s="774">
        <v>0</v>
      </c>
      <c r="F48" s="774">
        <v>0</v>
      </c>
      <c r="G48" s="774">
        <v>0</v>
      </c>
    </row>
    <row r="49" spans="1:7" s="648" customFormat="1" x14ac:dyDescent="0.2">
      <c r="A49" s="770" t="s">
        <v>2008</v>
      </c>
      <c r="B49" s="770" t="s">
        <v>2009</v>
      </c>
      <c r="C49" s="776" t="s">
        <v>2010</v>
      </c>
      <c r="D49" s="773">
        <v>120879.68488</v>
      </c>
      <c r="E49" s="773"/>
      <c r="F49" s="773">
        <v>120879.68488</v>
      </c>
      <c r="G49" s="773">
        <v>111791.28654</v>
      </c>
    </row>
    <row r="50" spans="1:7" s="648" customFormat="1" x14ac:dyDescent="0.2">
      <c r="A50" s="770" t="s">
        <v>2011</v>
      </c>
      <c r="B50" s="770" t="s">
        <v>2012</v>
      </c>
      <c r="C50" s="776" t="s">
        <v>2013</v>
      </c>
      <c r="D50" s="773">
        <v>931.51031999999998</v>
      </c>
      <c r="E50" s="773"/>
      <c r="F50" s="773">
        <v>931.51031999999998</v>
      </c>
      <c r="G50" s="773">
        <v>2143.66345</v>
      </c>
    </row>
    <row r="51" spans="1:7" s="648" customFormat="1" x14ac:dyDescent="0.2">
      <c r="A51" s="770" t="s">
        <v>2014</v>
      </c>
      <c r="B51" s="770" t="s">
        <v>2015</v>
      </c>
      <c r="C51" s="776" t="s">
        <v>2016</v>
      </c>
      <c r="D51" s="773"/>
      <c r="E51" s="773"/>
      <c r="F51" s="773"/>
      <c r="G51" s="773"/>
    </row>
    <row r="52" spans="1:7" s="648" customFormat="1" x14ac:dyDescent="0.2">
      <c r="A52" s="770" t="s">
        <v>2017</v>
      </c>
      <c r="B52" s="770" t="s">
        <v>2018</v>
      </c>
      <c r="C52" s="776" t="s">
        <v>2019</v>
      </c>
      <c r="D52" s="774">
        <v>0</v>
      </c>
      <c r="E52" s="774"/>
      <c r="F52" s="774">
        <v>0</v>
      </c>
      <c r="G52" s="774">
        <v>0</v>
      </c>
    </row>
    <row r="53" spans="1:7" s="648" customFormat="1" x14ac:dyDescent="0.2">
      <c r="A53" s="770" t="s">
        <v>2020</v>
      </c>
      <c r="B53" s="770" t="s">
        <v>2021</v>
      </c>
      <c r="C53" s="776" t="s">
        <v>2022</v>
      </c>
      <c r="D53" s="773">
        <v>3560.5464300000003</v>
      </c>
      <c r="E53" s="773"/>
      <c r="F53" s="773">
        <v>3560.5464300000003</v>
      </c>
      <c r="G53" s="773">
        <v>3225.5517799999998</v>
      </c>
    </row>
    <row r="54" spans="1:7" s="648" customFormat="1" x14ac:dyDescent="0.2">
      <c r="A54" s="770" t="s">
        <v>2023</v>
      </c>
      <c r="B54" s="770" t="s">
        <v>2024</v>
      </c>
      <c r="C54" s="776" t="s">
        <v>2025</v>
      </c>
      <c r="D54" s="774">
        <v>0</v>
      </c>
      <c r="E54" s="774"/>
      <c r="F54" s="774">
        <v>0</v>
      </c>
      <c r="G54" s="774">
        <v>0</v>
      </c>
    </row>
    <row r="55" spans="1:7" s="826" customFormat="1" x14ac:dyDescent="0.2">
      <c r="A55" s="770" t="s">
        <v>2026</v>
      </c>
      <c r="B55" s="770" t="s">
        <v>2027</v>
      </c>
      <c r="C55" s="776" t="s">
        <v>2028</v>
      </c>
      <c r="D55" s="773">
        <v>28357.165860000001</v>
      </c>
      <c r="E55" s="773"/>
      <c r="F55" s="773">
        <v>28357.165860000001</v>
      </c>
      <c r="G55" s="773">
        <v>26510.867489999997</v>
      </c>
    </row>
    <row r="56" spans="1:7" s="648" customFormat="1" x14ac:dyDescent="0.2">
      <c r="A56" s="770" t="s">
        <v>2029</v>
      </c>
      <c r="B56" s="770" t="s">
        <v>2030</v>
      </c>
      <c r="C56" s="776" t="s">
        <v>2031</v>
      </c>
      <c r="D56" s="773">
        <v>5.4611000000000001</v>
      </c>
      <c r="E56" s="773"/>
      <c r="F56" s="773">
        <v>5.4611000000000001</v>
      </c>
      <c r="G56" s="773"/>
    </row>
    <row r="57" spans="1:7" s="648" customFormat="1" x14ac:dyDescent="0.2">
      <c r="A57" s="775" t="s">
        <v>2032</v>
      </c>
      <c r="B57" s="775" t="s">
        <v>2033</v>
      </c>
      <c r="C57" s="815" t="s">
        <v>2034</v>
      </c>
      <c r="D57" s="773"/>
      <c r="E57" s="773"/>
      <c r="F57" s="773"/>
      <c r="G57" s="773"/>
    </row>
    <row r="58" spans="1:7" s="648" customFormat="1" x14ac:dyDescent="0.2">
      <c r="A58" s="767" t="s">
        <v>2035</v>
      </c>
      <c r="B58" s="767" t="s">
        <v>2036</v>
      </c>
      <c r="C58" s="812" t="s">
        <v>133</v>
      </c>
      <c r="D58" s="769">
        <v>572908.98947999999</v>
      </c>
      <c r="E58" s="769">
        <v>1674.6959999999999</v>
      </c>
      <c r="F58" s="769">
        <v>571234.29347999999</v>
      </c>
      <c r="G58" s="769">
        <v>505421.08382</v>
      </c>
    </row>
    <row r="59" spans="1:7" s="648" customFormat="1" x14ac:dyDescent="0.2">
      <c r="A59" s="827" t="s">
        <v>2037</v>
      </c>
      <c r="B59" s="827" t="s">
        <v>2038</v>
      </c>
      <c r="C59" s="828" t="s">
        <v>2039</v>
      </c>
      <c r="D59" s="772">
        <v>448027.90632000001</v>
      </c>
      <c r="E59" s="772">
        <v>791.06542000000002</v>
      </c>
      <c r="F59" s="772">
        <v>447236.84089999995</v>
      </c>
      <c r="G59" s="772">
        <v>386996.44339999999</v>
      </c>
    </row>
    <row r="60" spans="1:7" s="648" customFormat="1" x14ac:dyDescent="0.2">
      <c r="A60" s="770" t="s">
        <v>2046</v>
      </c>
      <c r="B60" s="770" t="s">
        <v>2047</v>
      </c>
      <c r="C60" s="776" t="s">
        <v>2048</v>
      </c>
      <c r="D60" s="773">
        <v>3948.6429399999997</v>
      </c>
      <c r="E60" s="773"/>
      <c r="F60" s="773">
        <v>3948.6429399999997</v>
      </c>
      <c r="G60" s="773">
        <v>6271.0670700000001</v>
      </c>
    </row>
    <row r="61" spans="1:7" s="648" customFormat="1" x14ac:dyDescent="0.2">
      <c r="A61" s="770" t="s">
        <v>2049</v>
      </c>
      <c r="B61" s="770" t="s">
        <v>2050</v>
      </c>
      <c r="C61" s="776" t="s">
        <v>2051</v>
      </c>
      <c r="D61" s="773">
        <v>6559.7290800000001</v>
      </c>
      <c r="E61" s="773"/>
      <c r="F61" s="773">
        <v>6559.7290800000001</v>
      </c>
      <c r="G61" s="773">
        <v>7777.1157499999999</v>
      </c>
    </row>
    <row r="62" spans="1:7" s="648" customFormat="1" x14ac:dyDescent="0.2">
      <c r="A62" s="770" t="s">
        <v>2052</v>
      </c>
      <c r="B62" s="770" t="s">
        <v>2053</v>
      </c>
      <c r="C62" s="776" t="s">
        <v>2054</v>
      </c>
      <c r="D62" s="774">
        <v>0</v>
      </c>
      <c r="E62" s="774"/>
      <c r="F62" s="774">
        <v>0</v>
      </c>
      <c r="G62" s="774">
        <v>0</v>
      </c>
    </row>
    <row r="63" spans="1:7" s="648" customFormat="1" x14ac:dyDescent="0.2">
      <c r="A63" s="770" t="s">
        <v>2061</v>
      </c>
      <c r="B63" s="770" t="s">
        <v>2062</v>
      </c>
      <c r="C63" s="776" t="s">
        <v>2063</v>
      </c>
      <c r="D63" s="774">
        <v>1778.1241499999999</v>
      </c>
      <c r="E63" s="774"/>
      <c r="F63" s="774">
        <v>1778.1241499999999</v>
      </c>
      <c r="G63" s="774">
        <v>1901.53718</v>
      </c>
    </row>
    <row r="64" spans="1:7" s="648" customFormat="1" x14ac:dyDescent="0.2">
      <c r="A64" s="770" t="s">
        <v>2064</v>
      </c>
      <c r="B64" s="770" t="s">
        <v>2065</v>
      </c>
      <c r="C64" s="776" t="s">
        <v>2066</v>
      </c>
      <c r="D64" s="773"/>
      <c r="E64" s="773"/>
      <c r="F64" s="773"/>
      <c r="G64" s="773"/>
    </row>
    <row r="65" spans="1:7" s="648" customFormat="1" x14ac:dyDescent="0.2">
      <c r="A65" s="770" t="s">
        <v>2067</v>
      </c>
      <c r="B65" s="770" t="s">
        <v>2068</v>
      </c>
      <c r="C65" s="776" t="s">
        <v>2069</v>
      </c>
      <c r="D65" s="774"/>
      <c r="E65" s="774"/>
      <c r="F65" s="774">
        <v>0</v>
      </c>
      <c r="G65" s="774">
        <v>0</v>
      </c>
    </row>
    <row r="66" spans="1:7" s="648" customFormat="1" x14ac:dyDescent="0.2">
      <c r="A66" s="770" t="s">
        <v>2070</v>
      </c>
      <c r="B66" s="770" t="s">
        <v>2071</v>
      </c>
      <c r="C66" s="776" t="s">
        <v>2072</v>
      </c>
      <c r="D66" s="773"/>
      <c r="E66" s="773"/>
      <c r="F66" s="773"/>
      <c r="G66" s="773"/>
    </row>
    <row r="67" spans="1:7" s="648" customFormat="1" x14ac:dyDescent="0.2">
      <c r="A67" s="770" t="s">
        <v>2073</v>
      </c>
      <c r="B67" s="770" t="s">
        <v>2074</v>
      </c>
      <c r="C67" s="776" t="s">
        <v>2075</v>
      </c>
      <c r="D67" s="774">
        <v>190.4</v>
      </c>
      <c r="E67" s="773"/>
      <c r="F67" s="774">
        <v>190.4</v>
      </c>
      <c r="G67" s="773">
        <v>316</v>
      </c>
    </row>
    <row r="68" spans="1:7" s="648" customFormat="1" x14ac:dyDescent="0.2">
      <c r="A68" s="770" t="s">
        <v>2076</v>
      </c>
      <c r="B68" s="770" t="s">
        <v>2077</v>
      </c>
      <c r="C68" s="776" t="s">
        <v>2078</v>
      </c>
      <c r="D68" s="773"/>
      <c r="E68" s="773"/>
      <c r="F68" s="773"/>
      <c r="G68" s="773"/>
    </row>
    <row r="69" spans="1:7" s="648" customFormat="1" x14ac:dyDescent="0.2">
      <c r="A69" s="770" t="s">
        <v>2079</v>
      </c>
      <c r="B69" s="770" t="s">
        <v>236</v>
      </c>
      <c r="C69" s="776" t="s">
        <v>2080</v>
      </c>
      <c r="D69" s="773">
        <v>1656.1836799999999</v>
      </c>
      <c r="E69" s="773"/>
      <c r="F69" s="773">
        <v>1656.1836799999999</v>
      </c>
      <c r="G69" s="773">
        <v>383.83940999999999</v>
      </c>
    </row>
    <row r="70" spans="1:7" s="648" customFormat="1" x14ac:dyDescent="0.2">
      <c r="A70" s="770" t="s">
        <v>2081</v>
      </c>
      <c r="B70" s="770" t="s">
        <v>2082</v>
      </c>
      <c r="C70" s="776" t="s">
        <v>2083</v>
      </c>
      <c r="D70" s="773"/>
      <c r="E70" s="773"/>
      <c r="F70" s="773"/>
      <c r="G70" s="773"/>
    </row>
    <row r="71" spans="1:7" s="648" customFormat="1" x14ac:dyDescent="0.2">
      <c r="A71" s="770" t="s">
        <v>2084</v>
      </c>
      <c r="B71" s="770" t="s">
        <v>2085</v>
      </c>
      <c r="C71" s="776" t="s">
        <v>2086</v>
      </c>
      <c r="D71" s="773">
        <v>257.83199999999999</v>
      </c>
      <c r="E71" s="773"/>
      <c r="F71" s="773">
        <v>257.83199999999999</v>
      </c>
      <c r="G71" s="773">
        <v>386.39499999999998</v>
      </c>
    </row>
    <row r="72" spans="1:7" s="648" customFormat="1" x14ac:dyDescent="0.2">
      <c r="A72" s="770" t="s">
        <v>2087</v>
      </c>
      <c r="B72" s="770" t="s">
        <v>2088</v>
      </c>
      <c r="C72" s="776" t="s">
        <v>2089</v>
      </c>
      <c r="D72" s="774">
        <v>1023.72</v>
      </c>
      <c r="E72" s="774"/>
      <c r="F72" s="774">
        <v>1023.72</v>
      </c>
      <c r="G72" s="774">
        <v>500.08</v>
      </c>
    </row>
    <row r="73" spans="1:7" s="648" customFormat="1" x14ac:dyDescent="0.2">
      <c r="A73" s="777" t="s">
        <v>2102</v>
      </c>
      <c r="B73" s="777" t="s">
        <v>2103</v>
      </c>
      <c r="C73" s="778" t="s">
        <v>2104</v>
      </c>
      <c r="D73" s="798">
        <v>0</v>
      </c>
      <c r="E73" s="779"/>
      <c r="F73" s="798">
        <v>0</v>
      </c>
      <c r="G73" s="779"/>
    </row>
    <row r="74" spans="1:7" s="648" customFormat="1" x14ac:dyDescent="0.2">
      <c r="A74" s="770" t="s">
        <v>2105</v>
      </c>
      <c r="B74" s="848" t="s">
        <v>2106</v>
      </c>
      <c r="C74" s="776" t="s">
        <v>2107</v>
      </c>
      <c r="D74" s="774">
        <v>0</v>
      </c>
      <c r="E74" s="774">
        <v>0</v>
      </c>
      <c r="F74" s="774">
        <v>0</v>
      </c>
      <c r="G74" s="774">
        <v>0</v>
      </c>
    </row>
    <row r="75" spans="1:7" s="826" customFormat="1" x14ac:dyDescent="0.2">
      <c r="A75" s="770" t="s">
        <v>2108</v>
      </c>
      <c r="B75" s="770" t="s">
        <v>2109</v>
      </c>
      <c r="C75" s="776" t="s">
        <v>2110</v>
      </c>
      <c r="D75" s="774">
        <v>5767.8316199999999</v>
      </c>
      <c r="E75" s="774">
        <v>0</v>
      </c>
      <c r="F75" s="774">
        <v>5767.8316199999999</v>
      </c>
      <c r="G75" s="774">
        <v>5276.7121699999998</v>
      </c>
    </row>
    <row r="76" spans="1:7" s="648" customFormat="1" x14ac:dyDescent="0.2">
      <c r="A76" s="770" t="s">
        <v>2111</v>
      </c>
      <c r="B76" s="770" t="s">
        <v>2112</v>
      </c>
      <c r="C76" s="776" t="s">
        <v>2113</v>
      </c>
      <c r="D76" s="773">
        <v>701.62247000000002</v>
      </c>
      <c r="E76" s="773"/>
      <c r="F76" s="773">
        <v>701.62247000000002</v>
      </c>
      <c r="G76" s="773">
        <v>1657.87382</v>
      </c>
    </row>
    <row r="77" spans="1:7" s="648" customFormat="1" x14ac:dyDescent="0.2">
      <c r="A77" s="770" t="s">
        <v>2114</v>
      </c>
      <c r="B77" s="770" t="s">
        <v>2115</v>
      </c>
      <c r="C77" s="776" t="s">
        <v>2116</v>
      </c>
      <c r="D77" s="774">
        <v>90452.54621</v>
      </c>
      <c r="E77" s="774">
        <v>0</v>
      </c>
      <c r="F77" s="774">
        <v>90452.54621</v>
      </c>
      <c r="G77" s="774">
        <v>81340.798709999988</v>
      </c>
    </row>
    <row r="78" spans="1:7" s="648" customFormat="1" x14ac:dyDescent="0.2">
      <c r="A78" s="775" t="s">
        <v>2117</v>
      </c>
      <c r="B78" s="829" t="s">
        <v>2118</v>
      </c>
      <c r="C78" s="830" t="s">
        <v>2119</v>
      </c>
      <c r="D78" s="779">
        <v>12544.451010000001</v>
      </c>
      <c r="E78" s="779">
        <v>883.63058000000001</v>
      </c>
      <c r="F78" s="779">
        <v>11660.82043</v>
      </c>
      <c r="G78" s="779">
        <v>12613.221310000001</v>
      </c>
    </row>
    <row r="79" spans="1:7" s="648" customFormat="1" x14ac:dyDescent="0.2">
      <c r="A79" s="804" t="s">
        <v>2120</v>
      </c>
      <c r="B79" s="804" t="s">
        <v>2121</v>
      </c>
      <c r="C79" s="805" t="s">
        <v>133</v>
      </c>
      <c r="D79" s="769">
        <v>443927.83056000003</v>
      </c>
      <c r="E79" s="769">
        <v>0</v>
      </c>
      <c r="F79" s="769">
        <v>443927.83056000003</v>
      </c>
      <c r="G79" s="769">
        <v>512487.76632999995</v>
      </c>
    </row>
    <row r="80" spans="1:7" s="648" customFormat="1" x14ac:dyDescent="0.2">
      <c r="A80" s="775" t="s">
        <v>2122</v>
      </c>
      <c r="B80" s="775" t="s">
        <v>2123</v>
      </c>
      <c r="C80" s="815" t="s">
        <v>2124</v>
      </c>
      <c r="D80" s="773"/>
      <c r="E80" s="773"/>
      <c r="F80" s="773"/>
      <c r="G80" s="773"/>
    </row>
    <row r="81" spans="1:7" s="648" customFormat="1" x14ac:dyDescent="0.2">
      <c r="A81" s="770" t="s">
        <v>2125</v>
      </c>
      <c r="B81" s="770" t="s">
        <v>2126</v>
      </c>
      <c r="C81" s="776" t="s">
        <v>2127</v>
      </c>
      <c r="D81" s="773"/>
      <c r="E81" s="773"/>
      <c r="F81" s="773"/>
      <c r="G81" s="773"/>
    </row>
    <row r="82" spans="1:7" s="648" customFormat="1" x14ac:dyDescent="0.2">
      <c r="A82" s="770" t="s">
        <v>2128</v>
      </c>
      <c r="B82" s="770" t="s">
        <v>2129</v>
      </c>
      <c r="C82" s="776" t="s">
        <v>2130</v>
      </c>
      <c r="D82" s="773"/>
      <c r="E82" s="773"/>
      <c r="F82" s="773"/>
      <c r="G82" s="773"/>
    </row>
    <row r="83" spans="1:7" s="648" customFormat="1" x14ac:dyDescent="0.2">
      <c r="A83" s="770" t="s">
        <v>2131</v>
      </c>
      <c r="B83" s="770" t="s">
        <v>2132</v>
      </c>
      <c r="C83" s="776" t="s">
        <v>2133</v>
      </c>
      <c r="D83" s="773">
        <v>287.02972</v>
      </c>
      <c r="E83" s="773"/>
      <c r="F83" s="773">
        <v>287.02972</v>
      </c>
      <c r="G83" s="773">
        <v>4301.0289400000001</v>
      </c>
    </row>
    <row r="84" spans="1:7" s="648" customFormat="1" x14ac:dyDescent="0.2">
      <c r="A84" s="770" t="s">
        <v>2134</v>
      </c>
      <c r="B84" s="770" t="s">
        <v>2135</v>
      </c>
      <c r="C84" s="776" t="s">
        <v>2136</v>
      </c>
      <c r="D84" s="773">
        <v>2608.8367200000002</v>
      </c>
      <c r="E84" s="773"/>
      <c r="F84" s="773">
        <v>2608.8367200000002</v>
      </c>
      <c r="G84" s="773">
        <v>2624.9921099999997</v>
      </c>
    </row>
    <row r="85" spans="1:7" s="648" customFormat="1" x14ac:dyDescent="0.2">
      <c r="A85" s="770" t="s">
        <v>2137</v>
      </c>
      <c r="B85" s="770" t="s">
        <v>2138</v>
      </c>
      <c r="C85" s="776" t="s">
        <v>2139</v>
      </c>
      <c r="D85" s="773">
        <v>431115.7304</v>
      </c>
      <c r="E85" s="773"/>
      <c r="F85" s="773">
        <v>431115.7304</v>
      </c>
      <c r="G85" s="773">
        <v>497799.92285000003</v>
      </c>
    </row>
    <row r="86" spans="1:7" s="648" customFormat="1" x14ac:dyDescent="0.2">
      <c r="A86" s="770" t="s">
        <v>2140</v>
      </c>
      <c r="B86" s="770" t="s">
        <v>2141</v>
      </c>
      <c r="C86" s="776" t="s">
        <v>2142</v>
      </c>
      <c r="D86" s="773">
        <v>7354.1918099999994</v>
      </c>
      <c r="E86" s="773"/>
      <c r="F86" s="773">
        <v>7354.1918099999994</v>
      </c>
      <c r="G86" s="773">
        <v>5016.9712399999999</v>
      </c>
    </row>
    <row r="87" spans="1:7" s="648" customFormat="1" x14ac:dyDescent="0.2">
      <c r="A87" s="770" t="s">
        <v>2149</v>
      </c>
      <c r="B87" s="770" t="s">
        <v>2150</v>
      </c>
      <c r="C87" s="776" t="s">
        <v>2151</v>
      </c>
      <c r="D87" s="773">
        <v>1113.4229800000001</v>
      </c>
      <c r="E87" s="773"/>
      <c r="F87" s="773">
        <v>1113.4229800000001</v>
      </c>
      <c r="G87" s="773">
        <v>1247.1851799999999</v>
      </c>
    </row>
    <row r="88" spans="1:7" s="648" customFormat="1" x14ac:dyDescent="0.2">
      <c r="A88" s="770" t="s">
        <v>2152</v>
      </c>
      <c r="B88" s="770" t="s">
        <v>2153</v>
      </c>
      <c r="C88" s="776" t="s">
        <v>2154</v>
      </c>
      <c r="D88" s="773"/>
      <c r="E88" s="773"/>
      <c r="F88" s="773"/>
      <c r="G88" s="773"/>
    </row>
    <row r="89" spans="1:7" ht="12.75" customHeight="1" x14ac:dyDescent="0.2">
      <c r="A89" s="777" t="s">
        <v>2155</v>
      </c>
      <c r="B89" s="777" t="s">
        <v>2156</v>
      </c>
      <c r="C89" s="778" t="s">
        <v>2157</v>
      </c>
      <c r="D89" s="779">
        <v>1448.6189299999999</v>
      </c>
      <c r="E89" s="779"/>
      <c r="F89" s="779">
        <v>1448.6189299999999</v>
      </c>
      <c r="G89" s="779">
        <v>1497.6660099999999</v>
      </c>
    </row>
    <row r="90" spans="1:7" s="765" customFormat="1" ht="12.75" customHeight="1" x14ac:dyDescent="0.2">
      <c r="A90" s="831"/>
      <c r="B90" s="831"/>
      <c r="C90" s="831"/>
      <c r="D90" s="832"/>
      <c r="E90" s="833"/>
      <c r="F90" s="832"/>
      <c r="G90" s="832"/>
    </row>
    <row r="91" spans="1:7" s="765" customFormat="1" x14ac:dyDescent="0.2">
      <c r="A91" s="831"/>
      <c r="B91" s="831"/>
      <c r="C91" s="831"/>
      <c r="D91" s="832"/>
      <c r="E91" s="833"/>
      <c r="F91" s="832"/>
      <c r="G91" s="832"/>
    </row>
    <row r="92" spans="1:7" s="826" customFormat="1" x14ac:dyDescent="0.2">
      <c r="A92" s="819"/>
      <c r="B92" s="820"/>
      <c r="C92" s="821"/>
      <c r="D92" s="789">
        <v>1</v>
      </c>
      <c r="E92" s="789">
        <v>2</v>
      </c>
      <c r="F92" s="792"/>
      <c r="G92" s="793"/>
    </row>
    <row r="93" spans="1:7" s="826" customFormat="1" ht="12.75" customHeight="1" x14ac:dyDescent="0.2">
      <c r="A93" s="1495" t="s">
        <v>1876</v>
      </c>
      <c r="B93" s="1496"/>
      <c r="C93" s="1501" t="s">
        <v>1877</v>
      </c>
      <c r="D93" s="1515" t="s">
        <v>1878</v>
      </c>
      <c r="E93" s="1515"/>
      <c r="F93" s="792"/>
      <c r="G93" s="793"/>
    </row>
    <row r="94" spans="1:7" s="826" customFormat="1" x14ac:dyDescent="0.2">
      <c r="A94" s="1499"/>
      <c r="B94" s="1500"/>
      <c r="C94" s="1514"/>
      <c r="D94" s="794" t="s">
        <v>1879</v>
      </c>
      <c r="E94" s="795" t="s">
        <v>1880</v>
      </c>
      <c r="F94" s="792"/>
      <c r="G94" s="793"/>
    </row>
    <row r="95" spans="1:7" s="648" customFormat="1" x14ac:dyDescent="0.2">
      <c r="A95" s="804"/>
      <c r="B95" s="804" t="s">
        <v>2158</v>
      </c>
      <c r="C95" s="805" t="s">
        <v>133</v>
      </c>
      <c r="D95" s="769">
        <v>7015917.4438800002</v>
      </c>
      <c r="E95" s="769">
        <v>6124599.0144799994</v>
      </c>
      <c r="F95" s="790"/>
      <c r="G95" s="791"/>
    </row>
    <row r="96" spans="1:7" s="648" customFormat="1" x14ac:dyDescent="0.2">
      <c r="A96" s="804" t="s">
        <v>2159</v>
      </c>
      <c r="B96" s="804" t="s">
        <v>2160</v>
      </c>
      <c r="C96" s="805" t="s">
        <v>133</v>
      </c>
      <c r="D96" s="769">
        <v>6056008.3838200001</v>
      </c>
      <c r="E96" s="769">
        <v>5289282.3287399998</v>
      </c>
      <c r="F96" s="790"/>
      <c r="G96" s="791"/>
    </row>
    <row r="97" spans="1:7" s="648" customFormat="1" x14ac:dyDescent="0.2">
      <c r="A97" s="804" t="s">
        <v>2161</v>
      </c>
      <c r="B97" s="804" t="s">
        <v>2162</v>
      </c>
      <c r="C97" s="805" t="s">
        <v>133</v>
      </c>
      <c r="D97" s="769">
        <v>5791865.2600299995</v>
      </c>
      <c r="E97" s="769">
        <v>4963394.61876</v>
      </c>
      <c r="F97" s="790"/>
      <c r="G97" s="791"/>
    </row>
    <row r="98" spans="1:7" s="648" customFormat="1" x14ac:dyDescent="0.2">
      <c r="A98" s="770" t="s">
        <v>2163</v>
      </c>
      <c r="B98" s="770" t="s">
        <v>2164</v>
      </c>
      <c r="C98" s="776" t="s">
        <v>2165</v>
      </c>
      <c r="D98" s="773">
        <v>4646940.6520100003</v>
      </c>
      <c r="E98" s="773">
        <v>4479319.2217799993</v>
      </c>
      <c r="F98" s="792"/>
      <c r="G98" s="793"/>
    </row>
    <row r="99" spans="1:7" s="648" customFormat="1" x14ac:dyDescent="0.2">
      <c r="A99" s="770" t="s">
        <v>2166</v>
      </c>
      <c r="B99" s="770" t="s">
        <v>2167</v>
      </c>
      <c r="C99" s="776" t="s">
        <v>2168</v>
      </c>
      <c r="D99" s="774">
        <v>1120658.1463599999</v>
      </c>
      <c r="E99" s="774">
        <v>460494.36932</v>
      </c>
      <c r="F99" s="792"/>
      <c r="G99" s="783"/>
    </row>
    <row r="100" spans="1:7" s="648" customFormat="1" x14ac:dyDescent="0.2">
      <c r="A100" s="770" t="s">
        <v>2169</v>
      </c>
      <c r="B100" s="770" t="s">
        <v>2170</v>
      </c>
      <c r="C100" s="776" t="s">
        <v>2171</v>
      </c>
      <c r="D100" s="774">
        <v>0</v>
      </c>
      <c r="E100" s="774">
        <v>0</v>
      </c>
      <c r="F100" s="796"/>
      <c r="G100" s="783"/>
    </row>
    <row r="101" spans="1:7" s="826" customFormat="1" x14ac:dyDescent="0.2">
      <c r="A101" s="770" t="s">
        <v>2172</v>
      </c>
      <c r="B101" s="770" t="s">
        <v>2173</v>
      </c>
      <c r="C101" s="776" t="s">
        <v>2174</v>
      </c>
      <c r="D101" s="774">
        <v>0</v>
      </c>
      <c r="E101" s="774">
        <v>0</v>
      </c>
      <c r="F101" s="796"/>
      <c r="G101" s="783"/>
    </row>
    <row r="102" spans="1:7" s="648" customFormat="1" x14ac:dyDescent="0.2">
      <c r="A102" s="770" t="s">
        <v>2175</v>
      </c>
      <c r="B102" s="770" t="s">
        <v>2176</v>
      </c>
      <c r="C102" s="776" t="s">
        <v>2177</v>
      </c>
      <c r="D102" s="774">
        <v>0</v>
      </c>
      <c r="E102" s="774">
        <v>0</v>
      </c>
      <c r="F102" s="796"/>
      <c r="G102" s="783"/>
    </row>
    <row r="103" spans="1:7" s="648" customFormat="1" x14ac:dyDescent="0.2">
      <c r="A103" s="770" t="s">
        <v>2178</v>
      </c>
      <c r="B103" s="770" t="s">
        <v>2179</v>
      </c>
      <c r="C103" s="776" t="s">
        <v>2180</v>
      </c>
      <c r="D103" s="779">
        <v>24266.461660000001</v>
      </c>
      <c r="E103" s="779">
        <v>23581.02766</v>
      </c>
      <c r="F103" s="796"/>
      <c r="G103" s="783"/>
    </row>
    <row r="104" spans="1:7" s="648" customFormat="1" ht="13.5" customHeight="1" x14ac:dyDescent="0.2">
      <c r="A104" s="804" t="s">
        <v>2181</v>
      </c>
      <c r="B104" s="804" t="s">
        <v>2182</v>
      </c>
      <c r="C104" s="805" t="s">
        <v>133</v>
      </c>
      <c r="D104" s="769">
        <v>408274.39312999998</v>
      </c>
      <c r="E104" s="769">
        <v>416614.22798000003</v>
      </c>
      <c r="F104" s="790"/>
      <c r="G104" s="791"/>
    </row>
    <row r="105" spans="1:7" s="648" customFormat="1" x14ac:dyDescent="0.2">
      <c r="A105" s="770" t="s">
        <v>2183</v>
      </c>
      <c r="B105" s="770" t="s">
        <v>2184</v>
      </c>
      <c r="C105" s="776" t="s">
        <v>2185</v>
      </c>
      <c r="D105" s="773">
        <v>6921.7339400000001</v>
      </c>
      <c r="E105" s="773">
        <v>4621.7339400000001</v>
      </c>
      <c r="F105" s="792"/>
      <c r="G105" s="793"/>
    </row>
    <row r="106" spans="1:7" s="648" customFormat="1" x14ac:dyDescent="0.2">
      <c r="A106" s="770" t="s">
        <v>2186</v>
      </c>
      <c r="B106" s="770" t="s">
        <v>2187</v>
      </c>
      <c r="C106" s="776" t="s">
        <v>2188</v>
      </c>
      <c r="D106" s="774">
        <v>7376.8488299999999</v>
      </c>
      <c r="E106" s="774">
        <v>6417.5357800000002</v>
      </c>
      <c r="F106" s="792"/>
      <c r="G106" s="793"/>
    </row>
    <row r="107" spans="1:7" s="648" customFormat="1" ht="21" x14ac:dyDescent="0.2">
      <c r="A107" s="770" t="s">
        <v>2189</v>
      </c>
      <c r="B107" s="770" t="s">
        <v>2190</v>
      </c>
      <c r="C107" s="776" t="s">
        <v>2191</v>
      </c>
      <c r="D107" s="774">
        <v>66324.310630000007</v>
      </c>
      <c r="E107" s="774">
        <v>61052.904299999995</v>
      </c>
      <c r="F107" s="792"/>
      <c r="G107" s="793"/>
    </row>
    <row r="108" spans="1:7" s="826" customFormat="1" x14ac:dyDescent="0.2">
      <c r="A108" s="770" t="s">
        <v>2192</v>
      </c>
      <c r="B108" s="770" t="s">
        <v>2193</v>
      </c>
      <c r="C108" s="776" t="s">
        <v>2194</v>
      </c>
      <c r="D108" s="774">
        <v>10105.095599999999</v>
      </c>
      <c r="E108" s="774">
        <v>9223.12176</v>
      </c>
      <c r="F108" s="796"/>
      <c r="G108" s="783"/>
    </row>
    <row r="109" spans="1:7" s="648" customFormat="1" x14ac:dyDescent="0.2">
      <c r="A109" s="770" t="s">
        <v>2195</v>
      </c>
      <c r="B109" s="770" t="s">
        <v>2196</v>
      </c>
      <c r="C109" s="776" t="s">
        <v>2197</v>
      </c>
      <c r="D109" s="774">
        <v>317546.40412999998</v>
      </c>
      <c r="E109" s="774">
        <v>335298.93219999998</v>
      </c>
      <c r="F109" s="792"/>
      <c r="G109" s="793"/>
    </row>
    <row r="110" spans="1:7" s="648" customFormat="1" x14ac:dyDescent="0.2">
      <c r="A110" s="804" t="s">
        <v>2201</v>
      </c>
      <c r="B110" s="804" t="s">
        <v>2202</v>
      </c>
      <c r="C110" s="805" t="s">
        <v>133</v>
      </c>
      <c r="D110" s="769">
        <v>-144131.26934</v>
      </c>
      <c r="E110" s="769">
        <v>-90726.517999999996</v>
      </c>
      <c r="F110" s="790"/>
      <c r="G110" s="791"/>
    </row>
    <row r="111" spans="1:7" s="648" customFormat="1" x14ac:dyDescent="0.2">
      <c r="A111" s="770" t="s">
        <v>2203</v>
      </c>
      <c r="B111" s="770" t="s">
        <v>2204</v>
      </c>
      <c r="C111" s="776" t="s">
        <v>133</v>
      </c>
      <c r="D111" s="773">
        <v>-45833.345009999997</v>
      </c>
      <c r="E111" s="773">
        <v>20719.859420000001</v>
      </c>
      <c r="F111" s="792"/>
      <c r="G111" s="783"/>
    </row>
    <row r="112" spans="1:7" s="826" customFormat="1" x14ac:dyDescent="0.2">
      <c r="A112" s="770" t="s">
        <v>2205</v>
      </c>
      <c r="B112" s="770" t="s">
        <v>2206</v>
      </c>
      <c r="C112" s="776" t="s">
        <v>2207</v>
      </c>
      <c r="D112" s="774">
        <v>0</v>
      </c>
      <c r="E112" s="774">
        <v>0</v>
      </c>
      <c r="F112" s="796"/>
      <c r="G112" s="793"/>
    </row>
    <row r="113" spans="1:7" s="826" customFormat="1" x14ac:dyDescent="0.2">
      <c r="A113" s="770" t="s">
        <v>2208</v>
      </c>
      <c r="B113" s="770" t="s">
        <v>2209</v>
      </c>
      <c r="C113" s="776" t="s">
        <v>2210</v>
      </c>
      <c r="D113" s="774">
        <v>-98297.924329999994</v>
      </c>
      <c r="E113" s="774">
        <v>-111446.37742</v>
      </c>
      <c r="F113" s="796"/>
      <c r="G113" s="783"/>
    </row>
    <row r="114" spans="1:7" s="648" customFormat="1" x14ac:dyDescent="0.2">
      <c r="A114" s="804" t="s">
        <v>2211</v>
      </c>
      <c r="B114" s="804" t="s">
        <v>2212</v>
      </c>
      <c r="C114" s="805" t="s">
        <v>133</v>
      </c>
      <c r="D114" s="769">
        <v>959909.06005999993</v>
      </c>
      <c r="E114" s="769">
        <v>835316.68573999999</v>
      </c>
      <c r="F114" s="790"/>
      <c r="G114" s="791"/>
    </row>
    <row r="115" spans="1:7" s="826" customFormat="1" x14ac:dyDescent="0.2">
      <c r="A115" s="804" t="s">
        <v>2213</v>
      </c>
      <c r="B115" s="804" t="s">
        <v>2214</v>
      </c>
      <c r="C115" s="805" t="s">
        <v>133</v>
      </c>
      <c r="D115" s="769">
        <v>17886.516</v>
      </c>
      <c r="E115" s="769">
        <v>23443.239000000001</v>
      </c>
      <c r="F115" s="790"/>
      <c r="G115" s="791"/>
    </row>
    <row r="116" spans="1:7" s="648" customFormat="1" x14ac:dyDescent="0.2">
      <c r="A116" s="770" t="s">
        <v>2215</v>
      </c>
      <c r="B116" s="770" t="s">
        <v>2214</v>
      </c>
      <c r="C116" s="776" t="s">
        <v>2216</v>
      </c>
      <c r="D116" s="774">
        <v>17886.516</v>
      </c>
      <c r="E116" s="774">
        <v>23443.239000000001</v>
      </c>
      <c r="F116" s="796"/>
      <c r="G116" s="783"/>
    </row>
    <row r="117" spans="1:7" s="648" customFormat="1" x14ac:dyDescent="0.2">
      <c r="A117" s="804" t="s">
        <v>2217</v>
      </c>
      <c r="B117" s="804" t="s">
        <v>2218</v>
      </c>
      <c r="C117" s="805" t="s">
        <v>133</v>
      </c>
      <c r="D117" s="769">
        <v>64920.44713</v>
      </c>
      <c r="E117" s="769">
        <v>65948.88384000001</v>
      </c>
      <c r="F117" s="790"/>
      <c r="G117" s="791"/>
    </row>
    <row r="118" spans="1:7" s="648" customFormat="1" x14ac:dyDescent="0.2">
      <c r="A118" s="770" t="s">
        <v>2219</v>
      </c>
      <c r="B118" s="770" t="s">
        <v>2220</v>
      </c>
      <c r="C118" s="776" t="s">
        <v>2221</v>
      </c>
      <c r="D118" s="774">
        <v>21459.681559999997</v>
      </c>
      <c r="E118" s="774">
        <v>12367.05983</v>
      </c>
      <c r="F118" s="796"/>
      <c r="G118" s="783"/>
    </row>
    <row r="119" spans="1:7" s="648" customFormat="1" x14ac:dyDescent="0.2">
      <c r="A119" s="770" t="s">
        <v>2222</v>
      </c>
      <c r="B119" s="770" t="s">
        <v>2223</v>
      </c>
      <c r="C119" s="776" t="s">
        <v>2224</v>
      </c>
      <c r="D119" s="774">
        <v>0</v>
      </c>
      <c r="E119" s="774">
        <v>0</v>
      </c>
      <c r="F119" s="796"/>
      <c r="G119" s="783"/>
    </row>
    <row r="120" spans="1:7" s="648" customFormat="1" x14ac:dyDescent="0.2">
      <c r="A120" s="770" t="s">
        <v>2228</v>
      </c>
      <c r="B120" s="770" t="s">
        <v>2229</v>
      </c>
      <c r="C120" s="776" t="s">
        <v>2230</v>
      </c>
      <c r="D120" s="774">
        <v>26628.842000000001</v>
      </c>
      <c r="E120" s="774">
        <v>26628.842000000001</v>
      </c>
      <c r="F120" s="796"/>
      <c r="G120" s="783"/>
    </row>
    <row r="121" spans="1:7" s="648" customFormat="1" x14ac:dyDescent="0.2">
      <c r="A121" s="770" t="s">
        <v>2237</v>
      </c>
      <c r="B121" s="770" t="s">
        <v>2238</v>
      </c>
      <c r="C121" s="776" t="s">
        <v>2239</v>
      </c>
      <c r="D121" s="774">
        <v>16831.923569999999</v>
      </c>
      <c r="E121" s="774">
        <v>5654.2540300000001</v>
      </c>
      <c r="F121" s="796"/>
      <c r="G121" s="783"/>
    </row>
    <row r="122" spans="1:7" s="826" customFormat="1" x14ac:dyDescent="0.2">
      <c r="A122" s="770" t="s">
        <v>2240</v>
      </c>
      <c r="B122" s="770" t="s">
        <v>2241</v>
      </c>
      <c r="C122" s="776" t="s">
        <v>2242</v>
      </c>
      <c r="D122" s="774">
        <v>0</v>
      </c>
      <c r="E122" s="774">
        <v>21298.72798</v>
      </c>
      <c r="F122" s="796"/>
      <c r="G122" s="783"/>
    </row>
    <row r="123" spans="1:7" s="648" customFormat="1" x14ac:dyDescent="0.2">
      <c r="A123" s="770" t="s">
        <v>2243</v>
      </c>
      <c r="B123" s="770" t="s">
        <v>1999</v>
      </c>
      <c r="C123" s="776" t="s">
        <v>2000</v>
      </c>
      <c r="D123" s="774">
        <v>0</v>
      </c>
      <c r="E123" s="774">
        <v>0</v>
      </c>
      <c r="F123" s="796"/>
      <c r="G123" s="783"/>
    </row>
    <row r="124" spans="1:7" s="648" customFormat="1" x14ac:dyDescent="0.2">
      <c r="A124" s="804" t="s">
        <v>2244</v>
      </c>
      <c r="B124" s="804" t="s">
        <v>2245</v>
      </c>
      <c r="C124" s="805" t="s">
        <v>133</v>
      </c>
      <c r="D124" s="769">
        <v>877102.09693</v>
      </c>
      <c r="E124" s="769">
        <v>745924.56290000002</v>
      </c>
      <c r="F124" s="790"/>
      <c r="G124" s="791"/>
    </row>
    <row r="125" spans="1:7" s="648" customFormat="1" x14ac:dyDescent="0.2">
      <c r="A125" s="770" t="s">
        <v>2246</v>
      </c>
      <c r="B125" s="770" t="s">
        <v>2247</v>
      </c>
      <c r="C125" s="776" t="s">
        <v>2248</v>
      </c>
      <c r="D125" s="774">
        <v>76000</v>
      </c>
      <c r="E125" s="774">
        <v>70000</v>
      </c>
      <c r="F125" s="796"/>
      <c r="G125" s="783"/>
    </row>
    <row r="126" spans="1:7" s="648" customFormat="1" x14ac:dyDescent="0.2">
      <c r="A126" s="770" t="s">
        <v>2255</v>
      </c>
      <c r="B126" s="770" t="s">
        <v>2256</v>
      </c>
      <c r="C126" s="776" t="s">
        <v>2257</v>
      </c>
      <c r="D126" s="774">
        <v>0</v>
      </c>
      <c r="E126" s="774">
        <v>0</v>
      </c>
      <c r="F126" s="796"/>
      <c r="G126" s="783"/>
    </row>
    <row r="127" spans="1:7" s="648" customFormat="1" x14ac:dyDescent="0.2">
      <c r="A127" s="770" t="s">
        <v>2258</v>
      </c>
      <c r="B127" s="770" t="s">
        <v>2259</v>
      </c>
      <c r="C127" s="776" t="s">
        <v>2260</v>
      </c>
      <c r="D127" s="774">
        <v>341555.03967999999</v>
      </c>
      <c r="E127" s="774">
        <v>278750.79214999999</v>
      </c>
      <c r="F127" s="792"/>
      <c r="G127" s="793"/>
    </row>
    <row r="128" spans="1:7" s="648" customFormat="1" ht="12.75" customHeight="1" x14ac:dyDescent="0.2">
      <c r="A128" s="770" t="s">
        <v>2264</v>
      </c>
      <c r="B128" s="770" t="s">
        <v>2265</v>
      </c>
      <c r="C128" s="776" t="s">
        <v>2266</v>
      </c>
      <c r="D128" s="774">
        <v>30564.38624</v>
      </c>
      <c r="E128" s="774">
        <v>30492.288339999999</v>
      </c>
      <c r="F128" s="792"/>
      <c r="G128" s="793"/>
    </row>
    <row r="129" spans="1:7" s="648" customFormat="1" ht="12.75" customHeight="1" x14ac:dyDescent="0.2">
      <c r="A129" s="770" t="s">
        <v>2270</v>
      </c>
      <c r="B129" s="770" t="s">
        <v>2271</v>
      </c>
      <c r="C129" s="776" t="s">
        <v>2272</v>
      </c>
      <c r="D129" s="774">
        <v>0</v>
      </c>
      <c r="E129" s="774">
        <v>0</v>
      </c>
      <c r="F129" s="796"/>
      <c r="G129" s="783"/>
    </row>
    <row r="130" spans="1:7" s="648" customFormat="1" ht="12.75" customHeight="1" x14ac:dyDescent="0.2">
      <c r="A130" s="770" t="s">
        <v>2273</v>
      </c>
      <c r="B130" s="770" t="s">
        <v>2274</v>
      </c>
      <c r="C130" s="776" t="s">
        <v>2275</v>
      </c>
      <c r="D130" s="774">
        <v>161499.82550000001</v>
      </c>
      <c r="E130" s="774">
        <v>153127.9915</v>
      </c>
      <c r="F130" s="792"/>
      <c r="G130" s="793"/>
    </row>
    <row r="131" spans="1:7" s="648" customFormat="1" ht="12.75" customHeight="1" x14ac:dyDescent="0.2">
      <c r="A131" s="770" t="s">
        <v>2276</v>
      </c>
      <c r="B131" s="770" t="s">
        <v>2277</v>
      </c>
      <c r="C131" s="776" t="s">
        <v>2278</v>
      </c>
      <c r="D131" s="774">
        <v>1441.8579999999999</v>
      </c>
      <c r="E131" s="774">
        <v>1462.925</v>
      </c>
      <c r="F131" s="792"/>
      <c r="G131" s="793"/>
    </row>
    <row r="132" spans="1:7" s="648" customFormat="1" ht="12.75" customHeight="1" x14ac:dyDescent="0.2">
      <c r="A132" s="770" t="s">
        <v>2279</v>
      </c>
      <c r="B132" s="770" t="s">
        <v>2065</v>
      </c>
      <c r="C132" s="776" t="s">
        <v>2066</v>
      </c>
      <c r="D132" s="774">
        <v>64389.286690000001</v>
      </c>
      <c r="E132" s="774">
        <v>60889.146799999995</v>
      </c>
      <c r="F132" s="792"/>
      <c r="G132" s="793"/>
    </row>
    <row r="133" spans="1:7" s="648" customFormat="1" ht="12.75" customHeight="1" x14ac:dyDescent="0.2">
      <c r="A133" s="770" t="s">
        <v>2280</v>
      </c>
      <c r="B133" s="770" t="s">
        <v>2068</v>
      </c>
      <c r="C133" s="776" t="s">
        <v>2069</v>
      </c>
      <c r="D133" s="774">
        <v>28829.68561</v>
      </c>
      <c r="E133" s="774">
        <v>27263.017</v>
      </c>
      <c r="F133" s="792"/>
      <c r="G133" s="793"/>
    </row>
    <row r="134" spans="1:7" s="648" customFormat="1" ht="12.75" customHeight="1" x14ac:dyDescent="0.2">
      <c r="A134" s="770" t="s">
        <v>2281</v>
      </c>
      <c r="B134" s="770" t="s">
        <v>2071</v>
      </c>
      <c r="C134" s="776" t="s">
        <v>2072</v>
      </c>
      <c r="D134" s="774">
        <v>314.47800000000001</v>
      </c>
      <c r="E134" s="774">
        <v>272.35899999999998</v>
      </c>
      <c r="F134" s="792"/>
      <c r="G134" s="793"/>
    </row>
    <row r="135" spans="1:7" s="648" customFormat="1" ht="12.75" customHeight="1" x14ac:dyDescent="0.2">
      <c r="A135" s="770" t="s">
        <v>2282</v>
      </c>
      <c r="B135" s="770" t="s">
        <v>2074</v>
      </c>
      <c r="C135" s="776" t="s">
        <v>2075</v>
      </c>
      <c r="D135" s="774">
        <v>9989.7800000000007</v>
      </c>
      <c r="E135" s="774">
        <v>10864.1</v>
      </c>
      <c r="F135" s="796"/>
      <c r="G135" s="783"/>
    </row>
    <row r="136" spans="1:7" s="648" customFormat="1" ht="12.75" customHeight="1" x14ac:dyDescent="0.2">
      <c r="A136" s="770" t="s">
        <v>2283</v>
      </c>
      <c r="B136" s="770" t="s">
        <v>2077</v>
      </c>
      <c r="C136" s="776" t="s">
        <v>2078</v>
      </c>
      <c r="D136" s="774">
        <v>26370.868999999999</v>
      </c>
      <c r="E136" s="774">
        <v>24597.673999999999</v>
      </c>
      <c r="F136" s="792"/>
      <c r="G136" s="793"/>
    </row>
    <row r="137" spans="1:7" s="648" customFormat="1" ht="12.75" customHeight="1" x14ac:dyDescent="0.2">
      <c r="A137" s="770" t="s">
        <v>2284</v>
      </c>
      <c r="B137" s="770" t="s">
        <v>236</v>
      </c>
      <c r="C137" s="776" t="s">
        <v>2080</v>
      </c>
      <c r="D137" s="774">
        <v>3215.4136699999999</v>
      </c>
      <c r="E137" s="774">
        <v>4307.8615899999995</v>
      </c>
      <c r="F137" s="796"/>
      <c r="G137" s="783"/>
    </row>
    <row r="138" spans="1:7" s="648" customFormat="1" ht="12.75" customHeight="1" x14ac:dyDescent="0.2">
      <c r="A138" s="770" t="s">
        <v>2285</v>
      </c>
      <c r="B138" s="770" t="s">
        <v>2286</v>
      </c>
      <c r="C138" s="776" t="s">
        <v>2287</v>
      </c>
      <c r="D138" s="774">
        <v>0</v>
      </c>
      <c r="E138" s="774">
        <v>0</v>
      </c>
      <c r="F138" s="792"/>
      <c r="G138" s="793"/>
    </row>
    <row r="139" spans="1:7" s="648" customFormat="1" ht="12.75" customHeight="1" x14ac:dyDescent="0.2">
      <c r="A139" s="770" t="s">
        <v>2288</v>
      </c>
      <c r="B139" s="770" t="s">
        <v>2289</v>
      </c>
      <c r="C139" s="776" t="s">
        <v>2290</v>
      </c>
      <c r="D139" s="774">
        <v>315.53800000000001</v>
      </c>
      <c r="E139" s="774">
        <v>119.529</v>
      </c>
      <c r="F139" s="792"/>
      <c r="G139" s="793"/>
    </row>
    <row r="140" spans="1:7" s="648" customFormat="1" ht="12.75" customHeight="1" x14ac:dyDescent="0.2">
      <c r="A140" s="770" t="s">
        <v>2291</v>
      </c>
      <c r="B140" s="770" t="s">
        <v>2292</v>
      </c>
      <c r="C140" s="776" t="s">
        <v>2293</v>
      </c>
      <c r="D140" s="774">
        <v>170.29958999999999</v>
      </c>
      <c r="E140" s="774">
        <v>186.74854000000002</v>
      </c>
      <c r="F140" s="792"/>
      <c r="G140" s="793"/>
    </row>
    <row r="141" spans="1:7" s="648" customFormat="1" ht="12.75" customHeight="1" x14ac:dyDescent="0.2">
      <c r="A141" s="770" t="s">
        <v>2304</v>
      </c>
      <c r="B141" s="770" t="s">
        <v>2305</v>
      </c>
      <c r="C141" s="776" t="s">
        <v>2306</v>
      </c>
      <c r="D141" s="774">
        <v>135</v>
      </c>
      <c r="E141" s="774">
        <v>6040.9369900000002</v>
      </c>
      <c r="F141" s="792"/>
      <c r="G141" s="793"/>
    </row>
    <row r="142" spans="1:7" s="648" customFormat="1" ht="12.75" customHeight="1" x14ac:dyDescent="0.2">
      <c r="A142" s="770" t="s">
        <v>2307</v>
      </c>
      <c r="B142" s="770" t="s">
        <v>2106</v>
      </c>
      <c r="C142" s="776" t="s">
        <v>2107</v>
      </c>
      <c r="D142" s="774">
        <v>0</v>
      </c>
      <c r="E142" s="774">
        <v>0</v>
      </c>
      <c r="F142" s="792"/>
      <c r="G142" s="793"/>
    </row>
    <row r="143" spans="1:7" s="648" customFormat="1" ht="12.75" customHeight="1" x14ac:dyDescent="0.2">
      <c r="A143" s="770" t="s">
        <v>2308</v>
      </c>
      <c r="B143" s="770" t="s">
        <v>2309</v>
      </c>
      <c r="C143" s="776" t="s">
        <v>2310</v>
      </c>
      <c r="D143" s="774">
        <v>381.20753999999999</v>
      </c>
      <c r="E143" s="774">
        <v>118.12613</v>
      </c>
      <c r="F143" s="792"/>
      <c r="G143" s="793"/>
    </row>
    <row r="144" spans="1:7" s="648" customFormat="1" ht="12.75" customHeight="1" x14ac:dyDescent="0.2">
      <c r="A144" s="770" t="s">
        <v>2311</v>
      </c>
      <c r="B144" s="770" t="s">
        <v>2312</v>
      </c>
      <c r="C144" s="776" t="s">
        <v>2313</v>
      </c>
      <c r="D144" s="774">
        <v>589.69213999999999</v>
      </c>
      <c r="E144" s="774">
        <v>464.61665999999997</v>
      </c>
      <c r="F144" s="792"/>
      <c r="G144" s="793"/>
    </row>
    <row r="145" spans="1:7" s="648" customFormat="1" ht="12.75" customHeight="1" x14ac:dyDescent="0.2">
      <c r="A145" s="770" t="s">
        <v>2314</v>
      </c>
      <c r="B145" s="770" t="s">
        <v>2315</v>
      </c>
      <c r="C145" s="776" t="s">
        <v>2316</v>
      </c>
      <c r="D145" s="774">
        <v>117654.10625</v>
      </c>
      <c r="E145" s="774">
        <v>61140.12343</v>
      </c>
      <c r="F145" s="792"/>
      <c r="G145" s="793"/>
    </row>
    <row r="146" spans="1:7" s="648" customFormat="1" ht="12.75" customHeight="1" x14ac:dyDescent="0.2">
      <c r="A146" s="777" t="s">
        <v>2317</v>
      </c>
      <c r="B146" s="777" t="s">
        <v>2318</v>
      </c>
      <c r="C146" s="778" t="s">
        <v>2319</v>
      </c>
      <c r="D146" s="798">
        <v>13685.631019999999</v>
      </c>
      <c r="E146" s="798">
        <v>15826.32677</v>
      </c>
      <c r="F146" s="796"/>
      <c r="G146" s="783"/>
    </row>
    <row r="147" spans="1:7" s="648" customFormat="1" x14ac:dyDescent="0.2">
      <c r="A147" s="851"/>
      <c r="C147" s="546"/>
      <c r="D147" s="799"/>
      <c r="E147" s="799"/>
      <c r="F147" s="799"/>
      <c r="G147" s="799"/>
    </row>
  </sheetData>
  <mergeCells count="10">
    <mergeCell ref="A93:B94"/>
    <mergeCell ref="C93:C94"/>
    <mergeCell ref="D93:E93"/>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75" firstPageNumber="475" fitToHeight="2" orientation="portrait" useFirstPageNumber="1" r:id="rId1"/>
  <headerFooter alignWithMargins="0">
    <oddHeader>&amp;L&amp;"Tahoma,Kurzíva"Závěrečný účet za rok 2015&amp;R&amp;"Tahoma,Kurzíva"Tabulka č. 42</oddHeader>
    <oddFooter>&amp;C&amp;"Tahoma,Obyčejné"&amp;P</oddFooter>
  </headerFooter>
  <rowBreaks count="1" manualBreakCount="1">
    <brk id="73"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7:G27"/>
  <sheetViews>
    <sheetView showGridLines="0" zoomScale="85" zoomScaleNormal="85" zoomScaleSheetLayoutView="100" workbookViewId="0">
      <selection activeCell="O8" sqref="O8"/>
    </sheetView>
  </sheetViews>
  <sheetFormatPr defaultRowHeight="14.25" x14ac:dyDescent="0.2"/>
  <cols>
    <col min="1" max="1" width="21.28515625" style="43" customWidth="1"/>
    <col min="2" max="3" width="12.85546875" style="43" customWidth="1"/>
    <col min="4" max="4" width="8.7109375" style="44" customWidth="1"/>
    <col min="5" max="6" width="12.85546875" style="44" customWidth="1"/>
    <col min="7" max="7" width="8.7109375" style="44" customWidth="1"/>
    <col min="8" max="9" width="12.85546875" style="43" customWidth="1"/>
    <col min="10" max="10" width="8.7109375" style="43" customWidth="1"/>
    <col min="11" max="11" width="15.85546875" style="43" customWidth="1"/>
    <col min="12" max="12" width="9.7109375" style="43" customWidth="1"/>
    <col min="13" max="16384" width="9.140625" style="43"/>
  </cols>
  <sheetData>
    <row r="27" ht="72.75" customHeight="1" x14ac:dyDescent="0.2"/>
  </sheetData>
  <customSheetViews>
    <customSheetView guid="{53E72506-0B1D-4F4A-A157-6DE69D2E678D}" showPageBreaks="1" showGridLines="0" printArea="1" view="pageBreakPreview">
      <selection activeCell="P11" sqref="P11"/>
      <pageMargins left="0.78740157480314965" right="0.78740157480314965" top="0.98425196850393704" bottom="0.98425196850393704" header="0.51181102362204722" footer="0.51181102362204722"/>
      <pageSetup paperSize="9" firstPageNumber="151" orientation="landscape" useFirstPageNumber="1" r:id="rId1"/>
      <headerFooter alignWithMargins="0">
        <oddHeader>&amp;L&amp;"Tahoma,Kurzíva"&amp;9Závěrečný účet za rok 2014&amp;R&amp;"Tahoma,Kurzíva"&amp;9Graf č. 5</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65" orientation="landscape" useFirstPageNumber="1" r:id="rId2"/>
  <headerFooter alignWithMargins="0">
    <oddHeader>&amp;L&amp;"Tahoma,Kurzíva"&amp;9Závěrečný účet za rok 2015&amp;R&amp;"Tahoma,Kurzíva"&amp;9Graf č. 5</oddHeader>
    <oddFooter>&amp;C&amp;"Tahoma,Obyčejné"&amp;P</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zoomScaleNormal="100" zoomScaleSheetLayoutView="100" workbookViewId="0">
      <selection activeCell="I5" sqref="I5"/>
    </sheetView>
  </sheetViews>
  <sheetFormatPr defaultRowHeight="12.75" x14ac:dyDescent="0.2"/>
  <cols>
    <col min="1" max="1" width="6.7109375" style="211" customWidth="1"/>
    <col min="2" max="2" width="58.42578125" style="211" customWidth="1"/>
    <col min="3" max="3" width="8.5703125" style="847" customWidth="1"/>
    <col min="4" max="7" width="15.42578125" style="211" customWidth="1"/>
    <col min="8" max="16384" width="9.140625" style="211"/>
  </cols>
  <sheetData>
    <row r="1" spans="1:7" s="837" customFormat="1" ht="18" customHeight="1" x14ac:dyDescent="0.2">
      <c r="A1" s="1493" t="s">
        <v>1874</v>
      </c>
      <c r="B1" s="1493"/>
      <c r="C1" s="1493"/>
      <c r="D1" s="1493"/>
      <c r="E1" s="1493"/>
      <c r="F1" s="1493"/>
      <c r="G1" s="1493"/>
    </row>
    <row r="2" spans="1:7" s="838" customFormat="1" ht="18" customHeight="1" x14ac:dyDescent="0.2">
      <c r="A2" s="1493" t="s">
        <v>2513</v>
      </c>
      <c r="B2" s="1493"/>
      <c r="C2" s="1493"/>
      <c r="D2" s="1493"/>
      <c r="E2" s="1493"/>
      <c r="F2" s="1493"/>
      <c r="G2" s="1493"/>
    </row>
    <row r="4" spans="1:7" ht="12.75" customHeight="1" x14ac:dyDescent="0.2">
      <c r="A4" s="839"/>
      <c r="B4" s="840"/>
      <c r="C4" s="841"/>
      <c r="D4" s="842">
        <v>1</v>
      </c>
      <c r="E4" s="842">
        <v>2</v>
      </c>
      <c r="F4" s="842">
        <v>3</v>
      </c>
      <c r="G4" s="842">
        <v>4</v>
      </c>
    </row>
    <row r="5" spans="1:7" s="843" customFormat="1" ht="12.75" customHeight="1" x14ac:dyDescent="0.2">
      <c r="A5" s="1517" t="s">
        <v>1876</v>
      </c>
      <c r="B5" s="1518"/>
      <c r="C5" s="1521" t="s">
        <v>1877</v>
      </c>
      <c r="D5" s="1523" t="s">
        <v>2324</v>
      </c>
      <c r="E5" s="1523"/>
      <c r="F5" s="1523" t="s">
        <v>2325</v>
      </c>
      <c r="G5" s="1523"/>
    </row>
    <row r="6" spans="1:7" s="843" customFormat="1" ht="21" x14ac:dyDescent="0.2">
      <c r="A6" s="1519"/>
      <c r="B6" s="1520"/>
      <c r="C6" s="1522"/>
      <c r="D6" s="844" t="s">
        <v>2326</v>
      </c>
      <c r="E6" s="844" t="s">
        <v>2327</v>
      </c>
      <c r="F6" s="845" t="s">
        <v>2326</v>
      </c>
      <c r="G6" s="845" t="s">
        <v>2327</v>
      </c>
    </row>
    <row r="7" spans="1:7" s="843" customFormat="1" x14ac:dyDescent="0.2">
      <c r="A7" s="804" t="s">
        <v>1885</v>
      </c>
      <c r="B7" s="804" t="s">
        <v>2328</v>
      </c>
      <c r="C7" s="805" t="s">
        <v>133</v>
      </c>
      <c r="D7" s="769">
        <v>5602782.4028700003</v>
      </c>
      <c r="E7" s="769">
        <v>35642.73719</v>
      </c>
      <c r="F7" s="769">
        <v>5214093.2939600004</v>
      </c>
      <c r="G7" s="769">
        <v>181527.02861000001</v>
      </c>
    </row>
    <row r="8" spans="1:7" x14ac:dyDescent="0.2">
      <c r="A8" s="767" t="s">
        <v>1887</v>
      </c>
      <c r="B8" s="767" t="s">
        <v>2329</v>
      </c>
      <c r="C8" s="812" t="s">
        <v>133</v>
      </c>
      <c r="D8" s="813">
        <v>5582385.7810300002</v>
      </c>
      <c r="E8" s="813">
        <v>35485.955299999994</v>
      </c>
      <c r="F8" s="813">
        <v>5193780.4213300003</v>
      </c>
      <c r="G8" s="813">
        <v>181487.19761</v>
      </c>
    </row>
    <row r="9" spans="1:7" x14ac:dyDescent="0.2">
      <c r="A9" s="827" t="s">
        <v>1889</v>
      </c>
      <c r="B9" s="827" t="s">
        <v>2330</v>
      </c>
      <c r="C9" s="828" t="s">
        <v>2331</v>
      </c>
      <c r="D9" s="806">
        <v>1004918.48196</v>
      </c>
      <c r="E9" s="806">
        <v>3226.5681800000002</v>
      </c>
      <c r="F9" s="806">
        <v>1018482.08947</v>
      </c>
      <c r="G9" s="806">
        <v>3143.7137400000001</v>
      </c>
    </row>
    <row r="10" spans="1:7" x14ac:dyDescent="0.2">
      <c r="A10" s="770" t="s">
        <v>1892</v>
      </c>
      <c r="B10" s="770" t="s">
        <v>2332</v>
      </c>
      <c r="C10" s="776" t="s">
        <v>2333</v>
      </c>
      <c r="D10" s="806">
        <v>159237.62675</v>
      </c>
      <c r="E10" s="806">
        <v>12783.621800000001</v>
      </c>
      <c r="F10" s="806">
        <v>162459.45061</v>
      </c>
      <c r="G10" s="806">
        <v>11361.61917</v>
      </c>
    </row>
    <row r="11" spans="1:7" x14ac:dyDescent="0.2">
      <c r="A11" s="770" t="s">
        <v>1895</v>
      </c>
      <c r="B11" s="770" t="s">
        <v>2334</v>
      </c>
      <c r="C11" s="776" t="s">
        <v>2335</v>
      </c>
      <c r="D11" s="806"/>
      <c r="E11" s="806"/>
      <c r="F11" s="806"/>
      <c r="G11" s="806"/>
    </row>
    <row r="12" spans="1:7" x14ac:dyDescent="0.2">
      <c r="A12" s="770" t="s">
        <v>1897</v>
      </c>
      <c r="B12" s="770" t="s">
        <v>2336</v>
      </c>
      <c r="C12" s="776" t="s">
        <v>2337</v>
      </c>
      <c r="D12" s="806">
        <v>405390.71525999997</v>
      </c>
      <c r="E12" s="806">
        <v>7595.5188099999996</v>
      </c>
      <c r="F12" s="806">
        <v>258131.35427000001</v>
      </c>
      <c r="G12" s="806">
        <v>146298.43775000001</v>
      </c>
    </row>
    <row r="13" spans="1:7" x14ac:dyDescent="0.2">
      <c r="A13" s="770" t="s">
        <v>1900</v>
      </c>
      <c r="B13" s="770" t="s">
        <v>2338</v>
      </c>
      <c r="C13" s="776" t="s">
        <v>2339</v>
      </c>
      <c r="D13" s="806"/>
      <c r="E13" s="806"/>
      <c r="F13" s="806">
        <v>-289.67005</v>
      </c>
      <c r="G13" s="806"/>
    </row>
    <row r="14" spans="1:7" x14ac:dyDescent="0.2">
      <c r="A14" s="770" t="s">
        <v>1903</v>
      </c>
      <c r="B14" s="770" t="s">
        <v>2340</v>
      </c>
      <c r="C14" s="776" t="s">
        <v>2341</v>
      </c>
      <c r="D14" s="806">
        <v>-35784.870670000004</v>
      </c>
      <c r="E14" s="806">
        <v>-145.59154999999998</v>
      </c>
      <c r="F14" s="806">
        <v>-35803.816810000004</v>
      </c>
      <c r="G14" s="806"/>
    </row>
    <row r="15" spans="1:7" x14ac:dyDescent="0.2">
      <c r="A15" s="770" t="s">
        <v>1906</v>
      </c>
      <c r="B15" s="770" t="s">
        <v>2342</v>
      </c>
      <c r="C15" s="776" t="s">
        <v>2343</v>
      </c>
      <c r="D15" s="806">
        <v>-4474.9014900000002</v>
      </c>
      <c r="E15" s="806">
        <v>186.89500000000001</v>
      </c>
      <c r="F15" s="806">
        <v>-4467.9021500000008</v>
      </c>
      <c r="G15" s="806">
        <v>126.577</v>
      </c>
    </row>
    <row r="16" spans="1:7" x14ac:dyDescent="0.2">
      <c r="A16" s="770" t="s">
        <v>1909</v>
      </c>
      <c r="B16" s="770" t="s">
        <v>363</v>
      </c>
      <c r="C16" s="776" t="s">
        <v>2344</v>
      </c>
      <c r="D16" s="806">
        <v>79150.633819999988</v>
      </c>
      <c r="E16" s="806">
        <v>405.41571999999996</v>
      </c>
      <c r="F16" s="806">
        <v>81206.092189999996</v>
      </c>
      <c r="G16" s="806">
        <v>213.22313</v>
      </c>
    </row>
    <row r="17" spans="1:7" x14ac:dyDescent="0.2">
      <c r="A17" s="770" t="s">
        <v>1912</v>
      </c>
      <c r="B17" s="770" t="s">
        <v>2345</v>
      </c>
      <c r="C17" s="776" t="s">
        <v>2346</v>
      </c>
      <c r="D17" s="806">
        <v>4991.6295199999995</v>
      </c>
      <c r="E17" s="806">
        <v>0.44405</v>
      </c>
      <c r="F17" s="806">
        <v>4416.6885999999995</v>
      </c>
      <c r="G17" s="806">
        <v>4.9330100000000003</v>
      </c>
    </row>
    <row r="18" spans="1:7" x14ac:dyDescent="0.2">
      <c r="A18" s="770" t="s">
        <v>1915</v>
      </c>
      <c r="B18" s="770" t="s">
        <v>2347</v>
      </c>
      <c r="C18" s="776" t="s">
        <v>2348</v>
      </c>
      <c r="D18" s="806">
        <v>695.59374000000003</v>
      </c>
      <c r="E18" s="806">
        <v>2.8639999999999999</v>
      </c>
      <c r="F18" s="806">
        <v>555.73805000000004</v>
      </c>
      <c r="G18" s="806">
        <v>5.0999999999999997E-2</v>
      </c>
    </row>
    <row r="19" spans="1:7" x14ac:dyDescent="0.2">
      <c r="A19" s="770" t="s">
        <v>2349</v>
      </c>
      <c r="B19" s="770" t="s">
        <v>2350</v>
      </c>
      <c r="C19" s="776" t="s">
        <v>2351</v>
      </c>
      <c r="D19" s="806">
        <v>-857.34288000000004</v>
      </c>
      <c r="E19" s="806">
        <v>-0.16800000000000001</v>
      </c>
      <c r="F19" s="806">
        <v>-622.98122000000001</v>
      </c>
      <c r="G19" s="806">
        <v>-497.76476000000002</v>
      </c>
    </row>
    <row r="20" spans="1:7" x14ac:dyDescent="0.2">
      <c r="A20" s="770" t="s">
        <v>2352</v>
      </c>
      <c r="B20" s="770" t="s">
        <v>2353</v>
      </c>
      <c r="C20" s="776" t="s">
        <v>2354</v>
      </c>
      <c r="D20" s="806">
        <v>318262.19366000005</v>
      </c>
      <c r="E20" s="806">
        <v>1637.6171200000001</v>
      </c>
      <c r="F20" s="806">
        <v>246559.43465000001</v>
      </c>
      <c r="G20" s="806">
        <v>2340.3497000000002</v>
      </c>
    </row>
    <row r="21" spans="1:7" x14ac:dyDescent="0.2">
      <c r="A21" s="770" t="s">
        <v>2355</v>
      </c>
      <c r="B21" s="770" t="s">
        <v>2356</v>
      </c>
      <c r="C21" s="776" t="s">
        <v>2357</v>
      </c>
      <c r="D21" s="806">
        <v>2456381.5769400001</v>
      </c>
      <c r="E21" s="806">
        <v>4004.53006</v>
      </c>
      <c r="F21" s="806">
        <v>2347129.0213500001</v>
      </c>
      <c r="G21" s="806">
        <v>10604.25165</v>
      </c>
    </row>
    <row r="22" spans="1:7" x14ac:dyDescent="0.2">
      <c r="A22" s="770" t="s">
        <v>2358</v>
      </c>
      <c r="B22" s="770" t="s">
        <v>2359</v>
      </c>
      <c r="C22" s="776" t="s">
        <v>2360</v>
      </c>
      <c r="D22" s="806">
        <v>821018.17163</v>
      </c>
      <c r="E22" s="806">
        <v>1345.4253700000002</v>
      </c>
      <c r="F22" s="806">
        <v>783180.18032000004</v>
      </c>
      <c r="G22" s="806">
        <v>3591.1086800000003</v>
      </c>
    </row>
    <row r="23" spans="1:7" x14ac:dyDescent="0.2">
      <c r="A23" s="770" t="s">
        <v>2361</v>
      </c>
      <c r="B23" s="770" t="s">
        <v>2362</v>
      </c>
      <c r="C23" s="776" t="s">
        <v>2363</v>
      </c>
      <c r="D23" s="806">
        <v>10374.259179999999</v>
      </c>
      <c r="E23" s="806">
        <v>13.055260000000001</v>
      </c>
      <c r="F23" s="806">
        <v>9384.219720000001</v>
      </c>
      <c r="G23" s="806">
        <v>34.998919999999998</v>
      </c>
    </row>
    <row r="24" spans="1:7" x14ac:dyDescent="0.2">
      <c r="A24" s="770" t="s">
        <v>2364</v>
      </c>
      <c r="B24" s="770" t="s">
        <v>2365</v>
      </c>
      <c r="C24" s="776" t="s">
        <v>2366</v>
      </c>
      <c r="D24" s="806">
        <v>35963.62012</v>
      </c>
      <c r="E24" s="806">
        <v>34.958959999999998</v>
      </c>
      <c r="F24" s="806">
        <v>35439.259989999999</v>
      </c>
      <c r="G24" s="806">
        <v>121.45000999999999</v>
      </c>
    </row>
    <row r="25" spans="1:7" x14ac:dyDescent="0.2">
      <c r="A25" s="770" t="s">
        <v>2367</v>
      </c>
      <c r="B25" s="770" t="s">
        <v>2368</v>
      </c>
      <c r="C25" s="776" t="s">
        <v>2369</v>
      </c>
      <c r="D25" s="806">
        <v>2661.15</v>
      </c>
      <c r="E25" s="806"/>
      <c r="F25" s="806">
        <v>2630.5</v>
      </c>
      <c r="G25" s="806"/>
    </row>
    <row r="26" spans="1:7" x14ac:dyDescent="0.2">
      <c r="A26" s="770" t="s">
        <v>2370</v>
      </c>
      <c r="B26" s="770" t="s">
        <v>2371</v>
      </c>
      <c r="C26" s="776" t="s">
        <v>2372</v>
      </c>
      <c r="D26" s="806">
        <v>276.28199999999998</v>
      </c>
      <c r="E26" s="806">
        <v>3.2429999999999999</v>
      </c>
      <c r="F26" s="806">
        <v>254.91300000000001</v>
      </c>
      <c r="G26" s="806">
        <v>2.7709999999999999</v>
      </c>
    </row>
    <row r="27" spans="1:7" x14ac:dyDescent="0.2">
      <c r="A27" s="770" t="s">
        <v>2373</v>
      </c>
      <c r="B27" s="770" t="s">
        <v>2374</v>
      </c>
      <c r="C27" s="776" t="s">
        <v>2375</v>
      </c>
      <c r="D27" s="806">
        <v>0.52500000000000002</v>
      </c>
      <c r="E27" s="806"/>
      <c r="F27" s="806">
        <v>0.52500000000000002</v>
      </c>
      <c r="G27" s="806"/>
    </row>
    <row r="28" spans="1:7" x14ac:dyDescent="0.2">
      <c r="A28" s="770" t="s">
        <v>2376</v>
      </c>
      <c r="B28" s="770" t="s">
        <v>2377</v>
      </c>
      <c r="C28" s="776" t="s">
        <v>2378</v>
      </c>
      <c r="D28" s="806">
        <v>440.43434000000002</v>
      </c>
      <c r="E28" s="806"/>
      <c r="F28" s="806">
        <v>265.08600000000001</v>
      </c>
      <c r="G28" s="806"/>
    </row>
    <row r="29" spans="1:7" x14ac:dyDescent="0.2">
      <c r="A29" s="770" t="s">
        <v>2379</v>
      </c>
      <c r="B29" s="770" t="s">
        <v>2380</v>
      </c>
      <c r="C29" s="776" t="s">
        <v>2381</v>
      </c>
      <c r="D29" s="806">
        <v>1.03</v>
      </c>
      <c r="E29" s="806"/>
      <c r="F29" s="806">
        <v>11.902809999999999</v>
      </c>
      <c r="G29" s="806"/>
    </row>
    <row r="30" spans="1:7" x14ac:dyDescent="0.2">
      <c r="A30" s="770" t="s">
        <v>2382</v>
      </c>
      <c r="B30" s="770" t="s">
        <v>2383</v>
      </c>
      <c r="C30" s="776" t="s">
        <v>2384</v>
      </c>
      <c r="D30" s="806">
        <v>242.20299</v>
      </c>
      <c r="E30" s="806"/>
      <c r="F30" s="806">
        <v>138.05682999999999</v>
      </c>
      <c r="G30" s="806">
        <v>1.887</v>
      </c>
    </row>
    <row r="31" spans="1:7" x14ac:dyDescent="0.2">
      <c r="A31" s="770" t="s">
        <v>2385</v>
      </c>
      <c r="B31" s="770" t="s">
        <v>2386</v>
      </c>
      <c r="C31" s="776" t="s">
        <v>2387</v>
      </c>
      <c r="D31" s="806"/>
      <c r="E31" s="806"/>
      <c r="F31" s="806"/>
      <c r="G31" s="806"/>
    </row>
    <row r="32" spans="1:7" x14ac:dyDescent="0.2">
      <c r="A32" s="770" t="s">
        <v>2388</v>
      </c>
      <c r="B32" s="770" t="s">
        <v>2389</v>
      </c>
      <c r="C32" s="776" t="s">
        <v>2390</v>
      </c>
      <c r="D32" s="806">
        <v>23766.787250000001</v>
      </c>
      <c r="E32" s="806">
        <v>172.87298999999999</v>
      </c>
      <c r="F32" s="806">
        <v>24073.56523</v>
      </c>
      <c r="G32" s="806">
        <v>326.62993999999998</v>
      </c>
    </row>
    <row r="33" spans="1:7" x14ac:dyDescent="0.2">
      <c r="A33" s="770" t="s">
        <v>2391</v>
      </c>
      <c r="B33" s="770" t="s">
        <v>2392</v>
      </c>
      <c r="C33" s="776" t="s">
        <v>2393</v>
      </c>
      <c r="D33" s="806">
        <v>3156.2584900000002</v>
      </c>
      <c r="E33" s="806">
        <v>23.672349999999998</v>
      </c>
      <c r="F33" s="806">
        <v>4697.1114400000006</v>
      </c>
      <c r="G33" s="806">
        <v>9.5969899999999999</v>
      </c>
    </row>
    <row r="34" spans="1:7" x14ac:dyDescent="0.2">
      <c r="A34" s="770" t="s">
        <v>2394</v>
      </c>
      <c r="B34" s="770" t="s">
        <v>2395</v>
      </c>
      <c r="C34" s="776" t="s">
        <v>2396</v>
      </c>
      <c r="D34" s="806">
        <v>218.13536999999999</v>
      </c>
      <c r="E34" s="806"/>
      <c r="F34" s="806">
        <v>143.62506999999999</v>
      </c>
      <c r="G34" s="806"/>
    </row>
    <row r="35" spans="1:7" x14ac:dyDescent="0.2">
      <c r="A35" s="770" t="s">
        <v>2397</v>
      </c>
      <c r="B35" s="770" t="s">
        <v>2398</v>
      </c>
      <c r="C35" s="776" t="s">
        <v>2399</v>
      </c>
      <c r="D35" s="806">
        <v>235954.12831999999</v>
      </c>
      <c r="E35" s="806">
        <v>4069.72615</v>
      </c>
      <c r="F35" s="806">
        <v>195406.70716999998</v>
      </c>
      <c r="G35" s="806">
        <v>3534.3116199999999</v>
      </c>
    </row>
    <row r="36" spans="1:7" x14ac:dyDescent="0.2">
      <c r="A36" s="770" t="s">
        <v>2400</v>
      </c>
      <c r="B36" s="770" t="s">
        <v>2401</v>
      </c>
      <c r="C36" s="776" t="s">
        <v>2402</v>
      </c>
      <c r="D36" s="806"/>
      <c r="E36" s="806"/>
      <c r="F36" s="806"/>
      <c r="G36" s="806"/>
    </row>
    <row r="37" spans="1:7" x14ac:dyDescent="0.2">
      <c r="A37" s="770" t="s">
        <v>2403</v>
      </c>
      <c r="B37" s="770" t="s">
        <v>2404</v>
      </c>
      <c r="C37" s="776" t="s">
        <v>2405</v>
      </c>
      <c r="D37" s="806">
        <v>951.22034999999994</v>
      </c>
      <c r="E37" s="806">
        <v>52.0017</v>
      </c>
      <c r="F37" s="806">
        <v>52.46</v>
      </c>
      <c r="G37" s="806"/>
    </row>
    <row r="38" spans="1:7" x14ac:dyDescent="0.2">
      <c r="A38" s="770" t="s">
        <v>2406</v>
      </c>
      <c r="B38" s="770" t="s">
        <v>2407</v>
      </c>
      <c r="C38" s="776" t="s">
        <v>2408</v>
      </c>
      <c r="D38" s="806"/>
      <c r="E38" s="806"/>
      <c r="F38" s="806"/>
      <c r="G38" s="806"/>
    </row>
    <row r="39" spans="1:7" x14ac:dyDescent="0.2">
      <c r="A39" s="770" t="s">
        <v>2409</v>
      </c>
      <c r="B39" s="770" t="s">
        <v>2410</v>
      </c>
      <c r="C39" s="776" t="s">
        <v>2411</v>
      </c>
      <c r="D39" s="806">
        <v>-8756.723</v>
      </c>
      <c r="E39" s="806"/>
      <c r="F39" s="806">
        <v>4964.7960000000003</v>
      </c>
      <c r="G39" s="806"/>
    </row>
    <row r="40" spans="1:7" x14ac:dyDescent="0.2">
      <c r="A40" s="770" t="s">
        <v>2412</v>
      </c>
      <c r="B40" s="770" t="s">
        <v>2413</v>
      </c>
      <c r="C40" s="776" t="s">
        <v>2414</v>
      </c>
      <c r="D40" s="806">
        <v>-572.51793999999995</v>
      </c>
      <c r="E40" s="806"/>
      <c r="F40" s="806">
        <v>-334.26665000000003</v>
      </c>
      <c r="G40" s="806"/>
    </row>
    <row r="41" spans="1:7" x14ac:dyDescent="0.2">
      <c r="A41" s="770" t="s">
        <v>2415</v>
      </c>
      <c r="B41" s="770" t="s">
        <v>2416</v>
      </c>
      <c r="C41" s="776" t="s">
        <v>2417</v>
      </c>
      <c r="D41" s="806">
        <v>3984.1363099999999</v>
      </c>
      <c r="E41" s="806"/>
      <c r="F41" s="806">
        <v>13410.09527</v>
      </c>
      <c r="G41" s="806"/>
    </row>
    <row r="42" spans="1:7" x14ac:dyDescent="0.2">
      <c r="A42" s="770" t="s">
        <v>2418</v>
      </c>
      <c r="B42" s="770" t="s">
        <v>2419</v>
      </c>
      <c r="C42" s="776" t="s">
        <v>2420</v>
      </c>
      <c r="D42" s="806">
        <v>40033.669869999998</v>
      </c>
      <c r="E42" s="806">
        <v>50.73742</v>
      </c>
      <c r="F42" s="806">
        <v>39576.14316</v>
      </c>
      <c r="G42" s="806">
        <v>209.48347000000001</v>
      </c>
    </row>
    <row r="43" spans="1:7" x14ac:dyDescent="0.2">
      <c r="A43" s="770" t="s">
        <v>2421</v>
      </c>
      <c r="B43" s="770" t="s">
        <v>2422</v>
      </c>
      <c r="C43" s="776" t="s">
        <v>2423</v>
      </c>
      <c r="D43" s="806">
        <v>24761.674139999999</v>
      </c>
      <c r="E43" s="806">
        <v>22.54691</v>
      </c>
      <c r="F43" s="806">
        <v>2730.0420099999997</v>
      </c>
      <c r="G43" s="806">
        <v>59.568589999999993</v>
      </c>
    </row>
    <row r="44" spans="1:7" x14ac:dyDescent="0.2">
      <c r="A44" s="767" t="s">
        <v>1918</v>
      </c>
      <c r="B44" s="767" t="s">
        <v>2424</v>
      </c>
      <c r="C44" s="812" t="s">
        <v>133</v>
      </c>
      <c r="D44" s="813">
        <v>1360.42273</v>
      </c>
      <c r="E44" s="814">
        <v>1.0509999999999999</v>
      </c>
      <c r="F44" s="813">
        <v>7342.3544099999999</v>
      </c>
      <c r="G44" s="814">
        <v>1.1180000000000001</v>
      </c>
    </row>
    <row r="45" spans="1:7" x14ac:dyDescent="0.2">
      <c r="A45" s="770" t="s">
        <v>1920</v>
      </c>
      <c r="B45" s="770" t="s">
        <v>2425</v>
      </c>
      <c r="C45" s="776" t="s">
        <v>2426</v>
      </c>
      <c r="D45" s="806"/>
      <c r="E45" s="806"/>
      <c r="F45" s="806"/>
      <c r="G45" s="806"/>
    </row>
    <row r="46" spans="1:7" x14ac:dyDescent="0.2">
      <c r="A46" s="770" t="s">
        <v>1922</v>
      </c>
      <c r="B46" s="770" t="s">
        <v>2427</v>
      </c>
      <c r="C46" s="776" t="s">
        <v>2428</v>
      </c>
      <c r="D46" s="806">
        <v>771.64442000000008</v>
      </c>
      <c r="E46" s="806"/>
      <c r="F46" s="806">
        <v>795.72788000000003</v>
      </c>
      <c r="G46" s="806"/>
    </row>
    <row r="47" spans="1:7" x14ac:dyDescent="0.2">
      <c r="A47" s="770" t="s">
        <v>1925</v>
      </c>
      <c r="B47" s="770" t="s">
        <v>2429</v>
      </c>
      <c r="C47" s="776" t="s">
        <v>2430</v>
      </c>
      <c r="D47" s="806">
        <v>66.080380000000005</v>
      </c>
      <c r="E47" s="806"/>
      <c r="F47" s="806">
        <v>63.694459999999999</v>
      </c>
      <c r="G47" s="806"/>
    </row>
    <row r="48" spans="1:7" x14ac:dyDescent="0.2">
      <c r="A48" s="770" t="s">
        <v>1928</v>
      </c>
      <c r="B48" s="770" t="s">
        <v>2431</v>
      </c>
      <c r="C48" s="776" t="s">
        <v>2432</v>
      </c>
      <c r="D48" s="806"/>
      <c r="E48" s="806"/>
      <c r="F48" s="806"/>
      <c r="G48" s="806"/>
    </row>
    <row r="49" spans="1:7" x14ac:dyDescent="0.2">
      <c r="A49" s="770" t="s">
        <v>1931</v>
      </c>
      <c r="B49" s="770" t="s">
        <v>2433</v>
      </c>
      <c r="C49" s="776" t="s">
        <v>2434</v>
      </c>
      <c r="D49" s="806">
        <v>522.69793000000004</v>
      </c>
      <c r="E49" s="806">
        <v>1.0509999999999999</v>
      </c>
      <c r="F49" s="806">
        <v>6482.9320700000007</v>
      </c>
      <c r="G49" s="806">
        <v>1.1180000000000001</v>
      </c>
    </row>
    <row r="50" spans="1:7" x14ac:dyDescent="0.2">
      <c r="A50" s="767" t="s">
        <v>1952</v>
      </c>
      <c r="B50" s="767" t="s">
        <v>2435</v>
      </c>
      <c r="C50" s="812" t="s">
        <v>133</v>
      </c>
      <c r="D50" s="846">
        <v>0</v>
      </c>
      <c r="E50" s="846">
        <v>0</v>
      </c>
      <c r="F50" s="846">
        <v>0</v>
      </c>
      <c r="G50" s="846">
        <v>0</v>
      </c>
    </row>
    <row r="51" spans="1:7" x14ac:dyDescent="0.2">
      <c r="A51" s="770" t="s">
        <v>1954</v>
      </c>
      <c r="B51" s="770" t="s">
        <v>2436</v>
      </c>
      <c r="C51" s="776" t="s">
        <v>2437</v>
      </c>
      <c r="D51" s="806"/>
      <c r="E51" s="806"/>
      <c r="F51" s="806"/>
      <c r="G51" s="806"/>
    </row>
    <row r="52" spans="1:7" x14ac:dyDescent="0.2">
      <c r="A52" s="770" t="s">
        <v>1957</v>
      </c>
      <c r="B52" s="770" t="s">
        <v>2438</v>
      </c>
      <c r="C52" s="776" t="s">
        <v>2439</v>
      </c>
      <c r="D52" s="806"/>
      <c r="E52" s="806"/>
      <c r="F52" s="806"/>
      <c r="G52" s="806"/>
    </row>
    <row r="53" spans="1:7" x14ac:dyDescent="0.2">
      <c r="A53" s="767" t="s">
        <v>2440</v>
      </c>
      <c r="B53" s="767" t="s">
        <v>2074</v>
      </c>
      <c r="C53" s="812" t="s">
        <v>133</v>
      </c>
      <c r="D53" s="813">
        <v>19036.199109999998</v>
      </c>
      <c r="E53" s="814">
        <v>155.73089000000002</v>
      </c>
      <c r="F53" s="813">
        <v>12970.51822</v>
      </c>
      <c r="G53" s="814">
        <v>38.713000000000001</v>
      </c>
    </row>
    <row r="54" spans="1:7" x14ac:dyDescent="0.2">
      <c r="A54" s="770" t="s">
        <v>2441</v>
      </c>
      <c r="B54" s="770" t="s">
        <v>2074</v>
      </c>
      <c r="C54" s="776" t="s">
        <v>2442</v>
      </c>
      <c r="D54" s="806">
        <v>18854.179110000001</v>
      </c>
      <c r="E54" s="806">
        <v>155.73089000000002</v>
      </c>
      <c r="F54" s="806">
        <v>12970.51822</v>
      </c>
      <c r="G54" s="806">
        <v>38.713000000000001</v>
      </c>
    </row>
    <row r="55" spans="1:7" x14ac:dyDescent="0.2">
      <c r="A55" s="770" t="s">
        <v>2443</v>
      </c>
      <c r="B55" s="770" t="s">
        <v>2444</v>
      </c>
      <c r="C55" s="776" t="s">
        <v>2445</v>
      </c>
      <c r="D55" s="806">
        <v>182.02</v>
      </c>
      <c r="E55" s="806"/>
      <c r="F55" s="806"/>
      <c r="G55" s="806"/>
    </row>
    <row r="56" spans="1:7" x14ac:dyDescent="0.2">
      <c r="A56" s="767" t="s">
        <v>2001</v>
      </c>
      <c r="B56" s="767" t="s">
        <v>2446</v>
      </c>
      <c r="C56" s="812" t="s">
        <v>133</v>
      </c>
      <c r="D56" s="813">
        <v>5535513.6966700004</v>
      </c>
      <c r="E56" s="814">
        <v>57078.098380000003</v>
      </c>
      <c r="F56" s="813">
        <v>5186835.6114399992</v>
      </c>
      <c r="G56" s="814">
        <v>229504.57055</v>
      </c>
    </row>
    <row r="57" spans="1:7" x14ac:dyDescent="0.2">
      <c r="A57" s="767" t="s">
        <v>2003</v>
      </c>
      <c r="B57" s="767" t="s">
        <v>2447</v>
      </c>
      <c r="C57" s="812" t="s">
        <v>133</v>
      </c>
      <c r="D57" s="813">
        <v>4935518.8456999995</v>
      </c>
      <c r="E57" s="814">
        <v>57038.309310000004</v>
      </c>
      <c r="F57" s="813">
        <v>4616367.5893400004</v>
      </c>
      <c r="G57" s="814">
        <v>221026.44347</v>
      </c>
    </row>
    <row r="58" spans="1:7" x14ac:dyDescent="0.2">
      <c r="A58" s="770" t="s">
        <v>2005</v>
      </c>
      <c r="B58" s="770" t="s">
        <v>2448</v>
      </c>
      <c r="C58" s="776" t="s">
        <v>2449</v>
      </c>
      <c r="D58" s="806">
        <v>11414.440500000001</v>
      </c>
      <c r="E58" s="806">
        <v>224.10957999999999</v>
      </c>
      <c r="F58" s="806">
        <v>11262.895060000001</v>
      </c>
      <c r="G58" s="806">
        <v>205.85548</v>
      </c>
    </row>
    <row r="59" spans="1:7" x14ac:dyDescent="0.2">
      <c r="A59" s="770" t="s">
        <v>2008</v>
      </c>
      <c r="B59" s="770" t="s">
        <v>2450</v>
      </c>
      <c r="C59" s="776" t="s">
        <v>2451</v>
      </c>
      <c r="D59" s="806">
        <v>4306695.9816399999</v>
      </c>
      <c r="E59" s="806">
        <v>10986.605869999999</v>
      </c>
      <c r="F59" s="806">
        <v>4195756.4314099997</v>
      </c>
      <c r="G59" s="806">
        <v>13090.37883</v>
      </c>
    </row>
    <row r="60" spans="1:7" x14ac:dyDescent="0.2">
      <c r="A60" s="770" t="s">
        <v>2011</v>
      </c>
      <c r="B60" s="770" t="s">
        <v>2452</v>
      </c>
      <c r="C60" s="776" t="s">
        <v>2453</v>
      </c>
      <c r="D60" s="806">
        <v>968.44528000000003</v>
      </c>
      <c r="E60" s="806">
        <v>24993.094870000001</v>
      </c>
      <c r="F60" s="806">
        <v>826.54466000000002</v>
      </c>
      <c r="G60" s="806">
        <v>22974.141339999998</v>
      </c>
    </row>
    <row r="61" spans="1:7" x14ac:dyDescent="0.2">
      <c r="A61" s="770" t="s">
        <v>2014</v>
      </c>
      <c r="B61" s="770" t="s">
        <v>2454</v>
      </c>
      <c r="C61" s="776" t="s">
        <v>2455</v>
      </c>
      <c r="D61" s="806">
        <v>493726.97931999998</v>
      </c>
      <c r="E61" s="806">
        <v>11022.649579999999</v>
      </c>
      <c r="F61" s="806">
        <v>309070.72714999999</v>
      </c>
      <c r="G61" s="806">
        <v>175217.59700000001</v>
      </c>
    </row>
    <row r="62" spans="1:7" x14ac:dyDescent="0.2">
      <c r="A62" s="770" t="s">
        <v>2026</v>
      </c>
      <c r="B62" s="770" t="s">
        <v>2456</v>
      </c>
      <c r="C62" s="776" t="s">
        <v>2457</v>
      </c>
      <c r="D62" s="806"/>
      <c r="E62" s="806"/>
      <c r="F62" s="806"/>
      <c r="G62" s="806"/>
    </row>
    <row r="63" spans="1:7" x14ac:dyDescent="0.2">
      <c r="A63" s="770" t="s">
        <v>2029</v>
      </c>
      <c r="B63" s="770" t="s">
        <v>2380</v>
      </c>
      <c r="C63" s="776" t="s">
        <v>2458</v>
      </c>
      <c r="D63" s="806">
        <v>406.07713999999999</v>
      </c>
      <c r="E63" s="806">
        <v>23.990970000000001</v>
      </c>
      <c r="F63" s="806">
        <v>71.991460000000004</v>
      </c>
      <c r="G63" s="806">
        <v>61.112400000000001</v>
      </c>
    </row>
    <row r="64" spans="1:7" x14ac:dyDescent="0.2">
      <c r="A64" s="770" t="s">
        <v>2032</v>
      </c>
      <c r="B64" s="770" t="s">
        <v>2383</v>
      </c>
      <c r="C64" s="776" t="s">
        <v>2459</v>
      </c>
      <c r="D64" s="806">
        <v>0.33600000000000002</v>
      </c>
      <c r="E64" s="806"/>
      <c r="F64" s="806"/>
      <c r="G64" s="806"/>
    </row>
    <row r="65" spans="1:7" x14ac:dyDescent="0.2">
      <c r="A65" s="770" t="s">
        <v>2460</v>
      </c>
      <c r="B65" s="770" t="s">
        <v>2461</v>
      </c>
      <c r="C65" s="776" t="s">
        <v>2462</v>
      </c>
      <c r="D65" s="806">
        <v>70.910289999999989</v>
      </c>
      <c r="E65" s="806"/>
      <c r="F65" s="806">
        <v>117.14847999999999</v>
      </c>
      <c r="G65" s="806"/>
    </row>
    <row r="66" spans="1:7" x14ac:dyDescent="0.2">
      <c r="A66" s="770" t="s">
        <v>2463</v>
      </c>
      <c r="B66" s="770" t="s">
        <v>2464</v>
      </c>
      <c r="C66" s="776" t="s">
        <v>2465</v>
      </c>
      <c r="D66" s="806">
        <v>35334.157310000002</v>
      </c>
      <c r="E66" s="806">
        <v>431.34145000000001</v>
      </c>
      <c r="F66" s="806">
        <v>34926.822799999994</v>
      </c>
      <c r="G66" s="806">
        <v>382.75994000000003</v>
      </c>
    </row>
    <row r="67" spans="1:7" x14ac:dyDescent="0.2">
      <c r="A67" s="770" t="s">
        <v>2466</v>
      </c>
      <c r="B67" s="770" t="s">
        <v>2467</v>
      </c>
      <c r="C67" s="776" t="s">
        <v>2468</v>
      </c>
      <c r="D67" s="806"/>
      <c r="E67" s="806"/>
      <c r="F67" s="806"/>
      <c r="G67" s="806"/>
    </row>
    <row r="68" spans="1:7" x14ac:dyDescent="0.2">
      <c r="A68" s="770" t="s">
        <v>2469</v>
      </c>
      <c r="B68" s="770" t="s">
        <v>2470</v>
      </c>
      <c r="C68" s="776" t="s">
        <v>2471</v>
      </c>
      <c r="D68" s="806">
        <v>3099.69164</v>
      </c>
      <c r="E68" s="806">
        <v>63.401260000000001</v>
      </c>
      <c r="F68" s="806">
        <v>410.38825000000003</v>
      </c>
      <c r="G68" s="806"/>
    </row>
    <row r="69" spans="1:7" x14ac:dyDescent="0.2">
      <c r="A69" s="770" t="s">
        <v>2472</v>
      </c>
      <c r="B69" s="770" t="s">
        <v>2473</v>
      </c>
      <c r="C69" s="776" t="s">
        <v>2474</v>
      </c>
      <c r="D69" s="806">
        <v>9.7210000000000001</v>
      </c>
      <c r="E69" s="806"/>
      <c r="F69" s="806"/>
      <c r="G69" s="806"/>
    </row>
    <row r="70" spans="1:7" x14ac:dyDescent="0.2">
      <c r="A70" s="770" t="s">
        <v>2475</v>
      </c>
      <c r="B70" s="770" t="s">
        <v>2476</v>
      </c>
      <c r="C70" s="776" t="s">
        <v>2477</v>
      </c>
      <c r="D70" s="806">
        <v>26713.095739999997</v>
      </c>
      <c r="E70" s="806">
        <v>7.83</v>
      </c>
      <c r="F70" s="806">
        <v>23478.05701</v>
      </c>
      <c r="G70" s="806">
        <v>9.5023300000000006</v>
      </c>
    </row>
    <row r="71" spans="1:7" x14ac:dyDescent="0.2">
      <c r="A71" s="770" t="s">
        <v>2478</v>
      </c>
      <c r="B71" s="770" t="s">
        <v>2479</v>
      </c>
      <c r="C71" s="776" t="s">
        <v>2480</v>
      </c>
      <c r="D71" s="806">
        <v>57079.009840000006</v>
      </c>
      <c r="E71" s="806">
        <v>9285.2857299999996</v>
      </c>
      <c r="F71" s="806">
        <v>40446.583060000004</v>
      </c>
      <c r="G71" s="806">
        <v>9085.0961500000012</v>
      </c>
    </row>
    <row r="72" spans="1:7" x14ac:dyDescent="0.2">
      <c r="A72" s="767" t="s">
        <v>2035</v>
      </c>
      <c r="B72" s="767" t="s">
        <v>2481</v>
      </c>
      <c r="C72" s="812" t="s">
        <v>133</v>
      </c>
      <c r="D72" s="813">
        <v>65376.630870000001</v>
      </c>
      <c r="E72" s="814">
        <v>39.658070000000002</v>
      </c>
      <c r="F72" s="813">
        <v>59474.321020000003</v>
      </c>
      <c r="G72" s="814">
        <v>8478.01008</v>
      </c>
    </row>
    <row r="73" spans="1:7" x14ac:dyDescent="0.2">
      <c r="A73" s="770" t="s">
        <v>2037</v>
      </c>
      <c r="B73" s="770" t="s">
        <v>2482</v>
      </c>
      <c r="C73" s="776" t="s">
        <v>2483</v>
      </c>
      <c r="D73" s="806"/>
      <c r="E73" s="806"/>
      <c r="F73" s="806"/>
      <c r="G73" s="806"/>
    </row>
    <row r="74" spans="1:7" x14ac:dyDescent="0.2">
      <c r="A74" s="770" t="s">
        <v>2040</v>
      </c>
      <c r="B74" s="770" t="s">
        <v>2427</v>
      </c>
      <c r="C74" s="776" t="s">
        <v>2484</v>
      </c>
      <c r="D74" s="806">
        <v>1905.9503200000001</v>
      </c>
      <c r="E74" s="806"/>
      <c r="F74" s="806">
        <v>3268.07537</v>
      </c>
      <c r="G74" s="806"/>
    </row>
    <row r="75" spans="1:7" x14ac:dyDescent="0.2">
      <c r="A75" s="770" t="s">
        <v>2043</v>
      </c>
      <c r="B75" s="770" t="s">
        <v>2485</v>
      </c>
      <c r="C75" s="776" t="s">
        <v>2486</v>
      </c>
      <c r="D75" s="806">
        <v>5.2072599999999998</v>
      </c>
      <c r="E75" s="806"/>
      <c r="F75" s="806">
        <v>13.110299999999999</v>
      </c>
      <c r="G75" s="806"/>
    </row>
    <row r="76" spans="1:7" x14ac:dyDescent="0.2">
      <c r="A76" s="770" t="s">
        <v>2046</v>
      </c>
      <c r="B76" s="770" t="s">
        <v>2487</v>
      </c>
      <c r="C76" s="776" t="s">
        <v>2488</v>
      </c>
      <c r="D76" s="806"/>
      <c r="E76" s="806"/>
      <c r="F76" s="806"/>
      <c r="G76" s="806"/>
    </row>
    <row r="77" spans="1:7" x14ac:dyDescent="0.2">
      <c r="A77" s="770" t="s">
        <v>2052</v>
      </c>
      <c r="B77" s="770" t="s">
        <v>2489</v>
      </c>
      <c r="C77" s="776" t="s">
        <v>2490</v>
      </c>
      <c r="D77" s="806">
        <v>63465.473290000002</v>
      </c>
      <c r="E77" s="806">
        <v>39.658070000000002</v>
      </c>
      <c r="F77" s="806">
        <v>56193.135350000004</v>
      </c>
      <c r="G77" s="806">
        <v>8478.01008</v>
      </c>
    </row>
    <row r="78" spans="1:7" x14ac:dyDescent="0.2">
      <c r="A78" s="767" t="s">
        <v>2491</v>
      </c>
      <c r="B78" s="767" t="s">
        <v>2492</v>
      </c>
      <c r="C78" s="812" t="s">
        <v>133</v>
      </c>
      <c r="D78" s="813">
        <v>534618.22010000004</v>
      </c>
      <c r="E78" s="814">
        <v>0.13100000000000001</v>
      </c>
      <c r="F78" s="813">
        <v>510993.70107999997</v>
      </c>
      <c r="G78" s="814">
        <v>0.11700000000000001</v>
      </c>
    </row>
    <row r="79" spans="1:7" x14ac:dyDescent="0.2">
      <c r="A79" s="770" t="s">
        <v>2493</v>
      </c>
      <c r="B79" s="770" t="s">
        <v>2494</v>
      </c>
      <c r="C79" s="776" t="s">
        <v>2495</v>
      </c>
      <c r="D79" s="806"/>
      <c r="E79" s="806"/>
      <c r="F79" s="806"/>
      <c r="G79" s="806"/>
    </row>
    <row r="80" spans="1:7" x14ac:dyDescent="0.2">
      <c r="A80" s="770" t="s">
        <v>2496</v>
      </c>
      <c r="B80" s="770" t="s">
        <v>2497</v>
      </c>
      <c r="C80" s="776" t="s">
        <v>2498</v>
      </c>
      <c r="D80" s="806">
        <v>534618.22010000004</v>
      </c>
      <c r="E80" s="806">
        <v>0.13100000000000001</v>
      </c>
      <c r="F80" s="806">
        <v>510993.70107999997</v>
      </c>
      <c r="G80" s="806">
        <v>0.11700000000000001</v>
      </c>
    </row>
    <row r="81" spans="1:7" x14ac:dyDescent="0.2">
      <c r="A81" s="767" t="s">
        <v>2159</v>
      </c>
      <c r="B81" s="767" t="s">
        <v>2499</v>
      </c>
      <c r="C81" s="812" t="s">
        <v>133</v>
      </c>
      <c r="D81" s="813"/>
      <c r="E81" s="813"/>
      <c r="F81" s="813"/>
      <c r="G81" s="813"/>
    </row>
    <row r="82" spans="1:7" x14ac:dyDescent="0.2">
      <c r="A82" s="767" t="s">
        <v>2500</v>
      </c>
      <c r="B82" s="767" t="s">
        <v>2501</v>
      </c>
      <c r="C82" s="812" t="s">
        <v>133</v>
      </c>
      <c r="D82" s="813">
        <v>-48232.507090000006</v>
      </c>
      <c r="E82" s="814">
        <v>21591.092079999999</v>
      </c>
      <c r="F82" s="813">
        <v>-14287.1643</v>
      </c>
      <c r="G82" s="814">
        <v>48016.254939999999</v>
      </c>
    </row>
    <row r="83" spans="1:7" x14ac:dyDescent="0.2">
      <c r="A83" s="767" t="s">
        <v>2502</v>
      </c>
      <c r="B83" s="767" t="s">
        <v>2204</v>
      </c>
      <c r="C83" s="812" t="s">
        <v>133</v>
      </c>
      <c r="D83" s="813">
        <v>-67268.706200000001</v>
      </c>
      <c r="E83" s="814">
        <v>21435.36119</v>
      </c>
      <c r="F83" s="813">
        <v>-27257.682519999998</v>
      </c>
      <c r="G83" s="814">
        <v>47977.541939999996</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477" orientation="portrait" useFirstPageNumber="1" r:id="rId1"/>
  <headerFooter alignWithMargins="0">
    <oddHeader>&amp;L&amp;"Tahoma,Kurzíva"Závěrečný účet za rok 2015&amp;R&amp;"Tahoma,Kurzíva"Tabulka č. 43</oddHeader>
    <oddFooter>&amp;C&amp;"Tahoma,Obyčejné"&amp;P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7"/>
  <sheetViews>
    <sheetView showGridLines="0" zoomScaleNormal="100" zoomScaleSheetLayoutView="100" workbookViewId="0">
      <selection activeCell="I5" sqref="I5"/>
    </sheetView>
  </sheetViews>
  <sheetFormatPr defaultRowHeight="12.75" x14ac:dyDescent="0.2"/>
  <cols>
    <col min="1" max="1" width="7" style="836" customWidth="1"/>
    <col min="2" max="2" width="42.85546875" style="764" customWidth="1"/>
    <col min="3" max="3" width="8.7109375" style="835" customWidth="1"/>
    <col min="4" max="7" width="13.85546875" style="799" customWidth="1"/>
    <col min="8" max="16384" width="9.140625" style="764"/>
  </cols>
  <sheetData>
    <row r="1" spans="1:7" s="849" customFormat="1" ht="18" customHeight="1" x14ac:dyDescent="0.2">
      <c r="A1" s="1493" t="s">
        <v>1874</v>
      </c>
      <c r="B1" s="1493"/>
      <c r="C1" s="1493"/>
      <c r="D1" s="1493"/>
      <c r="E1" s="1493"/>
      <c r="F1" s="1493"/>
      <c r="G1" s="1493"/>
    </row>
    <row r="2" spans="1:7" s="850" customFormat="1" ht="18" customHeight="1" x14ac:dyDescent="0.2">
      <c r="A2" s="1494" t="s">
        <v>2514</v>
      </c>
      <c r="B2" s="1494"/>
      <c r="C2" s="1494"/>
      <c r="D2" s="1494"/>
      <c r="E2" s="1494"/>
      <c r="F2" s="1494"/>
      <c r="G2" s="1494"/>
    </row>
    <row r="3" spans="1:7" s="648" customFormat="1" x14ac:dyDescent="0.2">
      <c r="C3" s="546"/>
      <c r="D3" s="760"/>
      <c r="E3" s="760"/>
      <c r="F3" s="760"/>
      <c r="G3" s="760"/>
    </row>
    <row r="4" spans="1:7" x14ac:dyDescent="0.2">
      <c r="A4" s="761"/>
      <c r="B4" s="761"/>
      <c r="C4" s="762"/>
      <c r="D4" s="763">
        <v>1</v>
      </c>
      <c r="E4" s="763">
        <v>2</v>
      </c>
      <c r="F4" s="763">
        <v>3</v>
      </c>
      <c r="G4" s="763">
        <v>4</v>
      </c>
    </row>
    <row r="5" spans="1:7" s="825" customFormat="1" ht="12.75" customHeight="1" x14ac:dyDescent="0.2">
      <c r="A5" s="1495" t="s">
        <v>1876</v>
      </c>
      <c r="B5" s="1496"/>
      <c r="C5" s="1501" t="s">
        <v>1877</v>
      </c>
      <c r="D5" s="1506" t="s">
        <v>1878</v>
      </c>
      <c r="E5" s="1507"/>
      <c r="F5" s="1507"/>
      <c r="G5" s="1508"/>
    </row>
    <row r="6" spans="1:7" s="765" customFormat="1" x14ac:dyDescent="0.2">
      <c r="A6" s="1497"/>
      <c r="B6" s="1498"/>
      <c r="C6" s="1502"/>
      <c r="D6" s="1509" t="s">
        <v>1879</v>
      </c>
      <c r="E6" s="1510"/>
      <c r="F6" s="1511"/>
      <c r="G6" s="1512" t="s">
        <v>1880</v>
      </c>
    </row>
    <row r="7" spans="1:7" s="765" customFormat="1" x14ac:dyDescent="0.2">
      <c r="A7" s="1499"/>
      <c r="B7" s="1500"/>
      <c r="C7" s="1514"/>
      <c r="D7" s="803" t="s">
        <v>1881</v>
      </c>
      <c r="E7" s="803" t="s">
        <v>1882</v>
      </c>
      <c r="F7" s="803" t="s">
        <v>1883</v>
      </c>
      <c r="G7" s="1516"/>
    </row>
    <row r="8" spans="1:7" s="765" customFormat="1" x14ac:dyDescent="0.2">
      <c r="A8" s="804"/>
      <c r="B8" s="804" t="s">
        <v>1884</v>
      </c>
      <c r="C8" s="805" t="s">
        <v>133</v>
      </c>
      <c r="D8" s="769">
        <v>2151.7975200000001</v>
      </c>
      <c r="E8" s="769">
        <v>1182.55251</v>
      </c>
      <c r="F8" s="769">
        <v>969.24500999999998</v>
      </c>
      <c r="G8" s="769">
        <v>537.20899999999995</v>
      </c>
    </row>
    <row r="9" spans="1:7" s="826" customFormat="1" x14ac:dyDescent="0.2">
      <c r="A9" s="804" t="s">
        <v>1885</v>
      </c>
      <c r="B9" s="804" t="s">
        <v>1886</v>
      </c>
      <c r="C9" s="805" t="s">
        <v>133</v>
      </c>
      <c r="D9" s="769">
        <v>1691.1633100000001</v>
      </c>
      <c r="E9" s="769">
        <v>1182.55251</v>
      </c>
      <c r="F9" s="769">
        <v>508.61079999999998</v>
      </c>
      <c r="G9" s="769">
        <v>263.72800000000001</v>
      </c>
    </row>
    <row r="10" spans="1:7" s="826" customFormat="1" x14ac:dyDescent="0.2">
      <c r="A10" s="804" t="s">
        <v>1887</v>
      </c>
      <c r="B10" s="804" t="s">
        <v>1888</v>
      </c>
      <c r="C10" s="805" t="s">
        <v>133</v>
      </c>
      <c r="D10" s="769">
        <v>146.58699999999999</v>
      </c>
      <c r="E10" s="769">
        <v>146.58699999999999</v>
      </c>
      <c r="F10" s="769">
        <v>0</v>
      </c>
      <c r="G10" s="769">
        <v>0</v>
      </c>
    </row>
    <row r="11" spans="1:7" s="648" customFormat="1" x14ac:dyDescent="0.2">
      <c r="A11" s="770" t="s">
        <v>1889</v>
      </c>
      <c r="B11" s="770" t="s">
        <v>1890</v>
      </c>
      <c r="C11" s="776" t="s">
        <v>1891</v>
      </c>
      <c r="D11" s="772"/>
      <c r="E11" s="772"/>
      <c r="F11" s="772"/>
      <c r="G11" s="772"/>
    </row>
    <row r="12" spans="1:7" s="648" customFormat="1" x14ac:dyDescent="0.2">
      <c r="A12" s="770" t="s">
        <v>1892</v>
      </c>
      <c r="B12" s="770" t="s">
        <v>1893</v>
      </c>
      <c r="C12" s="776" t="s">
        <v>1894</v>
      </c>
      <c r="D12" s="773"/>
      <c r="E12" s="773"/>
      <c r="F12" s="773"/>
      <c r="G12" s="773"/>
    </row>
    <row r="13" spans="1:7" s="648" customFormat="1" x14ac:dyDescent="0.2">
      <c r="A13" s="770" t="s">
        <v>1895</v>
      </c>
      <c r="B13" s="770" t="s">
        <v>320</v>
      </c>
      <c r="C13" s="776" t="s">
        <v>1896</v>
      </c>
      <c r="D13" s="774">
        <v>0</v>
      </c>
      <c r="E13" s="774">
        <v>0</v>
      </c>
      <c r="F13" s="774">
        <v>0</v>
      </c>
      <c r="G13" s="774">
        <v>0</v>
      </c>
    </row>
    <row r="14" spans="1:7" s="648" customFormat="1" x14ac:dyDescent="0.2">
      <c r="A14" s="770" t="s">
        <v>1897</v>
      </c>
      <c r="B14" s="770" t="s">
        <v>1898</v>
      </c>
      <c r="C14" s="776" t="s">
        <v>1899</v>
      </c>
      <c r="D14" s="774">
        <v>0</v>
      </c>
      <c r="E14" s="774">
        <v>0</v>
      </c>
      <c r="F14" s="774">
        <v>0</v>
      </c>
      <c r="G14" s="774">
        <v>0</v>
      </c>
    </row>
    <row r="15" spans="1:7" s="648" customFormat="1" x14ac:dyDescent="0.2">
      <c r="A15" s="770" t="s">
        <v>1900</v>
      </c>
      <c r="B15" s="770" t="s">
        <v>1901</v>
      </c>
      <c r="C15" s="776" t="s">
        <v>1902</v>
      </c>
      <c r="D15" s="774">
        <v>146.58699999999999</v>
      </c>
      <c r="E15" s="774">
        <v>146.58699999999999</v>
      </c>
      <c r="F15" s="774">
        <v>0</v>
      </c>
      <c r="G15" s="774">
        <v>0</v>
      </c>
    </row>
    <row r="16" spans="1:7" s="648" customFormat="1" x14ac:dyDescent="0.2">
      <c r="A16" s="770" t="s">
        <v>1903</v>
      </c>
      <c r="B16" s="770" t="s">
        <v>1904</v>
      </c>
      <c r="C16" s="776" t="s">
        <v>1905</v>
      </c>
      <c r="D16" s="773"/>
      <c r="E16" s="773"/>
      <c r="F16" s="773"/>
      <c r="G16" s="773"/>
    </row>
    <row r="17" spans="1:7" s="648" customFormat="1" x14ac:dyDescent="0.2">
      <c r="A17" s="770" t="s">
        <v>1906</v>
      </c>
      <c r="B17" s="770" t="s">
        <v>1907</v>
      </c>
      <c r="C17" s="776" t="s">
        <v>1908</v>
      </c>
      <c r="D17" s="773"/>
      <c r="E17" s="773"/>
      <c r="F17" s="773"/>
      <c r="G17" s="773"/>
    </row>
    <row r="18" spans="1:7" s="648" customFormat="1" ht="21" x14ac:dyDescent="0.2">
      <c r="A18" s="770" t="s">
        <v>1909</v>
      </c>
      <c r="B18" s="770" t="s">
        <v>1910</v>
      </c>
      <c r="C18" s="776" t="s">
        <v>1911</v>
      </c>
      <c r="D18" s="774"/>
      <c r="E18" s="774"/>
      <c r="F18" s="774"/>
      <c r="G18" s="774"/>
    </row>
    <row r="19" spans="1:7" s="648" customFormat="1" x14ac:dyDescent="0.2">
      <c r="A19" s="770" t="s">
        <v>1912</v>
      </c>
      <c r="B19" s="770" t="s">
        <v>1913</v>
      </c>
      <c r="C19" s="776" t="s">
        <v>1914</v>
      </c>
      <c r="D19" s="774"/>
      <c r="E19" s="773"/>
      <c r="F19" s="774"/>
      <c r="G19" s="773"/>
    </row>
    <row r="20" spans="1:7" s="826" customFormat="1" x14ac:dyDescent="0.2">
      <c r="A20" s="770" t="s">
        <v>1915</v>
      </c>
      <c r="B20" s="770" t="s">
        <v>1916</v>
      </c>
      <c r="C20" s="776" t="s">
        <v>1917</v>
      </c>
      <c r="D20" s="774"/>
      <c r="E20" s="773"/>
      <c r="F20" s="774"/>
      <c r="G20" s="773"/>
    </row>
    <row r="21" spans="1:7" s="648" customFormat="1" x14ac:dyDescent="0.2">
      <c r="A21" s="804" t="s">
        <v>1918</v>
      </c>
      <c r="B21" s="804" t="s">
        <v>1919</v>
      </c>
      <c r="C21" s="805" t="s">
        <v>133</v>
      </c>
      <c r="D21" s="769">
        <v>1544.5763100000001</v>
      </c>
      <c r="E21" s="769">
        <v>1035.96551</v>
      </c>
      <c r="F21" s="769">
        <v>508.61079999999998</v>
      </c>
      <c r="G21" s="769">
        <v>263.72800000000001</v>
      </c>
    </row>
    <row r="22" spans="1:7" s="648" customFormat="1" x14ac:dyDescent="0.2">
      <c r="A22" s="770" t="s">
        <v>1920</v>
      </c>
      <c r="B22" s="770" t="s">
        <v>264</v>
      </c>
      <c r="C22" s="776" t="s">
        <v>1921</v>
      </c>
      <c r="D22" s="773"/>
      <c r="E22" s="773"/>
      <c r="F22" s="773"/>
      <c r="G22" s="773"/>
    </row>
    <row r="23" spans="1:7" s="648" customFormat="1" x14ac:dyDescent="0.2">
      <c r="A23" s="770" t="s">
        <v>1922</v>
      </c>
      <c r="B23" s="770" t="s">
        <v>1923</v>
      </c>
      <c r="C23" s="776" t="s">
        <v>1924</v>
      </c>
      <c r="D23" s="773"/>
      <c r="E23" s="773"/>
      <c r="F23" s="773"/>
      <c r="G23" s="773"/>
    </row>
    <row r="24" spans="1:7" s="648" customFormat="1" x14ac:dyDescent="0.2">
      <c r="A24" s="770" t="s">
        <v>1925</v>
      </c>
      <c r="B24" s="770" t="s">
        <v>1926</v>
      </c>
      <c r="C24" s="776" t="s">
        <v>1927</v>
      </c>
      <c r="D24" s="773"/>
      <c r="E24" s="773"/>
      <c r="F24" s="773"/>
      <c r="G24" s="773"/>
    </row>
    <row r="25" spans="1:7" s="648" customFormat="1" ht="21" x14ac:dyDescent="0.2">
      <c r="A25" s="770" t="s">
        <v>1928</v>
      </c>
      <c r="B25" s="770" t="s">
        <v>1929</v>
      </c>
      <c r="C25" s="776" t="s">
        <v>1930</v>
      </c>
      <c r="D25" s="773">
        <v>963.2568</v>
      </c>
      <c r="E25" s="773">
        <v>454.64600000000002</v>
      </c>
      <c r="F25" s="773">
        <v>508.61079999999998</v>
      </c>
      <c r="G25" s="773">
        <v>263.72800000000001</v>
      </c>
    </row>
    <row r="26" spans="1:7" s="648" customFormat="1" x14ac:dyDescent="0.2">
      <c r="A26" s="770" t="s">
        <v>1931</v>
      </c>
      <c r="B26" s="770" t="s">
        <v>1932</v>
      </c>
      <c r="C26" s="776" t="s">
        <v>1933</v>
      </c>
      <c r="D26" s="773"/>
      <c r="E26" s="773"/>
      <c r="F26" s="773"/>
      <c r="G26" s="773"/>
    </row>
    <row r="27" spans="1:7" s="648" customFormat="1" x14ac:dyDescent="0.2">
      <c r="A27" s="770" t="s">
        <v>1934</v>
      </c>
      <c r="B27" s="770" t="s">
        <v>1935</v>
      </c>
      <c r="C27" s="776" t="s">
        <v>1936</v>
      </c>
      <c r="D27" s="773">
        <v>581.31951000000004</v>
      </c>
      <c r="E27" s="774">
        <v>581.31951000000004</v>
      </c>
      <c r="F27" s="773"/>
      <c r="G27" s="774">
        <v>0</v>
      </c>
    </row>
    <row r="28" spans="1:7" s="648" customFormat="1" x14ac:dyDescent="0.2">
      <c r="A28" s="770" t="s">
        <v>1937</v>
      </c>
      <c r="B28" s="770" t="s">
        <v>1938</v>
      </c>
      <c r="C28" s="776" t="s">
        <v>1939</v>
      </c>
      <c r="D28" s="773"/>
      <c r="E28" s="773"/>
      <c r="F28" s="773"/>
      <c r="G28" s="773"/>
    </row>
    <row r="29" spans="1:7" s="648" customFormat="1" x14ac:dyDescent="0.2">
      <c r="A29" s="770" t="s">
        <v>1940</v>
      </c>
      <c r="B29" s="770" t="s">
        <v>1941</v>
      </c>
      <c r="C29" s="776" t="s">
        <v>1942</v>
      </c>
      <c r="D29" s="773"/>
      <c r="E29" s="773"/>
      <c r="F29" s="773"/>
      <c r="G29" s="773"/>
    </row>
    <row r="30" spans="1:7" s="648" customFormat="1" ht="21" x14ac:dyDescent="0.2">
      <c r="A30" s="770" t="s">
        <v>1943</v>
      </c>
      <c r="B30" s="770" t="s">
        <v>1944</v>
      </c>
      <c r="C30" s="776" t="s">
        <v>1945</v>
      </c>
      <c r="D30" s="774"/>
      <c r="E30" s="773"/>
      <c r="F30" s="774"/>
      <c r="G30" s="773"/>
    </row>
    <row r="31" spans="1:7" s="826" customFormat="1" x14ac:dyDescent="0.2">
      <c r="A31" s="770" t="s">
        <v>1946</v>
      </c>
      <c r="B31" s="770" t="s">
        <v>1947</v>
      </c>
      <c r="C31" s="776" t="s">
        <v>1948</v>
      </c>
      <c r="D31" s="773"/>
      <c r="E31" s="773"/>
      <c r="F31" s="773"/>
      <c r="G31" s="773"/>
    </row>
    <row r="32" spans="1:7" s="648" customFormat="1" x14ac:dyDescent="0.2">
      <c r="A32" s="770" t="s">
        <v>1949</v>
      </c>
      <c r="B32" s="770" t="s">
        <v>1950</v>
      </c>
      <c r="C32" s="776" t="s">
        <v>1951</v>
      </c>
      <c r="D32" s="773"/>
      <c r="E32" s="773"/>
      <c r="F32" s="773"/>
      <c r="G32" s="773"/>
    </row>
    <row r="33" spans="1:7" s="648" customFormat="1" x14ac:dyDescent="0.2">
      <c r="A33" s="804" t="s">
        <v>1952</v>
      </c>
      <c r="B33" s="804" t="s">
        <v>1953</v>
      </c>
      <c r="C33" s="805" t="s">
        <v>133</v>
      </c>
      <c r="D33" s="769">
        <v>0</v>
      </c>
      <c r="E33" s="769">
        <v>0</v>
      </c>
      <c r="F33" s="769">
        <v>0</v>
      </c>
      <c r="G33" s="769">
        <v>0</v>
      </c>
    </row>
    <row r="34" spans="1:7" s="648" customFormat="1" x14ac:dyDescent="0.2">
      <c r="A34" s="770" t="s">
        <v>1954</v>
      </c>
      <c r="B34" s="770" t="s">
        <v>1955</v>
      </c>
      <c r="C34" s="776" t="s">
        <v>1956</v>
      </c>
      <c r="D34" s="774">
        <v>0</v>
      </c>
      <c r="E34" s="774">
        <v>0</v>
      </c>
      <c r="F34" s="774">
        <v>0</v>
      </c>
      <c r="G34" s="774">
        <v>0</v>
      </c>
    </row>
    <row r="35" spans="1:7" s="648" customFormat="1" x14ac:dyDescent="0.2">
      <c r="A35" s="770" t="s">
        <v>1957</v>
      </c>
      <c r="B35" s="770" t="s">
        <v>1958</v>
      </c>
      <c r="C35" s="776" t="s">
        <v>1959</v>
      </c>
      <c r="D35" s="774">
        <v>0</v>
      </c>
      <c r="E35" s="774">
        <v>0</v>
      </c>
      <c r="F35" s="774">
        <v>0</v>
      </c>
      <c r="G35" s="774">
        <v>0</v>
      </c>
    </row>
    <row r="36" spans="1:7" s="648" customFormat="1" x14ac:dyDescent="0.2">
      <c r="A36" s="770" t="s">
        <v>1960</v>
      </c>
      <c r="B36" s="770" t="s">
        <v>1961</v>
      </c>
      <c r="C36" s="776" t="s">
        <v>1962</v>
      </c>
      <c r="D36" s="774">
        <v>0</v>
      </c>
      <c r="E36" s="774">
        <v>0</v>
      </c>
      <c r="F36" s="774">
        <v>0</v>
      </c>
      <c r="G36" s="774">
        <v>0</v>
      </c>
    </row>
    <row r="37" spans="1:7" s="826" customFormat="1" x14ac:dyDescent="0.2">
      <c r="A37" s="770" t="s">
        <v>1966</v>
      </c>
      <c r="B37" s="770" t="s">
        <v>1967</v>
      </c>
      <c r="C37" s="776" t="s">
        <v>1968</v>
      </c>
      <c r="D37" s="774">
        <v>0</v>
      </c>
      <c r="E37" s="774">
        <v>0</v>
      </c>
      <c r="F37" s="774">
        <v>0</v>
      </c>
      <c r="G37" s="774">
        <v>0</v>
      </c>
    </row>
    <row r="38" spans="1:7" s="648" customFormat="1" x14ac:dyDescent="0.2">
      <c r="A38" s="770" t="s">
        <v>1969</v>
      </c>
      <c r="B38" s="770" t="s">
        <v>1970</v>
      </c>
      <c r="C38" s="776" t="s">
        <v>1971</v>
      </c>
      <c r="D38" s="773"/>
      <c r="E38" s="773"/>
      <c r="F38" s="773"/>
      <c r="G38" s="773"/>
    </row>
    <row r="39" spans="1:7" s="648" customFormat="1" x14ac:dyDescent="0.2">
      <c r="A39" s="804" t="s">
        <v>1978</v>
      </c>
      <c r="B39" s="804" t="s">
        <v>1979</v>
      </c>
      <c r="C39" s="805" t="s">
        <v>133</v>
      </c>
      <c r="D39" s="769">
        <v>0</v>
      </c>
      <c r="E39" s="769">
        <v>0</v>
      </c>
      <c r="F39" s="769">
        <v>0</v>
      </c>
      <c r="G39" s="769">
        <v>0</v>
      </c>
    </row>
    <row r="40" spans="1:7" s="648" customFormat="1" x14ac:dyDescent="0.2">
      <c r="A40" s="770" t="s">
        <v>1980</v>
      </c>
      <c r="B40" s="770" t="s">
        <v>1981</v>
      </c>
      <c r="C40" s="776" t="s">
        <v>1982</v>
      </c>
      <c r="D40" s="774">
        <v>0</v>
      </c>
      <c r="E40" s="774">
        <v>0</v>
      </c>
      <c r="F40" s="774">
        <v>0</v>
      </c>
      <c r="G40" s="774">
        <v>0</v>
      </c>
    </row>
    <row r="41" spans="1:7" s="648" customFormat="1" x14ac:dyDescent="0.2">
      <c r="A41" s="770" t="s">
        <v>1983</v>
      </c>
      <c r="B41" s="770" t="s">
        <v>1984</v>
      </c>
      <c r="C41" s="776" t="s">
        <v>1985</v>
      </c>
      <c r="D41" s="774">
        <v>0</v>
      </c>
      <c r="E41" s="774">
        <v>0</v>
      </c>
      <c r="F41" s="774">
        <v>0</v>
      </c>
      <c r="G41" s="774">
        <v>0</v>
      </c>
    </row>
    <row r="42" spans="1:7" s="648" customFormat="1" x14ac:dyDescent="0.2">
      <c r="A42" s="770" t="s">
        <v>1986</v>
      </c>
      <c r="B42" s="770" t="s">
        <v>1987</v>
      </c>
      <c r="C42" s="776" t="s">
        <v>1988</v>
      </c>
      <c r="D42" s="774">
        <v>0</v>
      </c>
      <c r="E42" s="774">
        <v>0</v>
      </c>
      <c r="F42" s="774">
        <v>0</v>
      </c>
      <c r="G42" s="774">
        <v>0</v>
      </c>
    </row>
    <row r="43" spans="1:7" s="826" customFormat="1" x14ac:dyDescent="0.2">
      <c r="A43" s="770" t="s">
        <v>1992</v>
      </c>
      <c r="B43" s="770" t="s">
        <v>1993</v>
      </c>
      <c r="C43" s="776" t="s">
        <v>1994</v>
      </c>
      <c r="D43" s="774">
        <v>0</v>
      </c>
      <c r="E43" s="774">
        <v>0</v>
      </c>
      <c r="F43" s="774">
        <v>0</v>
      </c>
      <c r="G43" s="774">
        <v>0</v>
      </c>
    </row>
    <row r="44" spans="1:7" s="826" customFormat="1" x14ac:dyDescent="0.2">
      <c r="A44" s="770" t="s">
        <v>1995</v>
      </c>
      <c r="B44" s="775" t="s">
        <v>1996</v>
      </c>
      <c r="C44" s="815" t="s">
        <v>1997</v>
      </c>
      <c r="D44" s="774">
        <v>0</v>
      </c>
      <c r="E44" s="774">
        <v>0</v>
      </c>
      <c r="F44" s="774">
        <v>0</v>
      </c>
      <c r="G44" s="774">
        <v>0</v>
      </c>
    </row>
    <row r="45" spans="1:7" s="648" customFormat="1" x14ac:dyDescent="0.2">
      <c r="A45" s="775" t="s">
        <v>1998</v>
      </c>
      <c r="B45" s="775" t="s">
        <v>1999</v>
      </c>
      <c r="C45" s="815" t="s">
        <v>2000</v>
      </c>
      <c r="D45" s="773"/>
      <c r="E45" s="773"/>
      <c r="F45" s="773"/>
      <c r="G45" s="773"/>
    </row>
    <row r="46" spans="1:7" s="648" customFormat="1" x14ac:dyDescent="0.2">
      <c r="A46" s="804" t="s">
        <v>2001</v>
      </c>
      <c r="B46" s="804" t="s">
        <v>2002</v>
      </c>
      <c r="C46" s="805" t="s">
        <v>133</v>
      </c>
      <c r="D46" s="769">
        <v>460.63421</v>
      </c>
      <c r="E46" s="769">
        <v>0</v>
      </c>
      <c r="F46" s="769">
        <v>460.63421</v>
      </c>
      <c r="G46" s="769">
        <v>273.48099999999999</v>
      </c>
    </row>
    <row r="47" spans="1:7" s="648" customFormat="1" x14ac:dyDescent="0.2">
      <c r="A47" s="767" t="s">
        <v>2003</v>
      </c>
      <c r="B47" s="767" t="s">
        <v>2004</v>
      </c>
      <c r="C47" s="812" t="s">
        <v>133</v>
      </c>
      <c r="D47" s="769">
        <v>0</v>
      </c>
      <c r="E47" s="769">
        <v>0</v>
      </c>
      <c r="F47" s="769">
        <v>0</v>
      </c>
      <c r="G47" s="769">
        <v>0</v>
      </c>
    </row>
    <row r="48" spans="1:7" s="648" customFormat="1" x14ac:dyDescent="0.2">
      <c r="A48" s="770" t="s">
        <v>2005</v>
      </c>
      <c r="B48" s="770" t="s">
        <v>2006</v>
      </c>
      <c r="C48" s="776" t="s">
        <v>2007</v>
      </c>
      <c r="D48" s="774">
        <v>0</v>
      </c>
      <c r="E48" s="774">
        <v>0</v>
      </c>
      <c r="F48" s="774">
        <v>0</v>
      </c>
      <c r="G48" s="774">
        <v>0</v>
      </c>
    </row>
    <row r="49" spans="1:7" s="648" customFormat="1" x14ac:dyDescent="0.2">
      <c r="A49" s="770" t="s">
        <v>2008</v>
      </c>
      <c r="B49" s="770" t="s">
        <v>2009</v>
      </c>
      <c r="C49" s="776" t="s">
        <v>2010</v>
      </c>
      <c r="D49" s="773"/>
      <c r="E49" s="773"/>
      <c r="F49" s="773"/>
      <c r="G49" s="773"/>
    </row>
    <row r="50" spans="1:7" s="648" customFormat="1" x14ac:dyDescent="0.2">
      <c r="A50" s="770" t="s">
        <v>2011</v>
      </c>
      <c r="B50" s="770" t="s">
        <v>2012</v>
      </c>
      <c r="C50" s="776" t="s">
        <v>2013</v>
      </c>
      <c r="D50" s="773"/>
      <c r="E50" s="773"/>
      <c r="F50" s="773"/>
      <c r="G50" s="773"/>
    </row>
    <row r="51" spans="1:7" s="648" customFormat="1" x14ac:dyDescent="0.2">
      <c r="A51" s="770" t="s">
        <v>2014</v>
      </c>
      <c r="B51" s="770" t="s">
        <v>2015</v>
      </c>
      <c r="C51" s="776" t="s">
        <v>2016</v>
      </c>
      <c r="D51" s="773"/>
      <c r="E51" s="773"/>
      <c r="F51" s="773"/>
      <c r="G51" s="773"/>
    </row>
    <row r="52" spans="1:7" s="648" customFormat="1" x14ac:dyDescent="0.2">
      <c r="A52" s="770" t="s">
        <v>2017</v>
      </c>
      <c r="B52" s="770" t="s">
        <v>2018</v>
      </c>
      <c r="C52" s="776" t="s">
        <v>2019</v>
      </c>
      <c r="D52" s="774"/>
      <c r="E52" s="774"/>
      <c r="F52" s="774"/>
      <c r="G52" s="774"/>
    </row>
    <row r="53" spans="1:7" s="648" customFormat="1" x14ac:dyDescent="0.2">
      <c r="A53" s="770" t="s">
        <v>2020</v>
      </c>
      <c r="B53" s="770" t="s">
        <v>2021</v>
      </c>
      <c r="C53" s="776" t="s">
        <v>2022</v>
      </c>
      <c r="D53" s="773"/>
      <c r="E53" s="773"/>
      <c r="F53" s="773"/>
      <c r="G53" s="773"/>
    </row>
    <row r="54" spans="1:7" s="648" customFormat="1" x14ac:dyDescent="0.2">
      <c r="A54" s="770" t="s">
        <v>2023</v>
      </c>
      <c r="B54" s="770" t="s">
        <v>2024</v>
      </c>
      <c r="C54" s="776" t="s">
        <v>2025</v>
      </c>
      <c r="D54" s="774"/>
      <c r="E54" s="774"/>
      <c r="F54" s="774"/>
      <c r="G54" s="774"/>
    </row>
    <row r="55" spans="1:7" s="826" customFormat="1" x14ac:dyDescent="0.2">
      <c r="A55" s="770" t="s">
        <v>2026</v>
      </c>
      <c r="B55" s="770" t="s">
        <v>2027</v>
      </c>
      <c r="C55" s="776" t="s">
        <v>2028</v>
      </c>
      <c r="D55" s="773"/>
      <c r="E55" s="773"/>
      <c r="F55" s="773"/>
      <c r="G55" s="773"/>
    </row>
    <row r="56" spans="1:7" s="648" customFormat="1" x14ac:dyDescent="0.2">
      <c r="A56" s="770" t="s">
        <v>2029</v>
      </c>
      <c r="B56" s="770" t="s">
        <v>2030</v>
      </c>
      <c r="C56" s="776" t="s">
        <v>2031</v>
      </c>
      <c r="D56" s="773"/>
      <c r="E56" s="773"/>
      <c r="F56" s="773"/>
      <c r="G56" s="773"/>
    </row>
    <row r="57" spans="1:7" s="648" customFormat="1" x14ac:dyDescent="0.2">
      <c r="A57" s="775" t="s">
        <v>2032</v>
      </c>
      <c r="B57" s="775" t="s">
        <v>2033</v>
      </c>
      <c r="C57" s="815" t="s">
        <v>2034</v>
      </c>
      <c r="D57" s="773"/>
      <c r="E57" s="773"/>
      <c r="F57" s="773"/>
      <c r="G57" s="773"/>
    </row>
    <row r="58" spans="1:7" s="648" customFormat="1" x14ac:dyDescent="0.2">
      <c r="A58" s="767" t="s">
        <v>2035</v>
      </c>
      <c r="B58" s="767" t="s">
        <v>2036</v>
      </c>
      <c r="C58" s="812" t="s">
        <v>133</v>
      </c>
      <c r="D58" s="769">
        <v>14.099500000000001</v>
      </c>
      <c r="E58" s="769">
        <v>0</v>
      </c>
      <c r="F58" s="769">
        <v>14.099500000000001</v>
      </c>
      <c r="G58" s="769">
        <v>9.8490000000000002</v>
      </c>
    </row>
    <row r="59" spans="1:7" s="648" customFormat="1" x14ac:dyDescent="0.2">
      <c r="A59" s="827" t="s">
        <v>2037</v>
      </c>
      <c r="B59" s="827" t="s">
        <v>2038</v>
      </c>
      <c r="C59" s="828" t="s">
        <v>2039</v>
      </c>
      <c r="D59" s="772"/>
      <c r="E59" s="772"/>
      <c r="F59" s="772"/>
      <c r="G59" s="772"/>
    </row>
    <row r="60" spans="1:7" s="648" customFormat="1" x14ac:dyDescent="0.2">
      <c r="A60" s="770" t="s">
        <v>2046</v>
      </c>
      <c r="B60" s="770" t="s">
        <v>2047</v>
      </c>
      <c r="C60" s="776" t="s">
        <v>2048</v>
      </c>
      <c r="D60" s="773">
        <v>2.6619999999999999</v>
      </c>
      <c r="E60" s="773"/>
      <c r="F60" s="773">
        <v>2.6619999999999999</v>
      </c>
      <c r="G60" s="773">
        <v>8.8989999999999991</v>
      </c>
    </row>
    <row r="61" spans="1:7" s="648" customFormat="1" x14ac:dyDescent="0.2">
      <c r="A61" s="770" t="s">
        <v>2049</v>
      </c>
      <c r="B61" s="770" t="s">
        <v>2050</v>
      </c>
      <c r="C61" s="776" t="s">
        <v>2051</v>
      </c>
      <c r="D61" s="773"/>
      <c r="E61" s="773"/>
      <c r="F61" s="773"/>
      <c r="G61" s="773"/>
    </row>
    <row r="62" spans="1:7" s="648" customFormat="1" x14ac:dyDescent="0.2">
      <c r="A62" s="770" t="s">
        <v>2052</v>
      </c>
      <c r="B62" s="770" t="s">
        <v>2053</v>
      </c>
      <c r="C62" s="776" t="s">
        <v>2054</v>
      </c>
      <c r="D62" s="774">
        <v>0</v>
      </c>
      <c r="E62" s="774"/>
      <c r="F62" s="774">
        <v>0</v>
      </c>
      <c r="G62" s="774">
        <v>0</v>
      </c>
    </row>
    <row r="63" spans="1:7" s="648" customFormat="1" x14ac:dyDescent="0.2">
      <c r="A63" s="770" t="s">
        <v>2061</v>
      </c>
      <c r="B63" s="770" t="s">
        <v>2062</v>
      </c>
      <c r="C63" s="776" t="s">
        <v>2063</v>
      </c>
      <c r="D63" s="774">
        <v>0</v>
      </c>
      <c r="E63" s="774"/>
      <c r="F63" s="774">
        <v>0</v>
      </c>
      <c r="G63" s="774">
        <v>0</v>
      </c>
    </row>
    <row r="64" spans="1:7" s="648" customFormat="1" x14ac:dyDescent="0.2">
      <c r="A64" s="770" t="s">
        <v>2064</v>
      </c>
      <c r="B64" s="770" t="s">
        <v>2065</v>
      </c>
      <c r="C64" s="776" t="s">
        <v>2066</v>
      </c>
      <c r="D64" s="773"/>
      <c r="E64" s="773"/>
      <c r="F64" s="773"/>
      <c r="G64" s="773"/>
    </row>
    <row r="65" spans="1:7" s="648" customFormat="1" x14ac:dyDescent="0.2">
      <c r="A65" s="770" t="s">
        <v>2067</v>
      </c>
      <c r="B65" s="770" t="s">
        <v>2068</v>
      </c>
      <c r="C65" s="776" t="s">
        <v>2069</v>
      </c>
      <c r="D65" s="774"/>
      <c r="E65" s="774"/>
      <c r="F65" s="774"/>
      <c r="G65" s="774"/>
    </row>
    <row r="66" spans="1:7" s="648" customFormat="1" x14ac:dyDescent="0.2">
      <c r="A66" s="770" t="s">
        <v>2070</v>
      </c>
      <c r="B66" s="770" t="s">
        <v>2071</v>
      </c>
      <c r="C66" s="776" t="s">
        <v>2072</v>
      </c>
      <c r="D66" s="773"/>
      <c r="E66" s="773"/>
      <c r="F66" s="773"/>
      <c r="G66" s="773"/>
    </row>
    <row r="67" spans="1:7" s="648" customFormat="1" x14ac:dyDescent="0.2">
      <c r="A67" s="770" t="s">
        <v>2073</v>
      </c>
      <c r="B67" s="770" t="s">
        <v>2074</v>
      </c>
      <c r="C67" s="776" t="s">
        <v>2075</v>
      </c>
      <c r="D67" s="774"/>
      <c r="E67" s="773"/>
      <c r="F67" s="774"/>
      <c r="G67" s="773"/>
    </row>
    <row r="68" spans="1:7" s="648" customFormat="1" x14ac:dyDescent="0.2">
      <c r="A68" s="770" t="s">
        <v>2076</v>
      </c>
      <c r="B68" s="770" t="s">
        <v>2077</v>
      </c>
      <c r="C68" s="776" t="s">
        <v>2078</v>
      </c>
      <c r="D68" s="773"/>
      <c r="E68" s="773"/>
      <c r="F68" s="773"/>
      <c r="G68" s="773"/>
    </row>
    <row r="69" spans="1:7" s="648" customFormat="1" x14ac:dyDescent="0.2">
      <c r="A69" s="770" t="s">
        <v>2079</v>
      </c>
      <c r="B69" s="770" t="s">
        <v>236</v>
      </c>
      <c r="C69" s="776" t="s">
        <v>2080</v>
      </c>
      <c r="D69" s="773"/>
      <c r="E69" s="773"/>
      <c r="F69" s="773"/>
      <c r="G69" s="773"/>
    </row>
    <row r="70" spans="1:7" s="648" customFormat="1" x14ac:dyDescent="0.2">
      <c r="A70" s="770" t="s">
        <v>2081</v>
      </c>
      <c r="B70" s="770" t="s">
        <v>2082</v>
      </c>
      <c r="C70" s="776" t="s">
        <v>2083</v>
      </c>
      <c r="D70" s="773"/>
      <c r="E70" s="773"/>
      <c r="F70" s="773"/>
      <c r="G70" s="773"/>
    </row>
    <row r="71" spans="1:7" s="648" customFormat="1" x14ac:dyDescent="0.2">
      <c r="A71" s="770" t="s">
        <v>2084</v>
      </c>
      <c r="B71" s="770" t="s">
        <v>2085</v>
      </c>
      <c r="C71" s="776" t="s">
        <v>2086</v>
      </c>
      <c r="D71" s="773"/>
      <c r="E71" s="773"/>
      <c r="F71" s="773"/>
      <c r="G71" s="773"/>
    </row>
    <row r="72" spans="1:7" s="648" customFormat="1" x14ac:dyDescent="0.2">
      <c r="A72" s="770" t="s">
        <v>2087</v>
      </c>
      <c r="B72" s="770" t="s">
        <v>2088</v>
      </c>
      <c r="C72" s="776" t="s">
        <v>2089</v>
      </c>
      <c r="D72" s="774"/>
      <c r="E72" s="774"/>
      <c r="F72" s="774"/>
      <c r="G72" s="774"/>
    </row>
    <row r="73" spans="1:7" s="648" customFormat="1" x14ac:dyDescent="0.2">
      <c r="A73" s="777" t="s">
        <v>2102</v>
      </c>
      <c r="B73" s="777" t="s">
        <v>2103</v>
      </c>
      <c r="C73" s="778" t="s">
        <v>2104</v>
      </c>
      <c r="D73" s="798"/>
      <c r="E73" s="779"/>
      <c r="F73" s="798"/>
      <c r="G73" s="779"/>
    </row>
    <row r="74" spans="1:7" s="648" customFormat="1" x14ac:dyDescent="0.2">
      <c r="A74" s="770" t="s">
        <v>2105</v>
      </c>
      <c r="B74" s="848" t="s">
        <v>2106</v>
      </c>
      <c r="C74" s="776" t="s">
        <v>2107</v>
      </c>
      <c r="D74" s="774">
        <v>0</v>
      </c>
      <c r="E74" s="774">
        <v>0</v>
      </c>
      <c r="F74" s="774">
        <v>0</v>
      </c>
      <c r="G74" s="774">
        <v>0</v>
      </c>
    </row>
    <row r="75" spans="1:7" s="826" customFormat="1" x14ac:dyDescent="0.2">
      <c r="A75" s="770" t="s">
        <v>2108</v>
      </c>
      <c r="B75" s="770" t="s">
        <v>2109</v>
      </c>
      <c r="C75" s="776" t="s">
        <v>2110</v>
      </c>
      <c r="D75" s="774">
        <v>1.3474999999999999</v>
      </c>
      <c r="E75" s="774">
        <v>0</v>
      </c>
      <c r="F75" s="774">
        <v>1.3474999999999999</v>
      </c>
      <c r="G75" s="774">
        <v>0.95</v>
      </c>
    </row>
    <row r="76" spans="1:7" s="648" customFormat="1" x14ac:dyDescent="0.2">
      <c r="A76" s="770" t="s">
        <v>2111</v>
      </c>
      <c r="B76" s="770" t="s">
        <v>2112</v>
      </c>
      <c r="C76" s="776" t="s">
        <v>2113</v>
      </c>
      <c r="D76" s="773"/>
      <c r="E76" s="773"/>
      <c r="F76" s="773"/>
      <c r="G76" s="773"/>
    </row>
    <row r="77" spans="1:7" s="648" customFormat="1" x14ac:dyDescent="0.2">
      <c r="A77" s="770" t="s">
        <v>2114</v>
      </c>
      <c r="B77" s="770" t="s">
        <v>2115</v>
      </c>
      <c r="C77" s="776" t="s">
        <v>2116</v>
      </c>
      <c r="D77" s="774">
        <v>0</v>
      </c>
      <c r="E77" s="774">
        <v>0</v>
      </c>
      <c r="F77" s="774">
        <v>0</v>
      </c>
      <c r="G77" s="774">
        <v>0</v>
      </c>
    </row>
    <row r="78" spans="1:7" s="648" customFormat="1" x14ac:dyDescent="0.2">
      <c r="A78" s="775" t="s">
        <v>2117</v>
      </c>
      <c r="B78" s="829" t="s">
        <v>2118</v>
      </c>
      <c r="C78" s="830" t="s">
        <v>2119</v>
      </c>
      <c r="D78" s="779">
        <v>10.09</v>
      </c>
      <c r="E78" s="779"/>
      <c r="F78" s="779">
        <v>10.09</v>
      </c>
      <c r="G78" s="779"/>
    </row>
    <row r="79" spans="1:7" s="648" customFormat="1" x14ac:dyDescent="0.2">
      <c r="A79" s="804" t="s">
        <v>2120</v>
      </c>
      <c r="B79" s="804" t="s">
        <v>2121</v>
      </c>
      <c r="C79" s="805" t="s">
        <v>133</v>
      </c>
      <c r="D79" s="769">
        <v>446.53471000000002</v>
      </c>
      <c r="E79" s="769">
        <v>0</v>
      </c>
      <c r="F79" s="769">
        <v>446.53471000000002</v>
      </c>
      <c r="G79" s="769">
        <v>263.63200000000001</v>
      </c>
    </row>
    <row r="80" spans="1:7" s="648" customFormat="1" x14ac:dyDescent="0.2">
      <c r="A80" s="775" t="s">
        <v>2122</v>
      </c>
      <c r="B80" s="775" t="s">
        <v>2123</v>
      </c>
      <c r="C80" s="815" t="s">
        <v>2124</v>
      </c>
      <c r="D80" s="773"/>
      <c r="E80" s="773"/>
      <c r="F80" s="773"/>
      <c r="G80" s="773"/>
    </row>
    <row r="81" spans="1:7" s="648" customFormat="1" x14ac:dyDescent="0.2">
      <c r="A81" s="770" t="s">
        <v>2125</v>
      </c>
      <c r="B81" s="770" t="s">
        <v>2126</v>
      </c>
      <c r="C81" s="776" t="s">
        <v>2127</v>
      </c>
      <c r="D81" s="773"/>
      <c r="E81" s="773"/>
      <c r="F81" s="773"/>
      <c r="G81" s="773"/>
    </row>
    <row r="82" spans="1:7" s="648" customFormat="1" x14ac:dyDescent="0.2">
      <c r="A82" s="770" t="s">
        <v>2128</v>
      </c>
      <c r="B82" s="770" t="s">
        <v>2129</v>
      </c>
      <c r="C82" s="776" t="s">
        <v>2130</v>
      </c>
      <c r="D82" s="773"/>
      <c r="E82" s="773"/>
      <c r="F82" s="773"/>
      <c r="G82" s="773"/>
    </row>
    <row r="83" spans="1:7" s="648" customFormat="1" x14ac:dyDescent="0.2">
      <c r="A83" s="770" t="s">
        <v>2131</v>
      </c>
      <c r="B83" s="770" t="s">
        <v>2132</v>
      </c>
      <c r="C83" s="776" t="s">
        <v>2133</v>
      </c>
      <c r="D83" s="773"/>
      <c r="E83" s="773"/>
      <c r="F83" s="773"/>
      <c r="G83" s="773"/>
    </row>
    <row r="84" spans="1:7" s="648" customFormat="1" x14ac:dyDescent="0.2">
      <c r="A84" s="770" t="s">
        <v>2134</v>
      </c>
      <c r="B84" s="770" t="s">
        <v>2135</v>
      </c>
      <c r="C84" s="776" t="s">
        <v>2136</v>
      </c>
      <c r="D84" s="773"/>
      <c r="E84" s="773"/>
      <c r="F84" s="773"/>
      <c r="G84" s="773"/>
    </row>
    <row r="85" spans="1:7" s="648" customFormat="1" x14ac:dyDescent="0.2">
      <c r="A85" s="770" t="s">
        <v>2137</v>
      </c>
      <c r="B85" s="770" t="s">
        <v>2138</v>
      </c>
      <c r="C85" s="776" t="s">
        <v>2139</v>
      </c>
      <c r="D85" s="773">
        <v>428.01105999999999</v>
      </c>
      <c r="E85" s="773"/>
      <c r="F85" s="773">
        <v>428.01105999999999</v>
      </c>
      <c r="G85" s="773">
        <v>230.66200000000001</v>
      </c>
    </row>
    <row r="86" spans="1:7" s="648" customFormat="1" x14ac:dyDescent="0.2">
      <c r="A86" s="770" t="s">
        <v>2140</v>
      </c>
      <c r="B86" s="770" t="s">
        <v>2141</v>
      </c>
      <c r="C86" s="776" t="s">
        <v>2142</v>
      </c>
      <c r="D86" s="773">
        <v>17.52065</v>
      </c>
      <c r="E86" s="773"/>
      <c r="F86" s="773">
        <v>17.52065</v>
      </c>
      <c r="G86" s="773">
        <v>6.5</v>
      </c>
    </row>
    <row r="87" spans="1:7" s="648" customFormat="1" x14ac:dyDescent="0.2">
      <c r="A87" s="770" t="s">
        <v>2149</v>
      </c>
      <c r="B87" s="770" t="s">
        <v>2150</v>
      </c>
      <c r="C87" s="776" t="s">
        <v>2151</v>
      </c>
      <c r="D87" s="773">
        <v>0.48</v>
      </c>
      <c r="E87" s="773"/>
      <c r="F87" s="773">
        <v>0.48</v>
      </c>
      <c r="G87" s="773">
        <v>21.76</v>
      </c>
    </row>
    <row r="88" spans="1:7" s="648" customFormat="1" x14ac:dyDescent="0.2">
      <c r="A88" s="770" t="s">
        <v>2152</v>
      </c>
      <c r="B88" s="770" t="s">
        <v>2153</v>
      </c>
      <c r="C88" s="776" t="s">
        <v>2154</v>
      </c>
      <c r="D88" s="773"/>
      <c r="E88" s="773"/>
      <c r="F88" s="773"/>
      <c r="G88" s="773"/>
    </row>
    <row r="89" spans="1:7" ht="12.75" customHeight="1" x14ac:dyDescent="0.2">
      <c r="A89" s="777" t="s">
        <v>2155</v>
      </c>
      <c r="B89" s="777" t="s">
        <v>2156</v>
      </c>
      <c r="C89" s="778" t="s">
        <v>2157</v>
      </c>
      <c r="D89" s="779">
        <v>0.52300000000000002</v>
      </c>
      <c r="E89" s="779"/>
      <c r="F89" s="779">
        <v>0.52300000000000002</v>
      </c>
      <c r="G89" s="779">
        <v>4.71</v>
      </c>
    </row>
    <row r="90" spans="1:7" s="765" customFormat="1" ht="12.75" customHeight="1" x14ac:dyDescent="0.2">
      <c r="A90" s="831"/>
      <c r="B90" s="831"/>
      <c r="C90" s="831"/>
      <c r="D90" s="832"/>
      <c r="E90" s="833"/>
      <c r="F90" s="832"/>
      <c r="G90" s="832"/>
    </row>
    <row r="91" spans="1:7" s="765" customFormat="1" x14ac:dyDescent="0.2">
      <c r="A91" s="831"/>
      <c r="B91" s="831"/>
      <c r="C91" s="831"/>
      <c r="D91" s="832"/>
      <c r="E91" s="833"/>
      <c r="F91" s="832"/>
      <c r="G91" s="832"/>
    </row>
    <row r="92" spans="1:7" s="826" customFormat="1" x14ac:dyDescent="0.2">
      <c r="A92" s="819"/>
      <c r="B92" s="820"/>
      <c r="C92" s="821"/>
      <c r="D92" s="789">
        <v>1</v>
      </c>
      <c r="E92" s="789">
        <v>2</v>
      </c>
      <c r="F92" s="792"/>
      <c r="G92" s="793"/>
    </row>
    <row r="93" spans="1:7" s="826" customFormat="1" ht="12.75" customHeight="1" x14ac:dyDescent="0.2">
      <c r="A93" s="1495" t="s">
        <v>1876</v>
      </c>
      <c r="B93" s="1496"/>
      <c r="C93" s="1501" t="s">
        <v>1877</v>
      </c>
      <c r="D93" s="1515" t="s">
        <v>1878</v>
      </c>
      <c r="E93" s="1515"/>
      <c r="F93" s="792"/>
      <c r="G93" s="793"/>
    </row>
    <row r="94" spans="1:7" s="826" customFormat="1" x14ac:dyDescent="0.2">
      <c r="A94" s="1499"/>
      <c r="B94" s="1500"/>
      <c r="C94" s="1514"/>
      <c r="D94" s="794" t="s">
        <v>1879</v>
      </c>
      <c r="E94" s="795" t="s">
        <v>1880</v>
      </c>
      <c r="F94" s="792"/>
      <c r="G94" s="793"/>
    </row>
    <row r="95" spans="1:7" s="648" customFormat="1" x14ac:dyDescent="0.2">
      <c r="A95" s="804"/>
      <c r="B95" s="804" t="s">
        <v>2158</v>
      </c>
      <c r="C95" s="805" t="s">
        <v>133</v>
      </c>
      <c r="D95" s="769">
        <v>969.24500999999998</v>
      </c>
      <c r="E95" s="769">
        <v>537.20899999999995</v>
      </c>
      <c r="F95" s="790"/>
      <c r="G95" s="791"/>
    </row>
    <row r="96" spans="1:7" s="648" customFormat="1" x14ac:dyDescent="0.2">
      <c r="A96" s="804" t="s">
        <v>2159</v>
      </c>
      <c r="B96" s="804" t="s">
        <v>2160</v>
      </c>
      <c r="C96" s="805" t="s">
        <v>133</v>
      </c>
      <c r="D96" s="769">
        <v>643.39652999999998</v>
      </c>
      <c r="E96" s="769">
        <v>300.625</v>
      </c>
      <c r="F96" s="790"/>
      <c r="G96" s="791"/>
    </row>
    <row r="97" spans="1:7" s="648" customFormat="1" x14ac:dyDescent="0.2">
      <c r="A97" s="804" t="s">
        <v>2161</v>
      </c>
      <c r="B97" s="804" t="s">
        <v>2162</v>
      </c>
      <c r="C97" s="805" t="s">
        <v>133</v>
      </c>
      <c r="D97" s="769">
        <v>508.61079999999998</v>
      </c>
      <c r="E97" s="769">
        <v>263.72800000000001</v>
      </c>
      <c r="F97" s="790"/>
      <c r="G97" s="791"/>
    </row>
    <row r="98" spans="1:7" s="648" customFormat="1" x14ac:dyDescent="0.2">
      <c r="A98" s="770" t="s">
        <v>2163</v>
      </c>
      <c r="B98" s="770" t="s">
        <v>2164</v>
      </c>
      <c r="C98" s="776" t="s">
        <v>2165</v>
      </c>
      <c r="D98" s="773">
        <v>508.61079999999998</v>
      </c>
      <c r="E98" s="773">
        <v>263.72800000000001</v>
      </c>
      <c r="F98" s="792"/>
      <c r="G98" s="793"/>
    </row>
    <row r="99" spans="1:7" s="648" customFormat="1" x14ac:dyDescent="0.2">
      <c r="A99" s="770" t="s">
        <v>2166</v>
      </c>
      <c r="B99" s="770" t="s">
        <v>2167</v>
      </c>
      <c r="C99" s="776" t="s">
        <v>2168</v>
      </c>
      <c r="D99" s="774">
        <v>0</v>
      </c>
      <c r="E99" s="774">
        <v>0</v>
      </c>
      <c r="F99" s="792"/>
      <c r="G99" s="783"/>
    </row>
    <row r="100" spans="1:7" s="648" customFormat="1" x14ac:dyDescent="0.2">
      <c r="A100" s="770" t="s">
        <v>2169</v>
      </c>
      <c r="B100" s="770" t="s">
        <v>2170</v>
      </c>
      <c r="C100" s="776" t="s">
        <v>2171</v>
      </c>
      <c r="D100" s="774">
        <v>0</v>
      </c>
      <c r="E100" s="774">
        <v>0</v>
      </c>
      <c r="F100" s="796"/>
      <c r="G100" s="783"/>
    </row>
    <row r="101" spans="1:7" s="826" customFormat="1" x14ac:dyDescent="0.2">
      <c r="A101" s="770" t="s">
        <v>2172</v>
      </c>
      <c r="B101" s="770" t="s">
        <v>2173</v>
      </c>
      <c r="C101" s="776" t="s">
        <v>2174</v>
      </c>
      <c r="D101" s="774">
        <v>0</v>
      </c>
      <c r="E101" s="774">
        <v>0</v>
      </c>
      <c r="F101" s="796"/>
      <c r="G101" s="783"/>
    </row>
    <row r="102" spans="1:7" s="648" customFormat="1" x14ac:dyDescent="0.2">
      <c r="A102" s="770" t="s">
        <v>2175</v>
      </c>
      <c r="B102" s="770" t="s">
        <v>2176</v>
      </c>
      <c r="C102" s="776" t="s">
        <v>2177</v>
      </c>
      <c r="D102" s="774">
        <v>0</v>
      </c>
      <c r="E102" s="774">
        <v>0</v>
      </c>
      <c r="F102" s="796"/>
      <c r="G102" s="783"/>
    </row>
    <row r="103" spans="1:7" s="648" customFormat="1" x14ac:dyDescent="0.2">
      <c r="A103" s="770" t="s">
        <v>2178</v>
      </c>
      <c r="B103" s="770" t="s">
        <v>2179</v>
      </c>
      <c r="C103" s="776" t="s">
        <v>2180</v>
      </c>
      <c r="D103" s="779"/>
      <c r="E103" s="779"/>
      <c r="F103" s="796"/>
      <c r="G103" s="783"/>
    </row>
    <row r="104" spans="1:7" s="648" customFormat="1" ht="13.5" customHeight="1" x14ac:dyDescent="0.2">
      <c r="A104" s="804" t="s">
        <v>2181</v>
      </c>
      <c r="B104" s="804" t="s">
        <v>2182</v>
      </c>
      <c r="C104" s="805" t="s">
        <v>133</v>
      </c>
      <c r="D104" s="769">
        <v>118.51067</v>
      </c>
      <c r="E104" s="769">
        <v>19.847000000000001</v>
      </c>
      <c r="F104" s="790"/>
      <c r="G104" s="791"/>
    </row>
    <row r="105" spans="1:7" s="648" customFormat="1" x14ac:dyDescent="0.2">
      <c r="A105" s="770" t="s">
        <v>2183</v>
      </c>
      <c r="B105" s="770" t="s">
        <v>2184</v>
      </c>
      <c r="C105" s="776" t="s">
        <v>2185</v>
      </c>
      <c r="D105" s="773">
        <v>7.0499600000000004</v>
      </c>
      <c r="E105" s="773"/>
      <c r="F105" s="792"/>
      <c r="G105" s="793"/>
    </row>
    <row r="106" spans="1:7" s="648" customFormat="1" x14ac:dyDescent="0.2">
      <c r="A106" s="770" t="s">
        <v>2186</v>
      </c>
      <c r="B106" s="770" t="s">
        <v>2187</v>
      </c>
      <c r="C106" s="776" t="s">
        <v>2188</v>
      </c>
      <c r="D106" s="774">
        <v>19.898709999999998</v>
      </c>
      <c r="E106" s="774">
        <v>6.6589999999999998</v>
      </c>
      <c r="F106" s="792"/>
      <c r="G106" s="793"/>
    </row>
    <row r="107" spans="1:7" s="648" customFormat="1" ht="21" x14ac:dyDescent="0.2">
      <c r="A107" s="770" t="s">
        <v>2189</v>
      </c>
      <c r="B107" s="770" t="s">
        <v>2190</v>
      </c>
      <c r="C107" s="776" t="s">
        <v>2191</v>
      </c>
      <c r="D107" s="774">
        <v>10</v>
      </c>
      <c r="E107" s="774">
        <v>0</v>
      </c>
      <c r="F107" s="792"/>
      <c r="G107" s="793"/>
    </row>
    <row r="108" spans="1:7" s="826" customFormat="1" x14ac:dyDescent="0.2">
      <c r="A108" s="770" t="s">
        <v>2192</v>
      </c>
      <c r="B108" s="770" t="s">
        <v>2193</v>
      </c>
      <c r="C108" s="776" t="s">
        <v>2194</v>
      </c>
      <c r="D108" s="774">
        <v>0</v>
      </c>
      <c r="E108" s="774">
        <v>0</v>
      </c>
      <c r="F108" s="796"/>
      <c r="G108" s="783"/>
    </row>
    <row r="109" spans="1:7" s="648" customFormat="1" x14ac:dyDescent="0.2">
      <c r="A109" s="770" t="s">
        <v>2195</v>
      </c>
      <c r="B109" s="770" t="s">
        <v>2196</v>
      </c>
      <c r="C109" s="776" t="s">
        <v>2197</v>
      </c>
      <c r="D109" s="774">
        <v>81.561999999999998</v>
      </c>
      <c r="E109" s="774">
        <v>13.188000000000001</v>
      </c>
      <c r="F109" s="792"/>
      <c r="G109" s="793"/>
    </row>
    <row r="110" spans="1:7" s="648" customFormat="1" x14ac:dyDescent="0.2">
      <c r="A110" s="804" t="s">
        <v>2201</v>
      </c>
      <c r="B110" s="804" t="s">
        <v>2202</v>
      </c>
      <c r="C110" s="805" t="s">
        <v>133</v>
      </c>
      <c r="D110" s="769">
        <v>16.27506</v>
      </c>
      <c r="E110" s="769">
        <v>17.05</v>
      </c>
      <c r="F110" s="790"/>
      <c r="G110" s="791"/>
    </row>
    <row r="111" spans="1:7" s="648" customFormat="1" x14ac:dyDescent="0.2">
      <c r="A111" s="770" t="s">
        <v>2203</v>
      </c>
      <c r="B111" s="770" t="s">
        <v>2204</v>
      </c>
      <c r="C111" s="776" t="s">
        <v>133</v>
      </c>
      <c r="D111" s="773">
        <v>16.27506</v>
      </c>
      <c r="E111" s="773">
        <v>17.05</v>
      </c>
      <c r="F111" s="792"/>
      <c r="G111" s="783"/>
    </row>
    <row r="112" spans="1:7" s="826" customFormat="1" x14ac:dyDescent="0.2">
      <c r="A112" s="770" t="s">
        <v>2205</v>
      </c>
      <c r="B112" s="770" t="s">
        <v>2206</v>
      </c>
      <c r="C112" s="776" t="s">
        <v>2207</v>
      </c>
      <c r="D112" s="774">
        <v>0</v>
      </c>
      <c r="E112" s="774">
        <v>0</v>
      </c>
      <c r="F112" s="796"/>
      <c r="G112" s="793"/>
    </row>
    <row r="113" spans="1:7" s="826" customFormat="1" x14ac:dyDescent="0.2">
      <c r="A113" s="770" t="s">
        <v>2208</v>
      </c>
      <c r="B113" s="770" t="s">
        <v>2209</v>
      </c>
      <c r="C113" s="776" t="s">
        <v>2210</v>
      </c>
      <c r="D113" s="774">
        <v>0</v>
      </c>
      <c r="E113" s="774">
        <v>0</v>
      </c>
      <c r="F113" s="796"/>
      <c r="G113" s="783"/>
    </row>
    <row r="114" spans="1:7" s="648" customFormat="1" x14ac:dyDescent="0.2">
      <c r="A114" s="804" t="s">
        <v>2211</v>
      </c>
      <c r="B114" s="804" t="s">
        <v>2212</v>
      </c>
      <c r="C114" s="805" t="s">
        <v>133</v>
      </c>
      <c r="D114" s="769">
        <v>325.84848</v>
      </c>
      <c r="E114" s="769">
        <v>236.584</v>
      </c>
      <c r="F114" s="790"/>
      <c r="G114" s="791"/>
    </row>
    <row r="115" spans="1:7" s="826" customFormat="1" x14ac:dyDescent="0.2">
      <c r="A115" s="804" t="s">
        <v>2213</v>
      </c>
      <c r="B115" s="804" t="s">
        <v>2214</v>
      </c>
      <c r="C115" s="805" t="s">
        <v>133</v>
      </c>
      <c r="D115" s="769">
        <v>0</v>
      </c>
      <c r="E115" s="769">
        <v>0</v>
      </c>
      <c r="F115" s="790"/>
      <c r="G115" s="791"/>
    </row>
    <row r="116" spans="1:7" s="648" customFormat="1" x14ac:dyDescent="0.2">
      <c r="A116" s="770" t="s">
        <v>2215</v>
      </c>
      <c r="B116" s="770" t="s">
        <v>2214</v>
      </c>
      <c r="C116" s="776" t="s">
        <v>2216</v>
      </c>
      <c r="D116" s="774">
        <v>0</v>
      </c>
      <c r="E116" s="774">
        <v>0</v>
      </c>
      <c r="F116" s="796"/>
      <c r="G116" s="783"/>
    </row>
    <row r="117" spans="1:7" s="648" customFormat="1" x14ac:dyDescent="0.2">
      <c r="A117" s="804" t="s">
        <v>2217</v>
      </c>
      <c r="B117" s="804" t="s">
        <v>2218</v>
      </c>
      <c r="C117" s="805" t="s">
        <v>133</v>
      </c>
      <c r="D117" s="769">
        <v>0</v>
      </c>
      <c r="E117" s="769">
        <v>0</v>
      </c>
      <c r="F117" s="790"/>
      <c r="G117" s="791"/>
    </row>
    <row r="118" spans="1:7" s="648" customFormat="1" x14ac:dyDescent="0.2">
      <c r="A118" s="770" t="s">
        <v>2219</v>
      </c>
      <c r="B118" s="770" t="s">
        <v>2220</v>
      </c>
      <c r="C118" s="776" t="s">
        <v>2221</v>
      </c>
      <c r="D118" s="774">
        <v>0</v>
      </c>
      <c r="E118" s="774">
        <v>0</v>
      </c>
      <c r="F118" s="796"/>
      <c r="G118" s="783"/>
    </row>
    <row r="119" spans="1:7" s="648" customFormat="1" x14ac:dyDescent="0.2">
      <c r="A119" s="770" t="s">
        <v>2222</v>
      </c>
      <c r="B119" s="770" t="s">
        <v>2223</v>
      </c>
      <c r="C119" s="776" t="s">
        <v>2224</v>
      </c>
      <c r="D119" s="774">
        <v>0</v>
      </c>
      <c r="E119" s="774">
        <v>0</v>
      </c>
      <c r="F119" s="796"/>
      <c r="G119" s="783"/>
    </row>
    <row r="120" spans="1:7" s="648" customFormat="1" x14ac:dyDescent="0.2">
      <c r="A120" s="770" t="s">
        <v>2228</v>
      </c>
      <c r="B120" s="770" t="s">
        <v>2229</v>
      </c>
      <c r="C120" s="776" t="s">
        <v>2230</v>
      </c>
      <c r="D120" s="774">
        <v>0</v>
      </c>
      <c r="E120" s="774">
        <v>0</v>
      </c>
      <c r="F120" s="796"/>
      <c r="G120" s="783"/>
    </row>
    <row r="121" spans="1:7" s="648" customFormat="1" x14ac:dyDescent="0.2">
      <c r="A121" s="770" t="s">
        <v>2237</v>
      </c>
      <c r="B121" s="770" t="s">
        <v>2238</v>
      </c>
      <c r="C121" s="776" t="s">
        <v>2239</v>
      </c>
      <c r="D121" s="774">
        <v>0</v>
      </c>
      <c r="E121" s="774">
        <v>0</v>
      </c>
      <c r="F121" s="796"/>
      <c r="G121" s="783"/>
    </row>
    <row r="122" spans="1:7" s="826" customFormat="1" x14ac:dyDescent="0.2">
      <c r="A122" s="770" t="s">
        <v>2240</v>
      </c>
      <c r="B122" s="770" t="s">
        <v>2241</v>
      </c>
      <c r="C122" s="776" t="s">
        <v>2242</v>
      </c>
      <c r="D122" s="774">
        <v>0</v>
      </c>
      <c r="E122" s="774">
        <v>0</v>
      </c>
      <c r="F122" s="796"/>
      <c r="G122" s="783"/>
    </row>
    <row r="123" spans="1:7" s="648" customFormat="1" x14ac:dyDescent="0.2">
      <c r="A123" s="770" t="s">
        <v>2243</v>
      </c>
      <c r="B123" s="770" t="s">
        <v>1999</v>
      </c>
      <c r="C123" s="776" t="s">
        <v>2000</v>
      </c>
      <c r="D123" s="774">
        <v>0</v>
      </c>
      <c r="E123" s="774">
        <v>0</v>
      </c>
      <c r="F123" s="796"/>
      <c r="G123" s="783"/>
    </row>
    <row r="124" spans="1:7" s="648" customFormat="1" x14ac:dyDescent="0.2">
      <c r="A124" s="804" t="s">
        <v>2244</v>
      </c>
      <c r="B124" s="804" t="s">
        <v>2245</v>
      </c>
      <c r="C124" s="805" t="s">
        <v>133</v>
      </c>
      <c r="D124" s="769">
        <v>325.84848</v>
      </c>
      <c r="E124" s="769">
        <v>236.584</v>
      </c>
      <c r="F124" s="790"/>
      <c r="G124" s="791"/>
    </row>
    <row r="125" spans="1:7" s="648" customFormat="1" x14ac:dyDescent="0.2">
      <c r="A125" s="770" t="s">
        <v>2246</v>
      </c>
      <c r="B125" s="770" t="s">
        <v>2247</v>
      </c>
      <c r="C125" s="776" t="s">
        <v>2248</v>
      </c>
      <c r="D125" s="774">
        <v>0</v>
      </c>
      <c r="E125" s="774">
        <v>0</v>
      </c>
      <c r="F125" s="796"/>
      <c r="G125" s="783"/>
    </row>
    <row r="126" spans="1:7" s="648" customFormat="1" x14ac:dyDescent="0.2">
      <c r="A126" s="770" t="s">
        <v>2255</v>
      </c>
      <c r="B126" s="770" t="s">
        <v>2256</v>
      </c>
      <c r="C126" s="776" t="s">
        <v>2257</v>
      </c>
      <c r="D126" s="774">
        <v>0</v>
      </c>
      <c r="E126" s="774">
        <v>0</v>
      </c>
      <c r="F126" s="796"/>
      <c r="G126" s="783"/>
    </row>
    <row r="127" spans="1:7" s="648" customFormat="1" x14ac:dyDescent="0.2">
      <c r="A127" s="770" t="s">
        <v>2258</v>
      </c>
      <c r="B127" s="770" t="s">
        <v>2259</v>
      </c>
      <c r="C127" s="776" t="s">
        <v>2260</v>
      </c>
      <c r="D127" s="774">
        <v>35.055219999999998</v>
      </c>
      <c r="E127" s="774">
        <v>14.106999999999999</v>
      </c>
      <c r="F127" s="792"/>
      <c r="G127" s="793"/>
    </row>
    <row r="128" spans="1:7" s="648" customFormat="1" ht="12.75" customHeight="1" x14ac:dyDescent="0.2">
      <c r="A128" s="770" t="s">
        <v>2264</v>
      </c>
      <c r="B128" s="770" t="s">
        <v>2265</v>
      </c>
      <c r="C128" s="776" t="s">
        <v>2266</v>
      </c>
      <c r="D128" s="774">
        <v>0</v>
      </c>
      <c r="E128" s="774">
        <v>0</v>
      </c>
      <c r="F128" s="792"/>
      <c r="G128" s="793"/>
    </row>
    <row r="129" spans="1:7" s="648" customFormat="1" ht="12.75" customHeight="1" x14ac:dyDescent="0.2">
      <c r="A129" s="770" t="s">
        <v>2270</v>
      </c>
      <c r="B129" s="770" t="s">
        <v>2271</v>
      </c>
      <c r="C129" s="776" t="s">
        <v>2272</v>
      </c>
      <c r="D129" s="774">
        <v>0</v>
      </c>
      <c r="E129" s="774">
        <v>0</v>
      </c>
      <c r="F129" s="796"/>
      <c r="G129" s="783"/>
    </row>
    <row r="130" spans="1:7" s="648" customFormat="1" ht="12.75" customHeight="1" x14ac:dyDescent="0.2">
      <c r="A130" s="770" t="s">
        <v>2273</v>
      </c>
      <c r="B130" s="770" t="s">
        <v>2274</v>
      </c>
      <c r="C130" s="776" t="s">
        <v>2275</v>
      </c>
      <c r="D130" s="774">
        <v>152.012</v>
      </c>
      <c r="E130" s="774">
        <v>119.90900000000001</v>
      </c>
      <c r="F130" s="792"/>
      <c r="G130" s="793"/>
    </row>
    <row r="131" spans="1:7" s="648" customFormat="1" ht="12.75" customHeight="1" x14ac:dyDescent="0.2">
      <c r="A131" s="770" t="s">
        <v>2276</v>
      </c>
      <c r="B131" s="770" t="s">
        <v>2277</v>
      </c>
      <c r="C131" s="776" t="s">
        <v>2278</v>
      </c>
      <c r="D131" s="774">
        <v>0</v>
      </c>
      <c r="E131" s="774">
        <v>0</v>
      </c>
      <c r="F131" s="792"/>
      <c r="G131" s="793"/>
    </row>
    <row r="132" spans="1:7" s="648" customFormat="1" ht="12.75" customHeight="1" x14ac:dyDescent="0.2">
      <c r="A132" s="770" t="s">
        <v>2279</v>
      </c>
      <c r="B132" s="770" t="s">
        <v>2065</v>
      </c>
      <c r="C132" s="776" t="s">
        <v>2066</v>
      </c>
      <c r="D132" s="774">
        <v>61.637</v>
      </c>
      <c r="E132" s="774">
        <v>48.459000000000003</v>
      </c>
      <c r="F132" s="792"/>
      <c r="G132" s="793"/>
    </row>
    <row r="133" spans="1:7" s="648" customFormat="1" ht="12.75" customHeight="1" x14ac:dyDescent="0.2">
      <c r="A133" s="770" t="s">
        <v>2280</v>
      </c>
      <c r="B133" s="770" t="s">
        <v>2068</v>
      </c>
      <c r="C133" s="776" t="s">
        <v>2069</v>
      </c>
      <c r="D133" s="774">
        <v>26.844000000000001</v>
      </c>
      <c r="E133" s="774">
        <v>20.77</v>
      </c>
      <c r="F133" s="792"/>
      <c r="G133" s="793"/>
    </row>
    <row r="134" spans="1:7" s="648" customFormat="1" ht="12.75" customHeight="1" x14ac:dyDescent="0.2">
      <c r="A134" s="770" t="s">
        <v>2281</v>
      </c>
      <c r="B134" s="770" t="s">
        <v>2071</v>
      </c>
      <c r="C134" s="776" t="s">
        <v>2072</v>
      </c>
      <c r="D134" s="774">
        <v>1.651</v>
      </c>
      <c r="E134" s="774">
        <v>0</v>
      </c>
      <c r="F134" s="792"/>
      <c r="G134" s="793"/>
    </row>
    <row r="135" spans="1:7" s="648" customFormat="1" ht="12.75" customHeight="1" x14ac:dyDescent="0.2">
      <c r="A135" s="770" t="s">
        <v>2282</v>
      </c>
      <c r="B135" s="770" t="s">
        <v>2074</v>
      </c>
      <c r="C135" s="776" t="s">
        <v>2075</v>
      </c>
      <c r="D135" s="774">
        <v>0</v>
      </c>
      <c r="E135" s="774">
        <v>0</v>
      </c>
      <c r="F135" s="796"/>
      <c r="G135" s="783"/>
    </row>
    <row r="136" spans="1:7" s="648" customFormat="1" ht="12.75" customHeight="1" x14ac:dyDescent="0.2">
      <c r="A136" s="770" t="s">
        <v>2283</v>
      </c>
      <c r="B136" s="770" t="s">
        <v>2077</v>
      </c>
      <c r="C136" s="776" t="s">
        <v>2078</v>
      </c>
      <c r="D136" s="774">
        <v>20.977</v>
      </c>
      <c r="E136" s="774">
        <v>21.091000000000001</v>
      </c>
      <c r="F136" s="792"/>
      <c r="G136" s="793"/>
    </row>
    <row r="137" spans="1:7" s="648" customFormat="1" ht="12.75" customHeight="1" x14ac:dyDescent="0.2">
      <c r="A137" s="770" t="s">
        <v>2284</v>
      </c>
      <c r="B137" s="770" t="s">
        <v>236</v>
      </c>
      <c r="C137" s="776" t="s">
        <v>2080</v>
      </c>
      <c r="D137" s="774">
        <v>0</v>
      </c>
      <c r="E137" s="774">
        <v>0</v>
      </c>
      <c r="F137" s="796"/>
      <c r="G137" s="783"/>
    </row>
    <row r="138" spans="1:7" s="648" customFormat="1" ht="12.75" customHeight="1" x14ac:dyDescent="0.2">
      <c r="A138" s="770" t="s">
        <v>2285</v>
      </c>
      <c r="B138" s="770" t="s">
        <v>2286</v>
      </c>
      <c r="C138" s="776" t="s">
        <v>2287</v>
      </c>
      <c r="D138" s="774">
        <v>0</v>
      </c>
      <c r="E138" s="774">
        <v>2.0249999999999999</v>
      </c>
      <c r="F138" s="792"/>
      <c r="G138" s="793"/>
    </row>
    <row r="139" spans="1:7" s="648" customFormat="1" ht="12.75" customHeight="1" x14ac:dyDescent="0.2">
      <c r="A139" s="770" t="s">
        <v>2288</v>
      </c>
      <c r="B139" s="770" t="s">
        <v>2289</v>
      </c>
      <c r="C139" s="776" t="s">
        <v>2290</v>
      </c>
      <c r="D139" s="774">
        <v>0</v>
      </c>
      <c r="E139" s="774">
        <v>0</v>
      </c>
      <c r="F139" s="796"/>
      <c r="G139" s="783"/>
    </row>
    <row r="140" spans="1:7" s="648" customFormat="1" ht="12.75" customHeight="1" x14ac:dyDescent="0.2">
      <c r="A140" s="770" t="s">
        <v>2291</v>
      </c>
      <c r="B140" s="770" t="s">
        <v>2292</v>
      </c>
      <c r="C140" s="776" t="s">
        <v>2293</v>
      </c>
      <c r="D140" s="774">
        <v>11.7431</v>
      </c>
      <c r="E140" s="774">
        <v>0</v>
      </c>
      <c r="F140" s="796"/>
      <c r="G140" s="783"/>
    </row>
    <row r="141" spans="1:7" s="648" customFormat="1" ht="12.75" customHeight="1" x14ac:dyDescent="0.2">
      <c r="A141" s="770" t="s">
        <v>2304</v>
      </c>
      <c r="B141" s="770" t="s">
        <v>2305</v>
      </c>
      <c r="C141" s="776" t="s">
        <v>2306</v>
      </c>
      <c r="D141" s="774">
        <v>0</v>
      </c>
      <c r="E141" s="774">
        <v>0</v>
      </c>
      <c r="F141" s="796"/>
      <c r="G141" s="783"/>
    </row>
    <row r="142" spans="1:7" s="648" customFormat="1" ht="12.75" customHeight="1" x14ac:dyDescent="0.2">
      <c r="A142" s="770" t="s">
        <v>2307</v>
      </c>
      <c r="B142" s="770" t="s">
        <v>2106</v>
      </c>
      <c r="C142" s="776" t="s">
        <v>2107</v>
      </c>
      <c r="D142" s="774">
        <v>0</v>
      </c>
      <c r="E142" s="774">
        <v>0</v>
      </c>
      <c r="F142" s="796"/>
      <c r="G142" s="783"/>
    </row>
    <row r="143" spans="1:7" s="648" customFormat="1" ht="12.75" customHeight="1" x14ac:dyDescent="0.2">
      <c r="A143" s="770" t="s">
        <v>2308</v>
      </c>
      <c r="B143" s="770" t="s">
        <v>2309</v>
      </c>
      <c r="C143" s="776" t="s">
        <v>2310</v>
      </c>
      <c r="D143" s="774">
        <v>0</v>
      </c>
      <c r="E143" s="774">
        <v>1.623</v>
      </c>
      <c r="F143" s="796"/>
      <c r="G143" s="783"/>
    </row>
    <row r="144" spans="1:7" s="648" customFormat="1" ht="12.75" customHeight="1" x14ac:dyDescent="0.2">
      <c r="A144" s="770" t="s">
        <v>2311</v>
      </c>
      <c r="B144" s="770" t="s">
        <v>2312</v>
      </c>
      <c r="C144" s="776" t="s">
        <v>2313</v>
      </c>
      <c r="D144" s="774">
        <v>0</v>
      </c>
      <c r="E144" s="774">
        <v>0</v>
      </c>
      <c r="F144" s="796"/>
      <c r="G144" s="783"/>
    </row>
    <row r="145" spans="1:7" s="648" customFormat="1" ht="12.75" customHeight="1" x14ac:dyDescent="0.2">
      <c r="A145" s="770" t="s">
        <v>2314</v>
      </c>
      <c r="B145" s="770" t="s">
        <v>2315</v>
      </c>
      <c r="C145" s="776" t="s">
        <v>2316</v>
      </c>
      <c r="D145" s="774">
        <v>15.92916</v>
      </c>
      <c r="E145" s="774">
        <v>8.6</v>
      </c>
      <c r="F145" s="796"/>
      <c r="G145" s="783"/>
    </row>
    <row r="146" spans="1:7" s="648" customFormat="1" ht="12.75" customHeight="1" x14ac:dyDescent="0.2">
      <c r="A146" s="777" t="s">
        <v>2317</v>
      </c>
      <c r="B146" s="777" t="s">
        <v>2318</v>
      </c>
      <c r="C146" s="778" t="s">
        <v>2319</v>
      </c>
      <c r="D146" s="798">
        <v>0</v>
      </c>
      <c r="E146" s="798">
        <v>0</v>
      </c>
      <c r="F146" s="796"/>
      <c r="G146" s="783"/>
    </row>
    <row r="147" spans="1:7" s="648" customFormat="1" x14ac:dyDescent="0.2">
      <c r="A147" s="851"/>
      <c r="C147" s="546"/>
      <c r="D147" s="799"/>
      <c r="E147" s="799"/>
      <c r="F147" s="799"/>
      <c r="G147" s="799"/>
    </row>
  </sheetData>
  <mergeCells count="10">
    <mergeCell ref="A93:B94"/>
    <mergeCell ref="C93:C94"/>
    <mergeCell ref="D93:E93"/>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75" firstPageNumber="478" fitToHeight="2" orientation="portrait" useFirstPageNumber="1" r:id="rId1"/>
  <headerFooter alignWithMargins="0">
    <oddHeader>&amp;L&amp;"Tahoma,Kurzíva"Závěrečný účet za rok 2015&amp;R&amp;"Tahoma,Kurzíva"Tabulka č. 44</oddHeader>
    <oddFooter>&amp;C&amp;"Tahoma,Obyčejné"&amp;P</oddFooter>
  </headerFooter>
  <rowBreaks count="1" manualBreakCount="1">
    <brk id="73" max="6"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zoomScaleNormal="100" zoomScaleSheetLayoutView="100" workbookViewId="0">
      <selection activeCell="I5" sqref="I5"/>
    </sheetView>
  </sheetViews>
  <sheetFormatPr defaultRowHeight="12.75" x14ac:dyDescent="0.2"/>
  <cols>
    <col min="1" max="1" width="6.7109375" style="211" customWidth="1"/>
    <col min="2" max="2" width="58.42578125" style="211" customWidth="1"/>
    <col min="3" max="3" width="8.5703125" style="847" customWidth="1"/>
    <col min="4" max="7" width="15.42578125" style="211" customWidth="1"/>
    <col min="8" max="16384" width="9.140625" style="211"/>
  </cols>
  <sheetData>
    <row r="1" spans="1:7" s="837" customFormat="1" ht="18" customHeight="1" x14ac:dyDescent="0.2">
      <c r="A1" s="1493" t="s">
        <v>1874</v>
      </c>
      <c r="B1" s="1493"/>
      <c r="C1" s="1493"/>
      <c r="D1" s="1493"/>
      <c r="E1" s="1493"/>
      <c r="F1" s="1493"/>
      <c r="G1" s="1493"/>
    </row>
    <row r="2" spans="1:7" s="838" customFormat="1" ht="18" customHeight="1" x14ac:dyDescent="0.2">
      <c r="A2" s="1493" t="s">
        <v>2515</v>
      </c>
      <c r="B2" s="1493"/>
      <c r="C2" s="1493"/>
      <c r="D2" s="1493"/>
      <c r="E2" s="1493"/>
      <c r="F2" s="1493"/>
      <c r="G2" s="1493"/>
    </row>
    <row r="4" spans="1:7" ht="12.75" customHeight="1" x14ac:dyDescent="0.2">
      <c r="A4" s="839"/>
      <c r="B4" s="840"/>
      <c r="C4" s="841"/>
      <c r="D4" s="842">
        <v>1</v>
      </c>
      <c r="E4" s="842">
        <v>2</v>
      </c>
      <c r="F4" s="842">
        <v>3</v>
      </c>
      <c r="G4" s="842">
        <v>4</v>
      </c>
    </row>
    <row r="5" spans="1:7" s="843" customFormat="1" x14ac:dyDescent="0.2">
      <c r="A5" s="1517" t="s">
        <v>1876</v>
      </c>
      <c r="B5" s="1518"/>
      <c r="C5" s="1521" t="s">
        <v>1877</v>
      </c>
      <c r="D5" s="1523" t="s">
        <v>2324</v>
      </c>
      <c r="E5" s="1523"/>
      <c r="F5" s="1523" t="s">
        <v>2325</v>
      </c>
      <c r="G5" s="1523"/>
    </row>
    <row r="6" spans="1:7" s="843" customFormat="1" ht="21" x14ac:dyDescent="0.2">
      <c r="A6" s="1519"/>
      <c r="B6" s="1520"/>
      <c r="C6" s="1522"/>
      <c r="D6" s="844" t="s">
        <v>2326</v>
      </c>
      <c r="E6" s="844" t="s">
        <v>2327</v>
      </c>
      <c r="F6" s="845" t="s">
        <v>2326</v>
      </c>
      <c r="G6" s="845" t="s">
        <v>2327</v>
      </c>
    </row>
    <row r="7" spans="1:7" s="843" customFormat="1" x14ac:dyDescent="0.2">
      <c r="A7" s="804" t="s">
        <v>1885</v>
      </c>
      <c r="B7" s="804" t="s">
        <v>2328</v>
      </c>
      <c r="C7" s="805" t="s">
        <v>133</v>
      </c>
      <c r="D7" s="769">
        <v>3668.05879</v>
      </c>
      <c r="E7" s="846">
        <v>0</v>
      </c>
      <c r="F7" s="846">
        <v>1982.95</v>
      </c>
      <c r="G7" s="846">
        <v>0</v>
      </c>
    </row>
    <row r="8" spans="1:7" x14ac:dyDescent="0.2">
      <c r="A8" s="767" t="s">
        <v>1887</v>
      </c>
      <c r="B8" s="767" t="s">
        <v>2329</v>
      </c>
      <c r="C8" s="812" t="s">
        <v>133</v>
      </c>
      <c r="D8" s="813">
        <v>3668.05879</v>
      </c>
      <c r="E8" s="846">
        <v>0</v>
      </c>
      <c r="F8" s="846">
        <v>1981.96</v>
      </c>
      <c r="G8" s="846">
        <v>0</v>
      </c>
    </row>
    <row r="9" spans="1:7" x14ac:dyDescent="0.2">
      <c r="A9" s="827" t="s">
        <v>1889</v>
      </c>
      <c r="B9" s="827" t="s">
        <v>2330</v>
      </c>
      <c r="C9" s="828" t="s">
        <v>2331</v>
      </c>
      <c r="D9" s="806">
        <v>79.386759999999995</v>
      </c>
      <c r="E9" s="806"/>
      <c r="F9" s="806">
        <v>23.036999999999999</v>
      </c>
      <c r="G9" s="806"/>
    </row>
    <row r="10" spans="1:7" x14ac:dyDescent="0.2">
      <c r="A10" s="770" t="s">
        <v>1892</v>
      </c>
      <c r="B10" s="770" t="s">
        <v>2332</v>
      </c>
      <c r="C10" s="776" t="s">
        <v>2333</v>
      </c>
      <c r="D10" s="806">
        <v>39.834510000000002</v>
      </c>
      <c r="E10" s="806"/>
      <c r="F10" s="806">
        <v>16.756</v>
      </c>
      <c r="G10" s="806"/>
    </row>
    <row r="11" spans="1:7" x14ac:dyDescent="0.2">
      <c r="A11" s="770" t="s">
        <v>1895</v>
      </c>
      <c r="B11" s="770" t="s">
        <v>2334</v>
      </c>
      <c r="C11" s="776" t="s">
        <v>2335</v>
      </c>
      <c r="D11" s="806"/>
      <c r="E11" s="806"/>
      <c r="F11" s="806"/>
      <c r="G11" s="806"/>
    </row>
    <row r="12" spans="1:7" x14ac:dyDescent="0.2">
      <c r="A12" s="770" t="s">
        <v>1897</v>
      </c>
      <c r="B12" s="770" t="s">
        <v>2336</v>
      </c>
      <c r="C12" s="776" t="s">
        <v>2337</v>
      </c>
      <c r="D12" s="806"/>
      <c r="E12" s="806"/>
      <c r="F12" s="806"/>
      <c r="G12" s="806"/>
    </row>
    <row r="13" spans="1:7" x14ac:dyDescent="0.2">
      <c r="A13" s="770" t="s">
        <v>1900</v>
      </c>
      <c r="B13" s="770" t="s">
        <v>2338</v>
      </c>
      <c r="C13" s="776" t="s">
        <v>2339</v>
      </c>
      <c r="D13" s="806"/>
      <c r="E13" s="806"/>
      <c r="F13" s="806"/>
      <c r="G13" s="806"/>
    </row>
    <row r="14" spans="1:7" x14ac:dyDescent="0.2">
      <c r="A14" s="770" t="s">
        <v>1903</v>
      </c>
      <c r="B14" s="770" t="s">
        <v>2340</v>
      </c>
      <c r="C14" s="776" t="s">
        <v>2341</v>
      </c>
      <c r="D14" s="806"/>
      <c r="E14" s="806"/>
      <c r="F14" s="806"/>
      <c r="G14" s="806"/>
    </row>
    <row r="15" spans="1:7" x14ac:dyDescent="0.2">
      <c r="A15" s="770" t="s">
        <v>1906</v>
      </c>
      <c r="B15" s="770" t="s">
        <v>2342</v>
      </c>
      <c r="C15" s="776" t="s">
        <v>2343</v>
      </c>
      <c r="D15" s="806"/>
      <c r="E15" s="806"/>
      <c r="F15" s="806"/>
      <c r="G15" s="806"/>
    </row>
    <row r="16" spans="1:7" x14ac:dyDescent="0.2">
      <c r="A16" s="770" t="s">
        <v>1909</v>
      </c>
      <c r="B16" s="770" t="s">
        <v>363</v>
      </c>
      <c r="C16" s="776" t="s">
        <v>2344</v>
      </c>
      <c r="D16" s="806">
        <v>28.471</v>
      </c>
      <c r="E16" s="806"/>
      <c r="F16" s="806">
        <v>9.1660000000000004</v>
      </c>
      <c r="G16" s="806"/>
    </row>
    <row r="17" spans="1:7" x14ac:dyDescent="0.2">
      <c r="A17" s="770" t="s">
        <v>1912</v>
      </c>
      <c r="B17" s="770" t="s">
        <v>2345</v>
      </c>
      <c r="C17" s="776" t="s">
        <v>2346</v>
      </c>
      <c r="D17" s="806">
        <v>15.909000000000001</v>
      </c>
      <c r="E17" s="806"/>
      <c r="F17" s="806">
        <v>69.679000000000002</v>
      </c>
      <c r="G17" s="806"/>
    </row>
    <row r="18" spans="1:7" x14ac:dyDescent="0.2">
      <c r="A18" s="770" t="s">
        <v>1915</v>
      </c>
      <c r="B18" s="770" t="s">
        <v>2347</v>
      </c>
      <c r="C18" s="776" t="s">
        <v>2348</v>
      </c>
      <c r="D18" s="806">
        <v>26.658200000000001</v>
      </c>
      <c r="E18" s="806"/>
      <c r="F18" s="806">
        <v>7.3659999999999997</v>
      </c>
      <c r="G18" s="806"/>
    </row>
    <row r="19" spans="1:7" x14ac:dyDescent="0.2">
      <c r="A19" s="770" t="s">
        <v>2349</v>
      </c>
      <c r="B19" s="770" t="s">
        <v>2350</v>
      </c>
      <c r="C19" s="776" t="s">
        <v>2351</v>
      </c>
      <c r="D19" s="806"/>
      <c r="E19" s="806"/>
      <c r="F19" s="806"/>
      <c r="G19" s="806"/>
    </row>
    <row r="20" spans="1:7" x14ac:dyDescent="0.2">
      <c r="A20" s="770" t="s">
        <v>2352</v>
      </c>
      <c r="B20" s="770" t="s">
        <v>2353</v>
      </c>
      <c r="C20" s="776" t="s">
        <v>2354</v>
      </c>
      <c r="D20" s="806">
        <v>284.65879999999999</v>
      </c>
      <c r="E20" s="806"/>
      <c r="F20" s="806">
        <v>311.11700000000002</v>
      </c>
      <c r="G20" s="806"/>
    </row>
    <row r="21" spans="1:7" x14ac:dyDescent="0.2">
      <c r="A21" s="770" t="s">
        <v>2355</v>
      </c>
      <c r="B21" s="770" t="s">
        <v>2356</v>
      </c>
      <c r="C21" s="776" t="s">
        <v>2357</v>
      </c>
      <c r="D21" s="806">
        <v>2011.13</v>
      </c>
      <c r="E21" s="806"/>
      <c r="F21" s="806">
        <v>814.14099999999996</v>
      </c>
      <c r="G21" s="806"/>
    </row>
    <row r="22" spans="1:7" x14ac:dyDescent="0.2">
      <c r="A22" s="770" t="s">
        <v>2358</v>
      </c>
      <c r="B22" s="770" t="s">
        <v>2359</v>
      </c>
      <c r="C22" s="776" t="s">
        <v>2360</v>
      </c>
      <c r="D22" s="806">
        <v>672.26499999999999</v>
      </c>
      <c r="E22" s="806"/>
      <c r="F22" s="806">
        <v>226.45699999999999</v>
      </c>
      <c r="G22" s="806"/>
    </row>
    <row r="23" spans="1:7" x14ac:dyDescent="0.2">
      <c r="A23" s="770" t="s">
        <v>2361</v>
      </c>
      <c r="B23" s="770" t="s">
        <v>2362</v>
      </c>
      <c r="C23" s="776" t="s">
        <v>2363</v>
      </c>
      <c r="D23" s="806">
        <v>5.4669999999999996</v>
      </c>
      <c r="E23" s="806"/>
      <c r="F23" s="806">
        <v>1.181</v>
      </c>
      <c r="G23" s="806"/>
    </row>
    <row r="24" spans="1:7" x14ac:dyDescent="0.2">
      <c r="A24" s="770" t="s">
        <v>2364</v>
      </c>
      <c r="B24" s="770" t="s">
        <v>2365</v>
      </c>
      <c r="C24" s="776" t="s">
        <v>2366</v>
      </c>
      <c r="D24" s="806">
        <v>127.62771000000001</v>
      </c>
      <c r="E24" s="806"/>
      <c r="F24" s="806">
        <v>40.728999999999999</v>
      </c>
      <c r="G24" s="806"/>
    </row>
    <row r="25" spans="1:7" x14ac:dyDescent="0.2">
      <c r="A25" s="770" t="s">
        <v>2367</v>
      </c>
      <c r="B25" s="770" t="s">
        <v>2368</v>
      </c>
      <c r="C25" s="776" t="s">
        <v>2369</v>
      </c>
      <c r="D25" s="806"/>
      <c r="E25" s="806"/>
      <c r="F25" s="806"/>
      <c r="G25" s="806"/>
    </row>
    <row r="26" spans="1:7" x14ac:dyDescent="0.2">
      <c r="A26" s="770" t="s">
        <v>2370</v>
      </c>
      <c r="B26" s="770" t="s">
        <v>2371</v>
      </c>
      <c r="C26" s="776" t="s">
        <v>2372</v>
      </c>
      <c r="D26" s="806"/>
      <c r="E26" s="806"/>
      <c r="F26" s="806">
        <v>3.0249999999999999</v>
      </c>
      <c r="G26" s="806"/>
    </row>
    <row r="27" spans="1:7" x14ac:dyDescent="0.2">
      <c r="A27" s="770" t="s">
        <v>2373</v>
      </c>
      <c r="B27" s="770" t="s">
        <v>2374</v>
      </c>
      <c r="C27" s="776" t="s">
        <v>2375</v>
      </c>
      <c r="D27" s="806"/>
      <c r="E27" s="806"/>
      <c r="F27" s="806"/>
      <c r="G27" s="806"/>
    </row>
    <row r="28" spans="1:7" x14ac:dyDescent="0.2">
      <c r="A28" s="770" t="s">
        <v>2376</v>
      </c>
      <c r="B28" s="770" t="s">
        <v>2377</v>
      </c>
      <c r="C28" s="776" t="s">
        <v>2378</v>
      </c>
      <c r="D28" s="806">
        <v>1.56</v>
      </c>
      <c r="E28" s="806"/>
      <c r="F28" s="806"/>
      <c r="G28" s="806"/>
    </row>
    <row r="29" spans="1:7" x14ac:dyDescent="0.2">
      <c r="A29" s="770" t="s">
        <v>2379</v>
      </c>
      <c r="B29" s="770" t="s">
        <v>2380</v>
      </c>
      <c r="C29" s="776" t="s">
        <v>2381</v>
      </c>
      <c r="D29" s="806"/>
      <c r="E29" s="806"/>
      <c r="F29" s="806"/>
      <c r="G29" s="806"/>
    </row>
    <row r="30" spans="1:7" x14ac:dyDescent="0.2">
      <c r="A30" s="770" t="s">
        <v>2382</v>
      </c>
      <c r="B30" s="770" t="s">
        <v>2383</v>
      </c>
      <c r="C30" s="776" t="s">
        <v>2384</v>
      </c>
      <c r="D30" s="806"/>
      <c r="E30" s="806"/>
      <c r="F30" s="806"/>
      <c r="G30" s="806"/>
    </row>
    <row r="31" spans="1:7" x14ac:dyDescent="0.2">
      <c r="A31" s="770" t="s">
        <v>2385</v>
      </c>
      <c r="B31" s="770" t="s">
        <v>2386</v>
      </c>
      <c r="C31" s="776" t="s">
        <v>2387</v>
      </c>
      <c r="D31" s="806"/>
      <c r="E31" s="806"/>
      <c r="F31" s="806"/>
      <c r="G31" s="806"/>
    </row>
    <row r="32" spans="1:7" x14ac:dyDescent="0.2">
      <c r="A32" s="770" t="s">
        <v>2388</v>
      </c>
      <c r="B32" s="770" t="s">
        <v>2389</v>
      </c>
      <c r="C32" s="776" t="s">
        <v>2390</v>
      </c>
      <c r="D32" s="806"/>
      <c r="E32" s="806"/>
      <c r="F32" s="806"/>
      <c r="G32" s="806"/>
    </row>
    <row r="33" spans="1:7" x14ac:dyDescent="0.2">
      <c r="A33" s="770" t="s">
        <v>2391</v>
      </c>
      <c r="B33" s="770" t="s">
        <v>2392</v>
      </c>
      <c r="C33" s="776" t="s">
        <v>2393</v>
      </c>
      <c r="D33" s="806"/>
      <c r="E33" s="806"/>
      <c r="F33" s="806"/>
      <c r="G33" s="806"/>
    </row>
    <row r="34" spans="1:7" x14ac:dyDescent="0.2">
      <c r="A34" s="770" t="s">
        <v>2394</v>
      </c>
      <c r="B34" s="770" t="s">
        <v>2395</v>
      </c>
      <c r="C34" s="776" t="s">
        <v>2396</v>
      </c>
      <c r="D34" s="806"/>
      <c r="E34" s="806"/>
      <c r="F34" s="806"/>
      <c r="G34" s="806"/>
    </row>
    <row r="35" spans="1:7" x14ac:dyDescent="0.2">
      <c r="A35" s="770" t="s">
        <v>2397</v>
      </c>
      <c r="B35" s="770" t="s">
        <v>2398</v>
      </c>
      <c r="C35" s="776" t="s">
        <v>2399</v>
      </c>
      <c r="D35" s="806">
        <v>68.373999999999995</v>
      </c>
      <c r="E35" s="806"/>
      <c r="F35" s="806">
        <v>13.188000000000001</v>
      </c>
      <c r="G35" s="806"/>
    </row>
    <row r="36" spans="1:7" x14ac:dyDescent="0.2">
      <c r="A36" s="770" t="s">
        <v>2400</v>
      </c>
      <c r="B36" s="770" t="s">
        <v>2401</v>
      </c>
      <c r="C36" s="776" t="s">
        <v>2402</v>
      </c>
      <c r="D36" s="806"/>
      <c r="E36" s="806"/>
      <c r="F36" s="806"/>
      <c r="G36" s="806"/>
    </row>
    <row r="37" spans="1:7" x14ac:dyDescent="0.2">
      <c r="A37" s="770" t="s">
        <v>2403</v>
      </c>
      <c r="B37" s="770" t="s">
        <v>2404</v>
      </c>
      <c r="C37" s="776" t="s">
        <v>2405</v>
      </c>
      <c r="D37" s="806"/>
      <c r="E37" s="806"/>
      <c r="F37" s="806"/>
      <c r="G37" s="806"/>
    </row>
    <row r="38" spans="1:7" x14ac:dyDescent="0.2">
      <c r="A38" s="770" t="s">
        <v>2406</v>
      </c>
      <c r="B38" s="770" t="s">
        <v>2407</v>
      </c>
      <c r="C38" s="776" t="s">
        <v>2408</v>
      </c>
      <c r="D38" s="806"/>
      <c r="E38" s="806"/>
      <c r="F38" s="806"/>
      <c r="G38" s="806"/>
    </row>
    <row r="39" spans="1:7" x14ac:dyDescent="0.2">
      <c r="A39" s="770" t="s">
        <v>2409</v>
      </c>
      <c r="B39" s="770" t="s">
        <v>2410</v>
      </c>
      <c r="C39" s="776" t="s">
        <v>2411</v>
      </c>
      <c r="D39" s="806"/>
      <c r="E39" s="806"/>
      <c r="F39" s="806"/>
      <c r="G39" s="806"/>
    </row>
    <row r="40" spans="1:7" x14ac:dyDescent="0.2">
      <c r="A40" s="770" t="s">
        <v>2412</v>
      </c>
      <c r="B40" s="770" t="s">
        <v>2413</v>
      </c>
      <c r="C40" s="776" t="s">
        <v>2414</v>
      </c>
      <c r="D40" s="806"/>
      <c r="E40" s="806"/>
      <c r="F40" s="806"/>
      <c r="G40" s="806"/>
    </row>
    <row r="41" spans="1:7" x14ac:dyDescent="0.2">
      <c r="A41" s="770" t="s">
        <v>2415</v>
      </c>
      <c r="B41" s="770" t="s">
        <v>2416</v>
      </c>
      <c r="C41" s="776" t="s">
        <v>2417</v>
      </c>
      <c r="D41" s="806"/>
      <c r="E41" s="806"/>
      <c r="F41" s="806"/>
      <c r="G41" s="806"/>
    </row>
    <row r="42" spans="1:7" x14ac:dyDescent="0.2">
      <c r="A42" s="770" t="s">
        <v>2418</v>
      </c>
      <c r="B42" s="770" t="s">
        <v>2419</v>
      </c>
      <c r="C42" s="776" t="s">
        <v>2420</v>
      </c>
      <c r="D42" s="806">
        <v>306.28780999999998</v>
      </c>
      <c r="E42" s="806"/>
      <c r="F42" s="806">
        <v>446.11799999999999</v>
      </c>
      <c r="G42" s="806"/>
    </row>
    <row r="43" spans="1:7" x14ac:dyDescent="0.2">
      <c r="A43" s="770" t="s">
        <v>2421</v>
      </c>
      <c r="B43" s="770" t="s">
        <v>2422</v>
      </c>
      <c r="C43" s="776" t="s">
        <v>2423</v>
      </c>
      <c r="D43" s="806">
        <v>0.42899999999999999</v>
      </c>
      <c r="E43" s="806"/>
      <c r="F43" s="806"/>
      <c r="G43" s="806"/>
    </row>
    <row r="44" spans="1:7" x14ac:dyDescent="0.2">
      <c r="A44" s="767" t="s">
        <v>1918</v>
      </c>
      <c r="B44" s="767" t="s">
        <v>2424</v>
      </c>
      <c r="C44" s="812" t="s">
        <v>133</v>
      </c>
      <c r="D44" s="813">
        <v>0</v>
      </c>
      <c r="E44" s="846">
        <v>0</v>
      </c>
      <c r="F44" s="846">
        <v>0.99</v>
      </c>
      <c r="G44" s="846">
        <v>0</v>
      </c>
    </row>
    <row r="45" spans="1:7" x14ac:dyDescent="0.2">
      <c r="A45" s="770" t="s">
        <v>1920</v>
      </c>
      <c r="B45" s="770" t="s">
        <v>2425</v>
      </c>
      <c r="C45" s="776" t="s">
        <v>2426</v>
      </c>
      <c r="D45" s="806"/>
      <c r="E45" s="806"/>
      <c r="F45" s="806"/>
      <c r="G45" s="806"/>
    </row>
    <row r="46" spans="1:7" x14ac:dyDescent="0.2">
      <c r="A46" s="770" t="s">
        <v>1922</v>
      </c>
      <c r="B46" s="770" t="s">
        <v>2427</v>
      </c>
      <c r="C46" s="776" t="s">
        <v>2428</v>
      </c>
      <c r="D46" s="806"/>
      <c r="E46" s="806"/>
      <c r="F46" s="806"/>
      <c r="G46" s="806"/>
    </row>
    <row r="47" spans="1:7" x14ac:dyDescent="0.2">
      <c r="A47" s="770" t="s">
        <v>1925</v>
      </c>
      <c r="B47" s="770" t="s">
        <v>2429</v>
      </c>
      <c r="C47" s="776" t="s">
        <v>2430</v>
      </c>
      <c r="D47" s="806"/>
      <c r="E47" s="806"/>
      <c r="F47" s="806"/>
      <c r="G47" s="806"/>
    </row>
    <row r="48" spans="1:7" x14ac:dyDescent="0.2">
      <c r="A48" s="770" t="s">
        <v>1928</v>
      </c>
      <c r="B48" s="770" t="s">
        <v>2431</v>
      </c>
      <c r="C48" s="776" t="s">
        <v>2432</v>
      </c>
      <c r="D48" s="806"/>
      <c r="E48" s="806"/>
      <c r="F48" s="806"/>
      <c r="G48" s="806"/>
    </row>
    <row r="49" spans="1:7" x14ac:dyDescent="0.2">
      <c r="A49" s="770" t="s">
        <v>1931</v>
      </c>
      <c r="B49" s="770" t="s">
        <v>2433</v>
      </c>
      <c r="C49" s="776" t="s">
        <v>2434</v>
      </c>
      <c r="D49" s="806"/>
      <c r="E49" s="806"/>
      <c r="F49" s="806">
        <v>0.99</v>
      </c>
      <c r="G49" s="806"/>
    </row>
    <row r="50" spans="1:7" x14ac:dyDescent="0.2">
      <c r="A50" s="767" t="s">
        <v>1952</v>
      </c>
      <c r="B50" s="767" t="s">
        <v>2435</v>
      </c>
      <c r="C50" s="812" t="s">
        <v>133</v>
      </c>
      <c r="D50" s="846">
        <v>0</v>
      </c>
      <c r="E50" s="846">
        <v>0</v>
      </c>
      <c r="F50" s="846">
        <v>0</v>
      </c>
      <c r="G50" s="846">
        <v>0</v>
      </c>
    </row>
    <row r="51" spans="1:7" x14ac:dyDescent="0.2">
      <c r="A51" s="770" t="s">
        <v>1954</v>
      </c>
      <c r="B51" s="770" t="s">
        <v>2436</v>
      </c>
      <c r="C51" s="776" t="s">
        <v>2437</v>
      </c>
      <c r="D51" s="806"/>
      <c r="E51" s="806"/>
      <c r="F51" s="806"/>
      <c r="G51" s="806"/>
    </row>
    <row r="52" spans="1:7" x14ac:dyDescent="0.2">
      <c r="A52" s="770" t="s">
        <v>1957</v>
      </c>
      <c r="B52" s="770" t="s">
        <v>2438</v>
      </c>
      <c r="C52" s="776" t="s">
        <v>2439</v>
      </c>
      <c r="D52" s="806"/>
      <c r="E52" s="806"/>
      <c r="F52" s="806"/>
      <c r="G52" s="806"/>
    </row>
    <row r="53" spans="1:7" x14ac:dyDescent="0.2">
      <c r="A53" s="767" t="s">
        <v>2440</v>
      </c>
      <c r="B53" s="767" t="s">
        <v>2074</v>
      </c>
      <c r="C53" s="812" t="s">
        <v>133</v>
      </c>
      <c r="D53" s="846">
        <v>0</v>
      </c>
      <c r="E53" s="846">
        <v>0</v>
      </c>
      <c r="F53" s="846">
        <v>0</v>
      </c>
      <c r="G53" s="846">
        <v>0</v>
      </c>
    </row>
    <row r="54" spans="1:7" x14ac:dyDescent="0.2">
      <c r="A54" s="770" t="s">
        <v>2441</v>
      </c>
      <c r="B54" s="770" t="s">
        <v>2074</v>
      </c>
      <c r="C54" s="776" t="s">
        <v>2442</v>
      </c>
      <c r="D54" s="806"/>
      <c r="E54" s="806"/>
      <c r="F54" s="806"/>
      <c r="G54" s="806"/>
    </row>
    <row r="55" spans="1:7" x14ac:dyDescent="0.2">
      <c r="A55" s="770" t="s">
        <v>2443</v>
      </c>
      <c r="B55" s="770" t="s">
        <v>2444</v>
      </c>
      <c r="C55" s="776" t="s">
        <v>2445</v>
      </c>
      <c r="D55" s="806"/>
      <c r="E55" s="806"/>
      <c r="F55" s="806"/>
      <c r="G55" s="806"/>
    </row>
    <row r="56" spans="1:7" x14ac:dyDescent="0.2">
      <c r="A56" s="767" t="s">
        <v>2001</v>
      </c>
      <c r="B56" s="767" t="s">
        <v>2446</v>
      </c>
      <c r="C56" s="812" t="s">
        <v>133</v>
      </c>
      <c r="D56" s="813">
        <v>3684.33385</v>
      </c>
      <c r="E56" s="846">
        <v>0</v>
      </c>
      <c r="F56" s="846">
        <v>2000</v>
      </c>
      <c r="G56" s="846">
        <v>0</v>
      </c>
    </row>
    <row r="57" spans="1:7" x14ac:dyDescent="0.2">
      <c r="A57" s="767" t="s">
        <v>2003</v>
      </c>
      <c r="B57" s="767" t="s">
        <v>2447</v>
      </c>
      <c r="C57" s="812" t="s">
        <v>133</v>
      </c>
      <c r="D57" s="846">
        <v>6.9188499999999999</v>
      </c>
      <c r="E57" s="846">
        <v>0</v>
      </c>
      <c r="F57" s="846">
        <v>0</v>
      </c>
      <c r="G57" s="846">
        <v>0</v>
      </c>
    </row>
    <row r="58" spans="1:7" x14ac:dyDescent="0.2">
      <c r="A58" s="770" t="s">
        <v>2005</v>
      </c>
      <c r="B58" s="770" t="s">
        <v>2448</v>
      </c>
      <c r="C58" s="776" t="s">
        <v>2449</v>
      </c>
      <c r="D58" s="806"/>
      <c r="E58" s="806"/>
      <c r="F58" s="806"/>
      <c r="G58" s="806"/>
    </row>
    <row r="59" spans="1:7" x14ac:dyDescent="0.2">
      <c r="A59" s="770" t="s">
        <v>2008</v>
      </c>
      <c r="B59" s="770" t="s">
        <v>2450</v>
      </c>
      <c r="C59" s="776" t="s">
        <v>2451</v>
      </c>
      <c r="D59" s="806"/>
      <c r="E59" s="806"/>
      <c r="F59" s="806"/>
      <c r="G59" s="806"/>
    </row>
    <row r="60" spans="1:7" x14ac:dyDescent="0.2">
      <c r="A60" s="770" t="s">
        <v>2011</v>
      </c>
      <c r="B60" s="770" t="s">
        <v>2452</v>
      </c>
      <c r="C60" s="776" t="s">
        <v>2453</v>
      </c>
      <c r="D60" s="806"/>
      <c r="E60" s="806"/>
      <c r="F60" s="806"/>
      <c r="G60" s="806"/>
    </row>
    <row r="61" spans="1:7" x14ac:dyDescent="0.2">
      <c r="A61" s="770" t="s">
        <v>2014</v>
      </c>
      <c r="B61" s="770" t="s">
        <v>2454</v>
      </c>
      <c r="C61" s="776" t="s">
        <v>2455</v>
      </c>
      <c r="D61" s="806"/>
      <c r="E61" s="806"/>
      <c r="F61" s="806"/>
      <c r="G61" s="806"/>
    </row>
    <row r="62" spans="1:7" x14ac:dyDescent="0.2">
      <c r="A62" s="770" t="s">
        <v>2026</v>
      </c>
      <c r="B62" s="770" t="s">
        <v>2456</v>
      </c>
      <c r="C62" s="776" t="s">
        <v>2457</v>
      </c>
      <c r="D62" s="806"/>
      <c r="E62" s="806"/>
      <c r="F62" s="806"/>
      <c r="G62" s="806"/>
    </row>
    <row r="63" spans="1:7" x14ac:dyDescent="0.2">
      <c r="A63" s="770" t="s">
        <v>2029</v>
      </c>
      <c r="B63" s="770" t="s">
        <v>2380</v>
      </c>
      <c r="C63" s="776" t="s">
        <v>2458</v>
      </c>
      <c r="D63" s="806"/>
      <c r="E63" s="806"/>
      <c r="F63" s="806"/>
      <c r="G63" s="806"/>
    </row>
    <row r="64" spans="1:7" x14ac:dyDescent="0.2">
      <c r="A64" s="770" t="s">
        <v>2032</v>
      </c>
      <c r="B64" s="770" t="s">
        <v>2383</v>
      </c>
      <c r="C64" s="776" t="s">
        <v>2459</v>
      </c>
      <c r="D64" s="806"/>
      <c r="E64" s="806"/>
      <c r="F64" s="806"/>
      <c r="G64" s="806"/>
    </row>
    <row r="65" spans="1:7" x14ac:dyDescent="0.2">
      <c r="A65" s="770" t="s">
        <v>2460</v>
      </c>
      <c r="B65" s="770" t="s">
        <v>2461</v>
      </c>
      <c r="C65" s="776" t="s">
        <v>2462</v>
      </c>
      <c r="D65" s="806"/>
      <c r="E65" s="806"/>
      <c r="F65" s="806"/>
      <c r="G65" s="806"/>
    </row>
    <row r="66" spans="1:7" x14ac:dyDescent="0.2">
      <c r="A66" s="770" t="s">
        <v>2463</v>
      </c>
      <c r="B66" s="770" t="s">
        <v>2464</v>
      </c>
      <c r="C66" s="776" t="s">
        <v>2465</v>
      </c>
      <c r="D66" s="806"/>
      <c r="E66" s="806"/>
      <c r="F66" s="806"/>
      <c r="G66" s="806"/>
    </row>
    <row r="67" spans="1:7" x14ac:dyDescent="0.2">
      <c r="A67" s="770" t="s">
        <v>2466</v>
      </c>
      <c r="B67" s="770" t="s">
        <v>2467</v>
      </c>
      <c r="C67" s="776" t="s">
        <v>2468</v>
      </c>
      <c r="D67" s="806"/>
      <c r="E67" s="806"/>
      <c r="F67" s="806"/>
      <c r="G67" s="806"/>
    </row>
    <row r="68" spans="1:7" x14ac:dyDescent="0.2">
      <c r="A68" s="770" t="s">
        <v>2469</v>
      </c>
      <c r="B68" s="770" t="s">
        <v>2470</v>
      </c>
      <c r="C68" s="776" t="s">
        <v>2471</v>
      </c>
      <c r="D68" s="806"/>
      <c r="E68" s="806"/>
      <c r="F68" s="806"/>
      <c r="G68" s="806"/>
    </row>
    <row r="69" spans="1:7" x14ac:dyDescent="0.2">
      <c r="A69" s="770" t="s">
        <v>2472</v>
      </c>
      <c r="B69" s="770" t="s">
        <v>2473</v>
      </c>
      <c r="C69" s="776" t="s">
        <v>2474</v>
      </c>
      <c r="D69" s="806"/>
      <c r="E69" s="806"/>
      <c r="F69" s="806"/>
      <c r="G69" s="806"/>
    </row>
    <row r="70" spans="1:7" x14ac:dyDescent="0.2">
      <c r="A70" s="770" t="s">
        <v>2475</v>
      </c>
      <c r="B70" s="770" t="s">
        <v>2476</v>
      </c>
      <c r="C70" s="776" t="s">
        <v>2477</v>
      </c>
      <c r="D70" s="806">
        <v>6.5339999999999998</v>
      </c>
      <c r="E70" s="806"/>
      <c r="F70" s="806"/>
      <c r="G70" s="806"/>
    </row>
    <row r="71" spans="1:7" x14ac:dyDescent="0.2">
      <c r="A71" s="770" t="s">
        <v>2478</v>
      </c>
      <c r="B71" s="770" t="s">
        <v>2479</v>
      </c>
      <c r="C71" s="776" t="s">
        <v>2480</v>
      </c>
      <c r="D71" s="806">
        <v>0.38485000000000003</v>
      </c>
      <c r="E71" s="806"/>
      <c r="F71" s="806"/>
      <c r="G71" s="806"/>
    </row>
    <row r="72" spans="1:7" x14ac:dyDescent="0.2">
      <c r="A72" s="767" t="s">
        <v>2035</v>
      </c>
      <c r="B72" s="767" t="s">
        <v>2481</v>
      </c>
      <c r="C72" s="812" t="s">
        <v>133</v>
      </c>
      <c r="D72" s="846">
        <v>2.415</v>
      </c>
      <c r="E72" s="846">
        <v>0</v>
      </c>
      <c r="F72" s="846">
        <v>0</v>
      </c>
      <c r="G72" s="846">
        <v>0</v>
      </c>
    </row>
    <row r="73" spans="1:7" x14ac:dyDescent="0.2">
      <c r="A73" s="770" t="s">
        <v>2037</v>
      </c>
      <c r="B73" s="770" t="s">
        <v>2482</v>
      </c>
      <c r="C73" s="776" t="s">
        <v>2483</v>
      </c>
      <c r="D73" s="806"/>
      <c r="E73" s="806"/>
      <c r="F73" s="806"/>
      <c r="G73" s="806"/>
    </row>
    <row r="74" spans="1:7" x14ac:dyDescent="0.2">
      <c r="A74" s="770" t="s">
        <v>2040</v>
      </c>
      <c r="B74" s="770" t="s">
        <v>2427</v>
      </c>
      <c r="C74" s="776" t="s">
        <v>2484</v>
      </c>
      <c r="D74" s="806"/>
      <c r="E74" s="806"/>
      <c r="F74" s="806"/>
      <c r="G74" s="806"/>
    </row>
    <row r="75" spans="1:7" x14ac:dyDescent="0.2">
      <c r="A75" s="770" t="s">
        <v>2043</v>
      </c>
      <c r="B75" s="770" t="s">
        <v>2485</v>
      </c>
      <c r="C75" s="776" t="s">
        <v>2486</v>
      </c>
      <c r="D75" s="806"/>
      <c r="E75" s="806"/>
      <c r="F75" s="806"/>
      <c r="G75" s="806"/>
    </row>
    <row r="76" spans="1:7" x14ac:dyDescent="0.2">
      <c r="A76" s="770" t="s">
        <v>2046</v>
      </c>
      <c r="B76" s="770" t="s">
        <v>2487</v>
      </c>
      <c r="C76" s="776" t="s">
        <v>2488</v>
      </c>
      <c r="D76" s="806"/>
      <c r="E76" s="806"/>
      <c r="F76" s="806"/>
      <c r="G76" s="806"/>
    </row>
    <row r="77" spans="1:7" x14ac:dyDescent="0.2">
      <c r="A77" s="770" t="s">
        <v>2052</v>
      </c>
      <c r="B77" s="770" t="s">
        <v>2489</v>
      </c>
      <c r="C77" s="776" t="s">
        <v>2490</v>
      </c>
      <c r="D77" s="806">
        <v>2.415</v>
      </c>
      <c r="E77" s="806"/>
      <c r="F77" s="806"/>
      <c r="G77" s="806"/>
    </row>
    <row r="78" spans="1:7" x14ac:dyDescent="0.2">
      <c r="A78" s="767" t="s">
        <v>2491</v>
      </c>
      <c r="B78" s="767" t="s">
        <v>2492</v>
      </c>
      <c r="C78" s="812" t="s">
        <v>133</v>
      </c>
      <c r="D78" s="813">
        <v>3675</v>
      </c>
      <c r="E78" s="846">
        <v>0</v>
      </c>
      <c r="F78" s="846">
        <v>2000</v>
      </c>
      <c r="G78" s="846">
        <v>0</v>
      </c>
    </row>
    <row r="79" spans="1:7" x14ac:dyDescent="0.2">
      <c r="A79" s="770" t="s">
        <v>2493</v>
      </c>
      <c r="B79" s="770" t="s">
        <v>2494</v>
      </c>
      <c r="C79" s="776" t="s">
        <v>2495</v>
      </c>
      <c r="D79" s="806"/>
      <c r="E79" s="806"/>
      <c r="F79" s="806"/>
      <c r="G79" s="806"/>
    </row>
    <row r="80" spans="1:7" x14ac:dyDescent="0.2">
      <c r="A80" s="770" t="s">
        <v>2496</v>
      </c>
      <c r="B80" s="770" t="s">
        <v>2497</v>
      </c>
      <c r="C80" s="776" t="s">
        <v>2498</v>
      </c>
      <c r="D80" s="806">
        <v>3675</v>
      </c>
      <c r="E80" s="806"/>
      <c r="F80" s="806">
        <v>2000</v>
      </c>
      <c r="G80" s="806"/>
    </row>
    <row r="81" spans="1:7" x14ac:dyDescent="0.2">
      <c r="A81" s="767" t="s">
        <v>2159</v>
      </c>
      <c r="B81" s="767" t="s">
        <v>2499</v>
      </c>
      <c r="C81" s="812" t="s">
        <v>133</v>
      </c>
      <c r="D81" s="813"/>
      <c r="E81" s="813"/>
      <c r="F81" s="813"/>
      <c r="G81" s="813"/>
    </row>
    <row r="82" spans="1:7" x14ac:dyDescent="0.2">
      <c r="A82" s="767" t="s">
        <v>2500</v>
      </c>
      <c r="B82" s="767" t="s">
        <v>2501</v>
      </c>
      <c r="C82" s="812" t="s">
        <v>133</v>
      </c>
      <c r="D82" s="813">
        <v>16.27506</v>
      </c>
      <c r="E82" s="846">
        <v>0</v>
      </c>
      <c r="F82" s="846">
        <v>17.05</v>
      </c>
      <c r="G82" s="846">
        <v>0</v>
      </c>
    </row>
    <row r="83" spans="1:7" x14ac:dyDescent="0.2">
      <c r="A83" s="767" t="s">
        <v>2502</v>
      </c>
      <c r="B83" s="767" t="s">
        <v>2204</v>
      </c>
      <c r="C83" s="812" t="s">
        <v>133</v>
      </c>
      <c r="D83" s="813">
        <v>16.27506</v>
      </c>
      <c r="E83" s="846">
        <v>0</v>
      </c>
      <c r="F83" s="846">
        <v>17.05</v>
      </c>
      <c r="G83" s="846">
        <v>0</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480" orientation="portrait" useFirstPageNumber="1" r:id="rId1"/>
  <headerFooter alignWithMargins="0">
    <oddHeader>&amp;L&amp;"Tahoma,Kurzíva"Závěrečný účet za rok 2015&amp;R&amp;"Tahoma,Kurzíva"Tabulka č. 45</oddHeader>
    <oddFooter>&amp;C&amp;"Tahoma,Obyčejné"&amp;P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P73"/>
  <sheetViews>
    <sheetView topLeftCell="A16" zoomScaleNormal="100" workbookViewId="0">
      <selection activeCell="C74" sqref="C74"/>
    </sheetView>
  </sheetViews>
  <sheetFormatPr defaultRowHeight="12.75" x14ac:dyDescent="0.2"/>
  <cols>
    <col min="1" max="1" width="15.140625" style="45" bestFit="1" customWidth="1"/>
    <col min="2" max="2" width="13.140625" style="45" bestFit="1" customWidth="1"/>
    <col min="3" max="3" width="10.140625" style="45" bestFit="1" customWidth="1"/>
    <col min="4" max="4" width="10.85546875" style="45" bestFit="1" customWidth="1"/>
    <col min="5" max="5" width="11.28515625" style="45" bestFit="1" customWidth="1"/>
    <col min="6" max="6" width="10.85546875" style="45" bestFit="1" customWidth="1"/>
    <col min="7" max="7" width="11.28515625" style="45" bestFit="1" customWidth="1"/>
    <col min="8" max="8" width="15.28515625" style="45" bestFit="1" customWidth="1"/>
    <col min="9" max="9" width="14.5703125" style="45" customWidth="1"/>
    <col min="10" max="10" width="10.85546875" style="45" bestFit="1" customWidth="1"/>
    <col min="11" max="11" width="8.7109375" style="45" customWidth="1"/>
    <col min="12" max="12" width="13.42578125" style="45" customWidth="1"/>
    <col min="13" max="13" width="8.28515625" style="45" customWidth="1"/>
    <col min="14" max="14" width="9.140625" style="45"/>
    <col min="15" max="16" width="30.85546875" style="45" customWidth="1"/>
    <col min="17" max="16384" width="9.140625" style="45"/>
  </cols>
  <sheetData>
    <row r="2" spans="1:8" x14ac:dyDescent="0.2">
      <c r="A2" s="45" t="s">
        <v>27</v>
      </c>
    </row>
    <row r="3" spans="1:8" ht="15.75" x14ac:dyDescent="0.25">
      <c r="A3" s="46"/>
      <c r="B3" s="46">
        <v>2009</v>
      </c>
      <c r="C3" s="46">
        <v>2010</v>
      </c>
      <c r="D3" s="47">
        <v>2011</v>
      </c>
      <c r="E3" s="3">
        <v>2012</v>
      </c>
      <c r="F3" s="3">
        <v>2013</v>
      </c>
      <c r="G3" s="3">
        <v>2014</v>
      </c>
      <c r="H3" s="3">
        <v>2015</v>
      </c>
    </row>
    <row r="4" spans="1:8" x14ac:dyDescent="0.2">
      <c r="A4" s="46" t="s">
        <v>28</v>
      </c>
      <c r="B4" s="46">
        <v>12404.834999999999</v>
      </c>
      <c r="C4" s="46">
        <v>11209.286</v>
      </c>
      <c r="D4" s="48">
        <v>11790.804</v>
      </c>
      <c r="E4" s="13">
        <v>11574.909</v>
      </c>
      <c r="F4" s="13">
        <v>11415.745999999999</v>
      </c>
      <c r="G4" s="13">
        <v>12137.583000000001</v>
      </c>
      <c r="H4" s="13">
        <v>13726.48</v>
      </c>
    </row>
    <row r="5" spans="1:8" x14ac:dyDescent="0.2">
      <c r="A5" s="46" t="s">
        <v>29</v>
      </c>
      <c r="B5" s="46">
        <v>4890.2520000000004</v>
      </c>
      <c r="C5" s="46">
        <v>4866.2070000000003</v>
      </c>
      <c r="D5" s="48">
        <v>5006.0230000000001</v>
      </c>
      <c r="E5" s="13">
        <v>4827.9070000000002</v>
      </c>
      <c r="F5" s="13">
        <v>4951.1000000000004</v>
      </c>
      <c r="G5" s="13">
        <v>5259.0230000000001</v>
      </c>
      <c r="H5" s="13">
        <v>5360.3950000000004</v>
      </c>
    </row>
    <row r="6" spans="1:8" x14ac:dyDescent="0.2">
      <c r="A6" s="46" t="s">
        <v>28</v>
      </c>
      <c r="B6" s="11">
        <f>'graf 1'!D25*100/'graf 1'!D27</f>
        <v>71.724617517101819</v>
      </c>
      <c r="C6" s="11">
        <f>'graf 1'!E25*100/'graf 1'!E27</f>
        <v>69.72903412666723</v>
      </c>
      <c r="D6" s="11">
        <f>'graf 1'!F25*100/'graf 1'!F27</f>
        <v>70.19661511069917</v>
      </c>
      <c r="E6" s="11">
        <f>'graf 1'!G25*100/'graf 1'!G27</f>
        <v>70.566596613654625</v>
      </c>
      <c r="F6" s="11">
        <f>'graf 1'!H25*100/'graf 1'!H27</f>
        <v>69.749211301920965</v>
      </c>
      <c r="G6" s="11">
        <f>'graf 1'!I25*100/'graf 1'!I27</f>
        <v>69.769833265178278</v>
      </c>
      <c r="H6" s="11">
        <f>'graf 1'!J25*100/'graf 1'!J27</f>
        <v>71.915806018533672</v>
      </c>
    </row>
    <row r="7" spans="1:8" x14ac:dyDescent="0.2">
      <c r="A7" s="46" t="s">
        <v>29</v>
      </c>
      <c r="B7" s="11">
        <f>'graf 1'!D26*100/'graf 1'!D27</f>
        <v>28.275382482898184</v>
      </c>
      <c r="C7" s="11">
        <f>'graf 1'!E26*100/'graf 1'!E27</f>
        <v>30.270965873332781</v>
      </c>
      <c r="D7" s="11">
        <f>'graf 1'!F26*100/'graf 1'!F27</f>
        <v>29.803384889300816</v>
      </c>
      <c r="E7" s="11">
        <f>'graf 1'!G26*100/'graf 1'!G27</f>
        <v>29.433403386345372</v>
      </c>
      <c r="F7" s="11">
        <f>'graf 1'!H26*100/'graf 1'!H27</f>
        <v>30.250788698079035</v>
      </c>
      <c r="G7" s="11">
        <f>'graf 1'!I26*100/'graf 1'!I27</f>
        <v>30.230166734821726</v>
      </c>
      <c r="H7" s="11">
        <f>'graf 1'!J26*100/'graf 1'!J27</f>
        <v>28.084193981466321</v>
      </c>
    </row>
    <row r="11" spans="1:8" ht="13.5" thickBot="1" x14ac:dyDescent="0.25">
      <c r="A11" s="45" t="s">
        <v>30</v>
      </c>
    </row>
    <row r="12" spans="1:8" x14ac:dyDescent="0.2">
      <c r="A12" s="17"/>
      <c r="B12" s="4">
        <v>2009</v>
      </c>
      <c r="C12" s="4">
        <v>2010</v>
      </c>
      <c r="D12" s="9">
        <v>2011</v>
      </c>
      <c r="E12" s="4">
        <v>2012</v>
      </c>
      <c r="F12" s="4">
        <v>2013</v>
      </c>
      <c r="G12" s="4">
        <v>2014</v>
      </c>
      <c r="H12" s="4">
        <v>2015</v>
      </c>
    </row>
    <row r="13" spans="1:8" x14ac:dyDescent="0.2">
      <c r="A13" s="46" t="s">
        <v>31</v>
      </c>
      <c r="B13" s="11">
        <v>14927.606</v>
      </c>
      <c r="C13" s="11">
        <v>14619.688</v>
      </c>
      <c r="D13" s="13">
        <v>14769.003000000001</v>
      </c>
      <c r="E13" s="13">
        <v>14909.261</v>
      </c>
      <c r="F13" s="13">
        <v>14904.712</v>
      </c>
      <c r="G13" s="13">
        <v>15138.14</v>
      </c>
      <c r="H13" s="13">
        <v>16356.737999999999</v>
      </c>
    </row>
    <row r="14" spans="1:8" x14ac:dyDescent="0.2">
      <c r="A14" s="46" t="s">
        <v>32</v>
      </c>
      <c r="B14" s="11">
        <v>2177.3580000000002</v>
      </c>
      <c r="C14" s="11">
        <v>2091.1819999999998</v>
      </c>
      <c r="D14" s="13">
        <v>2062.2800000000002</v>
      </c>
      <c r="E14" s="13">
        <v>1912.375</v>
      </c>
      <c r="F14" s="13">
        <v>2009.296</v>
      </c>
      <c r="G14" s="13">
        <v>2299.4070000000002</v>
      </c>
      <c r="H14" s="13">
        <v>4409.991</v>
      </c>
    </row>
    <row r="15" spans="1:8" x14ac:dyDescent="0.2">
      <c r="A15" s="46" t="s">
        <v>31</v>
      </c>
      <c r="B15" s="11">
        <f>'graf 2'!D34*100/'graf 2'!D36</f>
        <v>87.270607526563637</v>
      </c>
      <c r="C15" s="11">
        <f>'graf 2'!E34*100/'graf 2'!E36</f>
        <v>87.486097372548528</v>
      </c>
      <c r="D15" s="11">
        <f>'graf 2'!F34*100/'graf 2'!F36</f>
        <v>87.747339284830517</v>
      </c>
      <c r="E15" s="11">
        <f>'graf 2'!G34*100/'graf 2'!G36</f>
        <v>88.631456536094362</v>
      </c>
      <c r="F15" s="11">
        <f>'graf 2'!H34*100/'graf 2'!H36</f>
        <v>88.120521168016481</v>
      </c>
      <c r="G15" s="11">
        <f>'graf 2'!I34*100/'graf 2'!I36</f>
        <v>86.813472101322517</v>
      </c>
      <c r="H15" s="11">
        <f>'graf 2'!J34*100/'graf 2'!J36</f>
        <v>78.764152024134376</v>
      </c>
    </row>
    <row r="16" spans="1:8" x14ac:dyDescent="0.2">
      <c r="A16" s="46" t="s">
        <v>32</v>
      </c>
      <c r="B16" s="11">
        <f>'graf 2'!D35*100/'graf 2'!D36</f>
        <v>12.729392473436366</v>
      </c>
      <c r="C16" s="11">
        <f>'graf 2'!E35*100/'graf 2'!E36</f>
        <v>12.513902627451474</v>
      </c>
      <c r="D16" s="11">
        <f>'graf 2'!F35*100/'graf 2'!F36</f>
        <v>12.252660715169487</v>
      </c>
      <c r="E16" s="11">
        <f>'graf 2'!G35*100/'graf 2'!G36</f>
        <v>11.368543463905652</v>
      </c>
      <c r="F16" s="11">
        <f>'graf 2'!H35*100/'graf 2'!H36</f>
        <v>11.879478831983526</v>
      </c>
      <c r="G16" s="11">
        <f>'graf 2'!I35*100/'graf 2'!I36</f>
        <v>13.186527898677493</v>
      </c>
      <c r="H16" s="11">
        <f>'graf 2'!J35*100/'graf 2'!J36</f>
        <v>21.235847975865624</v>
      </c>
    </row>
    <row r="20" spans="1:16" x14ac:dyDescent="0.2">
      <c r="A20" s="25" t="s">
        <v>33</v>
      </c>
      <c r="B20" s="25"/>
      <c r="C20" s="17"/>
    </row>
    <row r="21" spans="1:16" x14ac:dyDescent="0.2">
      <c r="A21" s="49"/>
      <c r="B21" s="50"/>
      <c r="C21" s="17"/>
    </row>
    <row r="22" spans="1:16" x14ac:dyDescent="0.2">
      <c r="A22" s="50" t="s">
        <v>34</v>
      </c>
      <c r="B22" s="51" t="s">
        <v>22</v>
      </c>
      <c r="C22" s="17"/>
    </row>
    <row r="23" spans="1:16" x14ac:dyDescent="0.2">
      <c r="A23" s="50" t="s">
        <v>35</v>
      </c>
      <c r="B23" s="51" t="s">
        <v>23</v>
      </c>
      <c r="C23" s="17"/>
    </row>
    <row r="24" spans="1:16" x14ac:dyDescent="0.2">
      <c r="A24" s="50" t="s">
        <v>36</v>
      </c>
      <c r="B24" s="51" t="s">
        <v>24</v>
      </c>
      <c r="C24" s="17"/>
    </row>
    <row r="25" spans="1:16" x14ac:dyDescent="0.2">
      <c r="A25" s="50" t="s">
        <v>7</v>
      </c>
      <c r="B25" s="51" t="s">
        <v>21</v>
      </c>
      <c r="C25" s="17"/>
    </row>
    <row r="26" spans="1:16" x14ac:dyDescent="0.2">
      <c r="A26" s="50" t="s">
        <v>6</v>
      </c>
      <c r="B26" s="51" t="s">
        <v>25</v>
      </c>
      <c r="C26" s="17"/>
      <c r="O26" s="91"/>
      <c r="P26" s="91"/>
    </row>
    <row r="27" spans="1:16" x14ac:dyDescent="0.2">
      <c r="A27" s="50" t="s">
        <v>10</v>
      </c>
      <c r="B27" s="51"/>
      <c r="C27" s="17"/>
      <c r="O27" s="92"/>
      <c r="P27" s="93"/>
    </row>
    <row r="28" spans="1:16" x14ac:dyDescent="0.2">
      <c r="A28" s="25"/>
      <c r="B28" s="25"/>
      <c r="C28" s="17"/>
      <c r="O28" s="92"/>
      <c r="P28" s="94"/>
    </row>
    <row r="29" spans="1:16" x14ac:dyDescent="0.2">
      <c r="A29" s="25"/>
      <c r="B29" s="1">
        <v>2015</v>
      </c>
      <c r="C29" s="25"/>
      <c r="O29" s="92"/>
      <c r="P29" s="94"/>
    </row>
    <row r="30" spans="1:16" x14ac:dyDescent="0.2">
      <c r="A30" s="52" t="s">
        <v>37</v>
      </c>
      <c r="B30" s="1" t="s">
        <v>38</v>
      </c>
      <c r="C30" s="25"/>
      <c r="O30" s="92"/>
      <c r="P30" s="95"/>
    </row>
    <row r="31" spans="1:16" x14ac:dyDescent="0.2">
      <c r="A31" s="50" t="s">
        <v>7</v>
      </c>
      <c r="B31" s="89">
        <v>47410.751479999999</v>
      </c>
      <c r="C31" s="53">
        <f>B31/B36*100</f>
        <v>0.24839452378973398</v>
      </c>
      <c r="O31" s="92"/>
      <c r="P31" s="94"/>
    </row>
    <row r="32" spans="1:16" x14ac:dyDescent="0.2">
      <c r="A32" s="50" t="s">
        <v>5</v>
      </c>
      <c r="B32" s="90">
        <v>5050979.6178099997</v>
      </c>
      <c r="C32" s="53">
        <f>B32/B36*100</f>
        <v>26.463104626528217</v>
      </c>
      <c r="O32" s="92"/>
      <c r="P32" s="94"/>
    </row>
    <row r="33" spans="1:16" x14ac:dyDescent="0.2">
      <c r="A33" s="50" t="s">
        <v>35</v>
      </c>
      <c r="B33" s="53">
        <v>2051894.21309</v>
      </c>
      <c r="C33" s="53">
        <f>B33/B36*100</f>
        <v>10.750289122550763</v>
      </c>
      <c r="O33" s="92"/>
      <c r="P33" s="93"/>
    </row>
    <row r="34" spans="1:16" x14ac:dyDescent="0.2">
      <c r="A34" s="50" t="s">
        <v>36</v>
      </c>
      <c r="B34" s="53">
        <v>11674585.62033</v>
      </c>
      <c r="C34" s="53">
        <f>B34/B36*100</f>
        <v>61.165517210324261</v>
      </c>
      <c r="O34" s="92"/>
      <c r="P34" s="93"/>
    </row>
    <row r="35" spans="1:16" x14ac:dyDescent="0.2">
      <c r="A35" s="50" t="s">
        <v>6</v>
      </c>
      <c r="B35" s="89">
        <v>262004.48222999999</v>
      </c>
      <c r="C35" s="53">
        <f>B35/B36*100</f>
        <v>1.3726945168070275</v>
      </c>
      <c r="O35" s="92"/>
      <c r="P35" s="95"/>
    </row>
    <row r="36" spans="1:16" x14ac:dyDescent="0.2">
      <c r="A36" s="50" t="s">
        <v>10</v>
      </c>
      <c r="B36" s="53">
        <f>SUM(B31:B35)</f>
        <v>19086874.684939999</v>
      </c>
      <c r="C36" s="53">
        <f>SUM(C31:C35)</f>
        <v>100</v>
      </c>
      <c r="O36" s="92"/>
      <c r="P36" s="93"/>
    </row>
    <row r="37" spans="1:16" x14ac:dyDescent="0.2">
      <c r="O37" s="92"/>
      <c r="P37" s="94"/>
    </row>
    <row r="38" spans="1:16" x14ac:dyDescent="0.2">
      <c r="O38" s="96"/>
      <c r="P38" s="97"/>
    </row>
    <row r="39" spans="1:16" x14ac:dyDescent="0.2">
      <c r="A39" s="50" t="s">
        <v>39</v>
      </c>
      <c r="O39" s="92"/>
      <c r="P39" s="94"/>
    </row>
    <row r="40" spans="1:16" x14ac:dyDescent="0.2">
      <c r="O40" s="92"/>
      <c r="P40" s="94"/>
    </row>
    <row r="41" spans="1:16" ht="15" x14ac:dyDescent="0.2">
      <c r="A41" s="26"/>
      <c r="B41" s="26"/>
      <c r="C41" s="26"/>
      <c r="D41" s="42"/>
      <c r="E41" s="32"/>
      <c r="F41" s="26"/>
      <c r="G41" s="26"/>
      <c r="H41" s="26"/>
      <c r="I41" s="26"/>
      <c r="O41" s="96"/>
      <c r="P41" s="94"/>
    </row>
    <row r="42" spans="1:16" x14ac:dyDescent="0.2">
      <c r="A42" s="54" t="s">
        <v>2</v>
      </c>
      <c r="B42" s="1312">
        <v>2010</v>
      </c>
      <c r="C42" s="1313"/>
      <c r="D42" s="1311">
        <v>2011</v>
      </c>
      <c r="E42" s="1311"/>
      <c r="F42" s="1311">
        <v>2012</v>
      </c>
      <c r="G42" s="1311"/>
      <c r="H42" s="1311">
        <v>2013</v>
      </c>
      <c r="I42" s="1311"/>
      <c r="J42" s="1311">
        <v>2014</v>
      </c>
      <c r="K42" s="1311"/>
      <c r="L42" s="1311">
        <v>2015</v>
      </c>
      <c r="M42" s="1311"/>
      <c r="O42" s="91"/>
      <c r="P42" s="91"/>
    </row>
    <row r="43" spans="1:16" ht="25.5" x14ac:dyDescent="0.2">
      <c r="A43" s="55" t="s">
        <v>40</v>
      </c>
      <c r="B43" s="56">
        <v>83174.53138</v>
      </c>
      <c r="C43" s="57">
        <f>B43*100/B56</f>
        <v>0.4977271057541624</v>
      </c>
      <c r="D43" s="58">
        <v>50249.629439999997</v>
      </c>
      <c r="E43" s="59">
        <f t="shared" ref="E43:E54" si="0">D43/$D$56*100</f>
        <v>0.29854901314190779</v>
      </c>
      <c r="F43" s="26"/>
      <c r="G43" s="58"/>
      <c r="H43" s="26"/>
      <c r="I43" s="58"/>
      <c r="J43" s="26"/>
      <c r="K43" s="58"/>
      <c r="L43" s="26"/>
      <c r="M43" s="58"/>
      <c r="O43" s="91"/>
      <c r="P43" s="91"/>
    </row>
    <row r="44" spans="1:16" x14ac:dyDescent="0.2">
      <c r="A44" s="60" t="s">
        <v>41</v>
      </c>
      <c r="B44" s="61">
        <v>193322.11895999999</v>
      </c>
      <c r="C44" s="62">
        <f t="shared" ref="C44:C55" si="1">B44/$B$56*100</f>
        <v>1.1568644529972063</v>
      </c>
      <c r="D44" s="63">
        <f>162931.94504+50249.62944</f>
        <v>213181.57447999998</v>
      </c>
      <c r="E44" s="32">
        <f t="shared" si="0"/>
        <v>1.2665794631786664</v>
      </c>
      <c r="F44" s="63">
        <v>170629.92</v>
      </c>
      <c r="G44" s="32">
        <f t="shared" ref="G44:G54" si="2">F44/$F$56*100</f>
        <v>1.0143479305618779</v>
      </c>
      <c r="H44" s="63">
        <v>152934.28</v>
      </c>
      <c r="I44" s="32">
        <f t="shared" ref="I44:I54" si="3">H44/$H$56*100</f>
        <v>0.90418709538929842</v>
      </c>
      <c r="J44" s="63">
        <v>136507.53864000004</v>
      </c>
      <c r="K44" s="32">
        <f t="shared" ref="K44:K54" si="4">J44/$H$56*100</f>
        <v>0.8070679435744823</v>
      </c>
      <c r="L44" s="63">
        <v>102520.63812</v>
      </c>
      <c r="M44" s="98">
        <f>L44/$L$56*100</f>
        <v>0.4936773399203403</v>
      </c>
    </row>
    <row r="45" spans="1:16" x14ac:dyDescent="0.2">
      <c r="A45" s="60" t="s">
        <v>42</v>
      </c>
      <c r="B45" s="61">
        <v>2894007.1503900001</v>
      </c>
      <c r="C45" s="62">
        <f t="shared" si="1"/>
        <v>17.318111435032719</v>
      </c>
      <c r="D45" s="63">
        <v>3160888.4401600002</v>
      </c>
      <c r="E45" s="32">
        <f t="shared" si="0"/>
        <v>18.77984245810654</v>
      </c>
      <c r="F45" s="63">
        <v>3205307.55</v>
      </c>
      <c r="G45" s="32">
        <f t="shared" si="2"/>
        <v>19.054671538009647</v>
      </c>
      <c r="H45" s="63">
        <v>3020238.37</v>
      </c>
      <c r="I45" s="32">
        <f t="shared" si="3"/>
        <v>17.8564319206499</v>
      </c>
      <c r="J45" s="63">
        <v>3424360.5140899993</v>
      </c>
      <c r="K45" s="32">
        <f t="shared" si="4"/>
        <v>20.245706762413509</v>
      </c>
      <c r="L45" s="63">
        <v>3703631.5427000001</v>
      </c>
      <c r="M45" s="98">
        <f t="shared" ref="M45:M54" si="5">L45/$L$56*100</f>
        <v>17.83444779094204</v>
      </c>
    </row>
    <row r="46" spans="1:16" x14ac:dyDescent="0.2">
      <c r="A46" s="60" t="s">
        <v>43</v>
      </c>
      <c r="B46" s="61">
        <v>10967763.668959999</v>
      </c>
      <c r="C46" s="62">
        <f t="shared" si="1"/>
        <v>65.632510060162048</v>
      </c>
      <c r="D46" s="63">
        <v>11128361.640380001</v>
      </c>
      <c r="E46" s="32">
        <f t="shared" si="0"/>
        <v>66.117132059426226</v>
      </c>
      <c r="F46" s="63">
        <v>11225454</v>
      </c>
      <c r="G46" s="32">
        <f t="shared" si="2"/>
        <v>66.732235674244905</v>
      </c>
      <c r="H46" s="63">
        <v>11254915.52</v>
      </c>
      <c r="I46" s="32">
        <f t="shared" si="3"/>
        <v>66.541977200145936</v>
      </c>
      <c r="J46" s="63">
        <v>11269262.00909997</v>
      </c>
      <c r="K46" s="32">
        <f t="shared" si="4"/>
        <v>66.626797361514178</v>
      </c>
      <c r="L46" s="63">
        <v>11831940.61582</v>
      </c>
      <c r="M46" s="98">
        <f t="shared" si="5"/>
        <v>56.975464417968169</v>
      </c>
    </row>
    <row r="47" spans="1:16" x14ac:dyDescent="0.2">
      <c r="A47" s="60" t="s">
        <v>44</v>
      </c>
      <c r="B47" s="61">
        <v>248565.56529999999</v>
      </c>
      <c r="C47" s="62">
        <f t="shared" si="1"/>
        <v>1.4874483493232549</v>
      </c>
      <c r="D47" s="63">
        <v>236770.85819999999</v>
      </c>
      <c r="E47" s="32">
        <f t="shared" si="0"/>
        <v>1.4067308922302888</v>
      </c>
      <c r="F47" s="63">
        <v>234957.19</v>
      </c>
      <c r="G47" s="32">
        <f t="shared" si="2"/>
        <v>1.3967558529426372</v>
      </c>
      <c r="H47" s="63">
        <v>275024.78000000003</v>
      </c>
      <c r="I47" s="32">
        <f t="shared" si="3"/>
        <v>1.6260177704323771</v>
      </c>
      <c r="J47" s="63">
        <v>241199.77121000001</v>
      </c>
      <c r="K47" s="32">
        <f t="shared" si="4"/>
        <v>1.4260355529115725</v>
      </c>
      <c r="L47" s="63">
        <v>293797.01584000001</v>
      </c>
      <c r="M47" s="98">
        <f t="shared" si="5"/>
        <v>1.4147486000492453</v>
      </c>
    </row>
    <row r="48" spans="1:16" x14ac:dyDescent="0.2">
      <c r="A48" s="60" t="s">
        <v>45</v>
      </c>
      <c r="B48" s="61">
        <v>766615.17020000005</v>
      </c>
      <c r="C48" s="62">
        <f t="shared" si="1"/>
        <v>4.587523891750247</v>
      </c>
      <c r="D48" s="63">
        <v>865105.31169999996</v>
      </c>
      <c r="E48" s="32">
        <f t="shared" si="0"/>
        <v>5.1398655064760126</v>
      </c>
      <c r="F48" s="63">
        <v>788177.4</v>
      </c>
      <c r="G48" s="32">
        <f t="shared" si="2"/>
        <v>4.6854977990122801</v>
      </c>
      <c r="H48" s="63">
        <v>936978.72</v>
      </c>
      <c r="I48" s="32">
        <f t="shared" si="3"/>
        <v>5.5396610052264457</v>
      </c>
      <c r="J48" s="63">
        <v>915316.71375999972</v>
      </c>
      <c r="K48" s="32">
        <f t="shared" si="4"/>
        <v>5.4115896107526194</v>
      </c>
      <c r="L48" s="63">
        <v>1179862.43521</v>
      </c>
      <c r="M48" s="98">
        <f t="shared" si="5"/>
        <v>5.6815033457422226</v>
      </c>
    </row>
    <row r="49" spans="1:13" x14ac:dyDescent="0.2">
      <c r="A49" s="60" t="s">
        <v>46</v>
      </c>
      <c r="B49" s="61">
        <v>213775.03271</v>
      </c>
      <c r="C49" s="62">
        <f t="shared" si="1"/>
        <v>1.2792573224985413</v>
      </c>
      <c r="D49" s="63">
        <v>121887.85522</v>
      </c>
      <c r="E49" s="32">
        <f t="shared" si="0"/>
        <v>0.72417447243795507</v>
      </c>
      <c r="F49" s="63">
        <v>112075.19</v>
      </c>
      <c r="G49" s="32">
        <f t="shared" si="2"/>
        <v>0.66625617033536244</v>
      </c>
      <c r="H49" s="63">
        <v>105883.17</v>
      </c>
      <c r="I49" s="32">
        <f t="shared" si="3"/>
        <v>0.62600874004775975</v>
      </c>
      <c r="J49" s="63">
        <v>105517.00181999995</v>
      </c>
      <c r="K49" s="32">
        <f t="shared" si="4"/>
        <v>0.62384385887724503</v>
      </c>
      <c r="L49" s="63">
        <v>104008.06471000001</v>
      </c>
      <c r="M49" s="98">
        <f t="shared" si="5"/>
        <v>0.50083988607439833</v>
      </c>
    </row>
    <row r="50" spans="1:13" x14ac:dyDescent="0.2">
      <c r="A50" s="60" t="s">
        <v>47</v>
      </c>
      <c r="B50" s="61">
        <v>381553.26222999999</v>
      </c>
      <c r="C50" s="62">
        <f t="shared" si="1"/>
        <v>2.2832638519254962</v>
      </c>
      <c r="D50" s="63">
        <v>315243.35417000001</v>
      </c>
      <c r="E50" s="32">
        <f t="shared" si="0"/>
        <v>1.8729609220178645</v>
      </c>
      <c r="F50" s="63">
        <v>359355.38</v>
      </c>
      <c r="G50" s="32">
        <f t="shared" si="2"/>
        <v>2.1362688679645236</v>
      </c>
      <c r="H50" s="63">
        <v>399369.52</v>
      </c>
      <c r="I50" s="32">
        <f t="shared" si="3"/>
        <v>2.3611760965286419</v>
      </c>
      <c r="J50" s="63">
        <v>438171.60368000006</v>
      </c>
      <c r="K50" s="32">
        <f t="shared" si="4"/>
        <v>2.5905840705791405</v>
      </c>
      <c r="L50" s="63">
        <v>1607572.18295</v>
      </c>
      <c r="M50" s="98">
        <f t="shared" si="5"/>
        <v>7.7410946084802879</v>
      </c>
    </row>
    <row r="51" spans="1:13" x14ac:dyDescent="0.2">
      <c r="A51" s="60" t="s">
        <v>48</v>
      </c>
      <c r="B51" s="61">
        <v>399929.06897999998</v>
      </c>
      <c r="C51" s="62">
        <f t="shared" si="1"/>
        <v>2.3932270456799554</v>
      </c>
      <c r="D51" s="63">
        <v>139976.92131999999</v>
      </c>
      <c r="E51" s="32">
        <f t="shared" si="0"/>
        <v>0.83164736115372384</v>
      </c>
      <c r="F51" s="63">
        <v>102493.72</v>
      </c>
      <c r="G51" s="32">
        <f t="shared" si="2"/>
        <v>0.60929696724694327</v>
      </c>
      <c r="H51" s="63">
        <v>95560.13</v>
      </c>
      <c r="I51" s="32">
        <f t="shared" si="3"/>
        <v>0.56497625241197569</v>
      </c>
      <c r="J51" s="63">
        <v>85425.741780000026</v>
      </c>
      <c r="K51" s="32">
        <f t="shared" si="4"/>
        <v>0.50505912298756339</v>
      </c>
      <c r="L51" s="63">
        <v>1123194.92481</v>
      </c>
      <c r="M51" s="98">
        <f t="shared" si="5"/>
        <v>5.4086269151309052</v>
      </c>
    </row>
    <row r="52" spans="1:13" x14ac:dyDescent="0.2">
      <c r="A52" s="60" t="s">
        <v>0</v>
      </c>
      <c r="B52" s="61">
        <v>76871.565239999996</v>
      </c>
      <c r="C52" s="62">
        <f t="shared" si="1"/>
        <v>0.46000934477038308</v>
      </c>
      <c r="D52" s="63">
        <v>51297.90137</v>
      </c>
      <c r="E52" s="32">
        <f t="shared" si="0"/>
        <v>0.30477712972094745</v>
      </c>
      <c r="F52" s="63">
        <v>52372.1</v>
      </c>
      <c r="G52" s="32">
        <f t="shared" si="2"/>
        <v>0.31133772584655561</v>
      </c>
      <c r="H52" s="63">
        <v>52603.28</v>
      </c>
      <c r="I52" s="32">
        <f t="shared" si="3"/>
        <v>0.31100422319410648</v>
      </c>
      <c r="J52" s="63">
        <v>69100.06084000002</v>
      </c>
      <c r="K52" s="32">
        <f t="shared" si="4"/>
        <v>0.40853746656500706</v>
      </c>
      <c r="L52" s="63">
        <v>59088.62081</v>
      </c>
      <c r="M52" s="98">
        <f t="shared" si="5"/>
        <v>0.2845350329062355</v>
      </c>
    </row>
    <row r="53" spans="1:13" ht="38.25" x14ac:dyDescent="0.2">
      <c r="A53" s="60" t="s">
        <v>49</v>
      </c>
      <c r="B53" s="61">
        <f>430349.32014+35823.68138</f>
        <v>466173.00152000005</v>
      </c>
      <c r="C53" s="62">
        <f t="shared" si="1"/>
        <v>2.7896392679054296</v>
      </c>
      <c r="D53" s="63">
        <f>451273.4481+32994.27057</f>
        <v>484267.71866999997</v>
      </c>
      <c r="E53" s="32">
        <f t="shared" si="0"/>
        <v>2.8771883716683488</v>
      </c>
      <c r="F53" s="63">
        <f>31321.99+386401.55+9323.81</f>
        <v>427047.35</v>
      </c>
      <c r="G53" s="32">
        <f t="shared" si="2"/>
        <v>2.5386790061463662</v>
      </c>
      <c r="H53" s="63">
        <f>39550.96+422326.06+9783.82</f>
        <v>471660.84</v>
      </c>
      <c r="I53" s="32">
        <f t="shared" si="3"/>
        <v>2.7885811142438222</v>
      </c>
      <c r="J53" s="63">
        <v>489313.23398000002</v>
      </c>
      <c r="K53" s="32">
        <f t="shared" si="4"/>
        <v>2.8929466419688277</v>
      </c>
      <c r="L53" s="63">
        <v>507481.09860999999</v>
      </c>
      <c r="M53" s="98">
        <f t="shared" si="5"/>
        <v>2.4437218048564047</v>
      </c>
    </row>
    <row r="54" spans="1:13" x14ac:dyDescent="0.2">
      <c r="A54" s="60" t="s">
        <v>50</v>
      </c>
      <c r="B54" s="61">
        <f>75957.46069+132.36893+15458.24245+9484.2016+1262.48</f>
        <v>102294.75367000001</v>
      </c>
      <c r="C54" s="62">
        <f t="shared" si="1"/>
        <v>0.61214497795471778</v>
      </c>
      <c r="D54" s="63">
        <f>87484.79424+28.97847+15664.34798+8819.592+2303.76</f>
        <v>114301.47269000001</v>
      </c>
      <c r="E54" s="32">
        <f t="shared" si="0"/>
        <v>0.6791013635834332</v>
      </c>
      <c r="F54" s="63">
        <f>16528.64+4146+122995.86+96.03</f>
        <v>143766.53</v>
      </c>
      <c r="G54" s="32">
        <f t="shared" si="2"/>
        <v>0.8546524676889149</v>
      </c>
      <c r="H54" s="63">
        <f>130268.94+17209.7+1230.7+130.31</f>
        <v>148839.65000000002</v>
      </c>
      <c r="I54" s="32">
        <f t="shared" si="3"/>
        <v>0.87997858172974563</v>
      </c>
      <c r="J54" s="63">
        <v>263372.63772</v>
      </c>
      <c r="K54" s="32">
        <f t="shared" si="4"/>
        <v>1.557127285688106</v>
      </c>
      <c r="L54" s="63">
        <v>253632.42847000001</v>
      </c>
      <c r="M54" s="98">
        <f t="shared" si="5"/>
        <v>1.2213402579297716</v>
      </c>
    </row>
    <row r="55" spans="1:13" ht="25.5" x14ac:dyDescent="0.2">
      <c r="A55" s="60" t="s">
        <v>51</v>
      </c>
      <c r="B55" s="61"/>
      <c r="C55" s="62">
        <f t="shared" si="1"/>
        <v>0</v>
      </c>
      <c r="D55" s="63"/>
      <c r="E55" s="32"/>
      <c r="F55" s="63"/>
      <c r="G55" s="32"/>
      <c r="H55" s="63"/>
      <c r="I55" s="32"/>
      <c r="J55" s="63"/>
      <c r="K55" s="32"/>
      <c r="L55" s="63"/>
      <c r="M55" s="32"/>
    </row>
    <row r="56" spans="1:13" x14ac:dyDescent="0.2">
      <c r="A56" s="64" t="s">
        <v>52</v>
      </c>
      <c r="B56" s="65">
        <f>SUM(B44:B54)</f>
        <v>16710870.35816</v>
      </c>
      <c r="C56" s="66">
        <f>SUM(C44:C55)</f>
        <v>99.999999999999986</v>
      </c>
      <c r="D56" s="67">
        <f>SUM(D44:D54)</f>
        <v>16831283.048360001</v>
      </c>
      <c r="E56" s="68">
        <f>SUM(E44:E55)</f>
        <v>100</v>
      </c>
      <c r="F56" s="67">
        <f>SUM(F44:F54)</f>
        <v>16821636.329999998</v>
      </c>
      <c r="G56" s="68">
        <f>SUM(G44:G55)</f>
        <v>100</v>
      </c>
      <c r="H56" s="67">
        <f>SUM(H44:H54)</f>
        <v>16914008.259999998</v>
      </c>
      <c r="I56" s="68">
        <f>SUM(I44:I55)</f>
        <v>100.00000000000003</v>
      </c>
      <c r="J56" s="67">
        <f>SUM(J44:J54)</f>
        <v>17437546.826619968</v>
      </c>
      <c r="K56" s="68">
        <f>SUM(K44:K55)</f>
        <v>103.09529567783225</v>
      </c>
      <c r="L56" s="67">
        <f>SUM(L44:L54)</f>
        <v>20766729.568049997</v>
      </c>
      <c r="M56" s="68">
        <f>SUM(M44:M55)</f>
        <v>100.00000000000003</v>
      </c>
    </row>
    <row r="57" spans="1:13" ht="38.25" x14ac:dyDescent="0.2">
      <c r="A57" s="60" t="s">
        <v>53</v>
      </c>
      <c r="B57" s="60" t="s">
        <v>54</v>
      </c>
      <c r="C57" s="28"/>
      <c r="D57" s="69"/>
      <c r="E57" s="70"/>
      <c r="F57" s="71"/>
      <c r="G57" s="72"/>
      <c r="H57" s="71"/>
      <c r="I57" s="72"/>
    </row>
    <row r="62" spans="1:13" ht="14.25" x14ac:dyDescent="0.2">
      <c r="A62" s="43" t="s">
        <v>55</v>
      </c>
      <c r="B62" s="43"/>
      <c r="C62" s="43"/>
      <c r="D62" s="44"/>
      <c r="E62" s="44"/>
      <c r="F62" s="44"/>
      <c r="G62" s="44"/>
    </row>
    <row r="63" spans="1:13" ht="14.25" x14ac:dyDescent="0.2">
      <c r="A63" s="73" t="s">
        <v>2</v>
      </c>
      <c r="B63" s="74">
        <v>2015</v>
      </c>
      <c r="C63" s="43"/>
      <c r="D63" s="74"/>
      <c r="E63" s="74"/>
      <c r="F63" s="43"/>
      <c r="G63" s="74"/>
      <c r="H63" s="43"/>
    </row>
    <row r="64" spans="1:13" ht="25.5" x14ac:dyDescent="0.2">
      <c r="A64" s="75" t="s">
        <v>9</v>
      </c>
      <c r="B64" s="76" t="s">
        <v>1</v>
      </c>
      <c r="C64" s="76" t="s">
        <v>56</v>
      </c>
      <c r="D64" s="76"/>
      <c r="E64" s="76"/>
      <c r="F64" s="76"/>
      <c r="G64" s="76"/>
      <c r="H64" s="76"/>
    </row>
    <row r="65" spans="1:8" x14ac:dyDescent="0.2">
      <c r="A65" s="77" t="s">
        <v>41</v>
      </c>
      <c r="B65" s="78">
        <v>35069.633979999999</v>
      </c>
      <c r="C65" s="99">
        <f t="shared" ref="C65:C71" si="6">B65/$B$72*100</f>
        <v>2.8658057294196548</v>
      </c>
      <c r="D65" s="78"/>
      <c r="E65" s="78"/>
      <c r="F65" s="78"/>
      <c r="G65" s="78"/>
      <c r="H65" s="78"/>
    </row>
    <row r="66" spans="1:8" x14ac:dyDescent="0.2">
      <c r="A66" s="77" t="s">
        <v>0</v>
      </c>
      <c r="B66" s="78">
        <v>10618.732</v>
      </c>
      <c r="C66" s="99">
        <f t="shared" si="6"/>
        <v>0.86773711473939452</v>
      </c>
      <c r="D66" s="78"/>
      <c r="E66" s="78"/>
      <c r="F66" s="78"/>
      <c r="G66" s="78"/>
      <c r="H66" s="78"/>
    </row>
    <row r="67" spans="1:8" x14ac:dyDescent="0.2">
      <c r="A67" s="77" t="s">
        <v>43</v>
      </c>
      <c r="B67" s="78">
        <v>17998.253000000001</v>
      </c>
      <c r="C67" s="99">
        <f t="shared" si="6"/>
        <v>1.4707737353734562</v>
      </c>
      <c r="D67" s="78"/>
      <c r="E67" s="78"/>
      <c r="F67" s="78"/>
      <c r="G67" s="78"/>
      <c r="H67" s="78"/>
    </row>
    <row r="68" spans="1:8" x14ac:dyDescent="0.2">
      <c r="A68" s="77" t="s">
        <v>44</v>
      </c>
      <c r="B68" s="78">
        <v>9423.0489999999991</v>
      </c>
      <c r="C68" s="99">
        <f t="shared" si="6"/>
        <v>0.77002878981293954</v>
      </c>
      <c r="D68" s="78"/>
      <c r="E68" s="78"/>
      <c r="F68" s="78"/>
      <c r="G68" s="78"/>
      <c r="H68" s="78"/>
    </row>
    <row r="69" spans="1:8" x14ac:dyDescent="0.2">
      <c r="A69" s="77" t="s">
        <v>45</v>
      </c>
      <c r="B69" s="78">
        <v>812.8</v>
      </c>
      <c r="C69" s="99">
        <f t="shared" si="6"/>
        <v>6.6420051552311496E-2</v>
      </c>
      <c r="D69" s="78"/>
      <c r="E69" s="78"/>
      <c r="F69" s="78"/>
      <c r="G69" s="78"/>
      <c r="H69" s="78"/>
    </row>
    <row r="70" spans="1:8" x14ac:dyDescent="0.2">
      <c r="A70" s="77" t="s">
        <v>57</v>
      </c>
      <c r="B70" s="78">
        <v>72239.371570000003</v>
      </c>
      <c r="C70" s="78">
        <f t="shared" si="6"/>
        <v>5.9032268501303964</v>
      </c>
      <c r="D70" s="78"/>
      <c r="E70" s="78"/>
      <c r="F70" s="78"/>
      <c r="G70" s="78"/>
      <c r="H70" s="78"/>
    </row>
    <row r="71" spans="1:8" x14ac:dyDescent="0.2">
      <c r="A71" s="77" t="s">
        <v>58</v>
      </c>
      <c r="B71" s="78">
        <v>1077565.00348</v>
      </c>
      <c r="C71" s="78">
        <f t="shared" si="6"/>
        <v>88.056007728971849</v>
      </c>
      <c r="D71" s="78"/>
      <c r="E71" s="78"/>
      <c r="F71" s="78"/>
      <c r="G71" s="78"/>
      <c r="H71" s="78"/>
    </row>
    <row r="72" spans="1:8" x14ac:dyDescent="0.2">
      <c r="A72" s="79" t="s">
        <v>11</v>
      </c>
      <c r="B72" s="80">
        <f>SUM(B65:B71)</f>
        <v>1223726.8430299999</v>
      </c>
      <c r="C72" s="80">
        <f>SUM(C65:C71)</f>
        <v>100</v>
      </c>
      <c r="D72" s="81"/>
      <c r="E72" s="80"/>
      <c r="F72" s="80"/>
      <c r="G72" s="80"/>
      <c r="H72" s="80"/>
    </row>
    <row r="73" spans="1:8" ht="14.25" x14ac:dyDescent="0.2">
      <c r="A73" s="43"/>
      <c r="B73" s="43"/>
      <c r="C73" s="43"/>
      <c r="D73" s="44"/>
      <c r="E73" s="44"/>
      <c r="F73" s="44"/>
      <c r="G73" s="44"/>
    </row>
  </sheetData>
  <customSheetViews>
    <customSheetView guid="{53E72506-0B1D-4F4A-A157-6DE69D2E678D}" state="hidden" topLeftCell="A33">
      <selection activeCell="B38" sqref="B38"/>
      <pageMargins left="0.7" right="0.7" top="0.78740157499999996" bottom="0.78740157499999996" header="0.3" footer="0.3"/>
      <pageSetup paperSize="9" orientation="portrait" r:id="rId1"/>
    </customSheetView>
  </customSheetViews>
  <mergeCells count="6">
    <mergeCell ref="L42:M42"/>
    <mergeCell ref="B42:C42"/>
    <mergeCell ref="D42:E42"/>
    <mergeCell ref="F42:G42"/>
    <mergeCell ref="H42:I42"/>
    <mergeCell ref="J42:K42"/>
  </mergeCells>
  <pageMargins left="0.7" right="0.7" top="0.78740157499999996" bottom="0.78740157499999996"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
  <sheetViews>
    <sheetView showGridLines="0" zoomScaleNormal="100" zoomScaleSheetLayoutView="100" workbookViewId="0">
      <selection activeCell="O17" sqref="O17"/>
    </sheetView>
  </sheetViews>
  <sheetFormatPr defaultRowHeight="12.75" x14ac:dyDescent="0.2"/>
  <cols>
    <col min="1" max="1" width="17.28515625" style="17" customWidth="1"/>
    <col min="2" max="256" width="9.140625" style="17"/>
    <col min="257" max="257" width="17.28515625" style="17" customWidth="1"/>
    <col min="258" max="512" width="9.140625" style="17"/>
    <col min="513" max="513" width="17.28515625" style="17" customWidth="1"/>
    <col min="514" max="768" width="9.140625" style="17"/>
    <col min="769" max="769" width="17.28515625" style="17" customWidth="1"/>
    <col min="770" max="1024" width="9.140625" style="17"/>
    <col min="1025" max="1025" width="17.28515625" style="17" customWidth="1"/>
    <col min="1026" max="1280" width="9.140625" style="17"/>
    <col min="1281" max="1281" width="17.28515625" style="17" customWidth="1"/>
    <col min="1282" max="1536" width="9.140625" style="17"/>
    <col min="1537" max="1537" width="17.28515625" style="17" customWidth="1"/>
    <col min="1538" max="1792" width="9.140625" style="17"/>
    <col min="1793" max="1793" width="17.28515625" style="17" customWidth="1"/>
    <col min="1794" max="2048" width="9.140625" style="17"/>
    <col min="2049" max="2049" width="17.28515625" style="17" customWidth="1"/>
    <col min="2050" max="2304" width="9.140625" style="17"/>
    <col min="2305" max="2305" width="17.28515625" style="17" customWidth="1"/>
    <col min="2306" max="2560" width="9.140625" style="17"/>
    <col min="2561" max="2561" width="17.28515625" style="17" customWidth="1"/>
    <col min="2562" max="2816" width="9.140625" style="17"/>
    <col min="2817" max="2817" width="17.28515625" style="17" customWidth="1"/>
    <col min="2818" max="3072" width="9.140625" style="17"/>
    <col min="3073" max="3073" width="17.28515625" style="17" customWidth="1"/>
    <col min="3074" max="3328" width="9.140625" style="17"/>
    <col min="3329" max="3329" width="17.28515625" style="17" customWidth="1"/>
    <col min="3330" max="3584" width="9.140625" style="17"/>
    <col min="3585" max="3585" width="17.28515625" style="17" customWidth="1"/>
    <col min="3586" max="3840" width="9.140625" style="17"/>
    <col min="3841" max="3841" width="17.28515625" style="17" customWidth="1"/>
    <col min="3842" max="4096" width="9.140625" style="17"/>
    <col min="4097" max="4097" width="17.28515625" style="17" customWidth="1"/>
    <col min="4098" max="4352" width="9.140625" style="17"/>
    <col min="4353" max="4353" width="17.28515625" style="17" customWidth="1"/>
    <col min="4354" max="4608" width="9.140625" style="17"/>
    <col min="4609" max="4609" width="17.28515625" style="17" customWidth="1"/>
    <col min="4610" max="4864" width="9.140625" style="17"/>
    <col min="4865" max="4865" width="17.28515625" style="17" customWidth="1"/>
    <col min="4866" max="5120" width="9.140625" style="17"/>
    <col min="5121" max="5121" width="17.28515625" style="17" customWidth="1"/>
    <col min="5122" max="5376" width="9.140625" style="17"/>
    <col min="5377" max="5377" width="17.28515625" style="17" customWidth="1"/>
    <col min="5378" max="5632" width="9.140625" style="17"/>
    <col min="5633" max="5633" width="17.28515625" style="17" customWidth="1"/>
    <col min="5634" max="5888" width="9.140625" style="17"/>
    <col min="5889" max="5889" width="17.28515625" style="17" customWidth="1"/>
    <col min="5890" max="6144" width="9.140625" style="17"/>
    <col min="6145" max="6145" width="17.28515625" style="17" customWidth="1"/>
    <col min="6146" max="6400" width="9.140625" style="17"/>
    <col min="6401" max="6401" width="17.28515625" style="17" customWidth="1"/>
    <col min="6402" max="6656" width="9.140625" style="17"/>
    <col min="6657" max="6657" width="17.28515625" style="17" customWidth="1"/>
    <col min="6658" max="6912" width="9.140625" style="17"/>
    <col min="6913" max="6913" width="17.28515625" style="17" customWidth="1"/>
    <col min="6914" max="7168" width="9.140625" style="17"/>
    <col min="7169" max="7169" width="17.28515625" style="17" customWidth="1"/>
    <col min="7170" max="7424" width="9.140625" style="17"/>
    <col min="7425" max="7425" width="17.28515625" style="17" customWidth="1"/>
    <col min="7426" max="7680" width="9.140625" style="17"/>
    <col min="7681" max="7681" width="17.28515625" style="17" customWidth="1"/>
    <col min="7682" max="7936" width="9.140625" style="17"/>
    <col min="7937" max="7937" width="17.28515625" style="17" customWidth="1"/>
    <col min="7938" max="8192" width="9.140625" style="17"/>
    <col min="8193" max="8193" width="17.28515625" style="17" customWidth="1"/>
    <col min="8194" max="8448" width="9.140625" style="17"/>
    <col min="8449" max="8449" width="17.28515625" style="17" customWidth="1"/>
    <col min="8450" max="8704" width="9.140625" style="17"/>
    <col min="8705" max="8705" width="17.28515625" style="17" customWidth="1"/>
    <col min="8706" max="8960" width="9.140625" style="17"/>
    <col min="8961" max="8961" width="17.28515625" style="17" customWidth="1"/>
    <col min="8962" max="9216" width="9.140625" style="17"/>
    <col min="9217" max="9217" width="17.28515625" style="17" customWidth="1"/>
    <col min="9218" max="9472" width="9.140625" style="17"/>
    <col min="9473" max="9473" width="17.28515625" style="17" customWidth="1"/>
    <col min="9474" max="9728" width="9.140625" style="17"/>
    <col min="9729" max="9729" width="17.28515625" style="17" customWidth="1"/>
    <col min="9730" max="9984" width="9.140625" style="17"/>
    <col min="9985" max="9985" width="17.28515625" style="17" customWidth="1"/>
    <col min="9986" max="10240" width="9.140625" style="17"/>
    <col min="10241" max="10241" width="17.28515625" style="17" customWidth="1"/>
    <col min="10242" max="10496" width="9.140625" style="17"/>
    <col min="10497" max="10497" width="17.28515625" style="17" customWidth="1"/>
    <col min="10498" max="10752" width="9.140625" style="17"/>
    <col min="10753" max="10753" width="17.28515625" style="17" customWidth="1"/>
    <col min="10754" max="11008" width="9.140625" style="17"/>
    <col min="11009" max="11009" width="17.28515625" style="17" customWidth="1"/>
    <col min="11010" max="11264" width="9.140625" style="17"/>
    <col min="11265" max="11265" width="17.28515625" style="17" customWidth="1"/>
    <col min="11266" max="11520" width="9.140625" style="17"/>
    <col min="11521" max="11521" width="17.28515625" style="17" customWidth="1"/>
    <col min="11522" max="11776" width="9.140625" style="17"/>
    <col min="11777" max="11777" width="17.28515625" style="17" customWidth="1"/>
    <col min="11778" max="12032" width="9.140625" style="17"/>
    <col min="12033" max="12033" width="17.28515625" style="17" customWidth="1"/>
    <col min="12034" max="12288" width="9.140625" style="17"/>
    <col min="12289" max="12289" width="17.28515625" style="17" customWidth="1"/>
    <col min="12290" max="12544" width="9.140625" style="17"/>
    <col min="12545" max="12545" width="17.28515625" style="17" customWidth="1"/>
    <col min="12546" max="12800" width="9.140625" style="17"/>
    <col min="12801" max="12801" width="17.28515625" style="17" customWidth="1"/>
    <col min="12802" max="13056" width="9.140625" style="17"/>
    <col min="13057" max="13057" width="17.28515625" style="17" customWidth="1"/>
    <col min="13058" max="13312" width="9.140625" style="17"/>
    <col min="13313" max="13313" width="17.28515625" style="17" customWidth="1"/>
    <col min="13314" max="13568" width="9.140625" style="17"/>
    <col min="13569" max="13569" width="17.28515625" style="17" customWidth="1"/>
    <col min="13570" max="13824" width="9.140625" style="17"/>
    <col min="13825" max="13825" width="17.28515625" style="17" customWidth="1"/>
    <col min="13826" max="14080" width="9.140625" style="17"/>
    <col min="14081" max="14081" width="17.28515625" style="17" customWidth="1"/>
    <col min="14082" max="14336" width="9.140625" style="17"/>
    <col min="14337" max="14337" width="17.28515625" style="17" customWidth="1"/>
    <col min="14338" max="14592" width="9.140625" style="17"/>
    <col min="14593" max="14593" width="17.28515625" style="17" customWidth="1"/>
    <col min="14594" max="14848" width="9.140625" style="17"/>
    <col min="14849" max="14849" width="17.28515625" style="17" customWidth="1"/>
    <col min="14850" max="15104" width="9.140625" style="17"/>
    <col min="15105" max="15105" width="17.28515625" style="17" customWidth="1"/>
    <col min="15106" max="15360" width="9.140625" style="17"/>
    <col min="15361" max="15361" width="17.28515625" style="17" customWidth="1"/>
    <col min="15362" max="15616" width="9.140625" style="17"/>
    <col min="15617" max="15617" width="17.28515625" style="17" customWidth="1"/>
    <col min="15618" max="15872" width="9.140625" style="17"/>
    <col min="15873" max="15873" width="17.28515625" style="17" customWidth="1"/>
    <col min="15874" max="16128" width="9.140625" style="17"/>
    <col min="16129" max="16129" width="17.28515625" style="17" customWidth="1"/>
    <col min="16130" max="16384" width="9.140625" style="17"/>
  </cols>
  <sheetData>
    <row r="2" spans="1:14" ht="18" customHeight="1" x14ac:dyDescent="0.2">
      <c r="A2" s="82" t="s">
        <v>59</v>
      </c>
    </row>
    <row r="3" spans="1:14" ht="23.25" customHeight="1" x14ac:dyDescent="0.2"/>
    <row r="4" spans="1:14" x14ac:dyDescent="0.2">
      <c r="A4" s="83" t="s">
        <v>60</v>
      </c>
    </row>
    <row r="5" spans="1:14" ht="15" customHeight="1" x14ac:dyDescent="0.2">
      <c r="A5" s="1314" t="s">
        <v>61</v>
      </c>
      <c r="B5" s="1314"/>
      <c r="C5" s="1314"/>
      <c r="D5" s="1314"/>
      <c r="E5" s="1314"/>
      <c r="F5" s="1314"/>
      <c r="G5" s="1314"/>
      <c r="H5" s="1314"/>
      <c r="I5" s="1314"/>
      <c r="J5" s="1314"/>
      <c r="K5" s="1314"/>
      <c r="L5" s="1314"/>
      <c r="M5" s="1314"/>
      <c r="N5" s="1314"/>
    </row>
    <row r="6" spans="1:14" ht="52.5" customHeight="1" x14ac:dyDescent="0.2">
      <c r="A6" s="1314"/>
      <c r="B6" s="1314"/>
      <c r="C6" s="1314"/>
      <c r="D6" s="1314"/>
      <c r="E6" s="1314"/>
      <c r="F6" s="1314"/>
      <c r="G6" s="1314"/>
      <c r="H6" s="1314"/>
      <c r="I6" s="1314"/>
      <c r="J6" s="1314"/>
      <c r="K6" s="1314"/>
      <c r="L6" s="1314"/>
      <c r="M6" s="1314"/>
      <c r="N6" s="1314"/>
    </row>
  </sheetData>
  <customSheetViews>
    <customSheetView guid="{53E72506-0B1D-4F4A-A157-6DE69D2E678D}" showPageBreaks="1" showGridLines="0" printArea="1" view="pageBreakPreview">
      <selection activeCell="P11" sqref="P11"/>
      <pageMargins left="0.39370078740157483" right="0.39370078740157483" top="0.59055118110236227" bottom="0.39370078740157483" header="0.31496062992125984" footer="0.31496062992125984"/>
      <pageSetup paperSize="9" firstPageNumber="152" orientation="landscape" useFirstPageNumber="1" r:id="rId1"/>
      <headerFooter alignWithMargins="0">
        <oddHeader>&amp;L&amp;"Tahoma,Kurzíva"&amp;9Závěrečný účet za rok 2013</oddHeader>
        <oddFooter>&amp;C&amp;"Tahoma,Obyčejné"&amp;P</oddFooter>
      </headerFooter>
    </customSheetView>
  </customSheetViews>
  <mergeCells count="2">
    <mergeCell ref="A5:N5"/>
    <mergeCell ref="A6:N6"/>
  </mergeCells>
  <pageMargins left="0.39370078740157483" right="0.39370078740157483" top="0.59055118110236227" bottom="0.39370078740157483" header="0.31496062992125984" footer="0.31496062992125984"/>
  <pageSetup paperSize="9" firstPageNumber="166" orientation="landscape" useFirstPageNumber="1" r:id="rId2"/>
  <headerFooter alignWithMargins="0">
    <oddHeader>&amp;L&amp;"Tahoma,Kurzíva"&amp;9Závěrečný účet za rok 2015</oddHeader>
    <oddFooter>&amp;C&amp;"Tahoma,Obyčejné"&amp;P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5"/>
  <sheetViews>
    <sheetView zoomScaleNormal="100" zoomScaleSheetLayoutView="100" workbookViewId="0">
      <selection activeCell="H2" sqref="H2"/>
    </sheetView>
  </sheetViews>
  <sheetFormatPr defaultRowHeight="12.75" x14ac:dyDescent="0.2"/>
  <cols>
    <col min="1" max="1" width="8.28515625" customWidth="1"/>
    <col min="2" max="2" width="10" customWidth="1"/>
    <col min="3" max="3" width="80.7109375" customWidth="1"/>
    <col min="4" max="6" width="15.7109375" style="102" customWidth="1"/>
    <col min="7" max="7" width="9.85546875" style="101" customWidth="1"/>
    <col min="9" max="15" width="9.140625" style="100"/>
  </cols>
  <sheetData>
    <row r="1" spans="1:15" x14ac:dyDescent="0.2">
      <c r="A1" s="210"/>
      <c r="B1" s="209"/>
      <c r="C1" s="208"/>
      <c r="D1" s="207"/>
      <c r="E1" s="207"/>
      <c r="F1" s="206"/>
      <c r="G1" s="205"/>
      <c r="H1" s="204"/>
    </row>
    <row r="2" spans="1:15" ht="18" customHeight="1" x14ac:dyDescent="0.2">
      <c r="A2" s="1315" t="s">
        <v>249</v>
      </c>
      <c r="B2" s="1315"/>
      <c r="C2" s="1315"/>
      <c r="D2" s="1315"/>
      <c r="E2" s="1315"/>
      <c r="F2" s="1315"/>
      <c r="G2" s="1315"/>
    </row>
    <row r="3" spans="1:15" x14ac:dyDescent="0.2">
      <c r="G3" s="203"/>
    </row>
    <row r="4" spans="1:15" s="100" customFormat="1" ht="18" customHeight="1" x14ac:dyDescent="0.2">
      <c r="A4" s="1316" t="s">
        <v>248</v>
      </c>
      <c r="B4" s="1316"/>
      <c r="C4" s="1316"/>
      <c r="D4" s="1316"/>
      <c r="E4" s="1316"/>
      <c r="F4" s="1316"/>
      <c r="G4" s="1316"/>
      <c r="H4"/>
    </row>
    <row r="5" spans="1:15" ht="15" x14ac:dyDescent="0.2">
      <c r="A5" s="202"/>
      <c r="B5" s="202"/>
      <c r="C5" s="202"/>
      <c r="D5" s="202"/>
      <c r="E5" s="202"/>
      <c r="F5" s="202"/>
      <c r="G5" s="202"/>
    </row>
    <row r="6" spans="1:15" ht="18" customHeight="1" x14ac:dyDescent="0.2">
      <c r="A6" s="201" t="s">
        <v>5</v>
      </c>
      <c r="B6" s="200"/>
      <c r="C6" s="200"/>
      <c r="D6" s="199"/>
      <c r="E6" s="199"/>
      <c r="F6" s="199"/>
      <c r="G6" s="198"/>
      <c r="H6" s="185"/>
      <c r="I6" s="189"/>
    </row>
    <row r="7" spans="1:15" s="100" customFormat="1" ht="15.75" thickBot="1" x14ac:dyDescent="0.25">
      <c r="A7" s="197"/>
      <c r="B7" s="196"/>
      <c r="C7" s="196"/>
      <c r="D7" s="195"/>
      <c r="E7" s="195"/>
      <c r="F7" s="195"/>
      <c r="G7" s="154" t="s">
        <v>2</v>
      </c>
      <c r="H7"/>
    </row>
    <row r="8" spans="1:15" s="100" customFormat="1" ht="39" customHeight="1" thickBot="1" x14ac:dyDescent="0.25">
      <c r="A8" s="194" t="s">
        <v>114</v>
      </c>
      <c r="B8" s="193" t="s">
        <v>113</v>
      </c>
      <c r="C8" s="193" t="s">
        <v>112</v>
      </c>
      <c r="D8" s="192" t="s">
        <v>111</v>
      </c>
      <c r="E8" s="192" t="s">
        <v>110</v>
      </c>
      <c r="F8" s="192" t="s">
        <v>1</v>
      </c>
      <c r="G8" s="191" t="s">
        <v>109</v>
      </c>
      <c r="H8" s="185"/>
    </row>
    <row r="9" spans="1:15" s="100" customFormat="1" ht="13.5" customHeight="1" x14ac:dyDescent="0.2">
      <c r="A9" s="186" t="s">
        <v>133</v>
      </c>
      <c r="B9" s="137" t="s">
        <v>247</v>
      </c>
      <c r="C9" s="136" t="s">
        <v>246</v>
      </c>
      <c r="D9" s="135">
        <v>1110000</v>
      </c>
      <c r="E9" s="135">
        <v>1110000</v>
      </c>
      <c r="F9" s="135">
        <v>1127993</v>
      </c>
      <c r="G9" s="134">
        <v>101.6</v>
      </c>
      <c r="H9"/>
    </row>
    <row r="10" spans="1:15" s="100" customFormat="1" x14ac:dyDescent="0.2">
      <c r="A10" s="186" t="s">
        <v>133</v>
      </c>
      <c r="B10" s="137" t="s">
        <v>245</v>
      </c>
      <c r="C10" s="136" t="s">
        <v>244</v>
      </c>
      <c r="D10" s="135">
        <v>15000</v>
      </c>
      <c r="E10" s="135">
        <v>15000</v>
      </c>
      <c r="F10" s="135">
        <v>30141</v>
      </c>
      <c r="G10" s="134">
        <v>200.9</v>
      </c>
      <c r="H10"/>
    </row>
    <row r="11" spans="1:15" s="100" customFormat="1" x14ac:dyDescent="0.2">
      <c r="A11" s="186" t="s">
        <v>133</v>
      </c>
      <c r="B11" s="137" t="s">
        <v>243</v>
      </c>
      <c r="C11" s="136" t="s">
        <v>242</v>
      </c>
      <c r="D11" s="135">
        <v>115000</v>
      </c>
      <c r="E11" s="135">
        <v>115000</v>
      </c>
      <c r="F11" s="135">
        <v>135351</v>
      </c>
      <c r="G11" s="134">
        <v>117.7</v>
      </c>
      <c r="H11"/>
    </row>
    <row r="12" spans="1:15" s="100" customFormat="1" x14ac:dyDescent="0.2">
      <c r="A12" s="186" t="s">
        <v>133</v>
      </c>
      <c r="B12" s="137" t="s">
        <v>241</v>
      </c>
      <c r="C12" s="136" t="s">
        <v>240</v>
      </c>
      <c r="D12" s="135">
        <v>1100000</v>
      </c>
      <c r="E12" s="135">
        <v>1100000</v>
      </c>
      <c r="F12" s="135">
        <v>1236548</v>
      </c>
      <c r="G12" s="134">
        <v>112.4</v>
      </c>
      <c r="H12"/>
    </row>
    <row r="13" spans="1:15" s="100" customFormat="1" x14ac:dyDescent="0.2">
      <c r="A13" s="186" t="s">
        <v>133</v>
      </c>
      <c r="B13" s="137" t="s">
        <v>239</v>
      </c>
      <c r="C13" s="136" t="s">
        <v>238</v>
      </c>
      <c r="D13" s="135">
        <v>25000</v>
      </c>
      <c r="E13" s="135">
        <v>27305</v>
      </c>
      <c r="F13" s="135">
        <v>27305</v>
      </c>
      <c r="G13" s="134">
        <v>100</v>
      </c>
      <c r="H13"/>
    </row>
    <row r="14" spans="1:15" s="100" customFormat="1" x14ac:dyDescent="0.2">
      <c r="A14" s="186" t="s">
        <v>133</v>
      </c>
      <c r="B14" s="137" t="s">
        <v>237</v>
      </c>
      <c r="C14" s="136" t="s">
        <v>236</v>
      </c>
      <c r="D14" s="135">
        <v>2410000</v>
      </c>
      <c r="E14" s="135">
        <v>2410000</v>
      </c>
      <c r="F14" s="135">
        <v>2491273</v>
      </c>
      <c r="G14" s="134">
        <v>103.4</v>
      </c>
      <c r="H14"/>
    </row>
    <row r="15" spans="1:15" s="100" customFormat="1" ht="13.5" customHeight="1" thickBot="1" x14ac:dyDescent="0.25">
      <c r="A15" s="190" t="s">
        <v>133</v>
      </c>
      <c r="B15" s="132" t="s">
        <v>235</v>
      </c>
      <c r="C15" s="131" t="s">
        <v>234</v>
      </c>
      <c r="D15" s="130">
        <v>1650</v>
      </c>
      <c r="E15" s="130">
        <v>2191</v>
      </c>
      <c r="F15" s="130">
        <v>2369</v>
      </c>
      <c r="G15" s="129">
        <v>108.1</v>
      </c>
      <c r="H15"/>
    </row>
    <row r="16" spans="1:15" s="185" customFormat="1" x14ac:dyDescent="0.2">
      <c r="D16" s="184"/>
      <c r="E16" s="184"/>
      <c r="F16" s="184"/>
      <c r="G16" s="183"/>
      <c r="I16" s="189"/>
      <c r="J16" s="189"/>
      <c r="K16" s="189"/>
      <c r="L16" s="189"/>
      <c r="M16" s="189"/>
      <c r="N16" s="189"/>
      <c r="O16" s="189"/>
    </row>
    <row r="17" spans="1:7" x14ac:dyDescent="0.2">
      <c r="A17" s="165"/>
      <c r="B17" s="165"/>
      <c r="C17" s="164"/>
      <c r="D17" s="163"/>
      <c r="E17" s="163"/>
      <c r="F17" s="163"/>
      <c r="G17" s="162"/>
    </row>
    <row r="18" spans="1:7" ht="15" x14ac:dyDescent="0.2">
      <c r="A18" s="157" t="s">
        <v>6</v>
      </c>
      <c r="B18" s="156"/>
      <c r="C18" s="156"/>
      <c r="D18" s="155"/>
      <c r="E18" s="155"/>
      <c r="F18" s="155"/>
      <c r="G18" s="161"/>
    </row>
    <row r="19" spans="1:7" ht="12.75" customHeight="1" thickBot="1" x14ac:dyDescent="0.25">
      <c r="A19" s="157"/>
      <c r="B19" s="156"/>
      <c r="C19" s="156"/>
      <c r="D19" s="155"/>
      <c r="E19" s="155"/>
      <c r="F19" s="155"/>
      <c r="G19" s="154" t="s">
        <v>2</v>
      </c>
    </row>
    <row r="20" spans="1:7" ht="39" customHeight="1" thickBot="1" x14ac:dyDescent="0.25">
      <c r="A20" s="153" t="s">
        <v>114</v>
      </c>
      <c r="B20" s="152" t="s">
        <v>113</v>
      </c>
      <c r="C20" s="152" t="s">
        <v>112</v>
      </c>
      <c r="D20" s="151" t="s">
        <v>111</v>
      </c>
      <c r="E20" s="151" t="s">
        <v>110</v>
      </c>
      <c r="F20" s="151" t="s">
        <v>1</v>
      </c>
      <c r="G20" s="150" t="s">
        <v>109</v>
      </c>
    </row>
    <row r="21" spans="1:7" ht="13.5" customHeight="1" x14ac:dyDescent="0.2">
      <c r="A21" s="138">
        <v>1039</v>
      </c>
      <c r="B21" s="137" t="s">
        <v>161</v>
      </c>
      <c r="C21" s="136" t="s">
        <v>160</v>
      </c>
      <c r="D21" s="135">
        <v>0</v>
      </c>
      <c r="E21" s="135">
        <v>3</v>
      </c>
      <c r="F21" s="135">
        <v>3</v>
      </c>
      <c r="G21" s="134">
        <v>100</v>
      </c>
    </row>
    <row r="22" spans="1:7" x14ac:dyDescent="0.2">
      <c r="A22" s="138">
        <v>1039</v>
      </c>
      <c r="B22" s="137" t="s">
        <v>159</v>
      </c>
      <c r="C22" s="136" t="s">
        <v>158</v>
      </c>
      <c r="D22" s="135">
        <v>0</v>
      </c>
      <c r="E22" s="135">
        <v>1</v>
      </c>
      <c r="F22" s="135">
        <v>1</v>
      </c>
      <c r="G22" s="134">
        <v>100</v>
      </c>
    </row>
    <row r="23" spans="1:7" x14ac:dyDescent="0.2">
      <c r="A23" s="149">
        <v>1039</v>
      </c>
      <c r="B23" s="148"/>
      <c r="C23" s="147" t="s">
        <v>233</v>
      </c>
      <c r="D23" s="146">
        <v>0</v>
      </c>
      <c r="E23" s="146">
        <v>4</v>
      </c>
      <c r="F23" s="146">
        <v>4</v>
      </c>
      <c r="G23" s="145">
        <v>100</v>
      </c>
    </row>
    <row r="24" spans="1:7" x14ac:dyDescent="0.2">
      <c r="A24" s="142"/>
      <c r="B24" s="141"/>
      <c r="C24" s="141"/>
      <c r="D24" s="140"/>
      <c r="E24" s="140"/>
      <c r="F24" s="140"/>
      <c r="G24" s="139"/>
    </row>
    <row r="25" spans="1:7" x14ac:dyDescent="0.2">
      <c r="A25" s="138">
        <v>1070</v>
      </c>
      <c r="B25" s="137" t="s">
        <v>161</v>
      </c>
      <c r="C25" s="136" t="s">
        <v>160</v>
      </c>
      <c r="D25" s="135">
        <v>0</v>
      </c>
      <c r="E25" s="135">
        <v>0</v>
      </c>
      <c r="F25" s="135">
        <v>5</v>
      </c>
      <c r="G25" s="134">
        <v>0</v>
      </c>
    </row>
    <row r="26" spans="1:7" x14ac:dyDescent="0.2">
      <c r="A26" s="138">
        <v>1070</v>
      </c>
      <c r="B26" s="137" t="s">
        <v>159</v>
      </c>
      <c r="C26" s="136" t="s">
        <v>158</v>
      </c>
      <c r="D26" s="135">
        <v>0</v>
      </c>
      <c r="E26" s="135">
        <v>0</v>
      </c>
      <c r="F26" s="135">
        <v>1</v>
      </c>
      <c r="G26" s="134">
        <v>0</v>
      </c>
    </row>
    <row r="27" spans="1:7" x14ac:dyDescent="0.2">
      <c r="A27" s="149">
        <v>1070</v>
      </c>
      <c r="B27" s="148"/>
      <c r="C27" s="147" t="s">
        <v>232</v>
      </c>
      <c r="D27" s="146">
        <v>0</v>
      </c>
      <c r="E27" s="146">
        <v>0</v>
      </c>
      <c r="F27" s="146">
        <v>6</v>
      </c>
      <c r="G27" s="145">
        <v>0</v>
      </c>
    </row>
    <row r="28" spans="1:7" x14ac:dyDescent="0.2">
      <c r="A28" s="142"/>
      <c r="B28" s="141"/>
      <c r="C28" s="141"/>
      <c r="D28" s="140"/>
      <c r="E28" s="140"/>
      <c r="F28" s="140"/>
      <c r="G28" s="139"/>
    </row>
    <row r="29" spans="1:7" x14ac:dyDescent="0.2">
      <c r="A29" s="138">
        <v>2115</v>
      </c>
      <c r="B29" s="137" t="s">
        <v>161</v>
      </c>
      <c r="C29" s="136" t="s">
        <v>160</v>
      </c>
      <c r="D29" s="135">
        <v>0</v>
      </c>
      <c r="E29" s="135">
        <v>4</v>
      </c>
      <c r="F29" s="135">
        <v>4</v>
      </c>
      <c r="G29" s="134">
        <v>100</v>
      </c>
    </row>
    <row r="30" spans="1:7" x14ac:dyDescent="0.2">
      <c r="A30" s="149">
        <v>2115</v>
      </c>
      <c r="B30" s="148"/>
      <c r="C30" s="147" t="s">
        <v>231</v>
      </c>
      <c r="D30" s="146">
        <v>0</v>
      </c>
      <c r="E30" s="146">
        <v>4</v>
      </c>
      <c r="F30" s="146">
        <v>4</v>
      </c>
      <c r="G30" s="145">
        <v>100</v>
      </c>
    </row>
    <row r="31" spans="1:7" x14ac:dyDescent="0.2">
      <c r="A31" s="142"/>
      <c r="B31" s="141"/>
      <c r="C31" s="141"/>
      <c r="D31" s="140"/>
      <c r="E31" s="140"/>
      <c r="F31" s="140"/>
      <c r="G31" s="139"/>
    </row>
    <row r="32" spans="1:7" x14ac:dyDescent="0.2">
      <c r="A32" s="138">
        <v>2143</v>
      </c>
      <c r="B32" s="137" t="s">
        <v>197</v>
      </c>
      <c r="C32" s="136" t="s">
        <v>196</v>
      </c>
      <c r="D32" s="135">
        <v>0</v>
      </c>
      <c r="E32" s="135">
        <v>200</v>
      </c>
      <c r="F32" s="135">
        <v>200</v>
      </c>
      <c r="G32" s="134">
        <v>100</v>
      </c>
    </row>
    <row r="33" spans="1:7" x14ac:dyDescent="0.2">
      <c r="A33" s="138">
        <v>2143</v>
      </c>
      <c r="B33" s="137" t="s">
        <v>161</v>
      </c>
      <c r="C33" s="136" t="s">
        <v>160</v>
      </c>
      <c r="D33" s="135">
        <v>0</v>
      </c>
      <c r="E33" s="135">
        <v>98</v>
      </c>
      <c r="F33" s="135">
        <v>98</v>
      </c>
      <c r="G33" s="134">
        <v>100</v>
      </c>
    </row>
    <row r="34" spans="1:7" x14ac:dyDescent="0.2">
      <c r="A34" s="138">
        <v>2143</v>
      </c>
      <c r="B34" s="137" t="s">
        <v>159</v>
      </c>
      <c r="C34" s="136" t="s">
        <v>158</v>
      </c>
      <c r="D34" s="135">
        <v>0</v>
      </c>
      <c r="E34" s="135">
        <v>264</v>
      </c>
      <c r="F34" s="135">
        <v>264</v>
      </c>
      <c r="G34" s="134">
        <v>100</v>
      </c>
    </row>
    <row r="35" spans="1:7" x14ac:dyDescent="0.2">
      <c r="A35" s="138">
        <v>2143</v>
      </c>
      <c r="B35" s="148"/>
      <c r="C35" s="147" t="s">
        <v>0</v>
      </c>
      <c r="D35" s="146">
        <v>0</v>
      </c>
      <c r="E35" s="146">
        <v>562</v>
      </c>
      <c r="F35" s="146">
        <v>562</v>
      </c>
      <c r="G35" s="145">
        <v>100</v>
      </c>
    </row>
    <row r="36" spans="1:7" x14ac:dyDescent="0.2">
      <c r="A36" s="142"/>
      <c r="B36" s="141"/>
      <c r="C36" s="141"/>
      <c r="D36" s="140"/>
      <c r="E36" s="140"/>
      <c r="F36" s="140"/>
      <c r="G36" s="139"/>
    </row>
    <row r="37" spans="1:7" x14ac:dyDescent="0.2">
      <c r="A37" s="138">
        <v>2212</v>
      </c>
      <c r="B37" s="137" t="s">
        <v>161</v>
      </c>
      <c r="C37" s="136" t="s">
        <v>160</v>
      </c>
      <c r="D37" s="135">
        <v>0</v>
      </c>
      <c r="E37" s="135">
        <v>0</v>
      </c>
      <c r="F37" s="135">
        <v>25</v>
      </c>
      <c r="G37" s="134">
        <v>0</v>
      </c>
    </row>
    <row r="38" spans="1:7" x14ac:dyDescent="0.2">
      <c r="A38" s="138">
        <v>2212</v>
      </c>
      <c r="B38" s="137" t="s">
        <v>208</v>
      </c>
      <c r="C38" s="136" t="s">
        <v>207</v>
      </c>
      <c r="D38" s="135">
        <v>0</v>
      </c>
      <c r="E38" s="135">
        <v>8238</v>
      </c>
      <c r="F38" s="135">
        <v>10359</v>
      </c>
      <c r="G38" s="134">
        <v>125.7</v>
      </c>
    </row>
    <row r="39" spans="1:7" x14ac:dyDescent="0.2">
      <c r="A39" s="138">
        <v>2212</v>
      </c>
      <c r="B39" s="137" t="s">
        <v>159</v>
      </c>
      <c r="C39" s="136" t="s">
        <v>158</v>
      </c>
      <c r="D39" s="135">
        <v>0</v>
      </c>
      <c r="E39" s="135">
        <v>0</v>
      </c>
      <c r="F39" s="135">
        <v>48</v>
      </c>
      <c r="G39" s="134">
        <v>0</v>
      </c>
    </row>
    <row r="40" spans="1:7" x14ac:dyDescent="0.2">
      <c r="A40" s="149">
        <v>2212</v>
      </c>
      <c r="B40" s="148"/>
      <c r="C40" s="147" t="s">
        <v>230</v>
      </c>
      <c r="D40" s="146">
        <v>0</v>
      </c>
      <c r="E40" s="146">
        <v>8238</v>
      </c>
      <c r="F40" s="146">
        <v>10432</v>
      </c>
      <c r="G40" s="145">
        <v>126.6</v>
      </c>
    </row>
    <row r="41" spans="1:7" x14ac:dyDescent="0.2">
      <c r="A41" s="142"/>
      <c r="B41" s="141"/>
      <c r="C41" s="141"/>
      <c r="D41" s="140"/>
      <c r="E41" s="140"/>
      <c r="F41" s="140"/>
      <c r="G41" s="139"/>
    </row>
    <row r="42" spans="1:7" x14ac:dyDescent="0.2">
      <c r="A42" s="138">
        <v>2221</v>
      </c>
      <c r="B42" s="137" t="s">
        <v>161</v>
      </c>
      <c r="C42" s="136" t="s">
        <v>160</v>
      </c>
      <c r="D42" s="135">
        <v>0</v>
      </c>
      <c r="E42" s="135">
        <v>85</v>
      </c>
      <c r="F42" s="135">
        <v>85</v>
      </c>
      <c r="G42" s="134">
        <v>100</v>
      </c>
    </row>
    <row r="43" spans="1:7" x14ac:dyDescent="0.2">
      <c r="A43" s="149">
        <v>2221</v>
      </c>
      <c r="B43" s="148"/>
      <c r="C43" s="147" t="s">
        <v>229</v>
      </c>
      <c r="D43" s="146">
        <v>0</v>
      </c>
      <c r="E43" s="146">
        <v>85</v>
      </c>
      <c r="F43" s="146">
        <v>85</v>
      </c>
      <c r="G43" s="145">
        <v>100</v>
      </c>
    </row>
    <row r="44" spans="1:7" x14ac:dyDescent="0.2">
      <c r="A44" s="142"/>
      <c r="B44" s="141"/>
      <c r="C44" s="141"/>
      <c r="D44" s="140"/>
      <c r="E44" s="140"/>
      <c r="F44" s="140"/>
      <c r="G44" s="139"/>
    </row>
    <row r="45" spans="1:7" x14ac:dyDescent="0.2">
      <c r="A45" s="138">
        <v>2229</v>
      </c>
      <c r="B45" s="137" t="s">
        <v>161</v>
      </c>
      <c r="C45" s="136" t="s">
        <v>160</v>
      </c>
      <c r="D45" s="135">
        <v>5000</v>
      </c>
      <c r="E45" s="135">
        <v>10783</v>
      </c>
      <c r="F45" s="135">
        <v>11425</v>
      </c>
      <c r="G45" s="134">
        <v>106</v>
      </c>
    </row>
    <row r="46" spans="1:7" x14ac:dyDescent="0.2">
      <c r="A46" s="138">
        <v>2229</v>
      </c>
      <c r="B46" s="137" t="s">
        <v>159</v>
      </c>
      <c r="C46" s="136" t="s">
        <v>158</v>
      </c>
      <c r="D46" s="135">
        <v>0</v>
      </c>
      <c r="E46" s="135">
        <v>758</v>
      </c>
      <c r="F46" s="135">
        <v>884</v>
      </c>
      <c r="G46" s="134">
        <v>116.6</v>
      </c>
    </row>
    <row r="47" spans="1:7" x14ac:dyDescent="0.2">
      <c r="A47" s="138">
        <v>2229</v>
      </c>
      <c r="B47" s="137" t="s">
        <v>155</v>
      </c>
      <c r="C47" s="136" t="s">
        <v>154</v>
      </c>
      <c r="D47" s="135">
        <v>0</v>
      </c>
      <c r="E47" s="135">
        <v>557</v>
      </c>
      <c r="F47" s="135">
        <v>697</v>
      </c>
      <c r="G47" s="134">
        <v>125.1</v>
      </c>
    </row>
    <row r="48" spans="1:7" x14ac:dyDescent="0.2">
      <c r="A48" s="138">
        <v>2229</v>
      </c>
      <c r="B48" s="148"/>
      <c r="C48" s="147" t="s">
        <v>228</v>
      </c>
      <c r="D48" s="146">
        <v>5000</v>
      </c>
      <c r="E48" s="146">
        <v>12098</v>
      </c>
      <c r="F48" s="146">
        <v>13006</v>
      </c>
      <c r="G48" s="145">
        <v>107.5</v>
      </c>
    </row>
    <row r="49" spans="1:7" x14ac:dyDescent="0.2">
      <c r="A49" s="142"/>
      <c r="B49" s="141"/>
      <c r="C49" s="141"/>
      <c r="D49" s="140"/>
      <c r="E49" s="140"/>
      <c r="F49" s="140"/>
      <c r="G49" s="139"/>
    </row>
    <row r="50" spans="1:7" x14ac:dyDescent="0.2">
      <c r="A50" s="138">
        <v>2242</v>
      </c>
      <c r="B50" s="137" t="s">
        <v>161</v>
      </c>
      <c r="C50" s="136" t="s">
        <v>160</v>
      </c>
      <c r="D50" s="135">
        <v>0</v>
      </c>
      <c r="E50" s="135">
        <v>694</v>
      </c>
      <c r="F50" s="135">
        <v>694</v>
      </c>
      <c r="G50" s="134">
        <v>100</v>
      </c>
    </row>
    <row r="51" spans="1:7" x14ac:dyDescent="0.2">
      <c r="A51" s="149">
        <v>2242</v>
      </c>
      <c r="B51" s="148"/>
      <c r="C51" s="147" t="s">
        <v>227</v>
      </c>
      <c r="D51" s="146">
        <v>0</v>
      </c>
      <c r="E51" s="146">
        <v>694</v>
      </c>
      <c r="F51" s="146">
        <v>694</v>
      </c>
      <c r="G51" s="145">
        <v>100</v>
      </c>
    </row>
    <row r="52" spans="1:7" x14ac:dyDescent="0.2">
      <c r="A52" s="142"/>
      <c r="B52" s="141"/>
      <c r="C52" s="141"/>
      <c r="D52" s="140"/>
      <c r="E52" s="140"/>
      <c r="F52" s="140"/>
      <c r="G52" s="139"/>
    </row>
    <row r="53" spans="1:7" x14ac:dyDescent="0.2">
      <c r="A53" s="138">
        <v>2251</v>
      </c>
      <c r="B53" s="137" t="s">
        <v>169</v>
      </c>
      <c r="C53" s="136" t="s">
        <v>168</v>
      </c>
      <c r="D53" s="135">
        <v>8954</v>
      </c>
      <c r="E53" s="135">
        <v>8954</v>
      </c>
      <c r="F53" s="135">
        <v>8967</v>
      </c>
      <c r="G53" s="134">
        <v>100.1</v>
      </c>
    </row>
    <row r="54" spans="1:7" x14ac:dyDescent="0.2">
      <c r="A54" s="138">
        <v>2251</v>
      </c>
      <c r="B54" s="137" t="s">
        <v>159</v>
      </c>
      <c r="C54" s="136" t="s">
        <v>158</v>
      </c>
      <c r="D54" s="135">
        <v>0</v>
      </c>
      <c r="E54" s="135">
        <v>0</v>
      </c>
      <c r="F54" s="135">
        <v>9</v>
      </c>
      <c r="G54" s="134">
        <v>0</v>
      </c>
    </row>
    <row r="55" spans="1:7" x14ac:dyDescent="0.2">
      <c r="A55" s="149">
        <v>2251</v>
      </c>
      <c r="B55" s="148"/>
      <c r="C55" s="147" t="s">
        <v>226</v>
      </c>
      <c r="D55" s="146">
        <v>8954</v>
      </c>
      <c r="E55" s="146">
        <v>8954</v>
      </c>
      <c r="F55" s="146">
        <v>8976</v>
      </c>
      <c r="G55" s="145">
        <v>100.2</v>
      </c>
    </row>
    <row r="56" spans="1:7" x14ac:dyDescent="0.2">
      <c r="A56" s="142"/>
      <c r="B56" s="141"/>
      <c r="C56" s="141"/>
      <c r="D56" s="140"/>
      <c r="E56" s="140"/>
      <c r="F56" s="140"/>
      <c r="G56" s="139"/>
    </row>
    <row r="57" spans="1:7" x14ac:dyDescent="0.2">
      <c r="A57" s="138">
        <v>2399</v>
      </c>
      <c r="B57" s="137" t="s">
        <v>163</v>
      </c>
      <c r="C57" s="136" t="s">
        <v>162</v>
      </c>
      <c r="D57" s="135">
        <v>0</v>
      </c>
      <c r="E57" s="135">
        <v>165</v>
      </c>
      <c r="F57" s="135">
        <v>180</v>
      </c>
      <c r="G57" s="134">
        <v>109.1</v>
      </c>
    </row>
    <row r="58" spans="1:7" x14ac:dyDescent="0.2">
      <c r="A58" s="138">
        <v>2399</v>
      </c>
      <c r="B58" s="137" t="s">
        <v>225</v>
      </c>
      <c r="C58" s="136" t="s">
        <v>224</v>
      </c>
      <c r="D58" s="135">
        <v>15000</v>
      </c>
      <c r="E58" s="135">
        <v>15000</v>
      </c>
      <c r="F58" s="135">
        <v>22461</v>
      </c>
      <c r="G58" s="134">
        <v>149.69999999999999</v>
      </c>
    </row>
    <row r="59" spans="1:7" x14ac:dyDescent="0.2">
      <c r="A59" s="138">
        <v>2399</v>
      </c>
      <c r="B59" s="148"/>
      <c r="C59" s="147" t="s">
        <v>223</v>
      </c>
      <c r="D59" s="146">
        <v>15000</v>
      </c>
      <c r="E59" s="146">
        <v>15165</v>
      </c>
      <c r="F59" s="146">
        <v>22641</v>
      </c>
      <c r="G59" s="145">
        <v>149.30000000000001</v>
      </c>
    </row>
    <row r="60" spans="1:7" x14ac:dyDescent="0.2">
      <c r="A60" s="142"/>
      <c r="B60" s="141"/>
      <c r="C60" s="141"/>
      <c r="D60" s="140"/>
      <c r="E60" s="140"/>
      <c r="F60" s="140"/>
      <c r="G60" s="139"/>
    </row>
    <row r="61" spans="1:7" x14ac:dyDescent="0.2">
      <c r="A61" s="138">
        <v>3111</v>
      </c>
      <c r="B61" s="137" t="s">
        <v>161</v>
      </c>
      <c r="C61" s="136" t="s">
        <v>160</v>
      </c>
      <c r="D61" s="135">
        <v>0</v>
      </c>
      <c r="E61" s="135">
        <v>56</v>
      </c>
      <c r="F61" s="135">
        <v>61</v>
      </c>
      <c r="G61" s="134">
        <v>108.9</v>
      </c>
    </row>
    <row r="62" spans="1:7" x14ac:dyDescent="0.2">
      <c r="A62" s="149">
        <v>3111</v>
      </c>
      <c r="B62" s="148"/>
      <c r="C62" s="147" t="s">
        <v>222</v>
      </c>
      <c r="D62" s="146">
        <v>0</v>
      </c>
      <c r="E62" s="146">
        <v>56</v>
      </c>
      <c r="F62" s="146">
        <v>61</v>
      </c>
      <c r="G62" s="145">
        <v>108.9</v>
      </c>
    </row>
    <row r="63" spans="1:7" x14ac:dyDescent="0.2">
      <c r="A63" s="142"/>
      <c r="B63" s="141"/>
      <c r="C63" s="141"/>
      <c r="D63" s="140"/>
      <c r="E63" s="140"/>
      <c r="F63" s="140"/>
      <c r="G63" s="139"/>
    </row>
    <row r="64" spans="1:7" x14ac:dyDescent="0.2">
      <c r="A64" s="138">
        <v>3114</v>
      </c>
      <c r="B64" s="137" t="s">
        <v>216</v>
      </c>
      <c r="C64" s="136" t="s">
        <v>215</v>
      </c>
      <c r="D64" s="135">
        <v>0</v>
      </c>
      <c r="E64" s="135">
        <v>163</v>
      </c>
      <c r="F64" s="135">
        <v>163</v>
      </c>
      <c r="G64" s="134">
        <v>100</v>
      </c>
    </row>
    <row r="65" spans="1:7" x14ac:dyDescent="0.2">
      <c r="A65" s="138">
        <v>3114</v>
      </c>
      <c r="B65" s="137" t="s">
        <v>157</v>
      </c>
      <c r="C65" s="136" t="s">
        <v>156</v>
      </c>
      <c r="D65" s="135">
        <v>0</v>
      </c>
      <c r="E65" s="135">
        <v>0</v>
      </c>
      <c r="F65" s="135">
        <v>0</v>
      </c>
      <c r="G65" s="134">
        <v>0</v>
      </c>
    </row>
    <row r="66" spans="1:7" x14ac:dyDescent="0.2">
      <c r="A66" s="138">
        <v>3114</v>
      </c>
      <c r="B66" s="148"/>
      <c r="C66" s="147" t="s">
        <v>221</v>
      </c>
      <c r="D66" s="146">
        <v>0</v>
      </c>
      <c r="E66" s="146">
        <v>163</v>
      </c>
      <c r="F66" s="146">
        <v>163</v>
      </c>
      <c r="G66" s="145">
        <v>100</v>
      </c>
    </row>
    <row r="67" spans="1:7" x14ac:dyDescent="0.2">
      <c r="A67" s="142"/>
      <c r="B67" s="141"/>
      <c r="C67" s="141"/>
      <c r="D67" s="140"/>
      <c r="E67" s="140"/>
      <c r="F67" s="140"/>
      <c r="G67" s="139"/>
    </row>
    <row r="68" spans="1:7" x14ac:dyDescent="0.2">
      <c r="A68" s="138">
        <v>3121</v>
      </c>
      <c r="B68" s="137" t="s">
        <v>161</v>
      </c>
      <c r="C68" s="136" t="s">
        <v>160</v>
      </c>
      <c r="D68" s="135">
        <v>0</v>
      </c>
      <c r="E68" s="135">
        <v>0</v>
      </c>
      <c r="F68" s="135">
        <v>110</v>
      </c>
      <c r="G68" s="134">
        <v>0</v>
      </c>
    </row>
    <row r="69" spans="1:7" x14ac:dyDescent="0.2">
      <c r="A69" s="149">
        <v>3121</v>
      </c>
      <c r="B69" s="148"/>
      <c r="C69" s="147" t="s">
        <v>220</v>
      </c>
      <c r="D69" s="146">
        <v>0</v>
      </c>
      <c r="E69" s="146">
        <v>0</v>
      </c>
      <c r="F69" s="146">
        <v>110</v>
      </c>
      <c r="G69" s="145">
        <v>0</v>
      </c>
    </row>
    <row r="70" spans="1:7" x14ac:dyDescent="0.2">
      <c r="A70" s="142"/>
      <c r="B70" s="141"/>
      <c r="C70" s="141"/>
      <c r="D70" s="140"/>
      <c r="E70" s="140"/>
      <c r="F70" s="140"/>
      <c r="G70" s="139"/>
    </row>
    <row r="71" spans="1:7" x14ac:dyDescent="0.2">
      <c r="A71" s="138">
        <v>3122</v>
      </c>
      <c r="B71" s="137" t="s">
        <v>216</v>
      </c>
      <c r="C71" s="136" t="s">
        <v>215</v>
      </c>
      <c r="D71" s="135">
        <v>0</v>
      </c>
      <c r="E71" s="135">
        <v>6</v>
      </c>
      <c r="F71" s="135">
        <v>6</v>
      </c>
      <c r="G71" s="134">
        <v>100</v>
      </c>
    </row>
    <row r="72" spans="1:7" x14ac:dyDescent="0.2">
      <c r="A72" s="138">
        <v>3122</v>
      </c>
      <c r="B72" s="137" t="s">
        <v>161</v>
      </c>
      <c r="C72" s="136" t="s">
        <v>160</v>
      </c>
      <c r="D72" s="135">
        <v>0</v>
      </c>
      <c r="E72" s="135">
        <v>595</v>
      </c>
      <c r="F72" s="135">
        <v>619</v>
      </c>
      <c r="G72" s="134">
        <v>104</v>
      </c>
    </row>
    <row r="73" spans="1:7" x14ac:dyDescent="0.2">
      <c r="A73" s="138">
        <v>3122</v>
      </c>
      <c r="B73" s="148"/>
      <c r="C73" s="147" t="s">
        <v>219</v>
      </c>
      <c r="D73" s="146">
        <v>0</v>
      </c>
      <c r="E73" s="146">
        <v>601</v>
      </c>
      <c r="F73" s="146">
        <v>625</v>
      </c>
      <c r="G73" s="145">
        <v>104</v>
      </c>
    </row>
    <row r="74" spans="1:7" x14ac:dyDescent="0.2">
      <c r="A74" s="142"/>
      <c r="B74" s="141"/>
      <c r="C74" s="141"/>
      <c r="D74" s="140"/>
      <c r="E74" s="140"/>
      <c r="F74" s="140"/>
      <c r="G74" s="139"/>
    </row>
    <row r="75" spans="1:7" x14ac:dyDescent="0.2">
      <c r="A75" s="138">
        <v>3123</v>
      </c>
      <c r="B75" s="137" t="s">
        <v>161</v>
      </c>
      <c r="C75" s="136" t="s">
        <v>160</v>
      </c>
      <c r="D75" s="135">
        <v>0</v>
      </c>
      <c r="E75" s="135">
        <v>2</v>
      </c>
      <c r="F75" s="135">
        <v>2</v>
      </c>
      <c r="G75" s="134">
        <v>100</v>
      </c>
    </row>
    <row r="76" spans="1:7" x14ac:dyDescent="0.2">
      <c r="A76" s="138">
        <v>3123</v>
      </c>
      <c r="B76" s="148"/>
      <c r="C76" s="147" t="s">
        <v>218</v>
      </c>
      <c r="D76" s="146">
        <v>0</v>
      </c>
      <c r="E76" s="146">
        <v>2</v>
      </c>
      <c r="F76" s="146">
        <v>2</v>
      </c>
      <c r="G76" s="145">
        <v>100</v>
      </c>
    </row>
    <row r="77" spans="1:7" x14ac:dyDescent="0.2">
      <c r="A77" s="142"/>
      <c r="B77" s="141"/>
      <c r="C77" s="141"/>
      <c r="D77" s="140"/>
      <c r="E77" s="140"/>
      <c r="F77" s="140"/>
      <c r="G77" s="139"/>
    </row>
    <row r="78" spans="1:7" x14ac:dyDescent="0.2">
      <c r="A78" s="138">
        <v>3231</v>
      </c>
      <c r="B78" s="137" t="s">
        <v>161</v>
      </c>
      <c r="C78" s="136" t="s">
        <v>160</v>
      </c>
      <c r="D78" s="135">
        <v>0</v>
      </c>
      <c r="E78" s="135">
        <v>0</v>
      </c>
      <c r="F78" s="135">
        <v>10</v>
      </c>
      <c r="G78" s="134">
        <v>0</v>
      </c>
    </row>
    <row r="79" spans="1:7" x14ac:dyDescent="0.2">
      <c r="A79" s="138">
        <v>3231</v>
      </c>
      <c r="B79" s="137" t="s">
        <v>159</v>
      </c>
      <c r="C79" s="136" t="s">
        <v>158</v>
      </c>
      <c r="D79" s="135">
        <v>0</v>
      </c>
      <c r="E79" s="135">
        <v>0</v>
      </c>
      <c r="F79" s="135">
        <v>1</v>
      </c>
      <c r="G79" s="134">
        <v>0</v>
      </c>
    </row>
    <row r="80" spans="1:7" x14ac:dyDescent="0.2">
      <c r="A80" s="149">
        <v>3231</v>
      </c>
      <c r="B80" s="148"/>
      <c r="C80" s="147" t="s">
        <v>217</v>
      </c>
      <c r="D80" s="146">
        <v>0</v>
      </c>
      <c r="E80" s="146">
        <v>0</v>
      </c>
      <c r="F80" s="146">
        <v>11</v>
      </c>
      <c r="G80" s="145">
        <v>0</v>
      </c>
    </row>
    <row r="81" spans="1:7" x14ac:dyDescent="0.2">
      <c r="A81" s="142"/>
      <c r="B81" s="141"/>
      <c r="C81" s="141"/>
      <c r="D81" s="140"/>
      <c r="E81" s="140"/>
      <c r="F81" s="140"/>
      <c r="G81" s="139"/>
    </row>
    <row r="82" spans="1:7" x14ac:dyDescent="0.2">
      <c r="A82" s="138">
        <v>3299</v>
      </c>
      <c r="B82" s="137" t="s">
        <v>184</v>
      </c>
      <c r="C82" s="136" t="s">
        <v>183</v>
      </c>
      <c r="D82" s="135">
        <v>0</v>
      </c>
      <c r="E82" s="135">
        <v>9800</v>
      </c>
      <c r="F82" s="135">
        <v>9800</v>
      </c>
      <c r="G82" s="134">
        <v>100</v>
      </c>
    </row>
    <row r="83" spans="1:7" x14ac:dyDescent="0.2">
      <c r="A83" s="138">
        <v>3299</v>
      </c>
      <c r="B83" s="137" t="s">
        <v>216</v>
      </c>
      <c r="C83" s="136" t="s">
        <v>215</v>
      </c>
      <c r="D83" s="135">
        <v>0</v>
      </c>
      <c r="E83" s="135">
        <v>0</v>
      </c>
      <c r="F83" s="135">
        <v>51</v>
      </c>
      <c r="G83" s="134">
        <v>0</v>
      </c>
    </row>
    <row r="84" spans="1:7" x14ac:dyDescent="0.2">
      <c r="A84" s="138">
        <v>3299</v>
      </c>
      <c r="B84" s="137" t="s">
        <v>163</v>
      </c>
      <c r="C84" s="136" t="s">
        <v>162</v>
      </c>
      <c r="D84" s="135">
        <v>0</v>
      </c>
      <c r="E84" s="135">
        <v>0</v>
      </c>
      <c r="F84" s="135">
        <v>149</v>
      </c>
      <c r="G84" s="134">
        <v>0</v>
      </c>
    </row>
    <row r="85" spans="1:7" x14ac:dyDescent="0.2">
      <c r="A85" s="138">
        <v>3299</v>
      </c>
      <c r="B85" s="137" t="s">
        <v>161</v>
      </c>
      <c r="C85" s="136" t="s">
        <v>160</v>
      </c>
      <c r="D85" s="135">
        <v>0</v>
      </c>
      <c r="E85" s="135">
        <v>0</v>
      </c>
      <c r="F85" s="135">
        <v>1705</v>
      </c>
      <c r="G85" s="134">
        <v>0</v>
      </c>
    </row>
    <row r="86" spans="1:7" x14ac:dyDescent="0.2">
      <c r="A86" s="138">
        <v>3299</v>
      </c>
      <c r="B86" s="137" t="s">
        <v>204</v>
      </c>
      <c r="C86" s="136" t="s">
        <v>203</v>
      </c>
      <c r="D86" s="135">
        <v>0</v>
      </c>
      <c r="E86" s="135">
        <v>0</v>
      </c>
      <c r="F86" s="135">
        <v>0</v>
      </c>
      <c r="G86" s="134">
        <v>0</v>
      </c>
    </row>
    <row r="87" spans="1:7" x14ac:dyDescent="0.2">
      <c r="A87" s="138">
        <v>3299</v>
      </c>
      <c r="B87" s="148"/>
      <c r="C87" s="147" t="s">
        <v>214</v>
      </c>
      <c r="D87" s="146">
        <v>0</v>
      </c>
      <c r="E87" s="146">
        <v>9800</v>
      </c>
      <c r="F87" s="146">
        <v>11705</v>
      </c>
      <c r="G87" s="145">
        <v>119.4</v>
      </c>
    </row>
    <row r="88" spans="1:7" x14ac:dyDescent="0.2">
      <c r="A88" s="142"/>
      <c r="B88" s="141"/>
      <c r="C88" s="141"/>
      <c r="D88" s="140"/>
      <c r="E88" s="140"/>
      <c r="F88" s="140"/>
      <c r="G88" s="139"/>
    </row>
    <row r="89" spans="1:7" x14ac:dyDescent="0.2">
      <c r="A89" s="138">
        <v>3312</v>
      </c>
      <c r="B89" s="137" t="s">
        <v>161</v>
      </c>
      <c r="C89" s="136" t="s">
        <v>160</v>
      </c>
      <c r="D89" s="135">
        <v>0</v>
      </c>
      <c r="E89" s="135">
        <v>25</v>
      </c>
      <c r="F89" s="135">
        <v>25</v>
      </c>
      <c r="G89" s="134">
        <v>100</v>
      </c>
    </row>
    <row r="90" spans="1:7" x14ac:dyDescent="0.2">
      <c r="A90" s="138">
        <v>3312</v>
      </c>
      <c r="B90" s="148"/>
      <c r="C90" s="147" t="s">
        <v>213</v>
      </c>
      <c r="D90" s="146">
        <v>0</v>
      </c>
      <c r="E90" s="146">
        <v>25</v>
      </c>
      <c r="F90" s="146">
        <v>25</v>
      </c>
      <c r="G90" s="145">
        <v>100</v>
      </c>
    </row>
    <row r="91" spans="1:7" x14ac:dyDescent="0.2">
      <c r="A91" s="142"/>
      <c r="B91" s="141"/>
      <c r="C91" s="141"/>
      <c r="D91" s="140"/>
      <c r="E91" s="140"/>
      <c r="F91" s="140"/>
      <c r="G91" s="139"/>
    </row>
    <row r="92" spans="1:7" x14ac:dyDescent="0.2">
      <c r="A92" s="138">
        <v>3313</v>
      </c>
      <c r="B92" s="137" t="s">
        <v>161</v>
      </c>
      <c r="C92" s="136" t="s">
        <v>160</v>
      </c>
      <c r="D92" s="135">
        <v>0</v>
      </c>
      <c r="E92" s="135">
        <v>2</v>
      </c>
      <c r="F92" s="135">
        <v>2</v>
      </c>
      <c r="G92" s="134">
        <v>100</v>
      </c>
    </row>
    <row r="93" spans="1:7" x14ac:dyDescent="0.2">
      <c r="A93" s="138">
        <v>3313</v>
      </c>
      <c r="B93" s="148"/>
      <c r="C93" s="147" t="s">
        <v>212</v>
      </c>
      <c r="D93" s="146">
        <v>0</v>
      </c>
      <c r="E93" s="146">
        <v>2</v>
      </c>
      <c r="F93" s="146">
        <v>2</v>
      </c>
      <c r="G93" s="145">
        <v>100</v>
      </c>
    </row>
    <row r="94" spans="1:7" x14ac:dyDescent="0.2">
      <c r="A94" s="142"/>
      <c r="B94" s="141"/>
      <c r="C94" s="141"/>
      <c r="D94" s="140"/>
      <c r="E94" s="140"/>
      <c r="F94" s="140"/>
      <c r="G94" s="139"/>
    </row>
    <row r="95" spans="1:7" x14ac:dyDescent="0.2">
      <c r="A95" s="138">
        <v>3314</v>
      </c>
      <c r="B95" s="137" t="s">
        <v>163</v>
      </c>
      <c r="C95" s="136" t="s">
        <v>162</v>
      </c>
      <c r="D95" s="135">
        <v>0</v>
      </c>
      <c r="E95" s="135">
        <v>0</v>
      </c>
      <c r="F95" s="135">
        <v>26</v>
      </c>
      <c r="G95" s="134">
        <v>0</v>
      </c>
    </row>
    <row r="96" spans="1:7" x14ac:dyDescent="0.2">
      <c r="A96" s="149">
        <v>3314</v>
      </c>
      <c r="B96" s="148"/>
      <c r="C96" s="147" t="s">
        <v>211</v>
      </c>
      <c r="D96" s="146">
        <v>0</v>
      </c>
      <c r="E96" s="146">
        <v>0</v>
      </c>
      <c r="F96" s="146">
        <v>26</v>
      </c>
      <c r="G96" s="145">
        <v>0</v>
      </c>
    </row>
    <row r="97" spans="1:7" x14ac:dyDescent="0.2">
      <c r="A97" s="142"/>
      <c r="B97" s="141"/>
      <c r="C97" s="141"/>
      <c r="D97" s="140"/>
      <c r="E97" s="140"/>
      <c r="F97" s="140"/>
      <c r="G97" s="139"/>
    </row>
    <row r="98" spans="1:7" x14ac:dyDescent="0.2">
      <c r="A98" s="138">
        <v>3316</v>
      </c>
      <c r="B98" s="137" t="s">
        <v>176</v>
      </c>
      <c r="C98" s="136" t="s">
        <v>175</v>
      </c>
      <c r="D98" s="135">
        <v>0</v>
      </c>
      <c r="E98" s="135">
        <v>90</v>
      </c>
      <c r="F98" s="135">
        <v>90</v>
      </c>
      <c r="G98" s="134">
        <v>100</v>
      </c>
    </row>
    <row r="99" spans="1:7" x14ac:dyDescent="0.2">
      <c r="A99" s="149">
        <v>3316</v>
      </c>
      <c r="B99" s="148"/>
      <c r="C99" s="147" t="s">
        <v>210</v>
      </c>
      <c r="D99" s="146">
        <v>0</v>
      </c>
      <c r="E99" s="146">
        <v>90</v>
      </c>
      <c r="F99" s="146">
        <v>90</v>
      </c>
      <c r="G99" s="145">
        <v>100</v>
      </c>
    </row>
    <row r="100" spans="1:7" x14ac:dyDescent="0.2">
      <c r="A100" s="142"/>
      <c r="B100" s="141"/>
      <c r="C100" s="141"/>
      <c r="D100" s="140"/>
      <c r="E100" s="140"/>
      <c r="F100" s="140"/>
      <c r="G100" s="139"/>
    </row>
    <row r="101" spans="1:7" x14ac:dyDescent="0.2">
      <c r="A101" s="138">
        <v>3319</v>
      </c>
      <c r="B101" s="137" t="s">
        <v>169</v>
      </c>
      <c r="C101" s="136" t="s">
        <v>168</v>
      </c>
      <c r="D101" s="135">
        <v>0</v>
      </c>
      <c r="E101" s="135">
        <v>61</v>
      </c>
      <c r="F101" s="135">
        <v>61</v>
      </c>
      <c r="G101" s="134">
        <v>100</v>
      </c>
    </row>
    <row r="102" spans="1:7" x14ac:dyDescent="0.2">
      <c r="A102" s="138">
        <v>3319</v>
      </c>
      <c r="B102" s="137" t="s">
        <v>161</v>
      </c>
      <c r="C102" s="136" t="s">
        <v>160</v>
      </c>
      <c r="D102" s="135">
        <v>0</v>
      </c>
      <c r="E102" s="135">
        <v>14</v>
      </c>
      <c r="F102" s="135">
        <v>14</v>
      </c>
      <c r="G102" s="134">
        <v>100</v>
      </c>
    </row>
    <row r="103" spans="1:7" x14ac:dyDescent="0.2">
      <c r="A103" s="149">
        <v>3319</v>
      </c>
      <c r="B103" s="148"/>
      <c r="C103" s="147" t="s">
        <v>209</v>
      </c>
      <c r="D103" s="146">
        <v>0</v>
      </c>
      <c r="E103" s="146">
        <v>75</v>
      </c>
      <c r="F103" s="146">
        <v>75</v>
      </c>
      <c r="G103" s="145">
        <v>100</v>
      </c>
    </row>
    <row r="104" spans="1:7" x14ac:dyDescent="0.2">
      <c r="A104" s="142"/>
      <c r="B104" s="141"/>
      <c r="C104" s="141"/>
      <c r="D104" s="140"/>
      <c r="E104" s="140"/>
      <c r="F104" s="140"/>
      <c r="G104" s="139"/>
    </row>
    <row r="105" spans="1:7" x14ac:dyDescent="0.2">
      <c r="A105" s="138">
        <v>3322</v>
      </c>
      <c r="B105" s="137" t="s">
        <v>208</v>
      </c>
      <c r="C105" s="136" t="s">
        <v>207</v>
      </c>
      <c r="D105" s="135">
        <v>0</v>
      </c>
      <c r="E105" s="135">
        <v>0</v>
      </c>
      <c r="F105" s="135">
        <v>7</v>
      </c>
      <c r="G105" s="134">
        <v>0</v>
      </c>
    </row>
    <row r="106" spans="1:7" x14ac:dyDescent="0.2">
      <c r="A106" s="149">
        <v>3322</v>
      </c>
      <c r="B106" s="148"/>
      <c r="C106" s="147" t="s">
        <v>206</v>
      </c>
      <c r="D106" s="146">
        <v>0</v>
      </c>
      <c r="E106" s="146">
        <v>0</v>
      </c>
      <c r="F106" s="146">
        <v>7</v>
      </c>
      <c r="G106" s="145">
        <v>0</v>
      </c>
    </row>
    <row r="107" spans="1:7" x14ac:dyDescent="0.2">
      <c r="A107" s="142"/>
      <c r="B107" s="141"/>
      <c r="C107" s="141"/>
      <c r="D107" s="140"/>
      <c r="E107" s="140"/>
      <c r="F107" s="140"/>
      <c r="G107" s="139"/>
    </row>
    <row r="108" spans="1:7" x14ac:dyDescent="0.2">
      <c r="A108" s="138">
        <v>3419</v>
      </c>
      <c r="B108" s="137" t="s">
        <v>173</v>
      </c>
      <c r="C108" s="136" t="s">
        <v>172</v>
      </c>
      <c r="D108" s="135">
        <v>0</v>
      </c>
      <c r="E108" s="135">
        <v>403</v>
      </c>
      <c r="F108" s="135">
        <v>403</v>
      </c>
      <c r="G108" s="134">
        <v>100</v>
      </c>
    </row>
    <row r="109" spans="1:7" x14ac:dyDescent="0.2">
      <c r="A109" s="138">
        <v>3419</v>
      </c>
      <c r="B109" s="137" t="s">
        <v>163</v>
      </c>
      <c r="C109" s="136" t="s">
        <v>162</v>
      </c>
      <c r="D109" s="135">
        <v>0</v>
      </c>
      <c r="E109" s="135">
        <v>1</v>
      </c>
      <c r="F109" s="135">
        <v>1</v>
      </c>
      <c r="G109" s="134">
        <v>100</v>
      </c>
    </row>
    <row r="110" spans="1:7" x14ac:dyDescent="0.2">
      <c r="A110" s="138">
        <v>3419</v>
      </c>
      <c r="B110" s="137" t="s">
        <v>161</v>
      </c>
      <c r="C110" s="136" t="s">
        <v>160</v>
      </c>
      <c r="D110" s="135">
        <v>0</v>
      </c>
      <c r="E110" s="135">
        <v>235</v>
      </c>
      <c r="F110" s="135">
        <v>235</v>
      </c>
      <c r="G110" s="134">
        <v>100</v>
      </c>
    </row>
    <row r="111" spans="1:7" x14ac:dyDescent="0.2">
      <c r="A111" s="138">
        <v>3419</v>
      </c>
      <c r="B111" s="137" t="s">
        <v>176</v>
      </c>
      <c r="C111" s="136" t="s">
        <v>175</v>
      </c>
      <c r="D111" s="135">
        <v>0</v>
      </c>
      <c r="E111" s="135">
        <v>3716</v>
      </c>
      <c r="F111" s="135">
        <v>3716</v>
      </c>
      <c r="G111" s="134">
        <v>100</v>
      </c>
    </row>
    <row r="112" spans="1:7" x14ac:dyDescent="0.2">
      <c r="A112" s="138">
        <v>3419</v>
      </c>
      <c r="B112" s="137" t="s">
        <v>155</v>
      </c>
      <c r="C112" s="136" t="s">
        <v>154</v>
      </c>
      <c r="D112" s="135">
        <v>0</v>
      </c>
      <c r="E112" s="135">
        <v>0</v>
      </c>
      <c r="F112" s="135">
        <v>0</v>
      </c>
      <c r="G112" s="134">
        <v>0</v>
      </c>
    </row>
    <row r="113" spans="1:7" x14ac:dyDescent="0.2">
      <c r="A113" s="138">
        <v>3419</v>
      </c>
      <c r="B113" s="148"/>
      <c r="C113" s="147" t="s">
        <v>205</v>
      </c>
      <c r="D113" s="146">
        <v>0</v>
      </c>
      <c r="E113" s="146">
        <v>4355</v>
      </c>
      <c r="F113" s="146">
        <v>4355</v>
      </c>
      <c r="G113" s="145">
        <v>100</v>
      </c>
    </row>
    <row r="114" spans="1:7" x14ac:dyDescent="0.2">
      <c r="A114" s="142"/>
      <c r="B114" s="141"/>
      <c r="C114" s="141"/>
      <c r="D114" s="140"/>
      <c r="E114" s="140"/>
      <c r="F114" s="140"/>
      <c r="G114" s="139"/>
    </row>
    <row r="115" spans="1:7" x14ac:dyDescent="0.2">
      <c r="A115" s="173">
        <v>3421</v>
      </c>
      <c r="B115" s="188" t="s">
        <v>161</v>
      </c>
      <c r="C115" s="171" t="s">
        <v>160</v>
      </c>
      <c r="D115" s="170">
        <v>0</v>
      </c>
      <c r="E115" s="170">
        <v>14</v>
      </c>
      <c r="F115" s="170">
        <v>14</v>
      </c>
      <c r="G115" s="169">
        <v>100</v>
      </c>
    </row>
    <row r="116" spans="1:7" x14ac:dyDescent="0.2">
      <c r="A116" s="138">
        <v>3421</v>
      </c>
      <c r="B116" s="137" t="s">
        <v>140</v>
      </c>
      <c r="C116" s="136" t="s">
        <v>139</v>
      </c>
      <c r="D116" s="135">
        <v>0</v>
      </c>
      <c r="E116" s="135">
        <v>10</v>
      </c>
      <c r="F116" s="135">
        <v>10</v>
      </c>
      <c r="G116" s="134">
        <v>100</v>
      </c>
    </row>
    <row r="117" spans="1:7" x14ac:dyDescent="0.2">
      <c r="A117" s="138">
        <v>3421</v>
      </c>
      <c r="B117" s="137" t="s">
        <v>159</v>
      </c>
      <c r="C117" s="136" t="s">
        <v>158</v>
      </c>
      <c r="D117" s="135">
        <v>0</v>
      </c>
      <c r="E117" s="135">
        <v>12</v>
      </c>
      <c r="F117" s="135">
        <v>13</v>
      </c>
      <c r="G117" s="134">
        <v>108.3</v>
      </c>
    </row>
    <row r="118" spans="1:7" x14ac:dyDescent="0.2">
      <c r="A118" s="138">
        <v>3421</v>
      </c>
      <c r="B118" s="137" t="s">
        <v>204</v>
      </c>
      <c r="C118" s="136" t="s">
        <v>203</v>
      </c>
      <c r="D118" s="135">
        <v>0</v>
      </c>
      <c r="E118" s="135">
        <v>0</v>
      </c>
      <c r="F118" s="135">
        <v>40</v>
      </c>
      <c r="G118" s="134">
        <v>0</v>
      </c>
    </row>
    <row r="119" spans="1:7" x14ac:dyDescent="0.2">
      <c r="A119" s="149">
        <v>3421</v>
      </c>
      <c r="B119" s="148"/>
      <c r="C119" s="147" t="s">
        <v>202</v>
      </c>
      <c r="D119" s="146">
        <v>0</v>
      </c>
      <c r="E119" s="146">
        <v>36</v>
      </c>
      <c r="F119" s="146">
        <v>77</v>
      </c>
      <c r="G119" s="145">
        <v>213.9</v>
      </c>
    </row>
    <row r="120" spans="1:7" x14ac:dyDescent="0.2">
      <c r="A120" s="142"/>
      <c r="B120" s="141"/>
      <c r="C120" s="141"/>
      <c r="D120" s="140"/>
      <c r="E120" s="140"/>
      <c r="F120" s="140"/>
      <c r="G120" s="139"/>
    </row>
    <row r="121" spans="1:7" x14ac:dyDescent="0.2">
      <c r="A121" s="138">
        <v>3522</v>
      </c>
      <c r="B121" s="137" t="s">
        <v>184</v>
      </c>
      <c r="C121" s="136" t="s">
        <v>183</v>
      </c>
      <c r="D121" s="135">
        <v>6327</v>
      </c>
      <c r="E121" s="135">
        <v>10279</v>
      </c>
      <c r="F121" s="135">
        <v>10279</v>
      </c>
      <c r="G121" s="134">
        <v>100</v>
      </c>
    </row>
    <row r="122" spans="1:7" x14ac:dyDescent="0.2">
      <c r="A122" s="138">
        <v>3522</v>
      </c>
      <c r="B122" s="137" t="s">
        <v>169</v>
      </c>
      <c r="C122" s="136" t="s">
        <v>168</v>
      </c>
      <c r="D122" s="135">
        <v>6369</v>
      </c>
      <c r="E122" s="135">
        <v>8260</v>
      </c>
      <c r="F122" s="135">
        <v>8260</v>
      </c>
      <c r="G122" s="134">
        <v>100</v>
      </c>
    </row>
    <row r="123" spans="1:7" x14ac:dyDescent="0.2">
      <c r="A123" s="138">
        <v>3522</v>
      </c>
      <c r="B123" s="148"/>
      <c r="C123" s="147" t="s">
        <v>201</v>
      </c>
      <c r="D123" s="146">
        <v>12696</v>
      </c>
      <c r="E123" s="146">
        <v>18539</v>
      </c>
      <c r="F123" s="146">
        <v>18539</v>
      </c>
      <c r="G123" s="145">
        <v>100</v>
      </c>
    </row>
    <row r="124" spans="1:7" x14ac:dyDescent="0.2">
      <c r="A124" s="142"/>
      <c r="B124" s="141"/>
      <c r="C124" s="141"/>
      <c r="D124" s="140"/>
      <c r="E124" s="140"/>
      <c r="F124" s="140"/>
      <c r="G124" s="139"/>
    </row>
    <row r="125" spans="1:7" x14ac:dyDescent="0.2">
      <c r="A125" s="138">
        <v>3533</v>
      </c>
      <c r="B125" s="137" t="s">
        <v>184</v>
      </c>
      <c r="C125" s="136" t="s">
        <v>183</v>
      </c>
      <c r="D125" s="135">
        <v>11958</v>
      </c>
      <c r="E125" s="135">
        <v>11958</v>
      </c>
      <c r="F125" s="135">
        <v>11958</v>
      </c>
      <c r="G125" s="134">
        <v>100</v>
      </c>
    </row>
    <row r="126" spans="1:7" x14ac:dyDescent="0.2">
      <c r="A126" s="138">
        <v>3533</v>
      </c>
      <c r="B126" s="148"/>
      <c r="C126" s="147" t="s">
        <v>200</v>
      </c>
      <c r="D126" s="146">
        <v>11958</v>
      </c>
      <c r="E126" s="146">
        <v>11958</v>
      </c>
      <c r="F126" s="146">
        <v>11958</v>
      </c>
      <c r="G126" s="145">
        <v>100</v>
      </c>
    </row>
    <row r="127" spans="1:7" x14ac:dyDescent="0.2">
      <c r="A127" s="142"/>
      <c r="B127" s="141"/>
      <c r="C127" s="141"/>
      <c r="D127" s="140"/>
      <c r="E127" s="140"/>
      <c r="F127" s="140"/>
      <c r="G127" s="139"/>
    </row>
    <row r="128" spans="1:7" x14ac:dyDescent="0.2">
      <c r="A128" s="138">
        <v>3599</v>
      </c>
      <c r="B128" s="137" t="s">
        <v>161</v>
      </c>
      <c r="C128" s="136" t="s">
        <v>160</v>
      </c>
      <c r="D128" s="135">
        <v>0</v>
      </c>
      <c r="E128" s="135">
        <v>153</v>
      </c>
      <c r="F128" s="135">
        <v>153</v>
      </c>
      <c r="G128" s="134">
        <v>100</v>
      </c>
    </row>
    <row r="129" spans="1:7" x14ac:dyDescent="0.2">
      <c r="A129" s="138">
        <v>3599</v>
      </c>
      <c r="B129" s="137" t="s">
        <v>159</v>
      </c>
      <c r="C129" s="136" t="s">
        <v>158</v>
      </c>
      <c r="D129" s="135">
        <v>0</v>
      </c>
      <c r="E129" s="135">
        <v>4</v>
      </c>
      <c r="F129" s="135">
        <v>4</v>
      </c>
      <c r="G129" s="134">
        <v>100</v>
      </c>
    </row>
    <row r="130" spans="1:7" x14ac:dyDescent="0.2">
      <c r="A130" s="138">
        <v>3599</v>
      </c>
      <c r="B130" s="148"/>
      <c r="C130" s="147" t="s">
        <v>199</v>
      </c>
      <c r="D130" s="146">
        <v>0</v>
      </c>
      <c r="E130" s="146">
        <v>157</v>
      </c>
      <c r="F130" s="146">
        <v>157</v>
      </c>
      <c r="G130" s="145">
        <v>100</v>
      </c>
    </row>
    <row r="131" spans="1:7" x14ac:dyDescent="0.2">
      <c r="A131" s="142"/>
      <c r="B131" s="141"/>
      <c r="C131" s="141"/>
      <c r="D131" s="140"/>
      <c r="E131" s="140"/>
      <c r="F131" s="140"/>
      <c r="G131" s="139"/>
    </row>
    <row r="132" spans="1:7" x14ac:dyDescent="0.2">
      <c r="A132" s="138">
        <v>3636</v>
      </c>
      <c r="B132" s="137" t="s">
        <v>163</v>
      </c>
      <c r="C132" s="136" t="s">
        <v>162</v>
      </c>
      <c r="D132" s="135">
        <v>0</v>
      </c>
      <c r="E132" s="135">
        <v>168</v>
      </c>
      <c r="F132" s="135">
        <v>168</v>
      </c>
      <c r="G132" s="134">
        <v>100</v>
      </c>
    </row>
    <row r="133" spans="1:7" x14ac:dyDescent="0.2">
      <c r="A133" s="138">
        <v>3636</v>
      </c>
      <c r="B133" s="137" t="s">
        <v>161</v>
      </c>
      <c r="C133" s="136" t="s">
        <v>160</v>
      </c>
      <c r="D133" s="135">
        <v>0</v>
      </c>
      <c r="E133" s="135">
        <v>171</v>
      </c>
      <c r="F133" s="135">
        <v>171</v>
      </c>
      <c r="G133" s="134">
        <v>100</v>
      </c>
    </row>
    <row r="134" spans="1:7" x14ac:dyDescent="0.2">
      <c r="A134" s="138">
        <v>3636</v>
      </c>
      <c r="B134" s="148"/>
      <c r="C134" s="147" t="s">
        <v>198</v>
      </c>
      <c r="D134" s="146">
        <v>0</v>
      </c>
      <c r="E134" s="146">
        <v>339</v>
      </c>
      <c r="F134" s="146">
        <v>339</v>
      </c>
      <c r="G134" s="145">
        <v>100</v>
      </c>
    </row>
    <row r="135" spans="1:7" x14ac:dyDescent="0.2">
      <c r="A135" s="142"/>
      <c r="B135" s="141"/>
      <c r="C135" s="141"/>
      <c r="D135" s="140"/>
      <c r="E135" s="140"/>
      <c r="F135" s="140"/>
      <c r="G135" s="139"/>
    </row>
    <row r="136" spans="1:7" x14ac:dyDescent="0.2">
      <c r="A136" s="138">
        <v>3639</v>
      </c>
      <c r="B136" s="137" t="s">
        <v>173</v>
      </c>
      <c r="C136" s="136" t="s">
        <v>172</v>
      </c>
      <c r="D136" s="135">
        <v>1692</v>
      </c>
      <c r="E136" s="135">
        <v>1695</v>
      </c>
      <c r="F136" s="135">
        <v>1555</v>
      </c>
      <c r="G136" s="134">
        <v>91.7</v>
      </c>
    </row>
    <row r="137" spans="1:7" x14ac:dyDescent="0.2">
      <c r="A137" s="138">
        <v>3639</v>
      </c>
      <c r="B137" s="137" t="s">
        <v>197</v>
      </c>
      <c r="C137" s="136" t="s">
        <v>196</v>
      </c>
      <c r="D137" s="135">
        <v>1500</v>
      </c>
      <c r="E137" s="135">
        <v>2803</v>
      </c>
      <c r="F137" s="135">
        <v>3254</v>
      </c>
      <c r="G137" s="134">
        <v>116.1</v>
      </c>
    </row>
    <row r="138" spans="1:7" x14ac:dyDescent="0.2">
      <c r="A138" s="138">
        <v>3639</v>
      </c>
      <c r="B138" s="137" t="s">
        <v>195</v>
      </c>
      <c r="C138" s="136" t="s">
        <v>194</v>
      </c>
      <c r="D138" s="135">
        <v>834</v>
      </c>
      <c r="E138" s="135">
        <v>833</v>
      </c>
      <c r="F138" s="135">
        <v>838</v>
      </c>
      <c r="G138" s="134">
        <v>100.6</v>
      </c>
    </row>
    <row r="139" spans="1:7" x14ac:dyDescent="0.2">
      <c r="A139" s="138">
        <v>3639</v>
      </c>
      <c r="B139" s="137" t="s">
        <v>161</v>
      </c>
      <c r="C139" s="136" t="s">
        <v>160</v>
      </c>
      <c r="D139" s="135">
        <v>0</v>
      </c>
      <c r="E139" s="135">
        <v>191</v>
      </c>
      <c r="F139" s="135">
        <v>191</v>
      </c>
      <c r="G139" s="134">
        <v>100</v>
      </c>
    </row>
    <row r="140" spans="1:7" x14ac:dyDescent="0.2">
      <c r="A140" s="138">
        <v>3639</v>
      </c>
      <c r="B140" s="137" t="s">
        <v>176</v>
      </c>
      <c r="C140" s="136" t="s">
        <v>175</v>
      </c>
      <c r="D140" s="135">
        <v>0</v>
      </c>
      <c r="E140" s="135">
        <v>50</v>
      </c>
      <c r="F140" s="135">
        <v>50</v>
      </c>
      <c r="G140" s="134">
        <v>100</v>
      </c>
    </row>
    <row r="141" spans="1:7" x14ac:dyDescent="0.2">
      <c r="A141" s="138">
        <v>3639</v>
      </c>
      <c r="B141" s="137" t="s">
        <v>159</v>
      </c>
      <c r="C141" s="136" t="s">
        <v>158</v>
      </c>
      <c r="D141" s="135">
        <v>0</v>
      </c>
      <c r="E141" s="135">
        <v>4</v>
      </c>
      <c r="F141" s="135">
        <v>4</v>
      </c>
      <c r="G141" s="134">
        <v>100</v>
      </c>
    </row>
    <row r="142" spans="1:7" x14ac:dyDescent="0.2">
      <c r="A142" s="138">
        <v>3639</v>
      </c>
      <c r="B142" s="137" t="s">
        <v>155</v>
      </c>
      <c r="C142" s="136" t="s">
        <v>154</v>
      </c>
      <c r="D142" s="135">
        <v>0</v>
      </c>
      <c r="E142" s="135">
        <v>0</v>
      </c>
      <c r="F142" s="135">
        <v>0</v>
      </c>
      <c r="G142" s="134">
        <v>0</v>
      </c>
    </row>
    <row r="143" spans="1:7" x14ac:dyDescent="0.2">
      <c r="A143" s="138">
        <v>3639</v>
      </c>
      <c r="B143" s="148"/>
      <c r="C143" s="147" t="s">
        <v>125</v>
      </c>
      <c r="D143" s="146">
        <v>1692</v>
      </c>
      <c r="E143" s="146">
        <v>5576</v>
      </c>
      <c r="F143" s="146">
        <v>5892</v>
      </c>
      <c r="G143" s="145">
        <v>105.7</v>
      </c>
    </row>
    <row r="144" spans="1:7" x14ac:dyDescent="0.2">
      <c r="A144" s="142"/>
      <c r="B144" s="141"/>
      <c r="C144" s="141"/>
      <c r="D144" s="140"/>
      <c r="E144" s="140"/>
      <c r="F144" s="140"/>
      <c r="G144" s="139"/>
    </row>
    <row r="145" spans="1:7" x14ac:dyDescent="0.2">
      <c r="A145" s="138">
        <v>3742</v>
      </c>
      <c r="B145" s="137" t="s">
        <v>161</v>
      </c>
      <c r="C145" s="136" t="s">
        <v>160</v>
      </c>
      <c r="D145" s="135">
        <v>0</v>
      </c>
      <c r="E145" s="135">
        <v>0</v>
      </c>
      <c r="F145" s="135">
        <v>0</v>
      </c>
      <c r="G145" s="134">
        <v>0</v>
      </c>
    </row>
    <row r="146" spans="1:7" x14ac:dyDescent="0.2">
      <c r="A146" s="138">
        <v>3742</v>
      </c>
      <c r="B146" s="148"/>
      <c r="C146" s="147" t="s">
        <v>193</v>
      </c>
      <c r="D146" s="146">
        <v>0</v>
      </c>
      <c r="E146" s="146">
        <v>0</v>
      </c>
      <c r="F146" s="146">
        <v>0</v>
      </c>
      <c r="G146" s="145">
        <v>0</v>
      </c>
    </row>
    <row r="147" spans="1:7" x14ac:dyDescent="0.2">
      <c r="A147" s="142"/>
      <c r="B147" s="141"/>
      <c r="C147" s="141"/>
      <c r="D147" s="140"/>
      <c r="E147" s="140"/>
      <c r="F147" s="140"/>
      <c r="G147" s="139"/>
    </row>
    <row r="148" spans="1:7" x14ac:dyDescent="0.2">
      <c r="A148" s="138">
        <v>3769</v>
      </c>
      <c r="B148" s="137" t="s">
        <v>161</v>
      </c>
      <c r="C148" s="136" t="s">
        <v>160</v>
      </c>
      <c r="D148" s="135">
        <v>0</v>
      </c>
      <c r="E148" s="135">
        <v>932</v>
      </c>
      <c r="F148" s="135">
        <v>1032</v>
      </c>
      <c r="G148" s="134">
        <v>110.7</v>
      </c>
    </row>
    <row r="149" spans="1:7" x14ac:dyDescent="0.2">
      <c r="A149" s="138">
        <v>3769</v>
      </c>
      <c r="B149" s="137" t="s">
        <v>159</v>
      </c>
      <c r="C149" s="136" t="s">
        <v>158</v>
      </c>
      <c r="D149" s="135">
        <v>1000</v>
      </c>
      <c r="E149" s="135">
        <v>1001</v>
      </c>
      <c r="F149" s="135">
        <v>211</v>
      </c>
      <c r="G149" s="134">
        <v>21.1</v>
      </c>
    </row>
    <row r="150" spans="1:7" x14ac:dyDescent="0.2">
      <c r="A150" s="138">
        <v>3769</v>
      </c>
      <c r="B150" s="148"/>
      <c r="C150" s="147" t="s">
        <v>192</v>
      </c>
      <c r="D150" s="146">
        <v>1000</v>
      </c>
      <c r="E150" s="146">
        <v>1933</v>
      </c>
      <c r="F150" s="146">
        <v>1243</v>
      </c>
      <c r="G150" s="145">
        <v>64.3</v>
      </c>
    </row>
    <row r="151" spans="1:7" x14ac:dyDescent="0.2">
      <c r="A151" s="142"/>
      <c r="B151" s="141"/>
      <c r="C151" s="141"/>
      <c r="D151" s="140"/>
      <c r="E151" s="140"/>
      <c r="F151" s="140"/>
      <c r="G151" s="139"/>
    </row>
    <row r="152" spans="1:7" x14ac:dyDescent="0.2">
      <c r="A152" s="138">
        <v>4179</v>
      </c>
      <c r="B152" s="137" t="s">
        <v>140</v>
      </c>
      <c r="C152" s="136" t="s">
        <v>139</v>
      </c>
      <c r="D152" s="135">
        <v>0</v>
      </c>
      <c r="E152" s="135">
        <v>0</v>
      </c>
      <c r="F152" s="135">
        <v>0</v>
      </c>
      <c r="G152" s="134">
        <v>0</v>
      </c>
    </row>
    <row r="153" spans="1:7" x14ac:dyDescent="0.2">
      <c r="A153" s="138">
        <v>4179</v>
      </c>
      <c r="B153" s="148"/>
      <c r="C153" s="147" t="s">
        <v>191</v>
      </c>
      <c r="D153" s="146">
        <v>0</v>
      </c>
      <c r="E153" s="146">
        <v>0</v>
      </c>
      <c r="F153" s="146">
        <v>0</v>
      </c>
      <c r="G153" s="145">
        <v>0</v>
      </c>
    </row>
    <row r="154" spans="1:7" x14ac:dyDescent="0.2">
      <c r="A154" s="142"/>
      <c r="B154" s="141"/>
      <c r="C154" s="141"/>
      <c r="D154" s="140"/>
      <c r="E154" s="140"/>
      <c r="F154" s="140"/>
      <c r="G154" s="139"/>
    </row>
    <row r="155" spans="1:7" x14ac:dyDescent="0.2">
      <c r="A155" s="138">
        <v>4182</v>
      </c>
      <c r="B155" s="137" t="s">
        <v>140</v>
      </c>
      <c r="C155" s="136" t="s">
        <v>139</v>
      </c>
      <c r="D155" s="135">
        <v>0</v>
      </c>
      <c r="E155" s="135">
        <v>0</v>
      </c>
      <c r="F155" s="135">
        <v>0</v>
      </c>
      <c r="G155" s="134">
        <v>0</v>
      </c>
    </row>
    <row r="156" spans="1:7" x14ac:dyDescent="0.2">
      <c r="A156" s="138">
        <v>4182</v>
      </c>
      <c r="B156" s="148"/>
      <c r="C156" s="147" t="s">
        <v>190</v>
      </c>
      <c r="D156" s="146">
        <v>0</v>
      </c>
      <c r="E156" s="146">
        <v>0</v>
      </c>
      <c r="F156" s="146">
        <v>0</v>
      </c>
      <c r="G156" s="145">
        <v>0</v>
      </c>
    </row>
    <row r="157" spans="1:7" x14ac:dyDescent="0.2">
      <c r="A157" s="142"/>
      <c r="B157" s="141"/>
      <c r="C157" s="141"/>
      <c r="D157" s="140"/>
      <c r="E157" s="140"/>
      <c r="F157" s="140"/>
      <c r="G157" s="139"/>
    </row>
    <row r="158" spans="1:7" x14ac:dyDescent="0.2">
      <c r="A158" s="173">
        <v>4184</v>
      </c>
      <c r="B158" s="188" t="s">
        <v>140</v>
      </c>
      <c r="C158" s="171" t="s">
        <v>139</v>
      </c>
      <c r="D158" s="170">
        <v>0</v>
      </c>
      <c r="E158" s="170">
        <v>0</v>
      </c>
      <c r="F158" s="170">
        <v>0</v>
      </c>
      <c r="G158" s="169">
        <v>0</v>
      </c>
    </row>
    <row r="159" spans="1:7" x14ac:dyDescent="0.2">
      <c r="A159" s="149">
        <v>4184</v>
      </c>
      <c r="B159" s="148"/>
      <c r="C159" s="147" t="s">
        <v>189</v>
      </c>
      <c r="D159" s="146">
        <v>0</v>
      </c>
      <c r="E159" s="146">
        <v>0</v>
      </c>
      <c r="F159" s="146">
        <v>0</v>
      </c>
      <c r="G159" s="145">
        <v>0</v>
      </c>
    </row>
    <row r="160" spans="1:7" x14ac:dyDescent="0.2">
      <c r="A160" s="142"/>
      <c r="B160" s="141"/>
      <c r="C160" s="141"/>
      <c r="D160" s="140"/>
      <c r="E160" s="140"/>
      <c r="F160" s="140"/>
      <c r="G160" s="139"/>
    </row>
    <row r="161" spans="1:7" x14ac:dyDescent="0.2">
      <c r="A161" s="138">
        <v>4185</v>
      </c>
      <c r="B161" s="137" t="s">
        <v>140</v>
      </c>
      <c r="C161" s="136" t="s">
        <v>139</v>
      </c>
      <c r="D161" s="135">
        <v>0</v>
      </c>
      <c r="E161" s="135">
        <v>0</v>
      </c>
      <c r="F161" s="135">
        <v>0</v>
      </c>
      <c r="G161" s="134">
        <v>0</v>
      </c>
    </row>
    <row r="162" spans="1:7" x14ac:dyDescent="0.2">
      <c r="A162" s="149">
        <v>4185</v>
      </c>
      <c r="B162" s="148"/>
      <c r="C162" s="147" t="s">
        <v>188</v>
      </c>
      <c r="D162" s="146">
        <v>0</v>
      </c>
      <c r="E162" s="146">
        <v>0</v>
      </c>
      <c r="F162" s="146">
        <v>0</v>
      </c>
      <c r="G162" s="145">
        <v>0</v>
      </c>
    </row>
    <row r="163" spans="1:7" x14ac:dyDescent="0.2">
      <c r="A163" s="142"/>
      <c r="B163" s="141"/>
      <c r="C163" s="141"/>
      <c r="D163" s="140"/>
      <c r="E163" s="140"/>
      <c r="F163" s="140"/>
      <c r="G163" s="139"/>
    </row>
    <row r="164" spans="1:7" x14ac:dyDescent="0.2">
      <c r="A164" s="138">
        <v>4189</v>
      </c>
      <c r="B164" s="137" t="s">
        <v>140</v>
      </c>
      <c r="C164" s="136" t="s">
        <v>139</v>
      </c>
      <c r="D164" s="135">
        <v>0</v>
      </c>
      <c r="E164" s="135">
        <v>0</v>
      </c>
      <c r="F164" s="135">
        <v>0</v>
      </c>
      <c r="G164" s="134">
        <v>0</v>
      </c>
    </row>
    <row r="165" spans="1:7" x14ac:dyDescent="0.2">
      <c r="A165" s="138">
        <v>4189</v>
      </c>
      <c r="B165" s="148"/>
      <c r="C165" s="147" t="s">
        <v>187</v>
      </c>
      <c r="D165" s="146">
        <v>0</v>
      </c>
      <c r="E165" s="146">
        <v>0</v>
      </c>
      <c r="F165" s="146">
        <v>0</v>
      </c>
      <c r="G165" s="145">
        <v>0</v>
      </c>
    </row>
    <row r="166" spans="1:7" x14ac:dyDescent="0.2">
      <c r="A166" s="142"/>
      <c r="B166" s="141"/>
      <c r="C166" s="141"/>
      <c r="D166" s="140"/>
      <c r="E166" s="140"/>
      <c r="F166" s="140"/>
      <c r="G166" s="139"/>
    </row>
    <row r="167" spans="1:7" x14ac:dyDescent="0.2">
      <c r="A167" s="138">
        <v>4349</v>
      </c>
      <c r="B167" s="137" t="s">
        <v>161</v>
      </c>
      <c r="C167" s="136" t="s">
        <v>160</v>
      </c>
      <c r="D167" s="135">
        <v>0</v>
      </c>
      <c r="E167" s="135">
        <v>7</v>
      </c>
      <c r="F167" s="135">
        <v>7</v>
      </c>
      <c r="G167" s="134">
        <v>100</v>
      </c>
    </row>
    <row r="168" spans="1:7" x14ac:dyDescent="0.2">
      <c r="A168" s="138">
        <v>4349</v>
      </c>
      <c r="B168" s="148"/>
      <c r="C168" s="147" t="s">
        <v>186</v>
      </c>
      <c r="D168" s="146">
        <v>0</v>
      </c>
      <c r="E168" s="146">
        <v>7</v>
      </c>
      <c r="F168" s="146">
        <v>7</v>
      </c>
      <c r="G168" s="145">
        <v>100</v>
      </c>
    </row>
    <row r="169" spans="1:7" x14ac:dyDescent="0.2">
      <c r="A169" s="142"/>
      <c r="B169" s="141"/>
      <c r="C169" s="141"/>
      <c r="D169" s="140"/>
      <c r="E169" s="140"/>
      <c r="F169" s="140"/>
      <c r="G169" s="139"/>
    </row>
    <row r="170" spans="1:7" x14ac:dyDescent="0.2">
      <c r="A170" s="138">
        <v>4350</v>
      </c>
      <c r="B170" s="137" t="s">
        <v>184</v>
      </c>
      <c r="C170" s="136" t="s">
        <v>183</v>
      </c>
      <c r="D170" s="135">
        <v>1000</v>
      </c>
      <c r="E170" s="135">
        <v>1000</v>
      </c>
      <c r="F170" s="135">
        <v>1000</v>
      </c>
      <c r="G170" s="134">
        <v>100</v>
      </c>
    </row>
    <row r="171" spans="1:7" x14ac:dyDescent="0.2">
      <c r="A171" s="138">
        <v>4350</v>
      </c>
      <c r="B171" s="148"/>
      <c r="C171" s="147" t="s">
        <v>185</v>
      </c>
      <c r="D171" s="146">
        <v>1000</v>
      </c>
      <c r="E171" s="146">
        <v>1000</v>
      </c>
      <c r="F171" s="146">
        <v>1000</v>
      </c>
      <c r="G171" s="145">
        <v>100</v>
      </c>
    </row>
    <row r="172" spans="1:7" x14ac:dyDescent="0.2">
      <c r="A172" s="142"/>
      <c r="B172" s="141"/>
      <c r="C172" s="141"/>
      <c r="D172" s="140"/>
      <c r="E172" s="140"/>
      <c r="F172" s="140"/>
      <c r="G172" s="139"/>
    </row>
    <row r="173" spans="1:7" x14ac:dyDescent="0.2">
      <c r="A173" s="138">
        <v>4357</v>
      </c>
      <c r="B173" s="137" t="s">
        <v>184</v>
      </c>
      <c r="C173" s="136" t="s">
        <v>183</v>
      </c>
      <c r="D173" s="135">
        <v>11000</v>
      </c>
      <c r="E173" s="135">
        <v>11000</v>
      </c>
      <c r="F173" s="135">
        <v>11000</v>
      </c>
      <c r="G173" s="134">
        <v>100</v>
      </c>
    </row>
    <row r="174" spans="1:7" x14ac:dyDescent="0.2">
      <c r="A174" s="138">
        <v>4357</v>
      </c>
      <c r="B174" s="137" t="s">
        <v>159</v>
      </c>
      <c r="C174" s="136" t="s">
        <v>158</v>
      </c>
      <c r="D174" s="135">
        <v>0</v>
      </c>
      <c r="E174" s="135">
        <v>921</v>
      </c>
      <c r="F174" s="135">
        <v>921</v>
      </c>
      <c r="G174" s="134">
        <v>100</v>
      </c>
    </row>
    <row r="175" spans="1:7" x14ac:dyDescent="0.2">
      <c r="A175" s="138">
        <v>4357</v>
      </c>
      <c r="B175" s="148"/>
      <c r="C175" s="147" t="s">
        <v>182</v>
      </c>
      <c r="D175" s="146">
        <v>11000</v>
      </c>
      <c r="E175" s="146">
        <v>11921</v>
      </c>
      <c r="F175" s="146">
        <v>11921</v>
      </c>
      <c r="G175" s="145">
        <v>100</v>
      </c>
    </row>
    <row r="176" spans="1:7" x14ac:dyDescent="0.2">
      <c r="A176" s="142"/>
      <c r="B176" s="141"/>
      <c r="C176" s="141"/>
      <c r="D176" s="140"/>
      <c r="E176" s="140"/>
      <c r="F176" s="140"/>
      <c r="G176" s="139"/>
    </row>
    <row r="177" spans="1:7" x14ac:dyDescent="0.2">
      <c r="A177" s="138">
        <v>4371</v>
      </c>
      <c r="B177" s="137" t="s">
        <v>161</v>
      </c>
      <c r="C177" s="136" t="s">
        <v>160</v>
      </c>
      <c r="D177" s="135">
        <v>0</v>
      </c>
      <c r="E177" s="135">
        <v>0</v>
      </c>
      <c r="F177" s="135">
        <v>2</v>
      </c>
      <c r="G177" s="134">
        <v>0</v>
      </c>
    </row>
    <row r="178" spans="1:7" x14ac:dyDescent="0.2">
      <c r="A178" s="138">
        <v>4371</v>
      </c>
      <c r="B178" s="148"/>
      <c r="C178" s="147" t="s">
        <v>181</v>
      </c>
      <c r="D178" s="146">
        <v>0</v>
      </c>
      <c r="E178" s="146">
        <v>0</v>
      </c>
      <c r="F178" s="146">
        <v>2</v>
      </c>
      <c r="G178" s="145">
        <v>0</v>
      </c>
    </row>
    <row r="179" spans="1:7" x14ac:dyDescent="0.2">
      <c r="A179" s="142"/>
      <c r="B179" s="141"/>
      <c r="C179" s="141"/>
      <c r="D179" s="140"/>
      <c r="E179" s="140"/>
      <c r="F179" s="140"/>
      <c r="G179" s="139"/>
    </row>
    <row r="180" spans="1:7" x14ac:dyDescent="0.2">
      <c r="A180" s="138">
        <v>4379</v>
      </c>
      <c r="B180" s="137" t="s">
        <v>161</v>
      </c>
      <c r="C180" s="136" t="s">
        <v>160</v>
      </c>
      <c r="D180" s="135">
        <v>0</v>
      </c>
      <c r="E180" s="135">
        <v>109</v>
      </c>
      <c r="F180" s="135">
        <v>231</v>
      </c>
      <c r="G180" s="134">
        <v>211.9</v>
      </c>
    </row>
    <row r="181" spans="1:7" x14ac:dyDescent="0.2">
      <c r="A181" s="138">
        <v>4379</v>
      </c>
      <c r="B181" s="137" t="s">
        <v>159</v>
      </c>
      <c r="C181" s="136" t="s">
        <v>158</v>
      </c>
      <c r="D181" s="135">
        <v>0</v>
      </c>
      <c r="E181" s="135">
        <v>183</v>
      </c>
      <c r="F181" s="135">
        <v>183</v>
      </c>
      <c r="G181" s="134">
        <v>100</v>
      </c>
    </row>
    <row r="182" spans="1:7" x14ac:dyDescent="0.2">
      <c r="A182" s="138">
        <v>4379</v>
      </c>
      <c r="B182" s="148"/>
      <c r="C182" s="147" t="s">
        <v>180</v>
      </c>
      <c r="D182" s="146">
        <v>0</v>
      </c>
      <c r="E182" s="146">
        <v>292</v>
      </c>
      <c r="F182" s="146">
        <v>414</v>
      </c>
      <c r="G182" s="145">
        <v>141.80000000000001</v>
      </c>
    </row>
    <row r="183" spans="1:7" x14ac:dyDescent="0.2">
      <c r="A183" s="142"/>
      <c r="B183" s="141"/>
      <c r="C183" s="141"/>
      <c r="D183" s="140"/>
      <c r="E183" s="140"/>
      <c r="F183" s="140"/>
      <c r="G183" s="139"/>
    </row>
    <row r="184" spans="1:7" x14ac:dyDescent="0.2">
      <c r="A184" s="138">
        <v>4399</v>
      </c>
      <c r="B184" s="137" t="s">
        <v>161</v>
      </c>
      <c r="C184" s="136" t="s">
        <v>160</v>
      </c>
      <c r="D184" s="135">
        <v>0</v>
      </c>
      <c r="E184" s="135">
        <v>313</v>
      </c>
      <c r="F184" s="135">
        <v>516</v>
      </c>
      <c r="G184" s="134">
        <v>164.9</v>
      </c>
    </row>
    <row r="185" spans="1:7" x14ac:dyDescent="0.2">
      <c r="A185" s="138">
        <v>4399</v>
      </c>
      <c r="B185" s="137" t="s">
        <v>159</v>
      </c>
      <c r="C185" s="136" t="s">
        <v>158</v>
      </c>
      <c r="D185" s="135">
        <v>0</v>
      </c>
      <c r="E185" s="135">
        <v>4</v>
      </c>
      <c r="F185" s="135">
        <v>4</v>
      </c>
      <c r="G185" s="134">
        <v>100</v>
      </c>
    </row>
    <row r="186" spans="1:7" x14ac:dyDescent="0.2">
      <c r="A186" s="138">
        <v>4399</v>
      </c>
      <c r="B186" s="148"/>
      <c r="C186" s="147" t="s">
        <v>179</v>
      </c>
      <c r="D186" s="146">
        <v>0</v>
      </c>
      <c r="E186" s="146">
        <v>317</v>
      </c>
      <c r="F186" s="146">
        <v>520</v>
      </c>
      <c r="G186" s="145">
        <v>164</v>
      </c>
    </row>
    <row r="187" spans="1:7" x14ac:dyDescent="0.2">
      <c r="A187" s="142"/>
      <c r="B187" s="141"/>
      <c r="C187" s="141"/>
      <c r="D187" s="140"/>
      <c r="E187" s="140"/>
      <c r="F187" s="140"/>
      <c r="G187" s="139"/>
    </row>
    <row r="188" spans="1:7" x14ac:dyDescent="0.2">
      <c r="A188" s="138">
        <v>5273</v>
      </c>
      <c r="B188" s="137" t="s">
        <v>173</v>
      </c>
      <c r="C188" s="136" t="s">
        <v>172</v>
      </c>
      <c r="D188" s="135">
        <v>600</v>
      </c>
      <c r="E188" s="135">
        <v>627</v>
      </c>
      <c r="F188" s="135">
        <v>627</v>
      </c>
      <c r="G188" s="134">
        <v>100</v>
      </c>
    </row>
    <row r="189" spans="1:7" x14ac:dyDescent="0.2">
      <c r="A189" s="138">
        <v>5273</v>
      </c>
      <c r="B189" s="148"/>
      <c r="C189" s="147" t="s">
        <v>178</v>
      </c>
      <c r="D189" s="146">
        <v>600</v>
      </c>
      <c r="E189" s="146">
        <v>627</v>
      </c>
      <c r="F189" s="146">
        <v>627</v>
      </c>
      <c r="G189" s="145">
        <v>100</v>
      </c>
    </row>
    <row r="190" spans="1:7" x14ac:dyDescent="0.2">
      <c r="A190" s="142"/>
      <c r="B190" s="141"/>
      <c r="C190" s="141"/>
      <c r="D190" s="140"/>
      <c r="E190" s="140"/>
      <c r="F190" s="140"/>
      <c r="G190" s="139"/>
    </row>
    <row r="191" spans="1:7" x14ac:dyDescent="0.2">
      <c r="A191" s="138">
        <v>5511</v>
      </c>
      <c r="B191" s="137" t="s">
        <v>161</v>
      </c>
      <c r="C191" s="136" t="s">
        <v>160</v>
      </c>
      <c r="D191" s="135">
        <v>0</v>
      </c>
      <c r="E191" s="135">
        <v>0</v>
      </c>
      <c r="F191" s="135">
        <v>131</v>
      </c>
      <c r="G191" s="134">
        <v>0</v>
      </c>
    </row>
    <row r="192" spans="1:7" x14ac:dyDescent="0.2">
      <c r="A192" s="138">
        <v>5511</v>
      </c>
      <c r="B192" s="137" t="s">
        <v>155</v>
      </c>
      <c r="C192" s="136" t="s">
        <v>154</v>
      </c>
      <c r="D192" s="135">
        <v>3100</v>
      </c>
      <c r="E192" s="135">
        <v>3100</v>
      </c>
      <c r="F192" s="135">
        <v>3100</v>
      </c>
      <c r="G192" s="134">
        <v>100</v>
      </c>
    </row>
    <row r="193" spans="1:7" x14ac:dyDescent="0.2">
      <c r="A193" s="138">
        <v>5511</v>
      </c>
      <c r="B193" s="148"/>
      <c r="C193" s="147" t="s">
        <v>122</v>
      </c>
      <c r="D193" s="146">
        <v>3100</v>
      </c>
      <c r="E193" s="146">
        <v>3100</v>
      </c>
      <c r="F193" s="146">
        <v>3231</v>
      </c>
      <c r="G193" s="145">
        <v>104.2</v>
      </c>
    </row>
    <row r="194" spans="1:7" x14ac:dyDescent="0.2">
      <c r="A194" s="142"/>
      <c r="B194" s="141"/>
      <c r="C194" s="141"/>
      <c r="D194" s="140"/>
      <c r="E194" s="140"/>
      <c r="F194" s="140"/>
      <c r="G194" s="139"/>
    </row>
    <row r="195" spans="1:7" x14ac:dyDescent="0.2">
      <c r="A195" s="138">
        <v>5521</v>
      </c>
      <c r="B195" s="137" t="s">
        <v>169</v>
      </c>
      <c r="C195" s="136" t="s">
        <v>168</v>
      </c>
      <c r="D195" s="135">
        <v>0</v>
      </c>
      <c r="E195" s="135">
        <v>0</v>
      </c>
      <c r="F195" s="135">
        <v>12</v>
      </c>
      <c r="G195" s="134">
        <v>0</v>
      </c>
    </row>
    <row r="196" spans="1:7" x14ac:dyDescent="0.2">
      <c r="A196" s="138">
        <v>5521</v>
      </c>
      <c r="B196" s="137" t="s">
        <v>161</v>
      </c>
      <c r="C196" s="136" t="s">
        <v>160</v>
      </c>
      <c r="D196" s="135">
        <v>0</v>
      </c>
      <c r="E196" s="135">
        <v>0</v>
      </c>
      <c r="F196" s="135">
        <v>9</v>
      </c>
      <c r="G196" s="134">
        <v>0</v>
      </c>
    </row>
    <row r="197" spans="1:7" x14ac:dyDescent="0.2">
      <c r="A197" s="138">
        <v>5521</v>
      </c>
      <c r="B197" s="137" t="s">
        <v>159</v>
      </c>
      <c r="C197" s="136" t="s">
        <v>158</v>
      </c>
      <c r="D197" s="135">
        <v>0</v>
      </c>
      <c r="E197" s="135">
        <v>184</v>
      </c>
      <c r="F197" s="135">
        <v>0</v>
      </c>
      <c r="G197" s="134">
        <v>0</v>
      </c>
    </row>
    <row r="198" spans="1:7" x14ac:dyDescent="0.2">
      <c r="A198" s="149">
        <v>5521</v>
      </c>
      <c r="B198" s="148"/>
      <c r="C198" s="147" t="s">
        <v>177</v>
      </c>
      <c r="D198" s="146">
        <v>0</v>
      </c>
      <c r="E198" s="146">
        <v>184</v>
      </c>
      <c r="F198" s="146">
        <v>21</v>
      </c>
      <c r="G198" s="145">
        <v>11.4</v>
      </c>
    </row>
    <row r="199" spans="1:7" x14ac:dyDescent="0.2">
      <c r="A199" s="142"/>
      <c r="B199" s="141"/>
      <c r="C199" s="141"/>
      <c r="D199" s="140"/>
      <c r="E199" s="140"/>
      <c r="F199" s="140"/>
      <c r="G199" s="139"/>
    </row>
    <row r="200" spans="1:7" x14ac:dyDescent="0.2">
      <c r="A200" s="138">
        <v>5599</v>
      </c>
      <c r="B200" s="137" t="s">
        <v>176</v>
      </c>
      <c r="C200" s="136" t="s">
        <v>175</v>
      </c>
      <c r="D200" s="135">
        <v>0</v>
      </c>
      <c r="E200" s="135">
        <v>1</v>
      </c>
      <c r="F200" s="135">
        <v>1</v>
      </c>
      <c r="G200" s="134">
        <v>100</v>
      </c>
    </row>
    <row r="201" spans="1:7" x14ac:dyDescent="0.2">
      <c r="A201" s="138">
        <v>5599</v>
      </c>
      <c r="B201" s="148"/>
      <c r="C201" s="147" t="s">
        <v>119</v>
      </c>
      <c r="D201" s="146">
        <v>0</v>
      </c>
      <c r="E201" s="146">
        <v>1</v>
      </c>
      <c r="F201" s="146">
        <v>1</v>
      </c>
      <c r="G201" s="145">
        <v>100</v>
      </c>
    </row>
    <row r="202" spans="1:7" x14ac:dyDescent="0.2">
      <c r="A202" s="142"/>
      <c r="B202" s="141"/>
      <c r="C202" s="141"/>
      <c r="D202" s="140"/>
      <c r="E202" s="140"/>
      <c r="F202" s="140"/>
      <c r="G202" s="139"/>
    </row>
    <row r="203" spans="1:7" x14ac:dyDescent="0.2">
      <c r="A203" s="138">
        <v>6113</v>
      </c>
      <c r="B203" s="137" t="s">
        <v>173</v>
      </c>
      <c r="C203" s="136" t="s">
        <v>172</v>
      </c>
      <c r="D203" s="135">
        <v>0</v>
      </c>
      <c r="E203" s="135">
        <v>182</v>
      </c>
      <c r="F203" s="135">
        <v>0</v>
      </c>
      <c r="G203" s="134">
        <v>0</v>
      </c>
    </row>
    <row r="204" spans="1:7" x14ac:dyDescent="0.2">
      <c r="A204" s="138">
        <v>6113</v>
      </c>
      <c r="B204" s="137" t="s">
        <v>165</v>
      </c>
      <c r="C204" s="136" t="s">
        <v>164</v>
      </c>
      <c r="D204" s="135">
        <v>0</v>
      </c>
      <c r="E204" s="135">
        <v>0</v>
      </c>
      <c r="F204" s="135">
        <v>0</v>
      </c>
      <c r="G204" s="134">
        <v>0</v>
      </c>
    </row>
    <row r="205" spans="1:7" x14ac:dyDescent="0.2">
      <c r="A205" s="138">
        <v>6113</v>
      </c>
      <c r="B205" s="137" t="s">
        <v>159</v>
      </c>
      <c r="C205" s="136" t="s">
        <v>158</v>
      </c>
      <c r="D205" s="135">
        <v>0</v>
      </c>
      <c r="E205" s="135">
        <v>12</v>
      </c>
      <c r="F205" s="135">
        <v>12</v>
      </c>
      <c r="G205" s="134">
        <v>100</v>
      </c>
    </row>
    <row r="206" spans="1:7" x14ac:dyDescent="0.2">
      <c r="A206" s="138">
        <v>6113</v>
      </c>
      <c r="B206" s="148"/>
      <c r="C206" s="147" t="s">
        <v>174</v>
      </c>
      <c r="D206" s="146">
        <v>0</v>
      </c>
      <c r="E206" s="146">
        <v>194</v>
      </c>
      <c r="F206" s="146">
        <v>12</v>
      </c>
      <c r="G206" s="145">
        <v>6.2</v>
      </c>
    </row>
    <row r="207" spans="1:7" x14ac:dyDescent="0.2">
      <c r="A207" s="142"/>
      <c r="B207" s="141"/>
      <c r="C207" s="141"/>
      <c r="D207" s="140"/>
      <c r="E207" s="140"/>
      <c r="F207" s="140"/>
      <c r="G207" s="139"/>
    </row>
    <row r="208" spans="1:7" x14ac:dyDescent="0.2">
      <c r="A208" s="138">
        <v>6172</v>
      </c>
      <c r="B208" s="137" t="s">
        <v>173</v>
      </c>
      <c r="C208" s="136" t="s">
        <v>172</v>
      </c>
      <c r="D208" s="135">
        <v>0</v>
      </c>
      <c r="E208" s="135">
        <v>451</v>
      </c>
      <c r="F208" s="135">
        <v>457</v>
      </c>
      <c r="G208" s="134">
        <v>101.3</v>
      </c>
    </row>
    <row r="209" spans="1:7" x14ac:dyDescent="0.2">
      <c r="A209" s="138">
        <v>6172</v>
      </c>
      <c r="B209" s="137" t="s">
        <v>171</v>
      </c>
      <c r="C209" s="136" t="s">
        <v>170</v>
      </c>
      <c r="D209" s="135">
        <v>0</v>
      </c>
      <c r="E209" s="135">
        <v>238</v>
      </c>
      <c r="F209" s="135">
        <v>238</v>
      </c>
      <c r="G209" s="134">
        <v>100</v>
      </c>
    </row>
    <row r="210" spans="1:7" x14ac:dyDescent="0.2">
      <c r="A210" s="138">
        <v>6172</v>
      </c>
      <c r="B210" s="137" t="s">
        <v>169</v>
      </c>
      <c r="C210" s="136" t="s">
        <v>168</v>
      </c>
      <c r="D210" s="135">
        <v>3500</v>
      </c>
      <c r="E210" s="135">
        <v>3825</v>
      </c>
      <c r="F210" s="135">
        <v>3844</v>
      </c>
      <c r="G210" s="134">
        <v>100.5</v>
      </c>
    </row>
    <row r="211" spans="1:7" x14ac:dyDescent="0.2">
      <c r="A211" s="138">
        <v>6172</v>
      </c>
      <c r="B211" s="137" t="s">
        <v>167</v>
      </c>
      <c r="C211" s="136" t="s">
        <v>166</v>
      </c>
      <c r="D211" s="135">
        <v>8</v>
      </c>
      <c r="E211" s="135">
        <v>9</v>
      </c>
      <c r="F211" s="135">
        <v>9</v>
      </c>
      <c r="G211" s="134">
        <v>100</v>
      </c>
    </row>
    <row r="212" spans="1:7" x14ac:dyDescent="0.2">
      <c r="A212" s="138">
        <v>6172</v>
      </c>
      <c r="B212" s="137" t="s">
        <v>165</v>
      </c>
      <c r="C212" s="136" t="s">
        <v>164</v>
      </c>
      <c r="D212" s="135">
        <v>0</v>
      </c>
      <c r="E212" s="135">
        <v>0</v>
      </c>
      <c r="F212" s="135">
        <v>0</v>
      </c>
      <c r="G212" s="134">
        <v>0</v>
      </c>
    </row>
    <row r="213" spans="1:7" x14ac:dyDescent="0.2">
      <c r="A213" s="138">
        <v>6172</v>
      </c>
      <c r="B213" s="137" t="s">
        <v>163</v>
      </c>
      <c r="C213" s="136" t="s">
        <v>162</v>
      </c>
      <c r="D213" s="135">
        <v>5</v>
      </c>
      <c r="E213" s="135">
        <v>31</v>
      </c>
      <c r="F213" s="135">
        <v>26</v>
      </c>
      <c r="G213" s="134">
        <v>83.9</v>
      </c>
    </row>
    <row r="214" spans="1:7" x14ac:dyDescent="0.2">
      <c r="A214" s="138">
        <v>6172</v>
      </c>
      <c r="B214" s="137" t="s">
        <v>161</v>
      </c>
      <c r="C214" s="136" t="s">
        <v>160</v>
      </c>
      <c r="D214" s="135">
        <v>25</v>
      </c>
      <c r="E214" s="135">
        <v>251</v>
      </c>
      <c r="F214" s="135">
        <v>254</v>
      </c>
      <c r="G214" s="134">
        <v>101.2</v>
      </c>
    </row>
    <row r="215" spans="1:7" x14ac:dyDescent="0.2">
      <c r="A215" s="138">
        <v>6172</v>
      </c>
      <c r="B215" s="137" t="s">
        <v>159</v>
      </c>
      <c r="C215" s="136" t="s">
        <v>158</v>
      </c>
      <c r="D215" s="135">
        <v>65</v>
      </c>
      <c r="E215" s="135">
        <v>344</v>
      </c>
      <c r="F215" s="135">
        <v>334</v>
      </c>
      <c r="G215" s="134">
        <v>97.1</v>
      </c>
    </row>
    <row r="216" spans="1:7" x14ac:dyDescent="0.2">
      <c r="A216" s="138">
        <v>6172</v>
      </c>
      <c r="B216" s="137" t="s">
        <v>155</v>
      </c>
      <c r="C216" s="136" t="s">
        <v>154</v>
      </c>
      <c r="D216" s="135">
        <v>0</v>
      </c>
      <c r="E216" s="135">
        <v>4</v>
      </c>
      <c r="F216" s="135">
        <v>4</v>
      </c>
      <c r="G216" s="134">
        <v>100</v>
      </c>
    </row>
    <row r="217" spans="1:7" x14ac:dyDescent="0.2">
      <c r="A217" s="138">
        <v>6172</v>
      </c>
      <c r="B217" s="148"/>
      <c r="C217" s="147" t="s">
        <v>116</v>
      </c>
      <c r="D217" s="146">
        <v>3603</v>
      </c>
      <c r="E217" s="146">
        <v>5153</v>
      </c>
      <c r="F217" s="146">
        <v>5167</v>
      </c>
      <c r="G217" s="145">
        <v>100.3</v>
      </c>
    </row>
    <row r="218" spans="1:7" x14ac:dyDescent="0.2">
      <c r="A218" s="142"/>
      <c r="B218" s="141"/>
      <c r="C218" s="141"/>
      <c r="D218" s="140"/>
      <c r="E218" s="140"/>
      <c r="F218" s="140"/>
      <c r="G218" s="139"/>
    </row>
    <row r="219" spans="1:7" x14ac:dyDescent="0.2">
      <c r="A219" s="138">
        <v>6310</v>
      </c>
      <c r="B219" s="137" t="s">
        <v>157</v>
      </c>
      <c r="C219" s="136" t="s">
        <v>156</v>
      </c>
      <c r="D219" s="135">
        <v>12000</v>
      </c>
      <c r="E219" s="135">
        <v>18096</v>
      </c>
      <c r="F219" s="135">
        <v>22052</v>
      </c>
      <c r="G219" s="134">
        <v>121.9</v>
      </c>
    </row>
    <row r="220" spans="1:7" x14ac:dyDescent="0.2">
      <c r="A220" s="138">
        <v>6310</v>
      </c>
      <c r="B220" s="137" t="s">
        <v>155</v>
      </c>
      <c r="C220" s="136" t="s">
        <v>154</v>
      </c>
      <c r="D220" s="135">
        <v>0</v>
      </c>
      <c r="E220" s="135">
        <v>100</v>
      </c>
      <c r="F220" s="135">
        <v>100</v>
      </c>
      <c r="G220" s="134">
        <v>100</v>
      </c>
    </row>
    <row r="221" spans="1:7" x14ac:dyDescent="0.2">
      <c r="A221" s="138">
        <v>6310</v>
      </c>
      <c r="B221" s="148"/>
      <c r="C221" s="147" t="s">
        <v>153</v>
      </c>
      <c r="D221" s="146">
        <v>12000</v>
      </c>
      <c r="E221" s="146">
        <v>18196</v>
      </c>
      <c r="F221" s="146">
        <v>22152</v>
      </c>
      <c r="G221" s="145">
        <v>121.7</v>
      </c>
    </row>
    <row r="222" spans="1:7" x14ac:dyDescent="0.2">
      <c r="A222" s="142"/>
      <c r="B222" s="141"/>
      <c r="C222" s="141"/>
      <c r="D222" s="140"/>
      <c r="E222" s="140"/>
      <c r="F222" s="140"/>
      <c r="G222" s="139"/>
    </row>
    <row r="223" spans="1:7" x14ac:dyDescent="0.2">
      <c r="A223" s="138">
        <v>6320</v>
      </c>
      <c r="B223" s="137" t="s">
        <v>152</v>
      </c>
      <c r="C223" s="136" t="s">
        <v>151</v>
      </c>
      <c r="D223" s="135">
        <v>0</v>
      </c>
      <c r="E223" s="135">
        <v>5101</v>
      </c>
      <c r="F223" s="135">
        <v>5693</v>
      </c>
      <c r="G223" s="134">
        <v>111.6</v>
      </c>
    </row>
    <row r="224" spans="1:7" x14ac:dyDescent="0.2">
      <c r="A224" s="138">
        <v>6320</v>
      </c>
      <c r="B224" s="148"/>
      <c r="C224" s="147" t="s">
        <v>150</v>
      </c>
      <c r="D224" s="146">
        <v>0</v>
      </c>
      <c r="E224" s="146">
        <v>5101</v>
      </c>
      <c r="F224" s="146">
        <v>5693</v>
      </c>
      <c r="G224" s="145">
        <v>111.6</v>
      </c>
    </row>
    <row r="225" spans="1:7" x14ac:dyDescent="0.2">
      <c r="A225" s="142"/>
      <c r="B225" s="141"/>
      <c r="C225" s="141"/>
      <c r="D225" s="140"/>
      <c r="E225" s="140"/>
      <c r="F225" s="140"/>
      <c r="G225" s="139"/>
    </row>
    <row r="226" spans="1:7" x14ac:dyDescent="0.2">
      <c r="A226" s="138">
        <v>6402</v>
      </c>
      <c r="B226" s="137" t="s">
        <v>142</v>
      </c>
      <c r="C226" s="136" t="s">
        <v>141</v>
      </c>
      <c r="D226" s="135">
        <v>0</v>
      </c>
      <c r="E226" s="135">
        <v>0</v>
      </c>
      <c r="F226" s="135">
        <v>0</v>
      </c>
      <c r="G226" s="134">
        <v>0</v>
      </c>
    </row>
    <row r="227" spans="1:7" x14ac:dyDescent="0.2">
      <c r="A227" s="138">
        <v>6402</v>
      </c>
      <c r="B227" s="137" t="s">
        <v>149</v>
      </c>
      <c r="C227" s="136" t="s">
        <v>148</v>
      </c>
      <c r="D227" s="135">
        <v>0</v>
      </c>
      <c r="E227" s="135">
        <v>0</v>
      </c>
      <c r="F227" s="135">
        <v>0</v>
      </c>
      <c r="G227" s="134">
        <v>0</v>
      </c>
    </row>
    <row r="228" spans="1:7" x14ac:dyDescent="0.2">
      <c r="A228" s="138">
        <v>6402</v>
      </c>
      <c r="B228" s="137" t="s">
        <v>147</v>
      </c>
      <c r="C228" s="136" t="s">
        <v>146</v>
      </c>
      <c r="D228" s="135">
        <v>0</v>
      </c>
      <c r="E228" s="135">
        <v>1137</v>
      </c>
      <c r="F228" s="135">
        <v>1403</v>
      </c>
      <c r="G228" s="134">
        <v>123.4</v>
      </c>
    </row>
    <row r="229" spans="1:7" ht="25.5" x14ac:dyDescent="0.2">
      <c r="A229" s="138">
        <v>6402</v>
      </c>
      <c r="B229" s="137" t="s">
        <v>145</v>
      </c>
      <c r="C229" s="187" t="s">
        <v>144</v>
      </c>
      <c r="D229" s="135">
        <v>0</v>
      </c>
      <c r="E229" s="135">
        <v>1650</v>
      </c>
      <c r="F229" s="135">
        <v>1650</v>
      </c>
      <c r="G229" s="134">
        <v>100</v>
      </c>
    </row>
    <row r="230" spans="1:7" x14ac:dyDescent="0.2">
      <c r="A230" s="138">
        <v>6402</v>
      </c>
      <c r="B230" s="137" t="s">
        <v>140</v>
      </c>
      <c r="C230" s="136" t="s">
        <v>139</v>
      </c>
      <c r="D230" s="135">
        <v>0</v>
      </c>
      <c r="E230" s="135">
        <v>8827</v>
      </c>
      <c r="F230" s="135">
        <v>21192</v>
      </c>
      <c r="G230" s="134">
        <v>240.1</v>
      </c>
    </row>
    <row r="231" spans="1:7" x14ac:dyDescent="0.2">
      <c r="A231" s="138">
        <v>6402</v>
      </c>
      <c r="B231" s="148"/>
      <c r="C231" s="147" t="s">
        <v>143</v>
      </c>
      <c r="D231" s="146">
        <v>0</v>
      </c>
      <c r="E231" s="146">
        <v>11614</v>
      </c>
      <c r="F231" s="146">
        <v>24245</v>
      </c>
      <c r="G231" s="145">
        <v>208.8</v>
      </c>
    </row>
    <row r="232" spans="1:7" x14ac:dyDescent="0.2">
      <c r="A232" s="142"/>
      <c r="B232" s="141"/>
      <c r="C232" s="141"/>
      <c r="D232" s="140"/>
      <c r="E232" s="140"/>
      <c r="F232" s="140"/>
      <c r="G232" s="139"/>
    </row>
    <row r="233" spans="1:7" x14ac:dyDescent="0.2">
      <c r="A233" s="138">
        <v>6409</v>
      </c>
      <c r="B233" s="137" t="s">
        <v>142</v>
      </c>
      <c r="C233" s="136" t="s">
        <v>141</v>
      </c>
      <c r="D233" s="135">
        <v>0</v>
      </c>
      <c r="E233" s="135">
        <v>0</v>
      </c>
      <c r="F233" s="135">
        <v>0</v>
      </c>
      <c r="G233" s="134">
        <v>0</v>
      </c>
    </row>
    <row r="234" spans="1:7" x14ac:dyDescent="0.2">
      <c r="A234" s="138">
        <v>6409</v>
      </c>
      <c r="B234" s="137" t="s">
        <v>140</v>
      </c>
      <c r="C234" s="136" t="s">
        <v>139</v>
      </c>
      <c r="D234" s="135">
        <v>0</v>
      </c>
      <c r="E234" s="135">
        <v>18</v>
      </c>
      <c r="F234" s="135">
        <v>18</v>
      </c>
      <c r="G234" s="134">
        <v>100</v>
      </c>
    </row>
    <row r="235" spans="1:7" x14ac:dyDescent="0.2">
      <c r="A235" s="149">
        <v>6409</v>
      </c>
      <c r="B235" s="148"/>
      <c r="C235" s="147" t="s">
        <v>138</v>
      </c>
      <c r="D235" s="146">
        <v>0</v>
      </c>
      <c r="E235" s="146">
        <v>18</v>
      </c>
      <c r="F235" s="146">
        <v>18</v>
      </c>
      <c r="G235" s="145">
        <v>100</v>
      </c>
    </row>
    <row r="236" spans="1:7" x14ac:dyDescent="0.2">
      <c r="A236" s="142"/>
      <c r="B236" s="141"/>
      <c r="C236" s="141"/>
      <c r="D236" s="140"/>
      <c r="E236" s="140"/>
      <c r="F236" s="140"/>
      <c r="G236" s="139"/>
    </row>
    <row r="237" spans="1:7" x14ac:dyDescent="0.2">
      <c r="A237" s="186" t="s">
        <v>133</v>
      </c>
      <c r="B237" s="137" t="s">
        <v>137</v>
      </c>
      <c r="C237" s="136" t="s">
        <v>136</v>
      </c>
      <c r="D237" s="135">
        <v>0</v>
      </c>
      <c r="E237" s="135">
        <v>1297</v>
      </c>
      <c r="F237" s="135">
        <v>1603</v>
      </c>
      <c r="G237" s="134">
        <v>123.6</v>
      </c>
    </row>
    <row r="238" spans="1:7" x14ac:dyDescent="0.2">
      <c r="A238" s="186" t="s">
        <v>133</v>
      </c>
      <c r="B238" s="137" t="s">
        <v>135</v>
      </c>
      <c r="C238" s="136" t="s">
        <v>134</v>
      </c>
      <c r="D238" s="135">
        <v>0</v>
      </c>
      <c r="E238" s="135">
        <v>500</v>
      </c>
      <c r="F238" s="135">
        <v>500</v>
      </c>
      <c r="G238" s="134">
        <v>100</v>
      </c>
    </row>
    <row r="239" spans="1:7" x14ac:dyDescent="0.2">
      <c r="A239" s="186" t="s">
        <v>133</v>
      </c>
      <c r="B239" s="137" t="s">
        <v>132</v>
      </c>
      <c r="C239" s="136" t="s">
        <v>131</v>
      </c>
      <c r="D239" s="135">
        <v>73000</v>
      </c>
      <c r="E239" s="135">
        <v>73000</v>
      </c>
      <c r="F239" s="135">
        <v>73000</v>
      </c>
      <c r="G239" s="134">
        <v>100</v>
      </c>
    </row>
    <row r="240" spans="1:7" ht="13.5" thickBot="1" x14ac:dyDescent="0.25">
      <c r="A240" s="133" t="s">
        <v>75</v>
      </c>
      <c r="B240" s="132"/>
      <c r="C240" s="131" t="s">
        <v>130</v>
      </c>
      <c r="D240" s="167">
        <v>73000</v>
      </c>
      <c r="E240" s="167">
        <v>74797</v>
      </c>
      <c r="F240" s="167">
        <v>75103</v>
      </c>
      <c r="G240" s="166">
        <v>100.4</v>
      </c>
    </row>
    <row r="241" spans="1:15" x14ac:dyDescent="0.2">
      <c r="A241" s="185"/>
      <c r="B241" s="185"/>
      <c r="C241" s="185"/>
      <c r="D241" s="184"/>
      <c r="E241" s="184"/>
      <c r="F241" s="184"/>
      <c r="G241" s="183"/>
    </row>
    <row r="242" spans="1:15" s="158" customFormat="1" x14ac:dyDescent="0.2">
      <c r="A242" s="165"/>
      <c r="B242" s="165"/>
      <c r="C242" s="164"/>
      <c r="D242" s="163"/>
      <c r="E242" s="163"/>
      <c r="F242" s="163"/>
      <c r="G242" s="162"/>
      <c r="I242" s="159"/>
      <c r="J242" s="159"/>
      <c r="K242" s="159"/>
      <c r="L242" s="159"/>
      <c r="M242" s="159"/>
      <c r="N242" s="159"/>
      <c r="O242" s="159"/>
    </row>
    <row r="243" spans="1:15" s="158" customFormat="1" ht="18" customHeight="1" x14ac:dyDescent="0.2">
      <c r="A243" s="157" t="s">
        <v>7</v>
      </c>
      <c r="B243" s="156"/>
      <c r="C243" s="156"/>
      <c r="D243" s="155"/>
      <c r="E243" s="155"/>
      <c r="F243" s="155"/>
      <c r="G243" s="161"/>
      <c r="I243" s="159"/>
      <c r="J243" s="159"/>
      <c r="K243" s="159"/>
      <c r="L243" s="159"/>
      <c r="M243" s="159"/>
      <c r="N243" s="159"/>
      <c r="O243" s="159"/>
    </row>
    <row r="244" spans="1:15" s="158" customFormat="1" ht="12.75" customHeight="1" thickBot="1" x14ac:dyDescent="0.25">
      <c r="A244" s="157"/>
      <c r="B244" s="156"/>
      <c r="C244" s="156"/>
      <c r="D244" s="155"/>
      <c r="E244" s="155"/>
      <c r="F244" s="155"/>
      <c r="G244" s="154" t="s">
        <v>2</v>
      </c>
      <c r="I244" s="159"/>
      <c r="J244" s="159"/>
      <c r="K244" s="159"/>
      <c r="L244" s="159"/>
      <c r="M244" s="159"/>
      <c r="N244" s="159"/>
      <c r="O244" s="159"/>
    </row>
    <row r="245" spans="1:15" s="158" customFormat="1" ht="39" customHeight="1" thickBot="1" x14ac:dyDescent="0.25">
      <c r="A245" s="153" t="s">
        <v>114</v>
      </c>
      <c r="B245" s="152" t="s">
        <v>113</v>
      </c>
      <c r="C245" s="152" t="s">
        <v>112</v>
      </c>
      <c r="D245" s="151" t="s">
        <v>111</v>
      </c>
      <c r="E245" s="151" t="s">
        <v>110</v>
      </c>
      <c r="F245" s="151" t="s">
        <v>1</v>
      </c>
      <c r="G245" s="150" t="s">
        <v>109</v>
      </c>
      <c r="H245" s="160"/>
      <c r="I245" s="159"/>
      <c r="J245" s="159"/>
      <c r="K245" s="159"/>
      <c r="L245" s="159"/>
      <c r="M245" s="159"/>
      <c r="N245" s="159"/>
      <c r="O245" s="159"/>
    </row>
    <row r="246" spans="1:15" x14ac:dyDescent="0.2">
      <c r="A246" s="138">
        <v>3639</v>
      </c>
      <c r="B246" s="182" t="s">
        <v>129</v>
      </c>
      <c r="C246" s="136" t="s">
        <v>128</v>
      </c>
      <c r="D246" s="135">
        <v>10000</v>
      </c>
      <c r="E246" s="135">
        <v>10000</v>
      </c>
      <c r="F246" s="135">
        <v>7365</v>
      </c>
      <c r="G246" s="134">
        <v>73.7</v>
      </c>
    </row>
    <row r="247" spans="1:15" x14ac:dyDescent="0.2">
      <c r="A247" s="138">
        <v>3639</v>
      </c>
      <c r="B247" s="182" t="s">
        <v>127</v>
      </c>
      <c r="C247" s="136" t="s">
        <v>126</v>
      </c>
      <c r="D247" s="135">
        <v>30000</v>
      </c>
      <c r="E247" s="135">
        <v>15000</v>
      </c>
      <c r="F247" s="135">
        <v>23602</v>
      </c>
      <c r="G247" s="134">
        <v>157.30000000000001</v>
      </c>
    </row>
    <row r="248" spans="1:15" x14ac:dyDescent="0.2">
      <c r="A248" s="149">
        <v>3639</v>
      </c>
      <c r="B248" s="176"/>
      <c r="C248" s="147" t="s">
        <v>125</v>
      </c>
      <c r="D248" s="146">
        <v>40000</v>
      </c>
      <c r="E248" s="146">
        <v>25000</v>
      </c>
      <c r="F248" s="146">
        <v>30967</v>
      </c>
      <c r="G248" s="145">
        <v>123.9</v>
      </c>
    </row>
    <row r="249" spans="1:15" s="158" customFormat="1" x14ac:dyDescent="0.2">
      <c r="A249" s="181"/>
      <c r="B249" s="180"/>
      <c r="C249" s="179"/>
      <c r="D249" s="178"/>
      <c r="E249" s="178"/>
      <c r="F249" s="178"/>
      <c r="G249" s="177"/>
      <c r="H249" s="160"/>
      <c r="I249" s="159"/>
      <c r="J249" s="159"/>
      <c r="K249" s="159"/>
      <c r="L249" s="159"/>
      <c r="M249" s="159"/>
      <c r="N249" s="159"/>
      <c r="O249" s="159"/>
    </row>
    <row r="250" spans="1:15" x14ac:dyDescent="0.2">
      <c r="A250" s="173">
        <v>5511</v>
      </c>
      <c r="B250" s="172" t="s">
        <v>124</v>
      </c>
      <c r="C250" s="171" t="s">
        <v>123</v>
      </c>
      <c r="D250" s="170">
        <v>15980</v>
      </c>
      <c r="E250" s="170">
        <v>15980</v>
      </c>
      <c r="F250" s="170">
        <v>15980</v>
      </c>
      <c r="G250" s="169">
        <v>100</v>
      </c>
    </row>
    <row r="251" spans="1:15" x14ac:dyDescent="0.2">
      <c r="A251" s="149">
        <v>5511</v>
      </c>
      <c r="B251" s="176"/>
      <c r="C251" s="147" t="s">
        <v>122</v>
      </c>
      <c r="D251" s="146">
        <v>15980</v>
      </c>
      <c r="E251" s="146">
        <v>15980</v>
      </c>
      <c r="F251" s="146">
        <v>15980</v>
      </c>
      <c r="G251" s="145">
        <v>100</v>
      </c>
    </row>
    <row r="252" spans="1:15" s="158" customFormat="1" x14ac:dyDescent="0.2">
      <c r="A252" s="175"/>
      <c r="B252" s="165"/>
      <c r="C252" s="164"/>
      <c r="D252" s="163"/>
      <c r="E252" s="163"/>
      <c r="F252" s="163"/>
      <c r="G252" s="174"/>
      <c r="I252" s="159"/>
      <c r="J252" s="159"/>
      <c r="K252" s="159"/>
      <c r="L252" s="159"/>
      <c r="M252" s="159"/>
      <c r="N252" s="159"/>
      <c r="O252" s="159"/>
    </row>
    <row r="253" spans="1:15" x14ac:dyDescent="0.2">
      <c r="A253" s="173">
        <v>5599</v>
      </c>
      <c r="B253" s="172" t="s">
        <v>121</v>
      </c>
      <c r="C253" s="171" t="s">
        <v>120</v>
      </c>
      <c r="D253" s="170">
        <v>0</v>
      </c>
      <c r="E253" s="170">
        <v>254</v>
      </c>
      <c r="F253" s="170">
        <v>254</v>
      </c>
      <c r="G253" s="169">
        <v>100</v>
      </c>
    </row>
    <row r="254" spans="1:15" x14ac:dyDescent="0.2">
      <c r="A254" s="149">
        <v>5599</v>
      </c>
      <c r="B254" s="176"/>
      <c r="C254" s="147" t="s">
        <v>119</v>
      </c>
      <c r="D254" s="146">
        <v>0</v>
      </c>
      <c r="E254" s="146">
        <v>254</v>
      </c>
      <c r="F254" s="146">
        <v>254</v>
      </c>
      <c r="G254" s="145">
        <v>100</v>
      </c>
    </row>
    <row r="255" spans="1:15" s="158" customFormat="1" x14ac:dyDescent="0.2">
      <c r="A255" s="175"/>
      <c r="B255" s="165"/>
      <c r="C255" s="164"/>
      <c r="D255" s="163"/>
      <c r="E255" s="163"/>
      <c r="F255" s="163"/>
      <c r="G255" s="174"/>
      <c r="I255" s="159"/>
      <c r="J255" s="159"/>
      <c r="K255" s="159"/>
      <c r="L255" s="159"/>
      <c r="M255" s="159"/>
      <c r="N255" s="159"/>
      <c r="O255" s="159"/>
    </row>
    <row r="256" spans="1:15" s="158" customFormat="1" x14ac:dyDescent="0.2">
      <c r="A256" s="173">
        <v>6172</v>
      </c>
      <c r="B256" s="172" t="s">
        <v>118</v>
      </c>
      <c r="C256" s="171" t="s">
        <v>117</v>
      </c>
      <c r="D256" s="170">
        <v>0</v>
      </c>
      <c r="E256" s="170">
        <v>95</v>
      </c>
      <c r="F256" s="170">
        <v>210</v>
      </c>
      <c r="G256" s="169">
        <v>221.1</v>
      </c>
      <c r="I256" s="159"/>
      <c r="J256" s="159"/>
      <c r="K256" s="159"/>
      <c r="L256" s="159"/>
      <c r="M256" s="159"/>
      <c r="N256" s="159"/>
      <c r="O256" s="159"/>
    </row>
    <row r="257" spans="1:15" s="158" customFormat="1" ht="13.5" thickBot="1" x14ac:dyDescent="0.25">
      <c r="A257" s="133">
        <v>6172</v>
      </c>
      <c r="B257" s="168"/>
      <c r="C257" s="131" t="s">
        <v>116</v>
      </c>
      <c r="D257" s="167">
        <v>0</v>
      </c>
      <c r="E257" s="167">
        <v>95</v>
      </c>
      <c r="F257" s="167">
        <v>210</v>
      </c>
      <c r="G257" s="166">
        <v>221.1</v>
      </c>
      <c r="I257" s="159"/>
      <c r="J257" s="159"/>
      <c r="K257" s="159"/>
      <c r="L257" s="159"/>
      <c r="M257" s="159"/>
      <c r="N257" s="159"/>
      <c r="O257" s="159"/>
    </row>
    <row r="258" spans="1:15" s="158" customFormat="1" ht="12.75" customHeight="1" x14ac:dyDescent="0.2">
      <c r="A258" s="165"/>
      <c r="B258" s="165"/>
      <c r="C258" s="164"/>
      <c r="D258" s="163"/>
      <c r="E258" s="163"/>
      <c r="F258" s="163"/>
      <c r="G258" s="162"/>
      <c r="I258" s="159"/>
      <c r="J258" s="159"/>
      <c r="K258" s="159"/>
      <c r="L258" s="159"/>
      <c r="M258" s="159"/>
      <c r="N258" s="159"/>
      <c r="O258" s="159"/>
    </row>
    <row r="259" spans="1:15" s="158" customFormat="1" ht="12.75" customHeight="1" x14ac:dyDescent="0.2">
      <c r="A259" s="165"/>
      <c r="B259" s="165"/>
      <c r="C259" s="164"/>
      <c r="D259" s="163"/>
      <c r="E259" s="163"/>
      <c r="F259" s="163"/>
      <c r="G259" s="162"/>
      <c r="I259" s="159"/>
      <c r="J259" s="159"/>
      <c r="K259" s="159"/>
      <c r="L259" s="159"/>
      <c r="M259" s="159"/>
      <c r="N259" s="159"/>
      <c r="O259" s="159"/>
    </row>
    <row r="260" spans="1:15" s="158" customFormat="1" ht="18" customHeight="1" x14ac:dyDescent="0.2">
      <c r="A260" s="157" t="s">
        <v>115</v>
      </c>
      <c r="B260" s="156"/>
      <c r="C260" s="156"/>
      <c r="D260" s="155"/>
      <c r="E260" s="155"/>
      <c r="F260" s="155"/>
      <c r="G260" s="161"/>
      <c r="H260" s="160"/>
      <c r="I260" s="159"/>
      <c r="J260" s="159"/>
      <c r="K260" s="159"/>
      <c r="L260" s="159"/>
      <c r="M260" s="159"/>
      <c r="N260" s="159"/>
      <c r="O260" s="159"/>
    </row>
    <row r="261" spans="1:15" ht="12.75" customHeight="1" thickBot="1" x14ac:dyDescent="0.25">
      <c r="A261" s="157"/>
      <c r="B261" s="156"/>
      <c r="C261" s="156"/>
      <c r="D261" s="155"/>
      <c r="E261" s="155"/>
      <c r="F261" s="155"/>
      <c r="G261" s="154" t="s">
        <v>2</v>
      </c>
    </row>
    <row r="262" spans="1:15" ht="26.25" thickBot="1" x14ac:dyDescent="0.25">
      <c r="A262" s="153" t="s">
        <v>114</v>
      </c>
      <c r="B262" s="152" t="s">
        <v>113</v>
      </c>
      <c r="C262" s="152" t="s">
        <v>112</v>
      </c>
      <c r="D262" s="151" t="s">
        <v>111</v>
      </c>
      <c r="E262" s="151" t="s">
        <v>110</v>
      </c>
      <c r="F262" s="151" t="s">
        <v>1</v>
      </c>
      <c r="G262" s="150" t="s">
        <v>109</v>
      </c>
    </row>
    <row r="263" spans="1:15" x14ac:dyDescent="0.2">
      <c r="A263" s="138" t="s">
        <v>75</v>
      </c>
      <c r="B263" s="137" t="s">
        <v>108</v>
      </c>
      <c r="C263" s="136" t="s">
        <v>4800</v>
      </c>
      <c r="D263" s="135">
        <v>0</v>
      </c>
      <c r="E263" s="135">
        <v>5755</v>
      </c>
      <c r="F263" s="135">
        <v>5755</v>
      </c>
      <c r="G263" s="134">
        <v>100</v>
      </c>
    </row>
    <row r="264" spans="1:15" x14ac:dyDescent="0.2">
      <c r="A264" s="138" t="s">
        <v>75</v>
      </c>
      <c r="B264" s="137" t="s">
        <v>107</v>
      </c>
      <c r="C264" s="136" t="s">
        <v>106</v>
      </c>
      <c r="D264" s="135">
        <v>114252</v>
      </c>
      <c r="E264" s="135">
        <v>114252</v>
      </c>
      <c r="F264" s="135">
        <v>114252</v>
      </c>
      <c r="G264" s="134">
        <v>100</v>
      </c>
    </row>
    <row r="265" spans="1:15" x14ac:dyDescent="0.2">
      <c r="A265" s="138" t="s">
        <v>75</v>
      </c>
      <c r="B265" s="137" t="s">
        <v>105</v>
      </c>
      <c r="C265" s="136" t="s">
        <v>104</v>
      </c>
      <c r="D265" s="135">
        <v>850</v>
      </c>
      <c r="E265" s="135">
        <v>736</v>
      </c>
      <c r="F265" s="135">
        <v>736</v>
      </c>
      <c r="G265" s="134">
        <v>100</v>
      </c>
    </row>
    <row r="266" spans="1:15" x14ac:dyDescent="0.2">
      <c r="A266" s="138" t="s">
        <v>75</v>
      </c>
      <c r="B266" s="137" t="s">
        <v>103</v>
      </c>
      <c r="C266" s="136" t="s">
        <v>102</v>
      </c>
      <c r="D266" s="135">
        <v>254579</v>
      </c>
      <c r="E266" s="135">
        <v>11531240</v>
      </c>
      <c r="F266" s="135">
        <v>11455676</v>
      </c>
      <c r="G266" s="134">
        <v>99.3</v>
      </c>
    </row>
    <row r="267" spans="1:15" x14ac:dyDescent="0.2">
      <c r="A267" s="138" t="s">
        <v>75</v>
      </c>
      <c r="B267" s="137" t="s">
        <v>101</v>
      </c>
      <c r="C267" s="136" t="s">
        <v>100</v>
      </c>
      <c r="D267" s="135">
        <v>221</v>
      </c>
      <c r="E267" s="135">
        <v>2929</v>
      </c>
      <c r="F267" s="135">
        <v>2929</v>
      </c>
      <c r="G267" s="134">
        <v>100</v>
      </c>
    </row>
    <row r="268" spans="1:15" x14ac:dyDescent="0.2">
      <c r="A268" s="138" t="s">
        <v>75</v>
      </c>
      <c r="B268" s="137" t="s">
        <v>99</v>
      </c>
      <c r="C268" s="136" t="s">
        <v>98</v>
      </c>
      <c r="D268" s="135">
        <v>737</v>
      </c>
      <c r="E268" s="135">
        <v>173</v>
      </c>
      <c r="F268" s="135">
        <v>173</v>
      </c>
      <c r="G268" s="134">
        <v>100</v>
      </c>
    </row>
    <row r="269" spans="1:15" x14ac:dyDescent="0.2">
      <c r="A269" s="138" t="s">
        <v>75</v>
      </c>
      <c r="B269" s="137" t="s">
        <v>97</v>
      </c>
      <c r="C269" s="136" t="s">
        <v>96</v>
      </c>
      <c r="D269" s="135">
        <v>41000</v>
      </c>
      <c r="E269" s="135">
        <v>29601</v>
      </c>
      <c r="F269" s="135">
        <v>29617</v>
      </c>
      <c r="G269" s="134">
        <v>100.1</v>
      </c>
    </row>
    <row r="270" spans="1:15" x14ac:dyDescent="0.2">
      <c r="A270" s="138" t="s">
        <v>75</v>
      </c>
      <c r="B270" s="137" t="s">
        <v>95</v>
      </c>
      <c r="C270" s="136" t="s">
        <v>94</v>
      </c>
      <c r="D270" s="135">
        <v>2646</v>
      </c>
      <c r="E270" s="135">
        <v>1150</v>
      </c>
      <c r="F270" s="135">
        <v>1005</v>
      </c>
      <c r="G270" s="134">
        <v>87.4</v>
      </c>
    </row>
    <row r="271" spans="1:15" x14ac:dyDescent="0.2">
      <c r="A271" s="138" t="s">
        <v>75</v>
      </c>
      <c r="B271" s="137" t="s">
        <v>93</v>
      </c>
      <c r="C271" s="136" t="s">
        <v>92</v>
      </c>
      <c r="D271" s="135">
        <v>23196</v>
      </c>
      <c r="E271" s="135">
        <v>64308</v>
      </c>
      <c r="F271" s="135">
        <v>64308</v>
      </c>
      <c r="G271" s="134">
        <v>100</v>
      </c>
    </row>
    <row r="272" spans="1:15" x14ac:dyDescent="0.2">
      <c r="A272" s="138" t="s">
        <v>75</v>
      </c>
      <c r="B272" s="137" t="s">
        <v>91</v>
      </c>
      <c r="C272" s="136" t="s">
        <v>90</v>
      </c>
      <c r="D272" s="135">
        <v>1030</v>
      </c>
      <c r="E272" s="135">
        <v>0</v>
      </c>
      <c r="F272" s="135">
        <v>0</v>
      </c>
      <c r="G272" s="134">
        <v>0</v>
      </c>
    </row>
    <row r="273" spans="1:7" x14ac:dyDescent="0.2">
      <c r="A273" s="138" t="s">
        <v>75</v>
      </c>
      <c r="B273" s="137" t="s">
        <v>89</v>
      </c>
      <c r="C273" s="136" t="s">
        <v>88</v>
      </c>
      <c r="D273" s="135">
        <v>0</v>
      </c>
      <c r="E273" s="135">
        <v>135</v>
      </c>
      <c r="F273" s="135">
        <v>135</v>
      </c>
      <c r="G273" s="134">
        <v>100</v>
      </c>
    </row>
    <row r="274" spans="1:7" x14ac:dyDescent="0.2">
      <c r="A274" s="149" t="s">
        <v>75</v>
      </c>
      <c r="B274" s="148"/>
      <c r="C274" s="147" t="s">
        <v>87</v>
      </c>
      <c r="D274" s="146">
        <v>438511</v>
      </c>
      <c r="E274" s="146">
        <v>11750279</v>
      </c>
      <c r="F274" s="146">
        <v>11674586</v>
      </c>
      <c r="G274" s="145">
        <v>99.4</v>
      </c>
    </row>
    <row r="275" spans="1:7" x14ac:dyDescent="0.2">
      <c r="A275" s="142"/>
      <c r="B275" s="141"/>
      <c r="C275" s="141"/>
      <c r="D275" s="140"/>
      <c r="E275" s="140"/>
      <c r="F275" s="140"/>
      <c r="G275" s="139"/>
    </row>
    <row r="276" spans="1:7" x14ac:dyDescent="0.2">
      <c r="A276" s="138" t="s">
        <v>75</v>
      </c>
      <c r="B276" s="137" t="s">
        <v>86</v>
      </c>
      <c r="C276" s="136" t="s">
        <v>4801</v>
      </c>
      <c r="D276" s="135">
        <v>0</v>
      </c>
      <c r="E276" s="135">
        <v>469</v>
      </c>
      <c r="F276" s="135">
        <v>469</v>
      </c>
      <c r="G276" s="134">
        <v>100</v>
      </c>
    </row>
    <row r="277" spans="1:7" x14ac:dyDescent="0.2">
      <c r="A277" s="138" t="s">
        <v>75</v>
      </c>
      <c r="B277" s="137" t="s">
        <v>85</v>
      </c>
      <c r="C277" s="136" t="s">
        <v>84</v>
      </c>
      <c r="D277" s="135">
        <v>104419</v>
      </c>
      <c r="E277" s="135">
        <v>128754</v>
      </c>
      <c r="F277" s="135">
        <v>128749</v>
      </c>
      <c r="G277" s="134">
        <v>100</v>
      </c>
    </row>
    <row r="278" spans="1:7" x14ac:dyDescent="0.2">
      <c r="A278" s="138" t="s">
        <v>75</v>
      </c>
      <c r="B278" s="137" t="s">
        <v>83</v>
      </c>
      <c r="C278" s="136" t="s">
        <v>4802</v>
      </c>
      <c r="D278" s="135">
        <v>578400</v>
      </c>
      <c r="E278" s="135">
        <v>416091</v>
      </c>
      <c r="F278" s="135">
        <v>415975</v>
      </c>
      <c r="G278" s="134">
        <v>100</v>
      </c>
    </row>
    <row r="279" spans="1:7" x14ac:dyDescent="0.2">
      <c r="A279" s="138" t="s">
        <v>75</v>
      </c>
      <c r="B279" s="137" t="s">
        <v>82</v>
      </c>
      <c r="C279" s="136" t="s">
        <v>81</v>
      </c>
      <c r="D279" s="135">
        <v>0</v>
      </c>
      <c r="E279" s="135">
        <v>3410</v>
      </c>
      <c r="F279" s="135">
        <v>2203</v>
      </c>
      <c r="G279" s="134">
        <v>64.599999999999994</v>
      </c>
    </row>
    <row r="280" spans="1:7" x14ac:dyDescent="0.2">
      <c r="A280" s="138" t="s">
        <v>75</v>
      </c>
      <c r="B280" s="137" t="s">
        <v>80</v>
      </c>
      <c r="C280" s="136" t="s">
        <v>79</v>
      </c>
      <c r="D280" s="135">
        <v>2434339</v>
      </c>
      <c r="E280" s="135">
        <v>1497395</v>
      </c>
      <c r="F280" s="135">
        <v>1496935</v>
      </c>
      <c r="G280" s="134">
        <v>100</v>
      </c>
    </row>
    <row r="281" spans="1:7" x14ac:dyDescent="0.2">
      <c r="A281" s="138" t="s">
        <v>75</v>
      </c>
      <c r="B281" s="137" t="s">
        <v>78</v>
      </c>
      <c r="C281" s="136" t="s">
        <v>77</v>
      </c>
      <c r="D281" s="135">
        <v>9785</v>
      </c>
      <c r="E281" s="135">
        <v>0</v>
      </c>
      <c r="F281" s="135">
        <v>0</v>
      </c>
      <c r="G281" s="134">
        <v>0</v>
      </c>
    </row>
    <row r="282" spans="1:7" x14ac:dyDescent="0.2">
      <c r="A282" s="138" t="s">
        <v>75</v>
      </c>
      <c r="B282" s="137" t="s">
        <v>76</v>
      </c>
      <c r="C282" s="136" t="s">
        <v>4803</v>
      </c>
      <c r="D282" s="135">
        <v>0</v>
      </c>
      <c r="E282" s="135">
        <v>7563</v>
      </c>
      <c r="F282" s="135">
        <v>7563</v>
      </c>
      <c r="G282" s="134">
        <v>100</v>
      </c>
    </row>
    <row r="283" spans="1:7" x14ac:dyDescent="0.2">
      <c r="A283" s="138" t="s">
        <v>75</v>
      </c>
      <c r="B283" s="137"/>
      <c r="C283" s="136" t="s">
        <v>74</v>
      </c>
      <c r="D283" s="144">
        <v>3126943</v>
      </c>
      <c r="E283" s="144">
        <v>2053682</v>
      </c>
      <c r="F283" s="144">
        <v>2051894</v>
      </c>
      <c r="G283" s="143">
        <v>99.9</v>
      </c>
    </row>
    <row r="284" spans="1:7" x14ac:dyDescent="0.2">
      <c r="A284" s="142"/>
      <c r="B284" s="141"/>
      <c r="C284" s="141"/>
      <c r="D284" s="140"/>
      <c r="E284" s="140"/>
      <c r="F284" s="140"/>
      <c r="G284" s="139"/>
    </row>
    <row r="285" spans="1:7" x14ac:dyDescent="0.2">
      <c r="A285" s="138">
        <v>6330</v>
      </c>
      <c r="B285" s="137" t="s">
        <v>73</v>
      </c>
      <c r="C285" s="136" t="s">
        <v>72</v>
      </c>
      <c r="D285" s="135">
        <v>0</v>
      </c>
      <c r="E285" s="135">
        <v>0</v>
      </c>
      <c r="F285" s="135">
        <v>13936376</v>
      </c>
      <c r="G285" s="134">
        <v>0</v>
      </c>
    </row>
    <row r="286" spans="1:7" ht="13.5" thickBot="1" x14ac:dyDescent="0.25">
      <c r="A286" s="133">
        <v>6330</v>
      </c>
      <c r="B286" s="132" t="s">
        <v>71</v>
      </c>
      <c r="C286" s="131" t="s">
        <v>70</v>
      </c>
      <c r="D286" s="130">
        <v>0</v>
      </c>
      <c r="E286" s="130">
        <v>0</v>
      </c>
      <c r="F286" s="130">
        <v>4000</v>
      </c>
      <c r="G286" s="129">
        <v>0</v>
      </c>
    </row>
    <row r="287" spans="1:7" ht="15" customHeight="1" x14ac:dyDescent="0.2">
      <c r="A287" s="128"/>
      <c r="B287" s="128"/>
      <c r="C287" s="127"/>
      <c r="D287" s="126"/>
      <c r="E287" s="126"/>
      <c r="F287" s="126"/>
      <c r="G287" s="125"/>
    </row>
    <row r="288" spans="1:7" ht="15" customHeight="1" thickBot="1" x14ac:dyDescent="0.25">
      <c r="A288" s="124"/>
      <c r="B288" s="124"/>
      <c r="C288" s="124"/>
      <c r="D288" s="123"/>
      <c r="E288" s="123"/>
      <c r="F288" s="123"/>
      <c r="G288" s="122"/>
    </row>
    <row r="289" spans="1:7" ht="15.75" customHeight="1" x14ac:dyDescent="0.2">
      <c r="A289" s="121"/>
      <c r="B289" s="121"/>
      <c r="C289" s="120" t="s">
        <v>69</v>
      </c>
      <c r="D289" s="119">
        <v>4776650</v>
      </c>
      <c r="E289" s="119">
        <v>4779495</v>
      </c>
      <c r="F289" s="119">
        <v>5050980</v>
      </c>
      <c r="G289" s="118">
        <v>105.7</v>
      </c>
    </row>
    <row r="290" spans="1:7" ht="15" customHeight="1" x14ac:dyDescent="0.2">
      <c r="A290" s="110"/>
      <c r="B290" s="110"/>
      <c r="C290" s="117" t="s">
        <v>68</v>
      </c>
      <c r="D290" s="116">
        <v>162937</v>
      </c>
      <c r="E290" s="116">
        <v>232031</v>
      </c>
      <c r="F290" s="116">
        <v>262004</v>
      </c>
      <c r="G290" s="115">
        <v>112.9</v>
      </c>
    </row>
    <row r="291" spans="1:7" ht="15" customHeight="1" x14ac:dyDescent="0.2">
      <c r="A291" s="110"/>
      <c r="B291" s="110"/>
      <c r="C291" s="117" t="s">
        <v>67</v>
      </c>
      <c r="D291" s="116">
        <v>55980</v>
      </c>
      <c r="E291" s="116">
        <v>41329</v>
      </c>
      <c r="F291" s="116">
        <v>47411</v>
      </c>
      <c r="G291" s="115">
        <v>114.7</v>
      </c>
    </row>
    <row r="292" spans="1:7" ht="15" customHeight="1" x14ac:dyDescent="0.2">
      <c r="A292" s="110"/>
      <c r="B292" s="110"/>
      <c r="C292" s="114" t="s">
        <v>66</v>
      </c>
      <c r="D292" s="112">
        <v>3565454</v>
      </c>
      <c r="E292" s="112">
        <v>13803962</v>
      </c>
      <c r="F292" s="112">
        <v>13726480</v>
      </c>
      <c r="G292" s="111">
        <v>99.4</v>
      </c>
    </row>
    <row r="293" spans="1:7" ht="15" customHeight="1" x14ac:dyDescent="0.2">
      <c r="A293" s="110"/>
      <c r="B293" s="110"/>
      <c r="C293" s="113" t="s">
        <v>65</v>
      </c>
      <c r="D293" s="112">
        <v>0</v>
      </c>
      <c r="E293" s="112">
        <v>0</v>
      </c>
      <c r="F293" s="112">
        <v>13940376</v>
      </c>
      <c r="G293" s="111">
        <v>0</v>
      </c>
    </row>
    <row r="294" spans="1:7" ht="15.75" customHeight="1" thickBot="1" x14ac:dyDescent="0.25">
      <c r="A294" s="110"/>
      <c r="B294" s="110"/>
      <c r="C294" s="109" t="s">
        <v>64</v>
      </c>
      <c r="D294" s="108">
        <v>8561021</v>
      </c>
      <c r="E294" s="108">
        <v>18856817</v>
      </c>
      <c r="F294" s="108">
        <v>33027251</v>
      </c>
      <c r="G294" s="107">
        <v>175.1</v>
      </c>
    </row>
    <row r="295" spans="1:7" ht="16.5" customHeight="1" thickBot="1" x14ac:dyDescent="0.25">
      <c r="A295" s="106"/>
      <c r="B295" s="106"/>
      <c r="C295" s="105" t="s">
        <v>63</v>
      </c>
      <c r="D295" s="104">
        <v>8561021</v>
      </c>
      <c r="E295" s="104">
        <v>18856817</v>
      </c>
      <c r="F295" s="104">
        <v>19086875</v>
      </c>
      <c r="G295" s="103">
        <v>101.2</v>
      </c>
    </row>
  </sheetData>
  <mergeCells count="2">
    <mergeCell ref="A2:G2"/>
    <mergeCell ref="A4:G4"/>
  </mergeCells>
  <printOptions horizontalCentered="1"/>
  <pageMargins left="0.39370078740157483" right="0.39370078740157483" top="0.59055118110236227" bottom="0.39370078740157483" header="0.31496062992125984" footer="0.11811023622047245"/>
  <pageSetup paperSize="9" scale="91" firstPageNumber="167" fitToHeight="0" orientation="landscape" useFirstPageNumber="1" r:id="rId1"/>
  <headerFooter alignWithMargins="0">
    <oddHeader>&amp;L&amp;"Tahoma,Kurzíva"Závěrečný účet za rok 2015&amp;R&amp;"Tahoma,Kurzíva"Tabulka č. 1</oddHeader>
    <oddFooter>&amp;C&amp;"Tahoma,Obyčejné"&amp;P</oddFooter>
  </headerFooter>
  <rowBreaks count="7" manualBreakCount="7">
    <brk id="40" max="6" man="1"/>
    <brk id="80" max="6" man="1"/>
    <brk id="119" max="6" man="1"/>
    <brk id="159" max="6" man="1"/>
    <brk id="198" max="6" man="1"/>
    <brk id="235" max="6" man="1"/>
    <brk id="271"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4"/>
  <sheetViews>
    <sheetView zoomScaleNormal="100" zoomScaleSheetLayoutView="100" workbookViewId="0">
      <selection activeCell="I5" sqref="I5"/>
    </sheetView>
  </sheetViews>
  <sheetFormatPr defaultRowHeight="12.75" x14ac:dyDescent="0.2"/>
  <cols>
    <col min="1" max="1" width="8.28515625" style="211" customWidth="1"/>
    <col min="2" max="2" width="10" style="211" customWidth="1"/>
    <col min="3" max="3" width="80.7109375" style="212" customWidth="1"/>
    <col min="4" max="6" width="15.7109375" style="211" customWidth="1"/>
    <col min="7" max="7" width="9.85546875" style="211" customWidth="1"/>
    <col min="8" max="8" width="9.140625" style="211"/>
    <col min="9" max="9" width="10.7109375" style="211" bestFit="1" customWidth="1"/>
    <col min="10" max="16384" width="9.140625" style="211"/>
  </cols>
  <sheetData>
    <row r="1" spans="1:8" s="214" customFormat="1" x14ac:dyDescent="0.2">
      <c r="A1" s="293"/>
      <c r="B1" s="292"/>
      <c r="C1" s="291"/>
      <c r="D1" s="290"/>
      <c r="E1" s="290"/>
      <c r="F1" s="289"/>
      <c r="G1" s="288"/>
      <c r="H1" s="287"/>
    </row>
    <row r="2" spans="1:8" s="214" customFormat="1" ht="18" customHeight="1" x14ac:dyDescent="0.2">
      <c r="A2" s="1324" t="s">
        <v>249</v>
      </c>
      <c r="B2" s="1324"/>
      <c r="C2" s="1324"/>
      <c r="D2" s="1324"/>
      <c r="E2" s="1324"/>
      <c r="F2" s="1324"/>
      <c r="G2" s="1324"/>
      <c r="H2" s="213"/>
    </row>
    <row r="3" spans="1:8" s="214" customFormat="1" x14ac:dyDescent="0.2">
      <c r="A3" s="213"/>
      <c r="B3" s="287"/>
      <c r="C3" s="286"/>
      <c r="D3" s="285"/>
      <c r="E3" s="285"/>
      <c r="F3" s="285"/>
      <c r="G3" s="268"/>
      <c r="H3" s="213"/>
    </row>
    <row r="4" spans="1:8" s="214" customFormat="1" ht="18" customHeight="1" x14ac:dyDescent="0.2">
      <c r="A4" s="1325" t="s">
        <v>472</v>
      </c>
      <c r="B4" s="1325"/>
      <c r="C4" s="1325"/>
      <c r="D4" s="1325"/>
      <c r="E4" s="1325"/>
      <c r="F4" s="1325"/>
      <c r="G4" s="1325"/>
      <c r="H4" s="213"/>
    </row>
    <row r="5" spans="1:8" s="214" customFormat="1" ht="15" x14ac:dyDescent="0.2">
      <c r="A5" s="202"/>
      <c r="B5" s="202"/>
      <c r="C5" s="284"/>
      <c r="D5" s="202"/>
      <c r="E5" s="202"/>
      <c r="F5" s="202"/>
      <c r="G5" s="202"/>
      <c r="H5" s="213"/>
    </row>
    <row r="6" spans="1:8" s="214" customFormat="1" ht="18" customHeight="1" x14ac:dyDescent="0.2">
      <c r="A6" s="201" t="s">
        <v>4</v>
      </c>
      <c r="B6" s="202"/>
      <c r="C6" s="269"/>
      <c r="D6" s="199"/>
      <c r="E6" s="199"/>
      <c r="F6" s="199"/>
      <c r="H6" s="213"/>
    </row>
    <row r="7" spans="1:8" s="214" customFormat="1" ht="12.75" customHeight="1" thickBot="1" x14ac:dyDescent="0.25">
      <c r="A7" s="201"/>
      <c r="B7" s="202"/>
      <c r="C7" s="269"/>
      <c r="D7" s="199"/>
      <c r="E7" s="199"/>
      <c r="F7" s="199"/>
      <c r="G7" s="268" t="s">
        <v>2</v>
      </c>
      <c r="H7" s="213"/>
    </row>
    <row r="8" spans="1:8" s="100" customFormat="1" ht="39" customHeight="1" thickBot="1" x14ac:dyDescent="0.25">
      <c r="A8" s="194" t="s">
        <v>114</v>
      </c>
      <c r="B8" s="193" t="s">
        <v>113</v>
      </c>
      <c r="C8" s="193" t="s">
        <v>112</v>
      </c>
      <c r="D8" s="192" t="s">
        <v>111</v>
      </c>
      <c r="E8" s="192" t="s">
        <v>110</v>
      </c>
      <c r="F8" s="192" t="s">
        <v>1</v>
      </c>
      <c r="G8" s="191" t="s">
        <v>109</v>
      </c>
      <c r="H8" s="185"/>
    </row>
    <row r="9" spans="1:8" ht="13.5" customHeight="1" x14ac:dyDescent="0.2">
      <c r="A9" s="278">
        <v>1019</v>
      </c>
      <c r="B9" s="283">
        <v>5213</v>
      </c>
      <c r="C9" s="229" t="s">
        <v>411</v>
      </c>
      <c r="D9" s="281">
        <v>0</v>
      </c>
      <c r="E9" s="282">
        <v>200</v>
      </c>
      <c r="F9" s="281">
        <v>78.099000000000004</v>
      </c>
      <c r="G9" s="280">
        <v>39.049500000000002</v>
      </c>
    </row>
    <row r="10" spans="1:8" x14ac:dyDescent="0.2">
      <c r="A10" s="278">
        <v>1019</v>
      </c>
      <c r="B10" s="283">
        <v>5222</v>
      </c>
      <c r="C10" s="229" t="s">
        <v>354</v>
      </c>
      <c r="D10" s="281">
        <v>1999.9999999999998</v>
      </c>
      <c r="E10" s="282">
        <v>1585.1000000000001</v>
      </c>
      <c r="F10" s="281">
        <v>1584.9650000000001</v>
      </c>
      <c r="G10" s="280">
        <v>99.99148318718062</v>
      </c>
    </row>
    <row r="11" spans="1:8" x14ac:dyDescent="0.2">
      <c r="A11" s="278">
        <v>1019</v>
      </c>
      <c r="B11" s="283">
        <v>5229</v>
      </c>
      <c r="C11" s="229" t="s">
        <v>390</v>
      </c>
      <c r="D11" s="281">
        <v>300</v>
      </c>
      <c r="E11" s="282">
        <v>40</v>
      </c>
      <c r="F11" s="281">
        <v>0</v>
      </c>
      <c r="G11" s="280">
        <v>0</v>
      </c>
    </row>
    <row r="12" spans="1:8" x14ac:dyDescent="0.2">
      <c r="A12" s="278">
        <v>1019</v>
      </c>
      <c r="B12" s="283">
        <v>5321</v>
      </c>
      <c r="C12" s="229" t="s">
        <v>353</v>
      </c>
      <c r="D12" s="281">
        <v>0</v>
      </c>
      <c r="E12" s="282">
        <v>20</v>
      </c>
      <c r="F12" s="281">
        <v>20</v>
      </c>
      <c r="G12" s="280">
        <v>100</v>
      </c>
    </row>
    <row r="13" spans="1:8" x14ac:dyDescent="0.2">
      <c r="A13" s="279">
        <v>1019</v>
      </c>
      <c r="B13" s="235"/>
      <c r="C13" s="234" t="s">
        <v>471</v>
      </c>
      <c r="D13" s="232">
        <v>2300</v>
      </c>
      <c r="E13" s="233">
        <v>1845.1000000000001</v>
      </c>
      <c r="F13" s="232">
        <v>1683.0640000000001</v>
      </c>
      <c r="G13" s="231">
        <v>91.218036962766249</v>
      </c>
    </row>
    <row r="14" spans="1:8" x14ac:dyDescent="0.2">
      <c r="A14" s="278"/>
      <c r="B14" s="250"/>
      <c r="C14" s="277"/>
      <c r="D14" s="249"/>
      <c r="E14" s="249"/>
      <c r="F14" s="249"/>
      <c r="G14" s="237"/>
    </row>
    <row r="15" spans="1:8" x14ac:dyDescent="0.2">
      <c r="A15" s="248">
        <v>1037</v>
      </c>
      <c r="B15" s="247">
        <v>5219</v>
      </c>
      <c r="C15" s="246" t="s">
        <v>467</v>
      </c>
      <c r="D15" s="244">
        <v>0</v>
      </c>
      <c r="E15" s="245">
        <v>637</v>
      </c>
      <c r="F15" s="244">
        <v>637</v>
      </c>
      <c r="G15" s="243">
        <v>100</v>
      </c>
    </row>
    <row r="16" spans="1:8" x14ac:dyDescent="0.2">
      <c r="A16" s="236">
        <v>1037</v>
      </c>
      <c r="B16" s="235"/>
      <c r="C16" s="234" t="s">
        <v>322</v>
      </c>
      <c r="D16" s="232">
        <v>0</v>
      </c>
      <c r="E16" s="233">
        <v>637</v>
      </c>
      <c r="F16" s="232">
        <v>637</v>
      </c>
      <c r="G16" s="231">
        <v>100</v>
      </c>
    </row>
    <row r="17" spans="1:8" x14ac:dyDescent="0.2">
      <c r="A17" s="242"/>
      <c r="B17" s="250"/>
      <c r="C17" s="277"/>
      <c r="D17" s="249"/>
      <c r="E17" s="249"/>
      <c r="F17" s="249"/>
      <c r="G17" s="237"/>
    </row>
    <row r="18" spans="1:8" x14ac:dyDescent="0.2">
      <c r="A18" s="248">
        <v>1039</v>
      </c>
      <c r="B18" s="247">
        <v>5212</v>
      </c>
      <c r="C18" s="246" t="s">
        <v>418</v>
      </c>
      <c r="D18" s="244">
        <v>0</v>
      </c>
      <c r="E18" s="245">
        <v>573.20000000000005</v>
      </c>
      <c r="F18" s="244">
        <v>461.96999999999997</v>
      </c>
      <c r="G18" s="243">
        <v>80.594905792044642</v>
      </c>
    </row>
    <row r="19" spans="1:8" x14ac:dyDescent="0.2">
      <c r="A19" s="242">
        <v>1039</v>
      </c>
      <c r="B19" s="241">
        <v>5213</v>
      </c>
      <c r="C19" s="240" t="s">
        <v>411</v>
      </c>
      <c r="D19" s="238">
        <v>328</v>
      </c>
      <c r="E19" s="239">
        <v>4874.4699999999993</v>
      </c>
      <c r="F19" s="238">
        <v>3000.1560000000004</v>
      </c>
      <c r="G19" s="237">
        <v>61.548352949141147</v>
      </c>
    </row>
    <row r="20" spans="1:8" x14ac:dyDescent="0.2">
      <c r="A20" s="242">
        <v>1039</v>
      </c>
      <c r="B20" s="241">
        <v>5222</v>
      </c>
      <c r="C20" s="240" t="s">
        <v>354</v>
      </c>
      <c r="D20" s="238">
        <v>0</v>
      </c>
      <c r="E20" s="239">
        <v>100</v>
      </c>
      <c r="F20" s="238">
        <v>100</v>
      </c>
      <c r="G20" s="237">
        <v>100</v>
      </c>
    </row>
    <row r="21" spans="1:8" x14ac:dyDescent="0.2">
      <c r="A21" s="242">
        <v>1039</v>
      </c>
      <c r="B21" s="241">
        <v>5229</v>
      </c>
      <c r="C21" s="240" t="s">
        <v>390</v>
      </c>
      <c r="D21" s="238">
        <v>18017</v>
      </c>
      <c r="E21" s="239">
        <v>0</v>
      </c>
      <c r="F21" s="238">
        <v>0</v>
      </c>
      <c r="G21" s="260" t="s">
        <v>279</v>
      </c>
    </row>
    <row r="22" spans="1:8" x14ac:dyDescent="0.2">
      <c r="A22" s="242">
        <v>1039</v>
      </c>
      <c r="B22" s="241">
        <v>5321</v>
      </c>
      <c r="C22" s="240" t="s">
        <v>353</v>
      </c>
      <c r="D22" s="238">
        <v>562.01</v>
      </c>
      <c r="E22" s="239">
        <v>10093.820000000002</v>
      </c>
      <c r="F22" s="238">
        <v>7274.7939999999971</v>
      </c>
      <c r="G22" s="237">
        <v>72.071762722140832</v>
      </c>
    </row>
    <row r="23" spans="1:8" x14ac:dyDescent="0.2">
      <c r="A23" s="242">
        <v>1039</v>
      </c>
      <c r="B23" s="241">
        <v>5493</v>
      </c>
      <c r="C23" s="240" t="s">
        <v>429</v>
      </c>
      <c r="D23" s="238">
        <v>93</v>
      </c>
      <c r="E23" s="239">
        <v>3961.75</v>
      </c>
      <c r="F23" s="238">
        <v>2964.4839999999999</v>
      </c>
      <c r="G23" s="237">
        <v>74.827639300814027</v>
      </c>
    </row>
    <row r="24" spans="1:8" x14ac:dyDescent="0.2">
      <c r="A24" s="236">
        <v>1039</v>
      </c>
      <c r="B24" s="235"/>
      <c r="C24" s="234" t="s">
        <v>233</v>
      </c>
      <c r="D24" s="232">
        <v>19000.009999999998</v>
      </c>
      <c r="E24" s="233">
        <v>19603.240000000002</v>
      </c>
      <c r="F24" s="232">
        <v>13801.403999999999</v>
      </c>
      <c r="G24" s="231">
        <v>70.403688369881706</v>
      </c>
    </row>
    <row r="25" spans="1:8" x14ac:dyDescent="0.2">
      <c r="A25" s="242"/>
      <c r="B25" s="250"/>
      <c r="C25" s="240"/>
      <c r="D25" s="249"/>
      <c r="E25" s="249"/>
      <c r="F25" s="249"/>
      <c r="G25" s="237"/>
    </row>
    <row r="26" spans="1:8" x14ac:dyDescent="0.2">
      <c r="A26" s="248">
        <v>1070</v>
      </c>
      <c r="B26" s="247">
        <v>5169</v>
      </c>
      <c r="C26" s="246" t="s">
        <v>341</v>
      </c>
      <c r="D26" s="244">
        <v>0</v>
      </c>
      <c r="E26" s="245">
        <v>25</v>
      </c>
      <c r="F26" s="244">
        <v>25</v>
      </c>
      <c r="G26" s="243">
        <v>100</v>
      </c>
    </row>
    <row r="27" spans="1:8" x14ac:dyDescent="0.2">
      <c r="A27" s="242">
        <v>1070</v>
      </c>
      <c r="B27" s="241">
        <v>5222</v>
      </c>
      <c r="C27" s="240" t="s">
        <v>354</v>
      </c>
      <c r="D27" s="238">
        <v>0</v>
      </c>
      <c r="E27" s="239">
        <v>110</v>
      </c>
      <c r="F27" s="238">
        <v>110</v>
      </c>
      <c r="G27" s="237">
        <v>100</v>
      </c>
    </row>
    <row r="28" spans="1:8" x14ac:dyDescent="0.2">
      <c r="A28" s="236">
        <v>1070</v>
      </c>
      <c r="B28" s="235"/>
      <c r="C28" s="234" t="s">
        <v>232</v>
      </c>
      <c r="D28" s="232">
        <v>0</v>
      </c>
      <c r="E28" s="233">
        <v>135</v>
      </c>
      <c r="F28" s="232">
        <v>135</v>
      </c>
      <c r="G28" s="231">
        <v>100</v>
      </c>
    </row>
    <row r="29" spans="1:8" x14ac:dyDescent="0.2">
      <c r="A29" s="242"/>
      <c r="B29" s="250"/>
      <c r="C29" s="240"/>
      <c r="D29" s="249"/>
      <c r="E29" s="249"/>
      <c r="F29" s="249"/>
      <c r="G29" s="237"/>
    </row>
    <row r="30" spans="1:8" s="100" customFormat="1" x14ac:dyDescent="0.2">
      <c r="A30" s="1317" t="s">
        <v>321</v>
      </c>
      <c r="B30" s="1318"/>
      <c r="C30" s="1318"/>
      <c r="D30" s="257">
        <v>21300</v>
      </c>
      <c r="E30" s="257">
        <v>22220.31</v>
      </c>
      <c r="F30" s="257">
        <v>16256.468000000001</v>
      </c>
      <c r="G30" s="256">
        <v>73.16</v>
      </c>
      <c r="H30"/>
    </row>
    <row r="31" spans="1:8" s="100" customFormat="1" x14ac:dyDescent="0.2">
      <c r="A31" s="264"/>
      <c r="B31" s="185"/>
      <c r="C31" s="263"/>
      <c r="D31" s="184"/>
      <c r="E31" s="184"/>
      <c r="F31" s="184"/>
      <c r="G31" s="262"/>
      <c r="H31"/>
    </row>
    <row r="32" spans="1:8" x14ac:dyDescent="0.2">
      <c r="A32" s="248">
        <v>2115</v>
      </c>
      <c r="B32" s="247">
        <v>5331</v>
      </c>
      <c r="C32" s="246" t="s">
        <v>403</v>
      </c>
      <c r="D32" s="244">
        <v>4500</v>
      </c>
      <c r="E32" s="245">
        <v>3675</v>
      </c>
      <c r="F32" s="244">
        <v>3675</v>
      </c>
      <c r="G32" s="243">
        <v>100</v>
      </c>
    </row>
    <row r="33" spans="1:7" x14ac:dyDescent="0.2">
      <c r="A33" s="242">
        <v>2115</v>
      </c>
      <c r="B33" s="241">
        <v>5621</v>
      </c>
      <c r="C33" s="240" t="s">
        <v>470</v>
      </c>
      <c r="D33" s="238">
        <v>0</v>
      </c>
      <c r="E33" s="239">
        <v>1000</v>
      </c>
      <c r="F33" s="238">
        <v>1000</v>
      </c>
      <c r="G33" s="237">
        <v>100</v>
      </c>
    </row>
    <row r="34" spans="1:7" x14ac:dyDescent="0.2">
      <c r="A34" s="236">
        <v>2115</v>
      </c>
      <c r="B34" s="235"/>
      <c r="C34" s="234" t="s">
        <v>231</v>
      </c>
      <c r="D34" s="232">
        <v>4500</v>
      </c>
      <c r="E34" s="233">
        <v>4675</v>
      </c>
      <c r="F34" s="232">
        <v>4675</v>
      </c>
      <c r="G34" s="231">
        <v>100</v>
      </c>
    </row>
    <row r="35" spans="1:7" x14ac:dyDescent="0.2">
      <c r="A35" s="242"/>
      <c r="B35" s="250"/>
      <c r="C35" s="240"/>
      <c r="D35" s="249"/>
      <c r="E35" s="249"/>
      <c r="F35" s="249"/>
      <c r="G35" s="237"/>
    </row>
    <row r="36" spans="1:7" x14ac:dyDescent="0.2">
      <c r="A36" s="248">
        <v>2125</v>
      </c>
      <c r="B36" s="247">
        <v>5166</v>
      </c>
      <c r="C36" s="246" t="s">
        <v>342</v>
      </c>
      <c r="D36" s="244">
        <v>0</v>
      </c>
      <c r="E36" s="245">
        <v>58</v>
      </c>
      <c r="F36" s="244">
        <v>7.5</v>
      </c>
      <c r="G36" s="243">
        <v>12.931034482758621</v>
      </c>
    </row>
    <row r="37" spans="1:7" x14ac:dyDescent="0.2">
      <c r="A37" s="242">
        <v>2125</v>
      </c>
      <c r="B37" s="241">
        <v>5613</v>
      </c>
      <c r="C37" s="240" t="s">
        <v>465</v>
      </c>
      <c r="D37" s="238">
        <v>0</v>
      </c>
      <c r="E37" s="239">
        <v>1000</v>
      </c>
      <c r="F37" s="238">
        <v>1000</v>
      </c>
      <c r="G37" s="237">
        <v>100</v>
      </c>
    </row>
    <row r="38" spans="1:7" x14ac:dyDescent="0.2">
      <c r="A38" s="236">
        <v>2125</v>
      </c>
      <c r="B38" s="235"/>
      <c r="C38" s="234" t="s">
        <v>469</v>
      </c>
      <c r="D38" s="232">
        <v>0</v>
      </c>
      <c r="E38" s="233">
        <v>1058</v>
      </c>
      <c r="F38" s="232">
        <v>1007.5</v>
      </c>
      <c r="G38" s="231">
        <v>95.226843100189043</v>
      </c>
    </row>
    <row r="39" spans="1:7" x14ac:dyDescent="0.2">
      <c r="A39" s="242"/>
      <c r="B39" s="250"/>
      <c r="C39" s="240"/>
      <c r="D39" s="249"/>
      <c r="E39" s="249"/>
      <c r="F39" s="249"/>
      <c r="G39" s="237"/>
    </row>
    <row r="40" spans="1:7" x14ac:dyDescent="0.2">
      <c r="A40" s="248">
        <v>2141</v>
      </c>
      <c r="B40" s="247">
        <v>5041</v>
      </c>
      <c r="C40" s="246" t="s">
        <v>380</v>
      </c>
      <c r="D40" s="244">
        <v>0</v>
      </c>
      <c r="E40" s="245">
        <v>238.13</v>
      </c>
      <c r="F40" s="244">
        <v>238.12799999999999</v>
      </c>
      <c r="G40" s="243">
        <v>99.999160122622087</v>
      </c>
    </row>
    <row r="41" spans="1:7" x14ac:dyDescent="0.2">
      <c r="A41" s="242">
        <v>2141</v>
      </c>
      <c r="B41" s="241">
        <v>5136</v>
      </c>
      <c r="C41" s="240" t="s">
        <v>373</v>
      </c>
      <c r="D41" s="238">
        <v>300</v>
      </c>
      <c r="E41" s="239">
        <v>147.44999999999999</v>
      </c>
      <c r="F41" s="238">
        <v>147.44999999999999</v>
      </c>
      <c r="G41" s="237">
        <v>100</v>
      </c>
    </row>
    <row r="42" spans="1:7" x14ac:dyDescent="0.2">
      <c r="A42" s="242">
        <v>2141</v>
      </c>
      <c r="B42" s="241">
        <v>5137</v>
      </c>
      <c r="C42" s="240" t="s">
        <v>345</v>
      </c>
      <c r="D42" s="238">
        <v>0</v>
      </c>
      <c r="E42" s="239">
        <v>223.26999999999998</v>
      </c>
      <c r="F42" s="238">
        <v>223.25299999999999</v>
      </c>
      <c r="G42" s="237">
        <v>99.992385900479235</v>
      </c>
    </row>
    <row r="43" spans="1:7" x14ac:dyDescent="0.2">
      <c r="A43" s="242">
        <v>2141</v>
      </c>
      <c r="B43" s="241">
        <v>5139</v>
      </c>
      <c r="C43" s="240" t="s">
        <v>344</v>
      </c>
      <c r="D43" s="238">
        <v>3200</v>
      </c>
      <c r="E43" s="239">
        <v>5373.51</v>
      </c>
      <c r="F43" s="238">
        <v>5327.5892399999993</v>
      </c>
      <c r="G43" s="237">
        <v>99.145423382481823</v>
      </c>
    </row>
    <row r="44" spans="1:7" x14ac:dyDescent="0.2">
      <c r="A44" s="242">
        <v>2141</v>
      </c>
      <c r="B44" s="241">
        <v>5164</v>
      </c>
      <c r="C44" s="240" t="s">
        <v>343</v>
      </c>
      <c r="D44" s="238">
        <v>3100</v>
      </c>
      <c r="E44" s="239">
        <v>4757.45</v>
      </c>
      <c r="F44" s="238">
        <v>1135.76999</v>
      </c>
      <c r="G44" s="237">
        <v>23.873503452479795</v>
      </c>
    </row>
    <row r="45" spans="1:7" x14ac:dyDescent="0.2">
      <c r="A45" s="242">
        <v>2141</v>
      </c>
      <c r="B45" s="241">
        <v>5166</v>
      </c>
      <c r="C45" s="240" t="s">
        <v>342</v>
      </c>
      <c r="D45" s="238">
        <v>0</v>
      </c>
      <c r="E45" s="239">
        <v>241</v>
      </c>
      <c r="F45" s="238">
        <v>240.79</v>
      </c>
      <c r="G45" s="237">
        <v>99.912863070539416</v>
      </c>
    </row>
    <row r="46" spans="1:7" x14ac:dyDescent="0.2">
      <c r="A46" s="242">
        <v>2141</v>
      </c>
      <c r="B46" s="241">
        <v>5169</v>
      </c>
      <c r="C46" s="240" t="s">
        <v>341</v>
      </c>
      <c r="D46" s="238">
        <v>2500</v>
      </c>
      <c r="E46" s="239">
        <v>6528.88</v>
      </c>
      <c r="F46" s="238">
        <v>2936.7648100000001</v>
      </c>
      <c r="G46" s="237">
        <v>44.981142401146904</v>
      </c>
    </row>
    <row r="47" spans="1:7" x14ac:dyDescent="0.2">
      <c r="A47" s="242">
        <v>2141</v>
      </c>
      <c r="B47" s="241">
        <v>5175</v>
      </c>
      <c r="C47" s="240" t="s">
        <v>340</v>
      </c>
      <c r="D47" s="238">
        <v>750</v>
      </c>
      <c r="E47" s="239">
        <v>1736.7</v>
      </c>
      <c r="F47" s="238">
        <v>591.80133999999998</v>
      </c>
      <c r="G47" s="237">
        <v>34.076198537456094</v>
      </c>
    </row>
    <row r="48" spans="1:7" x14ac:dyDescent="0.2">
      <c r="A48" s="242">
        <v>2141</v>
      </c>
      <c r="B48" s="241">
        <v>5229</v>
      </c>
      <c r="C48" s="240" t="s">
        <v>390</v>
      </c>
      <c r="D48" s="238">
        <v>0</v>
      </c>
      <c r="E48" s="239">
        <v>15</v>
      </c>
      <c r="F48" s="238">
        <v>15</v>
      </c>
      <c r="G48" s="237">
        <v>100</v>
      </c>
    </row>
    <row r="49" spans="1:7" x14ac:dyDescent="0.2">
      <c r="A49" s="242">
        <v>2141</v>
      </c>
      <c r="B49" s="241">
        <v>5494</v>
      </c>
      <c r="C49" s="240" t="s">
        <v>443</v>
      </c>
      <c r="D49" s="238">
        <v>0</v>
      </c>
      <c r="E49" s="239">
        <v>15.3</v>
      </c>
      <c r="F49" s="238">
        <v>15.246</v>
      </c>
      <c r="G49" s="237">
        <v>99.647058823529406</v>
      </c>
    </row>
    <row r="50" spans="1:7" x14ac:dyDescent="0.2">
      <c r="A50" s="236">
        <v>2141</v>
      </c>
      <c r="B50" s="235"/>
      <c r="C50" s="234" t="s">
        <v>468</v>
      </c>
      <c r="D50" s="232">
        <v>9850</v>
      </c>
      <c r="E50" s="233">
        <v>19276.690000000002</v>
      </c>
      <c r="F50" s="232">
        <v>10871.792379999999</v>
      </c>
      <c r="G50" s="231">
        <v>56.398647174385218</v>
      </c>
    </row>
    <row r="51" spans="1:7" x14ac:dyDescent="0.2">
      <c r="A51" s="242"/>
      <c r="B51" s="250"/>
      <c r="C51" s="240"/>
      <c r="D51" s="249"/>
      <c r="E51" s="249"/>
      <c r="F51" s="249"/>
      <c r="G51" s="237"/>
    </row>
    <row r="52" spans="1:7" x14ac:dyDescent="0.2">
      <c r="A52" s="248">
        <v>2143</v>
      </c>
      <c r="B52" s="247">
        <v>5011</v>
      </c>
      <c r="C52" s="246" t="s">
        <v>386</v>
      </c>
      <c r="D52" s="244">
        <v>0</v>
      </c>
      <c r="E52" s="245">
        <v>483.75</v>
      </c>
      <c r="F52" s="244">
        <v>321.87900000000002</v>
      </c>
      <c r="G52" s="243">
        <v>66.538294573643412</v>
      </c>
    </row>
    <row r="53" spans="1:7" x14ac:dyDescent="0.2">
      <c r="A53" s="242">
        <v>2143</v>
      </c>
      <c r="B53" s="241">
        <v>5021</v>
      </c>
      <c r="C53" s="240" t="s">
        <v>385</v>
      </c>
      <c r="D53" s="238">
        <v>0</v>
      </c>
      <c r="E53" s="239">
        <v>109</v>
      </c>
      <c r="F53" s="238">
        <v>71.456000000000003</v>
      </c>
      <c r="G53" s="237">
        <v>65.555963302752289</v>
      </c>
    </row>
    <row r="54" spans="1:7" x14ac:dyDescent="0.2">
      <c r="A54" s="242">
        <v>2143</v>
      </c>
      <c r="B54" s="241">
        <v>5031</v>
      </c>
      <c r="C54" s="240" t="s">
        <v>383</v>
      </c>
      <c r="D54" s="238">
        <v>0</v>
      </c>
      <c r="E54" s="239">
        <v>120.95000000000002</v>
      </c>
      <c r="F54" s="238">
        <v>83.93</v>
      </c>
      <c r="G54" s="237">
        <v>69.392310872261262</v>
      </c>
    </row>
    <row r="55" spans="1:7" x14ac:dyDescent="0.2">
      <c r="A55" s="242">
        <v>2143</v>
      </c>
      <c r="B55" s="241">
        <v>5032</v>
      </c>
      <c r="C55" s="240" t="s">
        <v>382</v>
      </c>
      <c r="D55" s="238">
        <v>0</v>
      </c>
      <c r="E55" s="239">
        <v>43.54</v>
      </c>
      <c r="F55" s="238">
        <v>30.189</v>
      </c>
      <c r="G55" s="237">
        <v>69.336242535599439</v>
      </c>
    </row>
    <row r="56" spans="1:7" x14ac:dyDescent="0.2">
      <c r="A56" s="242">
        <v>2143</v>
      </c>
      <c r="B56" s="241">
        <v>5038</v>
      </c>
      <c r="C56" s="240" t="s">
        <v>381</v>
      </c>
      <c r="D56" s="238">
        <v>0</v>
      </c>
      <c r="E56" s="239">
        <v>2.0300000000000002</v>
      </c>
      <c r="F56" s="238">
        <v>1.3780000000000001</v>
      </c>
      <c r="G56" s="237">
        <v>67.881773399014776</v>
      </c>
    </row>
    <row r="57" spans="1:7" x14ac:dyDescent="0.2">
      <c r="A57" s="242">
        <v>2143</v>
      </c>
      <c r="B57" s="241">
        <v>5041</v>
      </c>
      <c r="C57" s="240" t="s">
        <v>380</v>
      </c>
      <c r="D57" s="238">
        <v>0</v>
      </c>
      <c r="E57" s="239">
        <v>3376.47</v>
      </c>
      <c r="F57" s="238">
        <v>3375.2322500000005</v>
      </c>
      <c r="G57" s="237">
        <v>99.963341892568295</v>
      </c>
    </row>
    <row r="58" spans="1:7" x14ac:dyDescent="0.2">
      <c r="A58" s="242">
        <v>2143</v>
      </c>
      <c r="B58" s="241">
        <v>5136</v>
      </c>
      <c r="C58" s="240" t="s">
        <v>373</v>
      </c>
      <c r="D58" s="238">
        <v>1296</v>
      </c>
      <c r="E58" s="239">
        <v>656.58000000000015</v>
      </c>
      <c r="F58" s="238">
        <v>308.42560000000003</v>
      </c>
      <c r="G58" s="237">
        <v>46.974565171037796</v>
      </c>
    </row>
    <row r="59" spans="1:7" x14ac:dyDescent="0.2">
      <c r="A59" s="242">
        <v>2143</v>
      </c>
      <c r="B59" s="241">
        <v>5137</v>
      </c>
      <c r="C59" s="240" t="s">
        <v>345</v>
      </c>
      <c r="D59" s="238">
        <v>100</v>
      </c>
      <c r="E59" s="239">
        <v>414.09000000000003</v>
      </c>
      <c r="F59" s="238">
        <v>278.44477000000006</v>
      </c>
      <c r="G59" s="237">
        <v>67.242572870632003</v>
      </c>
    </row>
    <row r="60" spans="1:7" x14ac:dyDescent="0.2">
      <c r="A60" s="242">
        <v>2143</v>
      </c>
      <c r="B60" s="241">
        <v>5139</v>
      </c>
      <c r="C60" s="240" t="s">
        <v>344</v>
      </c>
      <c r="D60" s="238">
        <v>118</v>
      </c>
      <c r="E60" s="239">
        <v>2602.5099999999998</v>
      </c>
      <c r="F60" s="238">
        <v>2335.4852300000002</v>
      </c>
      <c r="G60" s="237">
        <v>89.739721653326995</v>
      </c>
    </row>
    <row r="61" spans="1:7" x14ac:dyDescent="0.2">
      <c r="A61" s="242">
        <v>2143</v>
      </c>
      <c r="B61" s="241">
        <v>5151</v>
      </c>
      <c r="C61" s="240" t="s">
        <v>371</v>
      </c>
      <c r="D61" s="238">
        <v>0</v>
      </c>
      <c r="E61" s="239">
        <v>3.1</v>
      </c>
      <c r="F61" s="238">
        <v>2.875</v>
      </c>
      <c r="G61" s="237">
        <v>92.741935483870961</v>
      </c>
    </row>
    <row r="62" spans="1:7" x14ac:dyDescent="0.2">
      <c r="A62" s="242">
        <v>2143</v>
      </c>
      <c r="B62" s="241">
        <v>5152</v>
      </c>
      <c r="C62" s="240" t="s">
        <v>370</v>
      </c>
      <c r="D62" s="238">
        <v>0</v>
      </c>
      <c r="E62" s="239">
        <v>19.8</v>
      </c>
      <c r="F62" s="238">
        <v>18.783339999999999</v>
      </c>
      <c r="G62" s="237">
        <v>94.86535353535352</v>
      </c>
    </row>
    <row r="63" spans="1:7" x14ac:dyDescent="0.2">
      <c r="A63" s="242">
        <v>2143</v>
      </c>
      <c r="B63" s="241">
        <v>5154</v>
      </c>
      <c r="C63" s="240" t="s">
        <v>369</v>
      </c>
      <c r="D63" s="238">
        <v>0</v>
      </c>
      <c r="E63" s="239">
        <v>9.6999999999999993</v>
      </c>
      <c r="F63" s="238">
        <v>9.68</v>
      </c>
      <c r="G63" s="237">
        <v>99.793814432989691</v>
      </c>
    </row>
    <row r="64" spans="1:7" x14ac:dyDescent="0.2">
      <c r="A64" s="242">
        <v>2143</v>
      </c>
      <c r="B64" s="241">
        <v>5163</v>
      </c>
      <c r="C64" s="240" t="s">
        <v>336</v>
      </c>
      <c r="D64" s="238">
        <v>0</v>
      </c>
      <c r="E64" s="239">
        <v>6</v>
      </c>
      <c r="F64" s="238">
        <v>6</v>
      </c>
      <c r="G64" s="237">
        <v>100</v>
      </c>
    </row>
    <row r="65" spans="1:7" x14ac:dyDescent="0.2">
      <c r="A65" s="242">
        <v>2143</v>
      </c>
      <c r="B65" s="241">
        <v>5164</v>
      </c>
      <c r="C65" s="240" t="s">
        <v>343</v>
      </c>
      <c r="D65" s="238">
        <v>510</v>
      </c>
      <c r="E65" s="239">
        <v>8374.1999999999989</v>
      </c>
      <c r="F65" s="238">
        <v>3966.5859800000003</v>
      </c>
      <c r="G65" s="237">
        <v>47.366745241336496</v>
      </c>
    </row>
    <row r="66" spans="1:7" x14ac:dyDescent="0.2">
      <c r="A66" s="242">
        <v>2143</v>
      </c>
      <c r="B66" s="241">
        <v>5166</v>
      </c>
      <c r="C66" s="240" t="s">
        <v>342</v>
      </c>
      <c r="D66" s="238">
        <v>232</v>
      </c>
      <c r="E66" s="239">
        <v>140</v>
      </c>
      <c r="F66" s="238">
        <v>139.55500000000001</v>
      </c>
      <c r="G66" s="237">
        <v>99.682142857142864</v>
      </c>
    </row>
    <row r="67" spans="1:7" x14ac:dyDescent="0.2">
      <c r="A67" s="242">
        <v>2143</v>
      </c>
      <c r="B67" s="241">
        <v>5167</v>
      </c>
      <c r="C67" s="240" t="s">
        <v>365</v>
      </c>
      <c r="D67" s="238">
        <v>0</v>
      </c>
      <c r="E67" s="239">
        <v>13.5</v>
      </c>
      <c r="F67" s="238">
        <v>12.28</v>
      </c>
      <c r="G67" s="237">
        <v>90.962962962962962</v>
      </c>
    </row>
    <row r="68" spans="1:7" x14ac:dyDescent="0.2">
      <c r="A68" s="242">
        <v>2143</v>
      </c>
      <c r="B68" s="241">
        <v>5168</v>
      </c>
      <c r="C68" s="240" t="s">
        <v>364</v>
      </c>
      <c r="D68" s="238">
        <v>440</v>
      </c>
      <c r="E68" s="239">
        <v>340</v>
      </c>
      <c r="F68" s="238">
        <v>336.50099999999998</v>
      </c>
      <c r="G68" s="237">
        <v>98.970882352941175</v>
      </c>
    </row>
    <row r="69" spans="1:7" x14ac:dyDescent="0.2">
      <c r="A69" s="242">
        <v>2143</v>
      </c>
      <c r="B69" s="241">
        <v>5169</v>
      </c>
      <c r="C69" s="240" t="s">
        <v>341</v>
      </c>
      <c r="D69" s="238">
        <v>15918</v>
      </c>
      <c r="E69" s="239">
        <v>29127.67</v>
      </c>
      <c r="F69" s="238">
        <v>9671.4737499999992</v>
      </c>
      <c r="G69" s="237">
        <v>33.203732911008672</v>
      </c>
    </row>
    <row r="70" spans="1:7" x14ac:dyDescent="0.2">
      <c r="A70" s="242">
        <v>2143</v>
      </c>
      <c r="B70" s="241">
        <v>5171</v>
      </c>
      <c r="C70" s="240" t="s">
        <v>363</v>
      </c>
      <c r="D70" s="238">
        <v>0</v>
      </c>
      <c r="E70" s="239">
        <v>103.46</v>
      </c>
      <c r="F70" s="238">
        <v>15.077</v>
      </c>
      <c r="G70" s="237">
        <v>14.572781751401509</v>
      </c>
    </row>
    <row r="71" spans="1:7" x14ac:dyDescent="0.2">
      <c r="A71" s="242">
        <v>2143</v>
      </c>
      <c r="B71" s="241">
        <v>5173</v>
      </c>
      <c r="C71" s="240" t="s">
        <v>361</v>
      </c>
      <c r="D71" s="238">
        <v>200</v>
      </c>
      <c r="E71" s="239">
        <v>240.73999999999998</v>
      </c>
      <c r="F71" s="238">
        <v>164.10349000000002</v>
      </c>
      <c r="G71" s="237">
        <v>68.166274819307148</v>
      </c>
    </row>
    <row r="72" spans="1:7" x14ac:dyDescent="0.2">
      <c r="A72" s="242">
        <v>2143</v>
      </c>
      <c r="B72" s="241">
        <v>5175</v>
      </c>
      <c r="C72" s="240" t="s">
        <v>340</v>
      </c>
      <c r="D72" s="238">
        <v>303</v>
      </c>
      <c r="E72" s="239">
        <v>506.67999999999995</v>
      </c>
      <c r="F72" s="238">
        <v>429.12791000000004</v>
      </c>
      <c r="G72" s="237">
        <v>84.694069235020152</v>
      </c>
    </row>
    <row r="73" spans="1:7" x14ac:dyDescent="0.2">
      <c r="A73" s="242">
        <v>2143</v>
      </c>
      <c r="B73" s="241">
        <v>5179</v>
      </c>
      <c r="C73" s="240" t="s">
        <v>359</v>
      </c>
      <c r="D73" s="238">
        <v>0</v>
      </c>
      <c r="E73" s="239">
        <v>15</v>
      </c>
      <c r="F73" s="238">
        <v>15</v>
      </c>
      <c r="G73" s="237">
        <v>100</v>
      </c>
    </row>
    <row r="74" spans="1:7" x14ac:dyDescent="0.2">
      <c r="A74" s="242">
        <v>2143</v>
      </c>
      <c r="B74" s="241">
        <v>5194</v>
      </c>
      <c r="C74" s="240" t="s">
        <v>355</v>
      </c>
      <c r="D74" s="238">
        <v>0</v>
      </c>
      <c r="E74" s="239">
        <v>20</v>
      </c>
      <c r="F74" s="238">
        <v>7.2469999999999999</v>
      </c>
      <c r="G74" s="237">
        <v>36.234999999999999</v>
      </c>
    </row>
    <row r="75" spans="1:7" x14ac:dyDescent="0.2">
      <c r="A75" s="242">
        <v>2143</v>
      </c>
      <c r="B75" s="241">
        <v>5212</v>
      </c>
      <c r="C75" s="240" t="s">
        <v>418</v>
      </c>
      <c r="D75" s="238">
        <v>0</v>
      </c>
      <c r="E75" s="239">
        <v>1626.56</v>
      </c>
      <c r="F75" s="238">
        <v>780.00699999999995</v>
      </c>
      <c r="G75" s="237">
        <v>47.954394550462325</v>
      </c>
    </row>
    <row r="76" spans="1:7" x14ac:dyDescent="0.2">
      <c r="A76" s="242">
        <v>2143</v>
      </c>
      <c r="B76" s="241">
        <v>5213</v>
      </c>
      <c r="C76" s="240" t="s">
        <v>411</v>
      </c>
      <c r="D76" s="238">
        <v>6500</v>
      </c>
      <c r="E76" s="239">
        <v>6040.06</v>
      </c>
      <c r="F76" s="238">
        <v>3159.0449999999996</v>
      </c>
      <c r="G76" s="237">
        <v>52.301549984602794</v>
      </c>
    </row>
    <row r="77" spans="1:7" x14ac:dyDescent="0.2">
      <c r="A77" s="242">
        <v>2143</v>
      </c>
      <c r="B77" s="241">
        <v>5219</v>
      </c>
      <c r="C77" s="240" t="s">
        <v>467</v>
      </c>
      <c r="D77" s="238">
        <v>0</v>
      </c>
      <c r="E77" s="239">
        <v>230.95</v>
      </c>
      <c r="F77" s="238">
        <v>30.087</v>
      </c>
      <c r="G77" s="237">
        <v>13.027495128815762</v>
      </c>
    </row>
    <row r="78" spans="1:7" x14ac:dyDescent="0.2">
      <c r="A78" s="242">
        <v>2143</v>
      </c>
      <c r="B78" s="241">
        <v>5221</v>
      </c>
      <c r="C78" s="240" t="s">
        <v>399</v>
      </c>
      <c r="D78" s="238">
        <v>6000</v>
      </c>
      <c r="E78" s="239">
        <v>4729.4799999999996</v>
      </c>
      <c r="F78" s="238">
        <v>2133.6170000000002</v>
      </c>
      <c r="G78" s="237">
        <v>45.113141402437485</v>
      </c>
    </row>
    <row r="79" spans="1:7" x14ac:dyDescent="0.2">
      <c r="A79" s="242">
        <v>2143</v>
      </c>
      <c r="B79" s="241">
        <v>5222</v>
      </c>
      <c r="C79" s="240" t="s">
        <v>354</v>
      </c>
      <c r="D79" s="238">
        <v>6300</v>
      </c>
      <c r="E79" s="239">
        <v>5125</v>
      </c>
      <c r="F79" s="238">
        <v>3086.3870000000002</v>
      </c>
      <c r="G79" s="237">
        <v>60.222185365853662</v>
      </c>
    </row>
    <row r="80" spans="1:7" x14ac:dyDescent="0.2">
      <c r="A80" s="242">
        <v>2143</v>
      </c>
      <c r="B80" s="241">
        <v>5229</v>
      </c>
      <c r="C80" s="240" t="s">
        <v>390</v>
      </c>
      <c r="D80" s="238">
        <v>10000</v>
      </c>
      <c r="E80" s="239">
        <v>13228.7</v>
      </c>
      <c r="F80" s="238">
        <v>9673.0636699999995</v>
      </c>
      <c r="G80" s="237">
        <v>73.121800857227086</v>
      </c>
    </row>
    <row r="81" spans="1:7" x14ac:dyDescent="0.2">
      <c r="A81" s="242">
        <v>2143</v>
      </c>
      <c r="B81" s="241">
        <v>5319</v>
      </c>
      <c r="C81" s="240" t="s">
        <v>397</v>
      </c>
      <c r="D81" s="238">
        <v>0</v>
      </c>
      <c r="E81" s="239">
        <v>97.9</v>
      </c>
      <c r="F81" s="238">
        <v>97.9</v>
      </c>
      <c r="G81" s="237">
        <v>100</v>
      </c>
    </row>
    <row r="82" spans="1:7" x14ac:dyDescent="0.2">
      <c r="A82" s="242">
        <v>2143</v>
      </c>
      <c r="B82" s="241">
        <v>5321</v>
      </c>
      <c r="C82" s="240" t="s">
        <v>353</v>
      </c>
      <c r="D82" s="238">
        <v>1000</v>
      </c>
      <c r="E82" s="239">
        <v>3545.7300000000005</v>
      </c>
      <c r="F82" s="238">
        <v>2052.8709999999996</v>
      </c>
      <c r="G82" s="237">
        <v>57.896991592704453</v>
      </c>
    </row>
    <row r="83" spans="1:7" x14ac:dyDescent="0.2">
      <c r="A83" s="242">
        <v>2143</v>
      </c>
      <c r="B83" s="241">
        <v>5323</v>
      </c>
      <c r="C83" s="240" t="s">
        <v>466</v>
      </c>
      <c r="D83" s="238">
        <v>250</v>
      </c>
      <c r="E83" s="239">
        <v>250</v>
      </c>
      <c r="F83" s="238">
        <v>0</v>
      </c>
      <c r="G83" s="237">
        <v>0</v>
      </c>
    </row>
    <row r="84" spans="1:7" x14ac:dyDescent="0.2">
      <c r="A84" s="242">
        <v>2143</v>
      </c>
      <c r="B84" s="241">
        <v>5329</v>
      </c>
      <c r="C84" s="240" t="s">
        <v>426</v>
      </c>
      <c r="D84" s="238">
        <v>0</v>
      </c>
      <c r="E84" s="239">
        <v>456.8</v>
      </c>
      <c r="F84" s="238">
        <v>406.8</v>
      </c>
      <c r="G84" s="237">
        <v>89.05429071803853</v>
      </c>
    </row>
    <row r="85" spans="1:7" x14ac:dyDescent="0.2">
      <c r="A85" s="242">
        <v>2143</v>
      </c>
      <c r="B85" s="241">
        <v>5331</v>
      </c>
      <c r="C85" s="240" t="s">
        <v>403</v>
      </c>
      <c r="D85" s="238">
        <v>0</v>
      </c>
      <c r="E85" s="239">
        <v>339.4</v>
      </c>
      <c r="F85" s="238">
        <v>334.58799999999997</v>
      </c>
      <c r="G85" s="237">
        <v>98.58220388921626</v>
      </c>
    </row>
    <row r="86" spans="1:7" x14ac:dyDescent="0.2">
      <c r="A86" s="242">
        <v>2143</v>
      </c>
      <c r="B86" s="241">
        <v>5339</v>
      </c>
      <c r="C86" s="240" t="s">
        <v>398</v>
      </c>
      <c r="D86" s="238">
        <v>0</v>
      </c>
      <c r="E86" s="239">
        <v>89.8</v>
      </c>
      <c r="F86" s="238">
        <v>88</v>
      </c>
      <c r="G86" s="237">
        <v>97.995545657015597</v>
      </c>
    </row>
    <row r="87" spans="1:7" x14ac:dyDescent="0.2">
      <c r="A87" s="242">
        <v>2143</v>
      </c>
      <c r="B87" s="241">
        <v>5362</v>
      </c>
      <c r="C87" s="240" t="s">
        <v>335</v>
      </c>
      <c r="D87" s="238">
        <v>0</v>
      </c>
      <c r="E87" s="239">
        <v>7.51</v>
      </c>
      <c r="F87" s="238">
        <v>7.5030000000000001</v>
      </c>
      <c r="G87" s="237">
        <v>99.906790945406129</v>
      </c>
    </row>
    <row r="88" spans="1:7" x14ac:dyDescent="0.2">
      <c r="A88" s="242">
        <v>2143</v>
      </c>
      <c r="B88" s="241">
        <v>5494</v>
      </c>
      <c r="C88" s="240" t="s">
        <v>443</v>
      </c>
      <c r="D88" s="238">
        <v>0</v>
      </c>
      <c r="E88" s="239">
        <v>18.940000000000001</v>
      </c>
      <c r="F88" s="238">
        <v>12.888</v>
      </c>
      <c r="G88" s="237">
        <v>68.046462513199572</v>
      </c>
    </row>
    <row r="89" spans="1:7" x14ac:dyDescent="0.2">
      <c r="A89" s="242">
        <v>2143</v>
      </c>
      <c r="B89" s="241">
        <v>5613</v>
      </c>
      <c r="C89" s="240" t="s">
        <v>465</v>
      </c>
      <c r="D89" s="238">
        <v>0</v>
      </c>
      <c r="E89" s="239">
        <v>3500</v>
      </c>
      <c r="F89" s="238">
        <v>3500</v>
      </c>
      <c r="G89" s="237">
        <v>100</v>
      </c>
    </row>
    <row r="90" spans="1:7" x14ac:dyDescent="0.2">
      <c r="A90" s="236">
        <v>2143</v>
      </c>
      <c r="B90" s="235"/>
      <c r="C90" s="234" t="s">
        <v>0</v>
      </c>
      <c r="D90" s="232">
        <v>49167</v>
      </c>
      <c r="E90" s="233">
        <v>86015.599999999977</v>
      </c>
      <c r="F90" s="232">
        <v>46963.465990000004</v>
      </c>
      <c r="G90" s="231">
        <v>54.598777419444865</v>
      </c>
    </row>
    <row r="91" spans="1:7" x14ac:dyDescent="0.2">
      <c r="A91" s="242"/>
      <c r="B91" s="250"/>
      <c r="C91" s="240"/>
      <c r="D91" s="249"/>
      <c r="E91" s="249"/>
      <c r="F91" s="249"/>
      <c r="G91" s="237"/>
    </row>
    <row r="92" spans="1:7" x14ac:dyDescent="0.2">
      <c r="A92" s="248">
        <v>2191</v>
      </c>
      <c r="B92" s="247">
        <v>5164</v>
      </c>
      <c r="C92" s="246" t="s">
        <v>343</v>
      </c>
      <c r="D92" s="244">
        <v>100</v>
      </c>
      <c r="E92" s="245">
        <v>40</v>
      </c>
      <c r="F92" s="244">
        <v>5.01</v>
      </c>
      <c r="G92" s="243">
        <v>12.525</v>
      </c>
    </row>
    <row r="93" spans="1:7" x14ac:dyDescent="0.2">
      <c r="A93" s="242">
        <v>2191</v>
      </c>
      <c r="B93" s="241">
        <v>5169</v>
      </c>
      <c r="C93" s="240" t="s">
        <v>341</v>
      </c>
      <c r="D93" s="238">
        <v>250</v>
      </c>
      <c r="E93" s="239">
        <v>250</v>
      </c>
      <c r="F93" s="238">
        <v>147.07889999999998</v>
      </c>
      <c r="G93" s="237">
        <v>58.831559999999996</v>
      </c>
    </row>
    <row r="94" spans="1:7" x14ac:dyDescent="0.2">
      <c r="A94" s="242">
        <v>2191</v>
      </c>
      <c r="B94" s="241">
        <v>5173</v>
      </c>
      <c r="C94" s="240" t="s">
        <v>361</v>
      </c>
      <c r="D94" s="238">
        <v>250</v>
      </c>
      <c r="E94" s="239">
        <v>460</v>
      </c>
      <c r="F94" s="238">
        <v>381.17288000000002</v>
      </c>
      <c r="G94" s="237">
        <v>82.863669565217393</v>
      </c>
    </row>
    <row r="95" spans="1:7" x14ac:dyDescent="0.2">
      <c r="A95" s="242">
        <v>2191</v>
      </c>
      <c r="B95" s="241">
        <v>5175</v>
      </c>
      <c r="C95" s="240" t="s">
        <v>340</v>
      </c>
      <c r="D95" s="238">
        <v>190</v>
      </c>
      <c r="E95" s="239">
        <v>400</v>
      </c>
      <c r="F95" s="238">
        <v>287.54669000000001</v>
      </c>
      <c r="G95" s="237">
        <v>71.886672500000003</v>
      </c>
    </row>
    <row r="96" spans="1:7" x14ac:dyDescent="0.2">
      <c r="A96" s="242">
        <v>2191</v>
      </c>
      <c r="B96" s="241">
        <v>5194</v>
      </c>
      <c r="C96" s="240" t="s">
        <v>355</v>
      </c>
      <c r="D96" s="238">
        <v>20</v>
      </c>
      <c r="E96" s="239">
        <v>20</v>
      </c>
      <c r="F96" s="238">
        <v>19.893000000000001</v>
      </c>
      <c r="G96" s="237">
        <v>99.465000000000003</v>
      </c>
    </row>
    <row r="97" spans="1:7" x14ac:dyDescent="0.2">
      <c r="A97" s="242">
        <v>2191</v>
      </c>
      <c r="B97" s="241">
        <v>5511</v>
      </c>
      <c r="C97" s="240" t="s">
        <v>464</v>
      </c>
      <c r="D97" s="238">
        <v>818</v>
      </c>
      <c r="E97" s="239">
        <v>809.57</v>
      </c>
      <c r="F97" s="238">
        <v>809.57</v>
      </c>
      <c r="G97" s="237">
        <v>100</v>
      </c>
    </row>
    <row r="98" spans="1:7" x14ac:dyDescent="0.2">
      <c r="A98" s="236">
        <v>2191</v>
      </c>
      <c r="B98" s="235"/>
      <c r="C98" s="234" t="s">
        <v>463</v>
      </c>
      <c r="D98" s="232">
        <v>1628</v>
      </c>
      <c r="E98" s="233">
        <v>1979.5700000000002</v>
      </c>
      <c r="F98" s="232">
        <v>1650.2714700000001</v>
      </c>
      <c r="G98" s="231">
        <v>83.365148491844181</v>
      </c>
    </row>
    <row r="99" spans="1:7" x14ac:dyDescent="0.2">
      <c r="A99" s="242"/>
      <c r="B99" s="250"/>
      <c r="C99" s="240"/>
      <c r="D99" s="249"/>
      <c r="E99" s="249"/>
      <c r="F99" s="249"/>
      <c r="G99" s="237"/>
    </row>
    <row r="100" spans="1:7" x14ac:dyDescent="0.2">
      <c r="A100" s="248">
        <v>2199</v>
      </c>
      <c r="B100" s="247">
        <v>5222</v>
      </c>
      <c r="C100" s="246" t="s">
        <v>354</v>
      </c>
      <c r="D100" s="244">
        <v>50</v>
      </c>
      <c r="E100" s="245">
        <v>50</v>
      </c>
      <c r="F100" s="244">
        <v>50</v>
      </c>
      <c r="G100" s="243">
        <v>100</v>
      </c>
    </row>
    <row r="101" spans="1:7" x14ac:dyDescent="0.2">
      <c r="A101" s="236">
        <v>2199</v>
      </c>
      <c r="B101" s="235"/>
      <c r="C101" s="234" t="s">
        <v>462</v>
      </c>
      <c r="D101" s="232">
        <v>50</v>
      </c>
      <c r="E101" s="233">
        <v>50</v>
      </c>
      <c r="F101" s="232">
        <v>50</v>
      </c>
      <c r="G101" s="231">
        <v>100</v>
      </c>
    </row>
    <row r="102" spans="1:7" x14ac:dyDescent="0.2">
      <c r="A102" s="242"/>
      <c r="B102" s="250"/>
      <c r="C102" s="240"/>
      <c r="D102" s="249"/>
      <c r="E102" s="249"/>
      <c r="F102" s="249"/>
      <c r="G102" s="237"/>
    </row>
    <row r="103" spans="1:7" x14ac:dyDescent="0.2">
      <c r="A103" s="248">
        <v>2212</v>
      </c>
      <c r="B103" s="276">
        <v>5011</v>
      </c>
      <c r="C103" s="246" t="s">
        <v>386</v>
      </c>
      <c r="D103" s="244">
        <v>0</v>
      </c>
      <c r="E103" s="245">
        <v>1904.4699999999998</v>
      </c>
      <c r="F103" s="244">
        <v>1301.7060000000001</v>
      </c>
      <c r="G103" s="243">
        <v>68.350039643575386</v>
      </c>
    </row>
    <row r="104" spans="1:7" x14ac:dyDescent="0.2">
      <c r="A104" s="242">
        <v>2212</v>
      </c>
      <c r="B104" s="250">
        <v>5031</v>
      </c>
      <c r="C104" s="240" t="s">
        <v>383</v>
      </c>
      <c r="D104" s="238">
        <v>0</v>
      </c>
      <c r="E104" s="239">
        <v>476.14</v>
      </c>
      <c r="F104" s="238">
        <v>325.32000000000005</v>
      </c>
      <c r="G104" s="237">
        <v>68.324442390893452</v>
      </c>
    </row>
    <row r="105" spans="1:7" x14ac:dyDescent="0.2">
      <c r="A105" s="242">
        <v>2212</v>
      </c>
      <c r="B105" s="250">
        <v>5032</v>
      </c>
      <c r="C105" s="240" t="s">
        <v>382</v>
      </c>
      <c r="D105" s="238">
        <v>0</v>
      </c>
      <c r="E105" s="239">
        <v>171.43</v>
      </c>
      <c r="F105" s="238">
        <v>117.011</v>
      </c>
      <c r="G105" s="237">
        <v>68.25584786793442</v>
      </c>
    </row>
    <row r="106" spans="1:7" x14ac:dyDescent="0.2">
      <c r="A106" s="242">
        <v>2212</v>
      </c>
      <c r="B106" s="250">
        <v>5038</v>
      </c>
      <c r="C106" s="240" t="s">
        <v>381</v>
      </c>
      <c r="D106" s="238">
        <v>0</v>
      </c>
      <c r="E106" s="239">
        <v>7.9799999999999995</v>
      </c>
      <c r="F106" s="238">
        <v>5.3210000000000006</v>
      </c>
      <c r="G106" s="237">
        <v>66.679197994987476</v>
      </c>
    </row>
    <row r="107" spans="1:7" x14ac:dyDescent="0.2">
      <c r="A107" s="242">
        <v>2212</v>
      </c>
      <c r="B107" s="250">
        <v>5137</v>
      </c>
      <c r="C107" s="240" t="s">
        <v>345</v>
      </c>
      <c r="D107" s="238">
        <v>0</v>
      </c>
      <c r="E107" s="239">
        <v>480.27</v>
      </c>
      <c r="F107" s="238">
        <v>288.14979999999997</v>
      </c>
      <c r="G107" s="237">
        <v>59.99745976221709</v>
      </c>
    </row>
    <row r="108" spans="1:7" x14ac:dyDescent="0.2">
      <c r="A108" s="242">
        <v>2212</v>
      </c>
      <c r="B108" s="250">
        <v>5139</v>
      </c>
      <c r="C108" s="240" t="s">
        <v>344</v>
      </c>
      <c r="D108" s="238">
        <v>0</v>
      </c>
      <c r="E108" s="239">
        <v>500</v>
      </c>
      <c r="F108" s="238">
        <v>442.56601000000001</v>
      </c>
      <c r="G108" s="237">
        <v>88.513202000000007</v>
      </c>
    </row>
    <row r="109" spans="1:7" x14ac:dyDescent="0.2">
      <c r="A109" s="242">
        <v>2212</v>
      </c>
      <c r="B109" s="250">
        <v>5166</v>
      </c>
      <c r="C109" s="240" t="s">
        <v>342</v>
      </c>
      <c r="D109" s="238">
        <v>0</v>
      </c>
      <c r="E109" s="239">
        <v>144.94</v>
      </c>
      <c r="F109" s="238">
        <v>143.95600000000002</v>
      </c>
      <c r="G109" s="237">
        <v>99.321098385538846</v>
      </c>
    </row>
    <row r="110" spans="1:7" x14ac:dyDescent="0.2">
      <c r="A110" s="242">
        <v>2212</v>
      </c>
      <c r="B110" s="250">
        <v>5169</v>
      </c>
      <c r="C110" s="240" t="s">
        <v>341</v>
      </c>
      <c r="D110" s="238">
        <v>140</v>
      </c>
      <c r="E110" s="239">
        <v>550.06000000000006</v>
      </c>
      <c r="F110" s="238">
        <v>132.18992</v>
      </c>
      <c r="G110" s="237">
        <v>24.031909246264043</v>
      </c>
    </row>
    <row r="111" spans="1:7" x14ac:dyDescent="0.2">
      <c r="A111" s="242">
        <v>2212</v>
      </c>
      <c r="B111" s="250">
        <v>5171</v>
      </c>
      <c r="C111" s="240" t="s">
        <v>363</v>
      </c>
      <c r="D111" s="238">
        <v>18327</v>
      </c>
      <c r="E111" s="239">
        <v>15468.55</v>
      </c>
      <c r="F111" s="238">
        <v>12279.491250000001</v>
      </c>
      <c r="G111" s="237">
        <v>79.383596070737084</v>
      </c>
    </row>
    <row r="112" spans="1:7" x14ac:dyDescent="0.2">
      <c r="A112" s="242">
        <v>2212</v>
      </c>
      <c r="B112" s="250">
        <v>5331</v>
      </c>
      <c r="C112" s="240" t="s">
        <v>403</v>
      </c>
      <c r="D112" s="238">
        <v>596554</v>
      </c>
      <c r="E112" s="239">
        <v>622154</v>
      </c>
      <c r="F112" s="238">
        <v>622146.9</v>
      </c>
      <c r="G112" s="237">
        <v>99.998858803447376</v>
      </c>
    </row>
    <row r="113" spans="1:7" x14ac:dyDescent="0.2">
      <c r="A113" s="242">
        <v>2212</v>
      </c>
      <c r="B113" s="250">
        <v>5363</v>
      </c>
      <c r="C113" s="240" t="s">
        <v>351</v>
      </c>
      <c r="D113" s="238">
        <v>223673</v>
      </c>
      <c r="E113" s="239">
        <v>120392.91999999998</v>
      </c>
      <c r="F113" s="238">
        <v>57032.867309999994</v>
      </c>
      <c r="G113" s="237">
        <v>47.372276799997877</v>
      </c>
    </row>
    <row r="114" spans="1:7" x14ac:dyDescent="0.2">
      <c r="A114" s="236">
        <v>2212</v>
      </c>
      <c r="B114" s="275"/>
      <c r="C114" s="234" t="s">
        <v>230</v>
      </c>
      <c r="D114" s="232">
        <v>838694</v>
      </c>
      <c r="E114" s="233">
        <v>762250.76</v>
      </c>
      <c r="F114" s="232">
        <v>694215.47829</v>
      </c>
      <c r="G114" s="231">
        <v>91.074422581093913</v>
      </c>
    </row>
    <row r="115" spans="1:7" x14ac:dyDescent="0.2">
      <c r="A115" s="242"/>
      <c r="B115" s="250"/>
      <c r="C115" s="240"/>
      <c r="D115" s="249"/>
      <c r="E115" s="249"/>
      <c r="F115" s="249"/>
      <c r="G115" s="237"/>
    </row>
    <row r="116" spans="1:7" x14ac:dyDescent="0.2">
      <c r="A116" s="248">
        <v>2219</v>
      </c>
      <c r="B116" s="247">
        <v>5321</v>
      </c>
      <c r="C116" s="246" t="s">
        <v>353</v>
      </c>
      <c r="D116" s="244">
        <v>0</v>
      </c>
      <c r="E116" s="245">
        <v>6168.68</v>
      </c>
      <c r="F116" s="244">
        <v>2168.6750000000002</v>
      </c>
      <c r="G116" s="243">
        <v>35.156224670431925</v>
      </c>
    </row>
    <row r="117" spans="1:7" x14ac:dyDescent="0.2">
      <c r="A117" s="236">
        <v>2219</v>
      </c>
      <c r="B117" s="235"/>
      <c r="C117" s="234" t="s">
        <v>317</v>
      </c>
      <c r="D117" s="232">
        <v>0</v>
      </c>
      <c r="E117" s="233">
        <v>6168.68</v>
      </c>
      <c r="F117" s="232">
        <v>2168.6750000000002</v>
      </c>
      <c r="G117" s="231">
        <v>35.156224670431925</v>
      </c>
    </row>
    <row r="118" spans="1:7" x14ac:dyDescent="0.2">
      <c r="A118" s="242"/>
      <c r="B118" s="250"/>
      <c r="C118" s="240"/>
      <c r="D118" s="249"/>
      <c r="E118" s="249"/>
      <c r="F118" s="249"/>
      <c r="G118" s="237"/>
    </row>
    <row r="119" spans="1:7" x14ac:dyDescent="0.2">
      <c r="A119" s="248">
        <v>2221</v>
      </c>
      <c r="B119" s="247">
        <v>5166</v>
      </c>
      <c r="C119" s="246" t="s">
        <v>342</v>
      </c>
      <c r="D119" s="244">
        <v>806</v>
      </c>
      <c r="E119" s="245">
        <v>1645.9</v>
      </c>
      <c r="F119" s="244">
        <v>1164.02</v>
      </c>
      <c r="G119" s="243">
        <v>70.722401117929394</v>
      </c>
    </row>
    <row r="120" spans="1:7" x14ac:dyDescent="0.2">
      <c r="A120" s="242">
        <v>2221</v>
      </c>
      <c r="B120" s="241">
        <v>5169</v>
      </c>
      <c r="C120" s="240" t="s">
        <v>341</v>
      </c>
      <c r="D120" s="238">
        <v>194</v>
      </c>
      <c r="E120" s="239">
        <v>774.8</v>
      </c>
      <c r="F120" s="238">
        <v>193.6</v>
      </c>
      <c r="G120" s="237">
        <v>24.987093443469284</v>
      </c>
    </row>
    <row r="121" spans="1:7" x14ac:dyDescent="0.2">
      <c r="A121" s="242">
        <v>2221</v>
      </c>
      <c r="B121" s="241">
        <v>5193</v>
      </c>
      <c r="C121" s="240" t="s">
        <v>459</v>
      </c>
      <c r="D121" s="238">
        <v>594978</v>
      </c>
      <c r="E121" s="239">
        <v>580155.59</v>
      </c>
      <c r="F121" s="238">
        <v>577630.59199999995</v>
      </c>
      <c r="G121" s="237">
        <v>99.564772270831696</v>
      </c>
    </row>
    <row r="122" spans="1:7" x14ac:dyDescent="0.2">
      <c r="A122" s="236">
        <v>2221</v>
      </c>
      <c r="B122" s="235"/>
      <c r="C122" s="234" t="s">
        <v>229</v>
      </c>
      <c r="D122" s="232">
        <v>595978</v>
      </c>
      <c r="E122" s="233">
        <v>582576.28999999992</v>
      </c>
      <c r="F122" s="232">
        <v>578988.21199999994</v>
      </c>
      <c r="G122" s="231">
        <v>99.38410160839193</v>
      </c>
    </row>
    <row r="123" spans="1:7" x14ac:dyDescent="0.2">
      <c r="A123" s="242"/>
      <c r="B123" s="250"/>
      <c r="C123" s="240"/>
      <c r="D123" s="249"/>
      <c r="E123" s="249"/>
      <c r="F123" s="249"/>
      <c r="G123" s="237"/>
    </row>
    <row r="124" spans="1:7" x14ac:dyDescent="0.2">
      <c r="A124" s="248">
        <v>2223</v>
      </c>
      <c r="B124" s="247">
        <v>5339</v>
      </c>
      <c r="C124" s="246" t="s">
        <v>398</v>
      </c>
      <c r="D124" s="244">
        <v>1000</v>
      </c>
      <c r="E124" s="245">
        <v>1000</v>
      </c>
      <c r="F124" s="244">
        <v>1000</v>
      </c>
      <c r="G124" s="243">
        <v>100</v>
      </c>
    </row>
    <row r="125" spans="1:7" x14ac:dyDescent="0.2">
      <c r="A125" s="236">
        <v>2223</v>
      </c>
      <c r="B125" s="235"/>
      <c r="C125" s="234" t="s">
        <v>461</v>
      </c>
      <c r="D125" s="232">
        <v>1000</v>
      </c>
      <c r="E125" s="233">
        <v>1000</v>
      </c>
      <c r="F125" s="232">
        <v>1000</v>
      </c>
      <c r="G125" s="231">
        <v>100</v>
      </c>
    </row>
    <row r="126" spans="1:7" x14ac:dyDescent="0.2">
      <c r="A126" s="242"/>
      <c r="B126" s="250"/>
      <c r="C126" s="240"/>
      <c r="D126" s="249"/>
      <c r="E126" s="249"/>
      <c r="F126" s="249"/>
      <c r="G126" s="237"/>
    </row>
    <row r="127" spans="1:7" x14ac:dyDescent="0.2">
      <c r="A127" s="248">
        <v>2241</v>
      </c>
      <c r="B127" s="247">
        <v>5169</v>
      </c>
      <c r="C127" s="246" t="s">
        <v>341</v>
      </c>
      <c r="D127" s="244">
        <v>8200</v>
      </c>
      <c r="E127" s="245">
        <v>1052.42</v>
      </c>
      <c r="F127" s="244">
        <v>1052.4159999999999</v>
      </c>
      <c r="G127" s="243">
        <v>99.999619923604627</v>
      </c>
    </row>
    <row r="128" spans="1:7" x14ac:dyDescent="0.2">
      <c r="A128" s="242">
        <v>2241</v>
      </c>
      <c r="B128" s="241">
        <v>5171</v>
      </c>
      <c r="C128" s="240" t="s">
        <v>363</v>
      </c>
      <c r="D128" s="238">
        <v>0</v>
      </c>
      <c r="E128" s="239">
        <v>9.93</v>
      </c>
      <c r="F128" s="238">
        <v>9.9241399999999995</v>
      </c>
      <c r="G128" s="237">
        <v>99.940986908358511</v>
      </c>
    </row>
    <row r="129" spans="1:7" x14ac:dyDescent="0.2">
      <c r="A129" s="236">
        <v>2241</v>
      </c>
      <c r="B129" s="235"/>
      <c r="C129" s="234" t="s">
        <v>460</v>
      </c>
      <c r="D129" s="232">
        <v>8200</v>
      </c>
      <c r="E129" s="233">
        <v>1062.3500000000001</v>
      </c>
      <c r="F129" s="232">
        <v>1062.34014</v>
      </c>
      <c r="G129" s="231">
        <v>99.999071868969722</v>
      </c>
    </row>
    <row r="130" spans="1:7" x14ac:dyDescent="0.2">
      <c r="A130" s="242"/>
      <c r="B130" s="250"/>
      <c r="C130" s="240"/>
      <c r="D130" s="249"/>
      <c r="E130" s="249"/>
      <c r="F130" s="249"/>
      <c r="G130" s="237"/>
    </row>
    <row r="131" spans="1:7" x14ac:dyDescent="0.2">
      <c r="A131" s="248">
        <v>2242</v>
      </c>
      <c r="B131" s="247">
        <v>5193</v>
      </c>
      <c r="C131" s="246" t="s">
        <v>459</v>
      </c>
      <c r="D131" s="244">
        <v>902058.00000000012</v>
      </c>
      <c r="E131" s="245">
        <v>879866.98</v>
      </c>
      <c r="F131" s="244">
        <v>879866.91700000002</v>
      </c>
      <c r="G131" s="243">
        <v>99.999992839826774</v>
      </c>
    </row>
    <row r="132" spans="1:7" x14ac:dyDescent="0.2">
      <c r="A132" s="236">
        <v>2242</v>
      </c>
      <c r="B132" s="235"/>
      <c r="C132" s="234" t="s">
        <v>227</v>
      </c>
      <c r="D132" s="232">
        <v>902058.00000000012</v>
      </c>
      <c r="E132" s="233">
        <v>879866.98</v>
      </c>
      <c r="F132" s="232">
        <v>879866.91700000002</v>
      </c>
      <c r="G132" s="231">
        <v>99.999992839826774</v>
      </c>
    </row>
    <row r="133" spans="1:7" x14ac:dyDescent="0.2">
      <c r="A133" s="242"/>
      <c r="B133" s="250"/>
      <c r="C133" s="240"/>
      <c r="D133" s="249"/>
      <c r="E133" s="249"/>
      <c r="F133" s="249"/>
      <c r="G133" s="237"/>
    </row>
    <row r="134" spans="1:7" x14ac:dyDescent="0.2">
      <c r="A134" s="248">
        <v>2249</v>
      </c>
      <c r="B134" s="247">
        <v>5166</v>
      </c>
      <c r="C134" s="246" t="s">
        <v>342</v>
      </c>
      <c r="D134" s="244">
        <v>0</v>
      </c>
      <c r="E134" s="245">
        <v>229.9</v>
      </c>
      <c r="F134" s="244">
        <v>229.9</v>
      </c>
      <c r="G134" s="243">
        <v>100</v>
      </c>
    </row>
    <row r="135" spans="1:7" x14ac:dyDescent="0.2">
      <c r="A135" s="236">
        <v>2249</v>
      </c>
      <c r="B135" s="235"/>
      <c r="C135" s="234" t="s">
        <v>458</v>
      </c>
      <c r="D135" s="232">
        <v>0</v>
      </c>
      <c r="E135" s="233">
        <v>229.9</v>
      </c>
      <c r="F135" s="232">
        <v>229.9</v>
      </c>
      <c r="G135" s="231">
        <v>100</v>
      </c>
    </row>
    <row r="136" spans="1:7" x14ac:dyDescent="0.2">
      <c r="A136" s="242"/>
      <c r="B136" s="250"/>
      <c r="C136" s="240"/>
      <c r="D136" s="249"/>
      <c r="E136" s="249"/>
      <c r="F136" s="249"/>
      <c r="G136" s="237"/>
    </row>
    <row r="137" spans="1:7" x14ac:dyDescent="0.2">
      <c r="A137" s="248">
        <v>2251</v>
      </c>
      <c r="B137" s="247">
        <v>5011</v>
      </c>
      <c r="C137" s="246" t="s">
        <v>386</v>
      </c>
      <c r="D137" s="244">
        <v>0</v>
      </c>
      <c r="E137" s="245">
        <v>252.4</v>
      </c>
      <c r="F137" s="244">
        <v>165.91200000000001</v>
      </c>
      <c r="G137" s="243">
        <v>65.73375594294771</v>
      </c>
    </row>
    <row r="138" spans="1:7" x14ac:dyDescent="0.2">
      <c r="A138" s="242">
        <v>2251</v>
      </c>
      <c r="B138" s="241">
        <v>5031</v>
      </c>
      <c r="C138" s="240" t="s">
        <v>383</v>
      </c>
      <c r="D138" s="238">
        <v>0</v>
      </c>
      <c r="E138" s="239">
        <v>63.100000000000009</v>
      </c>
      <c r="F138" s="238">
        <v>41.457999999999998</v>
      </c>
      <c r="G138" s="237">
        <v>65.702060221870042</v>
      </c>
    </row>
    <row r="139" spans="1:7" x14ac:dyDescent="0.2">
      <c r="A139" s="242">
        <v>2251</v>
      </c>
      <c r="B139" s="241">
        <v>5032</v>
      </c>
      <c r="C139" s="240" t="s">
        <v>382</v>
      </c>
      <c r="D139" s="238">
        <v>0</v>
      </c>
      <c r="E139" s="239">
        <v>22.72</v>
      </c>
      <c r="F139" s="238">
        <v>14.904</v>
      </c>
      <c r="G139" s="237">
        <v>65.598591549295776</v>
      </c>
    </row>
    <row r="140" spans="1:7" x14ac:dyDescent="0.2">
      <c r="A140" s="242">
        <v>2251</v>
      </c>
      <c r="B140" s="241">
        <v>5038</v>
      </c>
      <c r="C140" s="240" t="s">
        <v>381</v>
      </c>
      <c r="D140" s="238">
        <v>0</v>
      </c>
      <c r="E140" s="239">
        <v>1.06</v>
      </c>
      <c r="F140" s="238">
        <v>0.66700000000000004</v>
      </c>
      <c r="G140" s="237">
        <v>62.924528301886795</v>
      </c>
    </row>
    <row r="141" spans="1:7" x14ac:dyDescent="0.2">
      <c r="A141" s="242">
        <v>2251</v>
      </c>
      <c r="B141" s="241">
        <v>5137</v>
      </c>
      <c r="C141" s="240" t="s">
        <v>345</v>
      </c>
      <c r="D141" s="238">
        <v>6500</v>
      </c>
      <c r="E141" s="239">
        <v>4483.2400000000007</v>
      </c>
      <c r="F141" s="238">
        <v>4449.7769800000005</v>
      </c>
      <c r="G141" s="237">
        <v>99.253597398310148</v>
      </c>
    </row>
    <row r="142" spans="1:7" x14ac:dyDescent="0.2">
      <c r="A142" s="242">
        <v>2251</v>
      </c>
      <c r="B142" s="241">
        <v>5139</v>
      </c>
      <c r="C142" s="240" t="s">
        <v>344</v>
      </c>
      <c r="D142" s="238">
        <v>2500</v>
      </c>
      <c r="E142" s="239">
        <v>2109.13</v>
      </c>
      <c r="F142" s="238">
        <v>2107.7110899999998</v>
      </c>
      <c r="G142" s="237">
        <v>99.93272534172857</v>
      </c>
    </row>
    <row r="143" spans="1:7" x14ac:dyDescent="0.2">
      <c r="A143" s="242">
        <v>2251</v>
      </c>
      <c r="B143" s="241">
        <v>5166</v>
      </c>
      <c r="C143" s="240" t="s">
        <v>342</v>
      </c>
      <c r="D143" s="238">
        <v>0</v>
      </c>
      <c r="E143" s="239">
        <v>103.28</v>
      </c>
      <c r="F143" s="238">
        <v>48.4</v>
      </c>
      <c r="G143" s="237">
        <v>46.862896979085974</v>
      </c>
    </row>
    <row r="144" spans="1:7" x14ac:dyDescent="0.2">
      <c r="A144" s="242">
        <v>2251</v>
      </c>
      <c r="B144" s="241">
        <v>5167</v>
      </c>
      <c r="C144" s="240" t="s">
        <v>365</v>
      </c>
      <c r="D144" s="238">
        <v>0</v>
      </c>
      <c r="E144" s="239">
        <v>100</v>
      </c>
      <c r="F144" s="238">
        <v>84.733879999999999</v>
      </c>
      <c r="G144" s="237">
        <v>84.733879999999999</v>
      </c>
    </row>
    <row r="145" spans="1:7" x14ac:dyDescent="0.2">
      <c r="A145" s="242">
        <v>2251</v>
      </c>
      <c r="B145" s="241">
        <v>5169</v>
      </c>
      <c r="C145" s="240" t="s">
        <v>341</v>
      </c>
      <c r="D145" s="238">
        <v>300</v>
      </c>
      <c r="E145" s="239">
        <v>254.51999999999998</v>
      </c>
      <c r="F145" s="238">
        <v>103.605</v>
      </c>
      <c r="G145" s="237">
        <v>40.70603488920321</v>
      </c>
    </row>
    <row r="146" spans="1:7" x14ac:dyDescent="0.2">
      <c r="A146" s="242">
        <v>2251</v>
      </c>
      <c r="B146" s="241">
        <v>5172</v>
      </c>
      <c r="C146" s="240" t="s">
        <v>362</v>
      </c>
      <c r="D146" s="238">
        <v>0</v>
      </c>
      <c r="E146" s="239">
        <v>198</v>
      </c>
      <c r="F146" s="238">
        <v>197.17299999999997</v>
      </c>
      <c r="G146" s="237">
        <v>99.582323232323219</v>
      </c>
    </row>
    <row r="147" spans="1:7" x14ac:dyDescent="0.2">
      <c r="A147" s="242">
        <v>2251</v>
      </c>
      <c r="B147" s="241">
        <v>5213</v>
      </c>
      <c r="C147" s="240" t="s">
        <v>411</v>
      </c>
      <c r="D147" s="238">
        <v>38000</v>
      </c>
      <c r="E147" s="239">
        <v>40500</v>
      </c>
      <c r="F147" s="238">
        <v>40500</v>
      </c>
      <c r="G147" s="237">
        <v>100</v>
      </c>
    </row>
    <row r="148" spans="1:7" x14ac:dyDescent="0.2">
      <c r="A148" s="236">
        <v>2251</v>
      </c>
      <c r="B148" s="235"/>
      <c r="C148" s="234" t="s">
        <v>226</v>
      </c>
      <c r="D148" s="232">
        <v>47300</v>
      </c>
      <c r="E148" s="233">
        <v>48087.45</v>
      </c>
      <c r="F148" s="232">
        <v>47714.340949999998</v>
      </c>
      <c r="G148" s="231">
        <v>99.224103066392587</v>
      </c>
    </row>
    <row r="149" spans="1:7" x14ac:dyDescent="0.2">
      <c r="A149" s="242"/>
      <c r="B149" s="250"/>
      <c r="C149" s="240"/>
      <c r="D149" s="249"/>
      <c r="E149" s="249"/>
      <c r="F149" s="249"/>
      <c r="G149" s="237"/>
    </row>
    <row r="150" spans="1:7" x14ac:dyDescent="0.2">
      <c r="A150" s="248">
        <v>2259</v>
      </c>
      <c r="B150" s="247">
        <v>5166</v>
      </c>
      <c r="C150" s="246" t="s">
        <v>342</v>
      </c>
      <c r="D150" s="244">
        <v>0</v>
      </c>
      <c r="E150" s="245">
        <v>217.8</v>
      </c>
      <c r="F150" s="244">
        <v>0</v>
      </c>
      <c r="G150" s="243">
        <v>0</v>
      </c>
    </row>
    <row r="151" spans="1:7" x14ac:dyDescent="0.2">
      <c r="A151" s="242">
        <v>2259</v>
      </c>
      <c r="B151" s="241">
        <v>5169</v>
      </c>
      <c r="C151" s="240" t="s">
        <v>341</v>
      </c>
      <c r="D151" s="238">
        <v>0</v>
      </c>
      <c r="E151" s="239">
        <v>242</v>
      </c>
      <c r="F151" s="238">
        <v>0</v>
      </c>
      <c r="G151" s="237">
        <v>0</v>
      </c>
    </row>
    <row r="152" spans="1:7" x14ac:dyDescent="0.2">
      <c r="A152" s="236">
        <v>2259</v>
      </c>
      <c r="B152" s="235"/>
      <c r="C152" s="234" t="s">
        <v>457</v>
      </c>
      <c r="D152" s="232">
        <v>0</v>
      </c>
      <c r="E152" s="233">
        <v>459.8</v>
      </c>
      <c r="F152" s="232">
        <v>0</v>
      </c>
      <c r="G152" s="231">
        <v>0</v>
      </c>
    </row>
    <row r="153" spans="1:7" x14ac:dyDescent="0.2">
      <c r="A153" s="242"/>
      <c r="B153" s="250"/>
      <c r="C153" s="240"/>
      <c r="D153" s="249"/>
      <c r="E153" s="249"/>
      <c r="F153" s="249"/>
      <c r="G153" s="237"/>
    </row>
    <row r="154" spans="1:7" x14ac:dyDescent="0.2">
      <c r="A154" s="248">
        <v>2299</v>
      </c>
      <c r="B154" s="247">
        <v>5168</v>
      </c>
      <c r="C154" s="246" t="s">
        <v>364</v>
      </c>
      <c r="D154" s="244">
        <v>3</v>
      </c>
      <c r="E154" s="245">
        <v>3</v>
      </c>
      <c r="F154" s="244">
        <v>3</v>
      </c>
      <c r="G154" s="243">
        <v>100</v>
      </c>
    </row>
    <row r="155" spans="1:7" x14ac:dyDescent="0.2">
      <c r="A155" s="242">
        <v>2299</v>
      </c>
      <c r="B155" s="241">
        <v>5169</v>
      </c>
      <c r="C155" s="240" t="s">
        <v>341</v>
      </c>
      <c r="D155" s="238">
        <v>1201</v>
      </c>
      <c r="E155" s="239">
        <v>678.95</v>
      </c>
      <c r="F155" s="238">
        <v>675.95</v>
      </c>
      <c r="G155" s="237">
        <v>99.558141247514541</v>
      </c>
    </row>
    <row r="156" spans="1:7" x14ac:dyDescent="0.2">
      <c r="A156" s="242">
        <v>2299</v>
      </c>
      <c r="B156" s="241">
        <v>5213</v>
      </c>
      <c r="C156" s="240" t="s">
        <v>411</v>
      </c>
      <c r="D156" s="238">
        <v>1000</v>
      </c>
      <c r="E156" s="239">
        <v>519</v>
      </c>
      <c r="F156" s="238">
        <v>250</v>
      </c>
      <c r="G156" s="237">
        <v>48.169556840077071</v>
      </c>
    </row>
    <row r="157" spans="1:7" x14ac:dyDescent="0.2">
      <c r="A157" s="242">
        <v>2299</v>
      </c>
      <c r="B157" s="241">
        <v>5222</v>
      </c>
      <c r="C157" s="240" t="s">
        <v>354</v>
      </c>
      <c r="D157" s="238">
        <v>300</v>
      </c>
      <c r="E157" s="239">
        <v>200</v>
      </c>
      <c r="F157" s="238">
        <v>189.71600000000001</v>
      </c>
      <c r="G157" s="237">
        <v>94.858000000000004</v>
      </c>
    </row>
    <row r="158" spans="1:7" x14ac:dyDescent="0.2">
      <c r="A158" s="242">
        <v>2299</v>
      </c>
      <c r="B158" s="241">
        <v>5229</v>
      </c>
      <c r="C158" s="240" t="s">
        <v>390</v>
      </c>
      <c r="D158" s="238">
        <v>0</v>
      </c>
      <c r="E158" s="239">
        <v>146.97999999999999</v>
      </c>
      <c r="F158" s="238">
        <v>146.97521</v>
      </c>
      <c r="G158" s="237">
        <v>99.996741053204531</v>
      </c>
    </row>
    <row r="159" spans="1:7" x14ac:dyDescent="0.2">
      <c r="A159" s="236">
        <v>2299</v>
      </c>
      <c r="B159" s="235"/>
      <c r="C159" s="234" t="s">
        <v>315</v>
      </c>
      <c r="D159" s="232">
        <v>2504</v>
      </c>
      <c r="E159" s="233">
        <v>1547.93</v>
      </c>
      <c r="F159" s="232">
        <v>1265.6412100000002</v>
      </c>
      <c r="G159" s="231">
        <v>81.763465402182277</v>
      </c>
    </row>
    <row r="160" spans="1:7" x14ac:dyDescent="0.2">
      <c r="A160" s="242"/>
      <c r="B160" s="250"/>
      <c r="C160" s="240"/>
      <c r="D160" s="249"/>
      <c r="E160" s="249"/>
      <c r="F160" s="249"/>
      <c r="G160" s="237"/>
    </row>
    <row r="161" spans="1:15" x14ac:dyDescent="0.2">
      <c r="A161" s="248">
        <v>2369</v>
      </c>
      <c r="B161" s="247">
        <v>5139</v>
      </c>
      <c r="C161" s="246" t="s">
        <v>344</v>
      </c>
      <c r="D161" s="244">
        <v>0</v>
      </c>
      <c r="E161" s="245">
        <v>12.11</v>
      </c>
      <c r="F161" s="244">
        <v>12.1</v>
      </c>
      <c r="G161" s="243">
        <v>99.917423616845582</v>
      </c>
    </row>
    <row r="162" spans="1:15" x14ac:dyDescent="0.2">
      <c r="A162" s="242">
        <v>2369</v>
      </c>
      <c r="B162" s="241">
        <v>5169</v>
      </c>
      <c r="C162" s="240" t="s">
        <v>341</v>
      </c>
      <c r="D162" s="238">
        <v>0</v>
      </c>
      <c r="E162" s="239">
        <v>808.29</v>
      </c>
      <c r="F162" s="238">
        <v>808.28</v>
      </c>
      <c r="G162" s="237">
        <v>99.998762820274905</v>
      </c>
    </row>
    <row r="163" spans="1:15" x14ac:dyDescent="0.2">
      <c r="A163" s="236">
        <v>2369</v>
      </c>
      <c r="B163" s="235"/>
      <c r="C163" s="234" t="s">
        <v>314</v>
      </c>
      <c r="D163" s="232">
        <v>0</v>
      </c>
      <c r="E163" s="233">
        <v>820.4</v>
      </c>
      <c r="F163" s="232">
        <v>820.38</v>
      </c>
      <c r="G163" s="231">
        <v>99.997562164797657</v>
      </c>
    </row>
    <row r="164" spans="1:15" x14ac:dyDescent="0.2">
      <c r="A164" s="242"/>
      <c r="B164" s="250"/>
      <c r="C164" s="240"/>
      <c r="D164" s="249"/>
      <c r="E164" s="249"/>
      <c r="F164" s="249"/>
      <c r="G164" s="237"/>
    </row>
    <row r="165" spans="1:15" x14ac:dyDescent="0.2">
      <c r="A165" s="248">
        <v>2399</v>
      </c>
      <c r="B165" s="247">
        <v>5321</v>
      </c>
      <c r="C165" s="246" t="s">
        <v>353</v>
      </c>
      <c r="D165" s="244">
        <v>0</v>
      </c>
      <c r="E165" s="245">
        <v>10000</v>
      </c>
      <c r="F165" s="244">
        <v>376.43740000000003</v>
      </c>
      <c r="G165" s="243">
        <v>3.7643740000000001</v>
      </c>
    </row>
    <row r="166" spans="1:15" x14ac:dyDescent="0.2">
      <c r="A166" s="242">
        <v>2399</v>
      </c>
      <c r="B166" s="241">
        <v>5909</v>
      </c>
      <c r="C166" s="240" t="s">
        <v>329</v>
      </c>
      <c r="D166" s="238">
        <v>0</v>
      </c>
      <c r="E166" s="239">
        <v>7562.32</v>
      </c>
      <c r="F166" s="238">
        <v>5654.6154999999999</v>
      </c>
      <c r="G166" s="237">
        <v>74.77355494081182</v>
      </c>
    </row>
    <row r="167" spans="1:15" x14ac:dyDescent="0.2">
      <c r="A167" s="236">
        <v>2399</v>
      </c>
      <c r="B167" s="235"/>
      <c r="C167" s="234" t="s">
        <v>223</v>
      </c>
      <c r="D167" s="232">
        <v>0</v>
      </c>
      <c r="E167" s="233">
        <v>17562.32</v>
      </c>
      <c r="F167" s="232">
        <v>6031.0528999999997</v>
      </c>
      <c r="G167" s="231">
        <v>34.340866696427355</v>
      </c>
    </row>
    <row r="168" spans="1:15" x14ac:dyDescent="0.2">
      <c r="A168" s="274"/>
      <c r="B168" s="273"/>
      <c r="C168" s="240"/>
      <c r="D168" s="249"/>
      <c r="E168" s="249"/>
      <c r="F168" s="249"/>
      <c r="G168" s="237"/>
    </row>
    <row r="169" spans="1:15" customFormat="1" x14ac:dyDescent="0.2">
      <c r="A169" s="1317" t="s">
        <v>313</v>
      </c>
      <c r="B169" s="1318"/>
      <c r="C169" s="1318"/>
      <c r="D169" s="257">
        <v>2460929</v>
      </c>
      <c r="E169" s="257">
        <v>2414687.71</v>
      </c>
      <c r="F169" s="257">
        <v>2278580.9673299999</v>
      </c>
      <c r="G169" s="256">
        <v>94.36</v>
      </c>
      <c r="I169" s="100"/>
      <c r="J169" s="100"/>
      <c r="K169" s="100"/>
      <c r="L169" s="100"/>
      <c r="M169" s="100"/>
      <c r="N169" s="100"/>
      <c r="O169" s="100"/>
    </row>
    <row r="170" spans="1:15" customFormat="1" x14ac:dyDescent="0.2">
      <c r="A170" s="255"/>
      <c r="B170" s="254"/>
      <c r="C170" s="253"/>
      <c r="D170" s="252"/>
      <c r="E170" s="252"/>
      <c r="F170" s="252"/>
      <c r="G170" s="251"/>
      <c r="I170" s="100"/>
      <c r="J170" s="100"/>
      <c r="K170" s="100"/>
      <c r="L170" s="100"/>
      <c r="M170" s="100"/>
      <c r="N170" s="100"/>
      <c r="O170" s="100"/>
    </row>
    <row r="171" spans="1:15" x14ac:dyDescent="0.2">
      <c r="A171" s="248">
        <v>3111</v>
      </c>
      <c r="B171" s="247">
        <v>5212</v>
      </c>
      <c r="C171" s="246" t="s">
        <v>418</v>
      </c>
      <c r="D171" s="244">
        <v>0</v>
      </c>
      <c r="E171" s="245">
        <v>1526.1799999999998</v>
      </c>
      <c r="F171" s="244">
        <v>1526.1730000000002</v>
      </c>
      <c r="G171" s="243">
        <v>99.99954133850531</v>
      </c>
    </row>
    <row r="172" spans="1:15" x14ac:dyDescent="0.2">
      <c r="A172" s="242">
        <v>3111</v>
      </c>
      <c r="B172" s="241">
        <v>5213</v>
      </c>
      <c r="C172" s="240" t="s">
        <v>411</v>
      </c>
      <c r="D172" s="238">
        <v>0</v>
      </c>
      <c r="E172" s="239">
        <v>48908.480000000025</v>
      </c>
      <c r="F172" s="238">
        <v>48889.509000000013</v>
      </c>
      <c r="G172" s="237">
        <v>99.961211225537966</v>
      </c>
    </row>
    <row r="173" spans="1:15" x14ac:dyDescent="0.2">
      <c r="A173" s="242">
        <v>3111</v>
      </c>
      <c r="B173" s="241">
        <v>5339</v>
      </c>
      <c r="C173" s="240" t="s">
        <v>398</v>
      </c>
      <c r="D173" s="238">
        <v>0</v>
      </c>
      <c r="E173" s="239">
        <v>1470726.4499999995</v>
      </c>
      <c r="F173" s="238">
        <v>1470692.0149999999</v>
      </c>
      <c r="G173" s="237">
        <v>99.997658640055093</v>
      </c>
    </row>
    <row r="174" spans="1:15" x14ac:dyDescent="0.2">
      <c r="A174" s="236">
        <v>3111</v>
      </c>
      <c r="B174" s="235"/>
      <c r="C174" s="234" t="s">
        <v>222</v>
      </c>
      <c r="D174" s="232">
        <v>0</v>
      </c>
      <c r="E174" s="233">
        <v>1521161.1099999994</v>
      </c>
      <c r="F174" s="232">
        <v>1521107.6969999999</v>
      </c>
      <c r="G174" s="231">
        <v>99.996488669106228</v>
      </c>
    </row>
    <row r="175" spans="1:15" x14ac:dyDescent="0.2">
      <c r="A175" s="242"/>
      <c r="B175" s="250"/>
      <c r="C175" s="240"/>
      <c r="D175" s="249"/>
      <c r="E175" s="249"/>
      <c r="F175" s="249"/>
      <c r="G175" s="237"/>
    </row>
    <row r="176" spans="1:15" x14ac:dyDescent="0.2">
      <c r="A176" s="248">
        <v>3112</v>
      </c>
      <c r="B176" s="247">
        <v>5213</v>
      </c>
      <c r="C176" s="246" t="s">
        <v>411</v>
      </c>
      <c r="D176" s="244">
        <v>0</v>
      </c>
      <c r="E176" s="245">
        <v>1972.1</v>
      </c>
      <c r="F176" s="244">
        <v>1972.0989999999999</v>
      </c>
      <c r="G176" s="243">
        <v>99.999949292632223</v>
      </c>
    </row>
    <row r="177" spans="1:7" x14ac:dyDescent="0.2">
      <c r="A177" s="242">
        <v>3112</v>
      </c>
      <c r="B177" s="241">
        <v>5331</v>
      </c>
      <c r="C177" s="240" t="s">
        <v>403</v>
      </c>
      <c r="D177" s="238">
        <v>2813</v>
      </c>
      <c r="E177" s="239">
        <v>7788.26</v>
      </c>
      <c r="F177" s="238">
        <v>7671.3535200000006</v>
      </c>
      <c r="G177" s="237">
        <v>98.49893968614299</v>
      </c>
    </row>
    <row r="178" spans="1:7" x14ac:dyDescent="0.2">
      <c r="A178" s="242">
        <v>3112</v>
      </c>
      <c r="B178" s="241">
        <v>5336</v>
      </c>
      <c r="C178" s="240" t="s">
        <v>401</v>
      </c>
      <c r="D178" s="238">
        <v>0</v>
      </c>
      <c r="E178" s="239">
        <v>54154.090000000004</v>
      </c>
      <c r="F178" s="238">
        <v>54154.101000000002</v>
      </c>
      <c r="G178" s="237">
        <v>100.00002031240854</v>
      </c>
    </row>
    <row r="179" spans="1:7" x14ac:dyDescent="0.2">
      <c r="A179" s="236">
        <v>3112</v>
      </c>
      <c r="B179" s="235"/>
      <c r="C179" s="234" t="s">
        <v>312</v>
      </c>
      <c r="D179" s="232">
        <v>2813</v>
      </c>
      <c r="E179" s="233">
        <v>63914.450000000004</v>
      </c>
      <c r="F179" s="232">
        <v>63797.553520000001</v>
      </c>
      <c r="G179" s="231">
        <v>99.81710477051746</v>
      </c>
    </row>
    <row r="180" spans="1:7" x14ac:dyDescent="0.2">
      <c r="A180" s="242"/>
      <c r="B180" s="250"/>
      <c r="C180" s="240"/>
      <c r="D180" s="249"/>
      <c r="E180" s="249"/>
      <c r="F180" s="249"/>
      <c r="G180" s="237"/>
    </row>
    <row r="181" spans="1:7" x14ac:dyDescent="0.2">
      <c r="A181" s="248">
        <v>3113</v>
      </c>
      <c r="B181" s="247">
        <v>5213</v>
      </c>
      <c r="C181" s="246" t="s">
        <v>411</v>
      </c>
      <c r="D181" s="244">
        <v>0</v>
      </c>
      <c r="E181" s="245">
        <v>18746.36</v>
      </c>
      <c r="F181" s="244">
        <v>18746.359999999997</v>
      </c>
      <c r="G181" s="243">
        <v>99.999999999999972</v>
      </c>
    </row>
    <row r="182" spans="1:7" x14ac:dyDescent="0.2">
      <c r="A182" s="242">
        <v>3113</v>
      </c>
      <c r="B182" s="241">
        <v>5331</v>
      </c>
      <c r="C182" s="240" t="s">
        <v>403</v>
      </c>
      <c r="D182" s="238">
        <v>0</v>
      </c>
      <c r="E182" s="239">
        <v>1787</v>
      </c>
      <c r="F182" s="238">
        <v>1787</v>
      </c>
      <c r="G182" s="237">
        <v>100</v>
      </c>
    </row>
    <row r="183" spans="1:7" x14ac:dyDescent="0.2">
      <c r="A183" s="242">
        <v>3113</v>
      </c>
      <c r="B183" s="241">
        <v>5336</v>
      </c>
      <c r="C183" s="240" t="s">
        <v>401</v>
      </c>
      <c r="D183" s="238">
        <v>0</v>
      </c>
      <c r="E183" s="239">
        <v>11022.699999999999</v>
      </c>
      <c r="F183" s="238">
        <v>11022.694000000001</v>
      </c>
      <c r="G183" s="237">
        <v>99.999945566875653</v>
      </c>
    </row>
    <row r="184" spans="1:7" x14ac:dyDescent="0.2">
      <c r="A184" s="242">
        <v>3113</v>
      </c>
      <c r="B184" s="241">
        <v>5339</v>
      </c>
      <c r="C184" s="240" t="s">
        <v>398</v>
      </c>
      <c r="D184" s="238">
        <v>0</v>
      </c>
      <c r="E184" s="239">
        <v>3270961.4099999992</v>
      </c>
      <c r="F184" s="238">
        <v>3270728.845149999</v>
      </c>
      <c r="G184" s="237">
        <v>99.992890015477116</v>
      </c>
    </row>
    <row r="185" spans="1:7" x14ac:dyDescent="0.2">
      <c r="A185" s="242">
        <v>3113</v>
      </c>
      <c r="B185" s="241">
        <v>5909</v>
      </c>
      <c r="C185" s="240" t="s">
        <v>329</v>
      </c>
      <c r="D185" s="238">
        <v>0</v>
      </c>
      <c r="E185" s="239">
        <v>18.329999999999998</v>
      </c>
      <c r="F185" s="238">
        <v>18.321000000000002</v>
      </c>
      <c r="G185" s="237">
        <v>99.950900163666134</v>
      </c>
    </row>
    <row r="186" spans="1:7" x14ac:dyDescent="0.2">
      <c r="A186" s="236">
        <v>3113</v>
      </c>
      <c r="B186" s="235"/>
      <c r="C186" s="234" t="s">
        <v>456</v>
      </c>
      <c r="D186" s="232">
        <v>0</v>
      </c>
      <c r="E186" s="233">
        <v>3302535.7999999993</v>
      </c>
      <c r="F186" s="232">
        <v>3302303.220149999</v>
      </c>
      <c r="G186" s="231">
        <v>99.992957537356588</v>
      </c>
    </row>
    <row r="187" spans="1:7" x14ac:dyDescent="0.2">
      <c r="A187" s="242"/>
      <c r="B187" s="250"/>
      <c r="C187" s="240"/>
      <c r="D187" s="249"/>
      <c r="E187" s="249"/>
      <c r="F187" s="249"/>
      <c r="G187" s="237"/>
    </row>
    <row r="188" spans="1:7" x14ac:dyDescent="0.2">
      <c r="A188" s="248">
        <v>3114</v>
      </c>
      <c r="B188" s="247">
        <v>5137</v>
      </c>
      <c r="C188" s="246" t="s">
        <v>345</v>
      </c>
      <c r="D188" s="244">
        <v>40</v>
      </c>
      <c r="E188" s="245">
        <v>4.8600000000000003</v>
      </c>
      <c r="F188" s="244">
        <v>4.84</v>
      </c>
      <c r="G188" s="243">
        <v>99.588477366255134</v>
      </c>
    </row>
    <row r="189" spans="1:7" x14ac:dyDescent="0.2">
      <c r="A189" s="242">
        <v>3114</v>
      </c>
      <c r="B189" s="241">
        <v>5213</v>
      </c>
      <c r="C189" s="240" t="s">
        <v>411</v>
      </c>
      <c r="D189" s="238">
        <v>0</v>
      </c>
      <c r="E189" s="239">
        <v>43114.789999999986</v>
      </c>
      <c r="F189" s="238">
        <v>43114.781999999999</v>
      </c>
      <c r="G189" s="237">
        <v>99.999981444882408</v>
      </c>
    </row>
    <row r="190" spans="1:7" x14ac:dyDescent="0.2">
      <c r="A190" s="242">
        <v>3114</v>
      </c>
      <c r="B190" s="241">
        <v>5331</v>
      </c>
      <c r="C190" s="240" t="s">
        <v>403</v>
      </c>
      <c r="D190" s="238">
        <v>20977</v>
      </c>
      <c r="E190" s="239">
        <v>49980.700000000004</v>
      </c>
      <c r="F190" s="238">
        <v>49980.700000000004</v>
      </c>
      <c r="G190" s="237">
        <v>100</v>
      </c>
    </row>
    <row r="191" spans="1:7" x14ac:dyDescent="0.2">
      <c r="A191" s="242">
        <v>3114</v>
      </c>
      <c r="B191" s="241">
        <v>5336</v>
      </c>
      <c r="C191" s="240" t="s">
        <v>401</v>
      </c>
      <c r="D191" s="238">
        <v>0</v>
      </c>
      <c r="E191" s="239">
        <v>280936.3899999999</v>
      </c>
      <c r="F191" s="238">
        <v>280931.08808000002</v>
      </c>
      <c r="G191" s="237">
        <v>99.998112768516791</v>
      </c>
    </row>
    <row r="192" spans="1:7" x14ac:dyDescent="0.2">
      <c r="A192" s="242">
        <v>3114</v>
      </c>
      <c r="B192" s="241">
        <v>5339</v>
      </c>
      <c r="C192" s="240" t="s">
        <v>398</v>
      </c>
      <c r="D192" s="238">
        <v>0</v>
      </c>
      <c r="E192" s="239">
        <v>17521.73</v>
      </c>
      <c r="F192" s="238">
        <v>17521.717000000001</v>
      </c>
      <c r="G192" s="237">
        <v>99.999925806412961</v>
      </c>
    </row>
    <row r="193" spans="1:7" x14ac:dyDescent="0.2">
      <c r="A193" s="236">
        <v>3114</v>
      </c>
      <c r="B193" s="235"/>
      <c r="C193" s="234" t="s">
        <v>221</v>
      </c>
      <c r="D193" s="232">
        <v>21017</v>
      </c>
      <c r="E193" s="233">
        <v>391558.46999999986</v>
      </c>
      <c r="F193" s="232">
        <v>391553.12708000001</v>
      </c>
      <c r="G193" s="231">
        <v>99.998635473266646</v>
      </c>
    </row>
    <row r="194" spans="1:7" x14ac:dyDescent="0.2">
      <c r="A194" s="242"/>
      <c r="B194" s="250"/>
      <c r="C194" s="240"/>
      <c r="D194" s="249"/>
      <c r="E194" s="249"/>
      <c r="F194" s="249"/>
      <c r="G194" s="237"/>
    </row>
    <row r="195" spans="1:7" x14ac:dyDescent="0.2">
      <c r="A195" s="248">
        <v>3117</v>
      </c>
      <c r="B195" s="247">
        <v>5212</v>
      </c>
      <c r="C195" s="246" t="s">
        <v>418</v>
      </c>
      <c r="D195" s="244">
        <v>0</v>
      </c>
      <c r="E195" s="245">
        <v>3385.5600000000004</v>
      </c>
      <c r="F195" s="244">
        <v>3385.5650000000001</v>
      </c>
      <c r="G195" s="243">
        <v>100.00014768605487</v>
      </c>
    </row>
    <row r="196" spans="1:7" x14ac:dyDescent="0.2">
      <c r="A196" s="242">
        <v>3117</v>
      </c>
      <c r="B196" s="241">
        <v>5213</v>
      </c>
      <c r="C196" s="240" t="s">
        <v>411</v>
      </c>
      <c r="D196" s="238">
        <v>0</v>
      </c>
      <c r="E196" s="239">
        <v>2169.5</v>
      </c>
      <c r="F196" s="238">
        <v>2169.509</v>
      </c>
      <c r="G196" s="237">
        <v>100.00041484212952</v>
      </c>
    </row>
    <row r="197" spans="1:7" x14ac:dyDescent="0.2">
      <c r="A197" s="242">
        <v>3117</v>
      </c>
      <c r="B197" s="241">
        <v>5339</v>
      </c>
      <c r="C197" s="240" t="s">
        <v>398</v>
      </c>
      <c r="D197" s="238">
        <v>0</v>
      </c>
      <c r="E197" s="239">
        <v>374149.0400000001</v>
      </c>
      <c r="F197" s="238">
        <v>374121.95799999993</v>
      </c>
      <c r="G197" s="237">
        <v>99.992761708008089</v>
      </c>
    </row>
    <row r="198" spans="1:7" x14ac:dyDescent="0.2">
      <c r="A198" s="236">
        <v>3117</v>
      </c>
      <c r="B198" s="235"/>
      <c r="C198" s="234" t="s">
        <v>455</v>
      </c>
      <c r="D198" s="232">
        <v>0</v>
      </c>
      <c r="E198" s="233">
        <v>379704.10000000009</v>
      </c>
      <c r="F198" s="232">
        <v>379677.03199999995</v>
      </c>
      <c r="G198" s="231">
        <v>99.992871291092158</v>
      </c>
    </row>
    <row r="199" spans="1:7" x14ac:dyDescent="0.2">
      <c r="A199" s="242"/>
      <c r="B199" s="250"/>
      <c r="C199" s="240"/>
      <c r="D199" s="249"/>
      <c r="E199" s="249"/>
      <c r="F199" s="249"/>
      <c r="G199" s="237"/>
    </row>
    <row r="200" spans="1:7" x14ac:dyDescent="0.2">
      <c r="A200" s="248">
        <v>3119</v>
      </c>
      <c r="B200" s="247">
        <v>5011</v>
      </c>
      <c r="C200" s="246" t="s">
        <v>386</v>
      </c>
      <c r="D200" s="244">
        <v>0</v>
      </c>
      <c r="E200" s="245">
        <v>23.5</v>
      </c>
      <c r="F200" s="244">
        <v>11.48808</v>
      </c>
      <c r="G200" s="243">
        <v>48.885446808510643</v>
      </c>
    </row>
    <row r="201" spans="1:7" x14ac:dyDescent="0.2">
      <c r="A201" s="242">
        <v>3119</v>
      </c>
      <c r="B201" s="241">
        <v>5031</v>
      </c>
      <c r="C201" s="240" t="s">
        <v>383</v>
      </c>
      <c r="D201" s="238">
        <v>0</v>
      </c>
      <c r="E201" s="239">
        <v>5.88</v>
      </c>
      <c r="F201" s="238">
        <v>2.8720400000000001</v>
      </c>
      <c r="G201" s="237">
        <v>48.844217687074831</v>
      </c>
    </row>
    <row r="202" spans="1:7" x14ac:dyDescent="0.2">
      <c r="A202" s="242">
        <v>3119</v>
      </c>
      <c r="B202" s="241">
        <v>5032</v>
      </c>
      <c r="C202" s="240" t="s">
        <v>382</v>
      </c>
      <c r="D202" s="238">
        <v>0</v>
      </c>
      <c r="E202" s="239">
        <v>2.1100000000000003</v>
      </c>
      <c r="F202" s="238">
        <v>1.0339300000000002</v>
      </c>
      <c r="G202" s="237">
        <v>49.001421800947867</v>
      </c>
    </row>
    <row r="203" spans="1:7" x14ac:dyDescent="0.2">
      <c r="A203" s="242">
        <v>3119</v>
      </c>
      <c r="B203" s="241">
        <v>5038</v>
      </c>
      <c r="C203" s="240" t="s">
        <v>381</v>
      </c>
      <c r="D203" s="238">
        <v>0</v>
      </c>
      <c r="E203" s="239">
        <v>0.1</v>
      </c>
      <c r="F203" s="238">
        <v>4.8250000000000001E-2</v>
      </c>
      <c r="G203" s="237">
        <v>48.25</v>
      </c>
    </row>
    <row r="204" spans="1:7" x14ac:dyDescent="0.2">
      <c r="A204" s="242">
        <v>3119</v>
      </c>
      <c r="B204" s="241">
        <v>5169</v>
      </c>
      <c r="C204" s="240" t="s">
        <v>341</v>
      </c>
      <c r="D204" s="238">
        <v>0</v>
      </c>
      <c r="E204" s="239">
        <v>2.4</v>
      </c>
      <c r="F204" s="238">
        <v>2.4</v>
      </c>
      <c r="G204" s="237">
        <v>100</v>
      </c>
    </row>
    <row r="205" spans="1:7" x14ac:dyDescent="0.2">
      <c r="A205" s="242">
        <v>3119</v>
      </c>
      <c r="B205" s="241">
        <v>5173</v>
      </c>
      <c r="C205" s="240" t="s">
        <v>361</v>
      </c>
      <c r="D205" s="238">
        <v>39</v>
      </c>
      <c r="E205" s="239">
        <v>77.13</v>
      </c>
      <c r="F205" s="238">
        <v>9.8182500000000026</v>
      </c>
      <c r="G205" s="237">
        <v>12.72948269155971</v>
      </c>
    </row>
    <row r="206" spans="1:7" x14ac:dyDescent="0.2">
      <c r="A206" s="242">
        <v>3119</v>
      </c>
      <c r="B206" s="241">
        <v>5175</v>
      </c>
      <c r="C206" s="240" t="s">
        <v>340</v>
      </c>
      <c r="D206" s="238">
        <v>0</v>
      </c>
      <c r="E206" s="239">
        <v>2.2999999999999998</v>
      </c>
      <c r="F206" s="238">
        <v>2.2400000000000002</v>
      </c>
      <c r="G206" s="237">
        <v>97.391304347826107</v>
      </c>
    </row>
    <row r="207" spans="1:7" x14ac:dyDescent="0.2">
      <c r="A207" s="236">
        <v>3119</v>
      </c>
      <c r="B207" s="235"/>
      <c r="C207" s="234" t="s">
        <v>454</v>
      </c>
      <c r="D207" s="232">
        <v>39</v>
      </c>
      <c r="E207" s="233">
        <v>113.42</v>
      </c>
      <c r="F207" s="232">
        <v>29.900550000000003</v>
      </c>
      <c r="G207" s="231">
        <v>26.362678539940049</v>
      </c>
    </row>
    <row r="208" spans="1:7" x14ac:dyDescent="0.2">
      <c r="A208" s="242"/>
      <c r="B208" s="250"/>
      <c r="C208" s="240"/>
      <c r="D208" s="249"/>
      <c r="E208" s="249"/>
      <c r="F208" s="249"/>
      <c r="G208" s="237"/>
    </row>
    <row r="209" spans="1:7" x14ac:dyDescent="0.2">
      <c r="A209" s="248">
        <v>3121</v>
      </c>
      <c r="B209" s="247">
        <v>5011</v>
      </c>
      <c r="C209" s="246" t="s">
        <v>386</v>
      </c>
      <c r="D209" s="244">
        <v>0</v>
      </c>
      <c r="E209" s="245">
        <v>623.25</v>
      </c>
      <c r="F209" s="244">
        <v>489.173</v>
      </c>
      <c r="G209" s="243">
        <v>78.487444845567595</v>
      </c>
    </row>
    <row r="210" spans="1:7" x14ac:dyDescent="0.2">
      <c r="A210" s="242">
        <v>3121</v>
      </c>
      <c r="B210" s="241">
        <v>5031</v>
      </c>
      <c r="C210" s="240" t="s">
        <v>383</v>
      </c>
      <c r="D210" s="238">
        <v>0</v>
      </c>
      <c r="E210" s="239">
        <v>155.83000000000001</v>
      </c>
      <c r="F210" s="238">
        <v>122.24000000000001</v>
      </c>
      <c r="G210" s="237">
        <v>78.444458704999036</v>
      </c>
    </row>
    <row r="211" spans="1:7" x14ac:dyDescent="0.2">
      <c r="A211" s="242">
        <v>3121</v>
      </c>
      <c r="B211" s="241">
        <v>5032</v>
      </c>
      <c r="C211" s="240" t="s">
        <v>382</v>
      </c>
      <c r="D211" s="238">
        <v>0</v>
      </c>
      <c r="E211" s="239">
        <v>56.129999999999995</v>
      </c>
      <c r="F211" s="238">
        <v>43.941000000000003</v>
      </c>
      <c r="G211" s="237">
        <v>78.284339925173725</v>
      </c>
    </row>
    <row r="212" spans="1:7" x14ac:dyDescent="0.2">
      <c r="A212" s="242">
        <v>3121</v>
      </c>
      <c r="B212" s="241">
        <v>5038</v>
      </c>
      <c r="C212" s="240" t="s">
        <v>381</v>
      </c>
      <c r="D212" s="238">
        <v>0</v>
      </c>
      <c r="E212" s="239">
        <v>3.1100000000000003</v>
      </c>
      <c r="F212" s="238">
        <v>1.9809999999999999</v>
      </c>
      <c r="G212" s="237">
        <v>63.697749196141473</v>
      </c>
    </row>
    <row r="213" spans="1:7" x14ac:dyDescent="0.2">
      <c r="A213" s="242">
        <v>3121</v>
      </c>
      <c r="B213" s="241">
        <v>5134</v>
      </c>
      <c r="C213" s="240" t="s">
        <v>374</v>
      </c>
      <c r="D213" s="238">
        <v>0</v>
      </c>
      <c r="E213" s="239">
        <v>3</v>
      </c>
      <c r="F213" s="238">
        <v>0</v>
      </c>
      <c r="G213" s="237">
        <v>0</v>
      </c>
    </row>
    <row r="214" spans="1:7" x14ac:dyDescent="0.2">
      <c r="A214" s="242">
        <v>3121</v>
      </c>
      <c r="B214" s="241">
        <v>5136</v>
      </c>
      <c r="C214" s="240" t="s">
        <v>373</v>
      </c>
      <c r="D214" s="238">
        <v>0</v>
      </c>
      <c r="E214" s="239">
        <v>45</v>
      </c>
      <c r="F214" s="238">
        <v>29.008300000000002</v>
      </c>
      <c r="G214" s="237">
        <v>64.462888888888898</v>
      </c>
    </row>
    <row r="215" spans="1:7" x14ac:dyDescent="0.2">
      <c r="A215" s="242">
        <v>3121</v>
      </c>
      <c r="B215" s="241">
        <v>5137</v>
      </c>
      <c r="C215" s="240" t="s">
        <v>345</v>
      </c>
      <c r="D215" s="238">
        <v>9640</v>
      </c>
      <c r="E215" s="239">
        <v>29984.82</v>
      </c>
      <c r="F215" s="238">
        <v>28220.999219999998</v>
      </c>
      <c r="G215" s="237">
        <v>94.117620916183583</v>
      </c>
    </row>
    <row r="216" spans="1:7" x14ac:dyDescent="0.2">
      <c r="A216" s="242">
        <v>3121</v>
      </c>
      <c r="B216" s="241">
        <v>5139</v>
      </c>
      <c r="C216" s="240" t="s">
        <v>344</v>
      </c>
      <c r="D216" s="238">
        <v>0</v>
      </c>
      <c r="E216" s="239">
        <v>5.2</v>
      </c>
      <c r="F216" s="238">
        <v>0.95589999999999997</v>
      </c>
      <c r="G216" s="237">
        <v>18.382692307692306</v>
      </c>
    </row>
    <row r="217" spans="1:7" x14ac:dyDescent="0.2">
      <c r="A217" s="242">
        <v>3121</v>
      </c>
      <c r="B217" s="241">
        <v>5164</v>
      </c>
      <c r="C217" s="240" t="s">
        <v>343</v>
      </c>
      <c r="D217" s="238">
        <v>0</v>
      </c>
      <c r="E217" s="239">
        <v>54.64</v>
      </c>
      <c r="F217" s="238">
        <v>43.521000000000001</v>
      </c>
      <c r="G217" s="237">
        <v>79.650439238653007</v>
      </c>
    </row>
    <row r="218" spans="1:7" x14ac:dyDescent="0.2">
      <c r="A218" s="242">
        <v>3121</v>
      </c>
      <c r="B218" s="241">
        <v>5166</v>
      </c>
      <c r="C218" s="240" t="s">
        <v>342</v>
      </c>
      <c r="D218" s="238">
        <v>0</v>
      </c>
      <c r="E218" s="239">
        <v>64</v>
      </c>
      <c r="F218" s="238">
        <v>58.685000000000002</v>
      </c>
      <c r="G218" s="237">
        <v>91.6953125</v>
      </c>
    </row>
    <row r="219" spans="1:7" x14ac:dyDescent="0.2">
      <c r="A219" s="242">
        <v>3121</v>
      </c>
      <c r="B219" s="241">
        <v>5167</v>
      </c>
      <c r="C219" s="240" t="s">
        <v>365</v>
      </c>
      <c r="D219" s="238">
        <v>0</v>
      </c>
      <c r="E219" s="239">
        <v>6.56</v>
      </c>
      <c r="F219" s="238">
        <v>3.6626700000000003</v>
      </c>
      <c r="G219" s="237">
        <v>55.833384146341473</v>
      </c>
    </row>
    <row r="220" spans="1:7" x14ac:dyDescent="0.2">
      <c r="A220" s="242">
        <v>3121</v>
      </c>
      <c r="B220" s="241">
        <v>5169</v>
      </c>
      <c r="C220" s="240" t="s">
        <v>341</v>
      </c>
      <c r="D220" s="238">
        <v>114</v>
      </c>
      <c r="E220" s="239">
        <v>102.2</v>
      </c>
      <c r="F220" s="238">
        <v>0</v>
      </c>
      <c r="G220" s="237">
        <v>0</v>
      </c>
    </row>
    <row r="221" spans="1:7" x14ac:dyDescent="0.2">
      <c r="A221" s="242">
        <v>3121</v>
      </c>
      <c r="B221" s="241">
        <v>5172</v>
      </c>
      <c r="C221" s="240" t="s">
        <v>362</v>
      </c>
      <c r="D221" s="238">
        <v>0</v>
      </c>
      <c r="E221" s="239">
        <v>250</v>
      </c>
      <c r="F221" s="238">
        <v>232.04170000000005</v>
      </c>
      <c r="G221" s="237">
        <v>92.816680000000019</v>
      </c>
    </row>
    <row r="222" spans="1:7" x14ac:dyDescent="0.2">
      <c r="A222" s="242">
        <v>3121</v>
      </c>
      <c r="B222" s="241">
        <v>5213</v>
      </c>
      <c r="C222" s="240" t="s">
        <v>411</v>
      </c>
      <c r="D222" s="238">
        <v>0</v>
      </c>
      <c r="E222" s="239">
        <v>39794.119999999995</v>
      </c>
      <c r="F222" s="238">
        <v>39715.342999999993</v>
      </c>
      <c r="G222" s="237">
        <v>99.802038592636293</v>
      </c>
    </row>
    <row r="223" spans="1:7" x14ac:dyDescent="0.2">
      <c r="A223" s="242">
        <v>3121</v>
      </c>
      <c r="B223" s="241">
        <v>5331</v>
      </c>
      <c r="C223" s="240" t="s">
        <v>403</v>
      </c>
      <c r="D223" s="238">
        <v>44718</v>
      </c>
      <c r="E223" s="239">
        <v>113516.90000000001</v>
      </c>
      <c r="F223" s="238">
        <v>113504.17400000001</v>
      </c>
      <c r="G223" s="237">
        <v>99.988789334451525</v>
      </c>
    </row>
    <row r="224" spans="1:7" x14ac:dyDescent="0.2">
      <c r="A224" s="242">
        <v>3121</v>
      </c>
      <c r="B224" s="241">
        <v>5336</v>
      </c>
      <c r="C224" s="240" t="s">
        <v>401</v>
      </c>
      <c r="D224" s="238">
        <v>0</v>
      </c>
      <c r="E224" s="239">
        <v>569768.71999999986</v>
      </c>
      <c r="F224" s="238">
        <v>569768.64599999983</v>
      </c>
      <c r="G224" s="237">
        <v>99.999987012274033</v>
      </c>
    </row>
    <row r="225" spans="1:7" x14ac:dyDescent="0.2">
      <c r="A225" s="242">
        <v>3121</v>
      </c>
      <c r="B225" s="241">
        <v>5339</v>
      </c>
      <c r="C225" s="240" t="s">
        <v>398</v>
      </c>
      <c r="D225" s="238">
        <v>0</v>
      </c>
      <c r="E225" s="239">
        <v>5246.89</v>
      </c>
      <c r="F225" s="238">
        <v>5246.893</v>
      </c>
      <c r="G225" s="237">
        <v>100.00005717672755</v>
      </c>
    </row>
    <row r="226" spans="1:7" x14ac:dyDescent="0.2">
      <c r="A226" s="236">
        <v>3121</v>
      </c>
      <c r="B226" s="235"/>
      <c r="C226" s="234" t="s">
        <v>220</v>
      </c>
      <c r="D226" s="232">
        <v>54472</v>
      </c>
      <c r="E226" s="233">
        <v>759680.36999999988</v>
      </c>
      <c r="F226" s="232">
        <v>757481.26478999981</v>
      </c>
      <c r="G226" s="231">
        <v>99.710522306901254</v>
      </c>
    </row>
    <row r="227" spans="1:7" x14ac:dyDescent="0.2">
      <c r="A227" s="242"/>
      <c r="B227" s="250"/>
      <c r="C227" s="240"/>
      <c r="D227" s="249"/>
      <c r="E227" s="249"/>
      <c r="F227" s="249"/>
      <c r="G227" s="237"/>
    </row>
    <row r="228" spans="1:7" x14ac:dyDescent="0.2">
      <c r="A228" s="248">
        <v>3122</v>
      </c>
      <c r="B228" s="247">
        <v>5011</v>
      </c>
      <c r="C228" s="246" t="s">
        <v>386</v>
      </c>
      <c r="D228" s="244">
        <v>0</v>
      </c>
      <c r="E228" s="245">
        <v>453.59999999999997</v>
      </c>
      <c r="F228" s="244">
        <v>267.00479000000001</v>
      </c>
      <c r="G228" s="243">
        <v>58.86348985890654</v>
      </c>
    </row>
    <row r="229" spans="1:7" x14ac:dyDescent="0.2">
      <c r="A229" s="242">
        <v>3122</v>
      </c>
      <c r="B229" s="241">
        <v>5031</v>
      </c>
      <c r="C229" s="240" t="s">
        <v>383</v>
      </c>
      <c r="D229" s="238">
        <v>0</v>
      </c>
      <c r="E229" s="239">
        <v>113.44</v>
      </c>
      <c r="F229" s="238">
        <v>66.714449999999999</v>
      </c>
      <c r="G229" s="237">
        <v>58.810340267983072</v>
      </c>
    </row>
    <row r="230" spans="1:7" x14ac:dyDescent="0.2">
      <c r="A230" s="242">
        <v>3122</v>
      </c>
      <c r="B230" s="241">
        <v>5032</v>
      </c>
      <c r="C230" s="240" t="s">
        <v>382</v>
      </c>
      <c r="D230" s="238">
        <v>0</v>
      </c>
      <c r="E230" s="239">
        <v>40.89</v>
      </c>
      <c r="F230" s="238">
        <v>23.978490000000001</v>
      </c>
      <c r="G230" s="237">
        <v>58.641452677916362</v>
      </c>
    </row>
    <row r="231" spans="1:7" x14ac:dyDescent="0.2">
      <c r="A231" s="242">
        <v>3122</v>
      </c>
      <c r="B231" s="241">
        <v>5038</v>
      </c>
      <c r="C231" s="240" t="s">
        <v>381</v>
      </c>
      <c r="D231" s="238">
        <v>0</v>
      </c>
      <c r="E231" s="239">
        <v>1.9900000000000002</v>
      </c>
      <c r="F231" s="238">
        <v>1.0668800000000001</v>
      </c>
      <c r="G231" s="237">
        <v>53.612060301507533</v>
      </c>
    </row>
    <row r="232" spans="1:7" x14ac:dyDescent="0.2">
      <c r="A232" s="242">
        <v>3122</v>
      </c>
      <c r="B232" s="241">
        <v>5136</v>
      </c>
      <c r="C232" s="240" t="s">
        <v>373</v>
      </c>
      <c r="D232" s="238">
        <v>0</v>
      </c>
      <c r="E232" s="239">
        <v>37.199999999999996</v>
      </c>
      <c r="F232" s="238">
        <v>36.061500000000002</v>
      </c>
      <c r="G232" s="237">
        <v>96.93951612903227</v>
      </c>
    </row>
    <row r="233" spans="1:7" x14ac:dyDescent="0.2">
      <c r="A233" s="242">
        <v>3122</v>
      </c>
      <c r="B233" s="241">
        <v>5137</v>
      </c>
      <c r="C233" s="240" t="s">
        <v>345</v>
      </c>
      <c r="D233" s="238">
        <v>11944</v>
      </c>
      <c r="E233" s="239">
        <v>25632.620000000006</v>
      </c>
      <c r="F233" s="238">
        <v>25449.562239999999</v>
      </c>
      <c r="G233" s="237">
        <v>99.285840620272111</v>
      </c>
    </row>
    <row r="234" spans="1:7" x14ac:dyDescent="0.2">
      <c r="A234" s="242">
        <v>3122</v>
      </c>
      <c r="B234" s="241">
        <v>5139</v>
      </c>
      <c r="C234" s="240" t="s">
        <v>344</v>
      </c>
      <c r="D234" s="238">
        <v>0</v>
      </c>
      <c r="E234" s="239">
        <v>12.83</v>
      </c>
      <c r="F234" s="238">
        <v>8.8209</v>
      </c>
      <c r="G234" s="237">
        <v>68.752143413873739</v>
      </c>
    </row>
    <row r="235" spans="1:7" x14ac:dyDescent="0.2">
      <c r="A235" s="242">
        <v>3122</v>
      </c>
      <c r="B235" s="241">
        <v>5166</v>
      </c>
      <c r="C235" s="240" t="s">
        <v>342</v>
      </c>
      <c r="D235" s="238">
        <v>0</v>
      </c>
      <c r="E235" s="239">
        <v>10.17</v>
      </c>
      <c r="F235" s="238">
        <v>10.164</v>
      </c>
      <c r="G235" s="237">
        <v>99.941002949852503</v>
      </c>
    </row>
    <row r="236" spans="1:7" x14ac:dyDescent="0.2">
      <c r="A236" s="242">
        <v>3122</v>
      </c>
      <c r="B236" s="241">
        <v>5169</v>
      </c>
      <c r="C236" s="240" t="s">
        <v>341</v>
      </c>
      <c r="D236" s="238">
        <v>3</v>
      </c>
      <c r="E236" s="239">
        <v>453.09999999999997</v>
      </c>
      <c r="F236" s="238">
        <v>74.11827000000001</v>
      </c>
      <c r="G236" s="237">
        <v>16.358037960715077</v>
      </c>
    </row>
    <row r="237" spans="1:7" x14ac:dyDescent="0.2">
      <c r="A237" s="242">
        <v>3122</v>
      </c>
      <c r="B237" s="241">
        <v>5172</v>
      </c>
      <c r="C237" s="240" t="s">
        <v>362</v>
      </c>
      <c r="D237" s="238">
        <v>0</v>
      </c>
      <c r="E237" s="239">
        <v>225</v>
      </c>
      <c r="F237" s="238">
        <v>222.70105999999998</v>
      </c>
      <c r="G237" s="237">
        <v>98.978248888888885</v>
      </c>
    </row>
    <row r="238" spans="1:7" x14ac:dyDescent="0.2">
      <c r="A238" s="242">
        <v>3122</v>
      </c>
      <c r="B238" s="241">
        <v>5173</v>
      </c>
      <c r="C238" s="240" t="s">
        <v>361</v>
      </c>
      <c r="D238" s="238">
        <v>0</v>
      </c>
      <c r="E238" s="239">
        <v>87.95</v>
      </c>
      <c r="F238" s="238">
        <v>23.132489999999997</v>
      </c>
      <c r="G238" s="237">
        <v>26.301864695849908</v>
      </c>
    </row>
    <row r="239" spans="1:7" x14ac:dyDescent="0.2">
      <c r="A239" s="242">
        <v>3122</v>
      </c>
      <c r="B239" s="241">
        <v>5175</v>
      </c>
      <c r="C239" s="240" t="s">
        <v>340</v>
      </c>
      <c r="D239" s="238">
        <v>0</v>
      </c>
      <c r="E239" s="239">
        <v>9.51</v>
      </c>
      <c r="F239" s="238">
        <v>9.4250000000000007</v>
      </c>
      <c r="G239" s="237">
        <v>99.106203995793905</v>
      </c>
    </row>
    <row r="240" spans="1:7" x14ac:dyDescent="0.2">
      <c r="A240" s="242">
        <v>3122</v>
      </c>
      <c r="B240" s="241">
        <v>5213</v>
      </c>
      <c r="C240" s="240" t="s">
        <v>411</v>
      </c>
      <c r="D240" s="238">
        <v>0</v>
      </c>
      <c r="E240" s="239">
        <v>169962.81000000003</v>
      </c>
      <c r="F240" s="238">
        <v>169962.79900000003</v>
      </c>
      <c r="G240" s="237">
        <v>99.999993527995926</v>
      </c>
    </row>
    <row r="241" spans="1:7" x14ac:dyDescent="0.2">
      <c r="A241" s="242">
        <v>3122</v>
      </c>
      <c r="B241" s="241">
        <v>5221</v>
      </c>
      <c r="C241" s="240" t="s">
        <v>399</v>
      </c>
      <c r="D241" s="238">
        <v>0</v>
      </c>
      <c r="E241" s="239">
        <v>8602.49</v>
      </c>
      <c r="F241" s="238">
        <v>8602.4839999999986</v>
      </c>
      <c r="G241" s="237">
        <v>99.999930252752392</v>
      </c>
    </row>
    <row r="242" spans="1:7" x14ac:dyDescent="0.2">
      <c r="A242" s="242">
        <v>3122</v>
      </c>
      <c r="B242" s="241">
        <v>5331</v>
      </c>
      <c r="C242" s="240" t="s">
        <v>403</v>
      </c>
      <c r="D242" s="238">
        <v>72161</v>
      </c>
      <c r="E242" s="239">
        <v>172746.17</v>
      </c>
      <c r="F242" s="238">
        <v>172686.98748000001</v>
      </c>
      <c r="G242" s="237">
        <v>99.96574018399366</v>
      </c>
    </row>
    <row r="243" spans="1:7" x14ac:dyDescent="0.2">
      <c r="A243" s="242">
        <v>3122</v>
      </c>
      <c r="B243" s="241">
        <v>5336</v>
      </c>
      <c r="C243" s="240" t="s">
        <v>401</v>
      </c>
      <c r="D243" s="238">
        <v>0</v>
      </c>
      <c r="E243" s="239">
        <v>883630.66999999993</v>
      </c>
      <c r="F243" s="238">
        <v>883557.40660000022</v>
      </c>
      <c r="G243" s="237">
        <v>99.991708821062119</v>
      </c>
    </row>
    <row r="244" spans="1:7" x14ac:dyDescent="0.2">
      <c r="A244" s="236">
        <v>3122</v>
      </c>
      <c r="B244" s="235"/>
      <c r="C244" s="234" t="s">
        <v>219</v>
      </c>
      <c r="D244" s="232">
        <v>84108</v>
      </c>
      <c r="E244" s="233">
        <v>1262020.44</v>
      </c>
      <c r="F244" s="232">
        <v>1261002.4271500004</v>
      </c>
      <c r="G244" s="231">
        <v>99.919334678129331</v>
      </c>
    </row>
    <row r="245" spans="1:7" x14ac:dyDescent="0.2">
      <c r="A245" s="242"/>
      <c r="B245" s="250"/>
      <c r="C245" s="240"/>
      <c r="D245" s="249"/>
      <c r="E245" s="249"/>
      <c r="F245" s="249"/>
      <c r="G245" s="237"/>
    </row>
    <row r="246" spans="1:7" x14ac:dyDescent="0.2">
      <c r="A246" s="248">
        <v>3123</v>
      </c>
      <c r="B246" s="247">
        <v>5011</v>
      </c>
      <c r="C246" s="246" t="s">
        <v>386</v>
      </c>
      <c r="D246" s="244">
        <v>0</v>
      </c>
      <c r="E246" s="245">
        <v>149.69</v>
      </c>
      <c r="F246" s="244">
        <v>81.691000000000003</v>
      </c>
      <c r="G246" s="243">
        <v>54.573451800387474</v>
      </c>
    </row>
    <row r="247" spans="1:7" x14ac:dyDescent="0.2">
      <c r="A247" s="242">
        <v>3123</v>
      </c>
      <c r="B247" s="241">
        <v>5031</v>
      </c>
      <c r="C247" s="240" t="s">
        <v>383</v>
      </c>
      <c r="D247" s="238">
        <v>0</v>
      </c>
      <c r="E247" s="239">
        <v>37.43</v>
      </c>
      <c r="F247" s="238">
        <v>20.408000000000001</v>
      </c>
      <c r="G247" s="237">
        <v>54.52310980496928</v>
      </c>
    </row>
    <row r="248" spans="1:7" x14ac:dyDescent="0.2">
      <c r="A248" s="242">
        <v>3123</v>
      </c>
      <c r="B248" s="241">
        <v>5032</v>
      </c>
      <c r="C248" s="240" t="s">
        <v>382</v>
      </c>
      <c r="D248" s="238">
        <v>0</v>
      </c>
      <c r="E248" s="239">
        <v>13.48</v>
      </c>
      <c r="F248" s="238">
        <v>7.335</v>
      </c>
      <c r="G248" s="237">
        <v>54.41394658753709</v>
      </c>
    </row>
    <row r="249" spans="1:7" x14ac:dyDescent="0.2">
      <c r="A249" s="242">
        <v>3123</v>
      </c>
      <c r="B249" s="241">
        <v>5038</v>
      </c>
      <c r="C249" s="240" t="s">
        <v>381</v>
      </c>
      <c r="D249" s="238">
        <v>0</v>
      </c>
      <c r="E249" s="239">
        <v>0.65</v>
      </c>
      <c r="F249" s="238">
        <v>0.32399999999999995</v>
      </c>
      <c r="G249" s="237">
        <v>49.84615384615384</v>
      </c>
    </row>
    <row r="250" spans="1:7" x14ac:dyDescent="0.2">
      <c r="A250" s="242">
        <v>3123</v>
      </c>
      <c r="B250" s="241">
        <v>5137</v>
      </c>
      <c r="C250" s="240" t="s">
        <v>345</v>
      </c>
      <c r="D250" s="238">
        <v>1200</v>
      </c>
      <c r="E250" s="239">
        <v>2069.1899999999991</v>
      </c>
      <c r="F250" s="238">
        <v>1714.2756199999999</v>
      </c>
      <c r="G250" s="237">
        <v>82.847665994906251</v>
      </c>
    </row>
    <row r="251" spans="1:7" x14ac:dyDescent="0.2">
      <c r="A251" s="242">
        <v>3123</v>
      </c>
      <c r="B251" s="241">
        <v>5169</v>
      </c>
      <c r="C251" s="240" t="s">
        <v>341</v>
      </c>
      <c r="D251" s="238">
        <v>0</v>
      </c>
      <c r="E251" s="239">
        <v>80</v>
      </c>
      <c r="F251" s="238">
        <v>79.86</v>
      </c>
      <c r="G251" s="237">
        <v>99.825000000000003</v>
      </c>
    </row>
    <row r="252" spans="1:7" x14ac:dyDescent="0.2">
      <c r="A252" s="242">
        <v>3123</v>
      </c>
      <c r="B252" s="241">
        <v>5171</v>
      </c>
      <c r="C252" s="240" t="s">
        <v>363</v>
      </c>
      <c r="D252" s="238">
        <v>0</v>
      </c>
      <c r="E252" s="239">
        <v>4920</v>
      </c>
      <c r="F252" s="238">
        <v>3611.6</v>
      </c>
      <c r="G252" s="237">
        <v>73.40650406504065</v>
      </c>
    </row>
    <row r="253" spans="1:7" x14ac:dyDescent="0.2">
      <c r="A253" s="242">
        <v>3123</v>
      </c>
      <c r="B253" s="241">
        <v>5213</v>
      </c>
      <c r="C253" s="240" t="s">
        <v>411</v>
      </c>
      <c r="D253" s="238">
        <v>0</v>
      </c>
      <c r="E253" s="239">
        <v>169036.89000000004</v>
      </c>
      <c r="F253" s="238">
        <v>169036.87600000008</v>
      </c>
      <c r="G253" s="237">
        <v>99.999991717784226</v>
      </c>
    </row>
    <row r="254" spans="1:7" x14ac:dyDescent="0.2">
      <c r="A254" s="242">
        <v>3123</v>
      </c>
      <c r="B254" s="241">
        <v>5221</v>
      </c>
      <c r="C254" s="240" t="s">
        <v>399</v>
      </c>
      <c r="D254" s="238">
        <v>0</v>
      </c>
      <c r="E254" s="239">
        <v>15694.08</v>
      </c>
      <c r="F254" s="238">
        <v>15694.076999999999</v>
      </c>
      <c r="G254" s="237">
        <v>99.999980884511857</v>
      </c>
    </row>
    <row r="255" spans="1:7" x14ac:dyDescent="0.2">
      <c r="A255" s="242">
        <v>3123</v>
      </c>
      <c r="B255" s="241">
        <v>5331</v>
      </c>
      <c r="C255" s="240" t="s">
        <v>403</v>
      </c>
      <c r="D255" s="238">
        <v>81222</v>
      </c>
      <c r="E255" s="239">
        <v>201725.06999999998</v>
      </c>
      <c r="F255" s="238">
        <v>200425.06999999998</v>
      </c>
      <c r="G255" s="237">
        <v>99.35555853320561</v>
      </c>
    </row>
    <row r="256" spans="1:7" x14ac:dyDescent="0.2">
      <c r="A256" s="242">
        <v>3123</v>
      </c>
      <c r="B256" s="241">
        <v>5336</v>
      </c>
      <c r="C256" s="240" t="s">
        <v>401</v>
      </c>
      <c r="D256" s="238">
        <v>0</v>
      </c>
      <c r="E256" s="239">
        <v>478927.01999999973</v>
      </c>
      <c r="F256" s="238">
        <v>478609.9790300004</v>
      </c>
      <c r="G256" s="237">
        <v>99.933801820160554</v>
      </c>
    </row>
    <row r="257" spans="1:7" x14ac:dyDescent="0.2">
      <c r="A257" s="236">
        <v>3123</v>
      </c>
      <c r="B257" s="235"/>
      <c r="C257" s="234" t="s">
        <v>218</v>
      </c>
      <c r="D257" s="232">
        <v>82422</v>
      </c>
      <c r="E257" s="233">
        <v>872653.49999999977</v>
      </c>
      <c r="F257" s="232">
        <v>869281.4956500004</v>
      </c>
      <c r="G257" s="231">
        <v>99.613591837997632</v>
      </c>
    </row>
    <row r="258" spans="1:7" x14ac:dyDescent="0.2">
      <c r="A258" s="242"/>
      <c r="B258" s="250"/>
      <c r="C258" s="240"/>
      <c r="D258" s="249"/>
      <c r="E258" s="249"/>
      <c r="F258" s="249"/>
      <c r="G258" s="237"/>
    </row>
    <row r="259" spans="1:7" x14ac:dyDescent="0.2">
      <c r="A259" s="248">
        <v>3124</v>
      </c>
      <c r="B259" s="247">
        <v>5137</v>
      </c>
      <c r="C259" s="246" t="s">
        <v>345</v>
      </c>
      <c r="D259" s="244">
        <v>40</v>
      </c>
      <c r="E259" s="245">
        <v>9.6900000000000013</v>
      </c>
      <c r="F259" s="244">
        <v>9.68</v>
      </c>
      <c r="G259" s="243">
        <v>99.896800825593374</v>
      </c>
    </row>
    <row r="260" spans="1:7" x14ac:dyDescent="0.2">
      <c r="A260" s="242">
        <v>3124</v>
      </c>
      <c r="B260" s="241">
        <v>5331</v>
      </c>
      <c r="C260" s="240" t="s">
        <v>403</v>
      </c>
      <c r="D260" s="238">
        <v>7804</v>
      </c>
      <c r="E260" s="239">
        <v>22538.3</v>
      </c>
      <c r="F260" s="238">
        <v>22321.210490000001</v>
      </c>
      <c r="G260" s="237">
        <v>99.036797318342565</v>
      </c>
    </row>
    <row r="261" spans="1:7" x14ac:dyDescent="0.2">
      <c r="A261" s="242">
        <v>3124</v>
      </c>
      <c r="B261" s="241">
        <v>5336</v>
      </c>
      <c r="C261" s="240" t="s">
        <v>401</v>
      </c>
      <c r="D261" s="238">
        <v>0</v>
      </c>
      <c r="E261" s="239">
        <v>135481.13</v>
      </c>
      <c r="F261" s="238">
        <v>135481.11800000002</v>
      </c>
      <c r="G261" s="237">
        <v>99.999991142677956</v>
      </c>
    </row>
    <row r="262" spans="1:7" x14ac:dyDescent="0.2">
      <c r="A262" s="236">
        <v>3124</v>
      </c>
      <c r="B262" s="235"/>
      <c r="C262" s="234" t="s">
        <v>311</v>
      </c>
      <c r="D262" s="232">
        <v>7844</v>
      </c>
      <c r="E262" s="233">
        <v>158029.12</v>
      </c>
      <c r="F262" s="232">
        <v>157812.00849000001</v>
      </c>
      <c r="G262" s="231">
        <v>99.862612972849575</v>
      </c>
    </row>
    <row r="263" spans="1:7" x14ac:dyDescent="0.2">
      <c r="A263" s="242"/>
      <c r="B263" s="250"/>
      <c r="C263" s="240"/>
      <c r="D263" s="249"/>
      <c r="E263" s="249"/>
      <c r="F263" s="249"/>
      <c r="G263" s="237"/>
    </row>
    <row r="264" spans="1:7" x14ac:dyDescent="0.2">
      <c r="A264" s="248">
        <v>3125</v>
      </c>
      <c r="B264" s="247">
        <v>5213</v>
      </c>
      <c r="C264" s="246" t="s">
        <v>411</v>
      </c>
      <c r="D264" s="244">
        <v>0</v>
      </c>
      <c r="E264" s="245">
        <v>552.94000000000005</v>
      </c>
      <c r="F264" s="244">
        <v>552.93600000000004</v>
      </c>
      <c r="G264" s="243">
        <v>99.999276594205512</v>
      </c>
    </row>
    <row r="265" spans="1:7" x14ac:dyDescent="0.2">
      <c r="A265" s="242">
        <v>3125</v>
      </c>
      <c r="B265" s="241">
        <v>5221</v>
      </c>
      <c r="C265" s="240" t="s">
        <v>399</v>
      </c>
      <c r="D265" s="238">
        <v>0</v>
      </c>
      <c r="E265" s="239">
        <v>3016.7599999999998</v>
      </c>
      <c r="F265" s="238">
        <v>3016.7549999999997</v>
      </c>
      <c r="G265" s="237">
        <v>99.999834259271537</v>
      </c>
    </row>
    <row r="266" spans="1:7" x14ac:dyDescent="0.2">
      <c r="A266" s="242">
        <v>3125</v>
      </c>
      <c r="B266" s="241">
        <v>5331</v>
      </c>
      <c r="C266" s="240" t="s">
        <v>403</v>
      </c>
      <c r="D266" s="238">
        <v>5500</v>
      </c>
      <c r="E266" s="239">
        <v>11661</v>
      </c>
      <c r="F266" s="238">
        <v>11661</v>
      </c>
      <c r="G266" s="237">
        <v>100</v>
      </c>
    </row>
    <row r="267" spans="1:7" x14ac:dyDescent="0.2">
      <c r="A267" s="236">
        <v>3125</v>
      </c>
      <c r="B267" s="235"/>
      <c r="C267" s="234" t="s">
        <v>310</v>
      </c>
      <c r="D267" s="232">
        <v>5500</v>
      </c>
      <c r="E267" s="233">
        <v>15230.7</v>
      </c>
      <c r="F267" s="232">
        <v>15230.690999999999</v>
      </c>
      <c r="G267" s="231">
        <v>99.99994090882231</v>
      </c>
    </row>
    <row r="268" spans="1:7" x14ac:dyDescent="0.2">
      <c r="A268" s="242"/>
      <c r="B268" s="250"/>
      <c r="C268" s="240"/>
      <c r="D268" s="249"/>
      <c r="E268" s="249"/>
      <c r="F268" s="249"/>
      <c r="G268" s="237"/>
    </row>
    <row r="269" spans="1:7" x14ac:dyDescent="0.2">
      <c r="A269" s="248">
        <v>3126</v>
      </c>
      <c r="B269" s="247">
        <v>5331</v>
      </c>
      <c r="C269" s="246" t="s">
        <v>403</v>
      </c>
      <c r="D269" s="244">
        <v>1684</v>
      </c>
      <c r="E269" s="245">
        <v>7131.88</v>
      </c>
      <c r="F269" s="244">
        <v>7131.88</v>
      </c>
      <c r="G269" s="243">
        <v>100</v>
      </c>
    </row>
    <row r="270" spans="1:7" x14ac:dyDescent="0.2">
      <c r="A270" s="242">
        <v>3126</v>
      </c>
      <c r="B270" s="241">
        <v>5336</v>
      </c>
      <c r="C270" s="240" t="s">
        <v>401</v>
      </c>
      <c r="D270" s="238">
        <v>0</v>
      </c>
      <c r="E270" s="239">
        <v>56635.670000000006</v>
      </c>
      <c r="F270" s="238">
        <v>56635.669000000002</v>
      </c>
      <c r="G270" s="237">
        <v>99.999998234328288</v>
      </c>
    </row>
    <row r="271" spans="1:7" x14ac:dyDescent="0.2">
      <c r="A271" s="236">
        <v>3126</v>
      </c>
      <c r="B271" s="235"/>
      <c r="C271" s="234" t="s">
        <v>453</v>
      </c>
      <c r="D271" s="232">
        <v>1684</v>
      </c>
      <c r="E271" s="233">
        <v>63767.55</v>
      </c>
      <c r="F271" s="232">
        <v>63767.548999999999</v>
      </c>
      <c r="G271" s="231">
        <v>99.999998431804258</v>
      </c>
    </row>
    <row r="272" spans="1:7" x14ac:dyDescent="0.2">
      <c r="A272" s="242"/>
      <c r="B272" s="250"/>
      <c r="C272" s="240"/>
      <c r="D272" s="249"/>
      <c r="E272" s="249"/>
      <c r="F272" s="249"/>
      <c r="G272" s="237"/>
    </row>
    <row r="273" spans="1:7" x14ac:dyDescent="0.2">
      <c r="A273" s="248">
        <v>3133</v>
      </c>
      <c r="B273" s="247">
        <v>5331</v>
      </c>
      <c r="C273" s="246" t="s">
        <v>403</v>
      </c>
      <c r="D273" s="244">
        <v>0</v>
      </c>
      <c r="E273" s="245">
        <v>66805</v>
      </c>
      <c r="F273" s="244">
        <v>66719.693579999992</v>
      </c>
      <c r="G273" s="243">
        <v>99.872305336426905</v>
      </c>
    </row>
    <row r="274" spans="1:7" x14ac:dyDescent="0.2">
      <c r="A274" s="242">
        <v>3133</v>
      </c>
      <c r="B274" s="241">
        <v>5336</v>
      </c>
      <c r="C274" s="240" t="s">
        <v>401</v>
      </c>
      <c r="D274" s="238">
        <v>0</v>
      </c>
      <c r="E274" s="239">
        <v>166004.53999999995</v>
      </c>
      <c r="F274" s="238">
        <v>166004.508</v>
      </c>
      <c r="G274" s="237">
        <v>99.999980723418801</v>
      </c>
    </row>
    <row r="275" spans="1:7" x14ac:dyDescent="0.2">
      <c r="A275" s="236">
        <v>3133</v>
      </c>
      <c r="B275" s="235"/>
      <c r="C275" s="259" t="s">
        <v>309</v>
      </c>
      <c r="D275" s="232">
        <v>0</v>
      </c>
      <c r="E275" s="233">
        <v>232809.53999999995</v>
      </c>
      <c r="F275" s="232">
        <v>232724.20157999999</v>
      </c>
      <c r="G275" s="231">
        <v>99.963344105228686</v>
      </c>
    </row>
    <row r="276" spans="1:7" x14ac:dyDescent="0.2">
      <c r="A276" s="242"/>
      <c r="B276" s="250"/>
      <c r="C276" s="240"/>
      <c r="D276" s="249"/>
      <c r="E276" s="249"/>
      <c r="F276" s="249"/>
      <c r="G276" s="237"/>
    </row>
    <row r="277" spans="1:7" x14ac:dyDescent="0.2">
      <c r="A277" s="248">
        <v>3141</v>
      </c>
      <c r="B277" s="247">
        <v>5212</v>
      </c>
      <c r="C277" s="246" t="s">
        <v>418</v>
      </c>
      <c r="D277" s="244">
        <v>0</v>
      </c>
      <c r="E277" s="245">
        <v>82.8</v>
      </c>
      <c r="F277" s="244">
        <v>82.801999999999992</v>
      </c>
      <c r="G277" s="243">
        <v>100.00241545893719</v>
      </c>
    </row>
    <row r="278" spans="1:7" x14ac:dyDescent="0.2">
      <c r="A278" s="242">
        <v>3141</v>
      </c>
      <c r="B278" s="241">
        <v>5213</v>
      </c>
      <c r="C278" s="240" t="s">
        <v>411</v>
      </c>
      <c r="D278" s="238">
        <v>0</v>
      </c>
      <c r="E278" s="239">
        <v>7220.7500000000009</v>
      </c>
      <c r="F278" s="238">
        <v>7220.7329999999984</v>
      </c>
      <c r="G278" s="237">
        <v>99.999764567392546</v>
      </c>
    </row>
    <row r="279" spans="1:7" x14ac:dyDescent="0.2">
      <c r="A279" s="242">
        <v>3141</v>
      </c>
      <c r="B279" s="241">
        <v>5221</v>
      </c>
      <c r="C279" s="240" t="s">
        <v>399</v>
      </c>
      <c r="D279" s="238">
        <v>0</v>
      </c>
      <c r="E279" s="239">
        <v>826.59</v>
      </c>
      <c r="F279" s="238">
        <v>826.59199999999998</v>
      </c>
      <c r="G279" s="237">
        <v>100.00024195792352</v>
      </c>
    </row>
    <row r="280" spans="1:7" x14ac:dyDescent="0.2">
      <c r="A280" s="242">
        <v>3141</v>
      </c>
      <c r="B280" s="241">
        <v>5331</v>
      </c>
      <c r="C280" s="240" t="s">
        <v>403</v>
      </c>
      <c r="D280" s="238">
        <v>200</v>
      </c>
      <c r="E280" s="239">
        <v>27234</v>
      </c>
      <c r="F280" s="238">
        <v>27234</v>
      </c>
      <c r="G280" s="237">
        <v>100</v>
      </c>
    </row>
    <row r="281" spans="1:7" x14ac:dyDescent="0.2">
      <c r="A281" s="242">
        <v>3141</v>
      </c>
      <c r="B281" s="241">
        <v>5336</v>
      </c>
      <c r="C281" s="240" t="s">
        <v>401</v>
      </c>
      <c r="D281" s="238">
        <v>0</v>
      </c>
      <c r="E281" s="239">
        <v>81245.400000000009</v>
      </c>
      <c r="F281" s="238">
        <v>81245.400999999998</v>
      </c>
      <c r="G281" s="237">
        <v>100.0000012308389</v>
      </c>
    </row>
    <row r="282" spans="1:7" x14ac:dyDescent="0.2">
      <c r="A282" s="242">
        <v>3141</v>
      </c>
      <c r="B282" s="241">
        <v>5339</v>
      </c>
      <c r="C282" s="240" t="s">
        <v>398</v>
      </c>
      <c r="D282" s="238">
        <v>0</v>
      </c>
      <c r="E282" s="239">
        <v>522213.78</v>
      </c>
      <c r="F282" s="238">
        <v>522213.76400000008</v>
      </c>
      <c r="G282" s="237">
        <v>99.999996936120695</v>
      </c>
    </row>
    <row r="283" spans="1:7" x14ac:dyDescent="0.2">
      <c r="A283" s="236">
        <v>3141</v>
      </c>
      <c r="B283" s="235"/>
      <c r="C283" s="234" t="s">
        <v>308</v>
      </c>
      <c r="D283" s="232">
        <v>200</v>
      </c>
      <c r="E283" s="233">
        <v>638823.32000000007</v>
      </c>
      <c r="F283" s="232">
        <v>638823.29200000013</v>
      </c>
      <c r="G283" s="231">
        <v>99.99999561694149</v>
      </c>
    </row>
    <row r="284" spans="1:7" x14ac:dyDescent="0.2">
      <c r="A284" s="242"/>
      <c r="B284" s="250"/>
      <c r="C284" s="240"/>
      <c r="D284" s="249"/>
      <c r="E284" s="249"/>
      <c r="F284" s="249"/>
      <c r="G284" s="237"/>
    </row>
    <row r="285" spans="1:7" x14ac:dyDescent="0.2">
      <c r="A285" s="248">
        <v>3142</v>
      </c>
      <c r="B285" s="247">
        <v>5331</v>
      </c>
      <c r="C285" s="246" t="s">
        <v>403</v>
      </c>
      <c r="D285" s="244">
        <v>2811</v>
      </c>
      <c r="E285" s="245">
        <v>0</v>
      </c>
      <c r="F285" s="244">
        <v>0</v>
      </c>
      <c r="G285" s="261" t="s">
        <v>279</v>
      </c>
    </row>
    <row r="286" spans="1:7" x14ac:dyDescent="0.2">
      <c r="A286" s="236">
        <v>3142</v>
      </c>
      <c r="B286" s="235"/>
      <c r="C286" s="259" t="s">
        <v>452</v>
      </c>
      <c r="D286" s="232">
        <v>2811</v>
      </c>
      <c r="E286" s="233">
        <v>0</v>
      </c>
      <c r="F286" s="232">
        <v>0</v>
      </c>
      <c r="G286" s="258" t="s">
        <v>279</v>
      </c>
    </row>
    <row r="287" spans="1:7" x14ac:dyDescent="0.2">
      <c r="A287" s="242"/>
      <c r="B287" s="250"/>
      <c r="C287" s="240"/>
      <c r="D287" s="249"/>
      <c r="E287" s="249"/>
      <c r="F287" s="249"/>
      <c r="G287" s="237"/>
    </row>
    <row r="288" spans="1:7" x14ac:dyDescent="0.2">
      <c r="A288" s="248">
        <v>3143</v>
      </c>
      <c r="B288" s="247">
        <v>5212</v>
      </c>
      <c r="C288" s="246" t="s">
        <v>418</v>
      </c>
      <c r="D288" s="244">
        <v>0</v>
      </c>
      <c r="E288" s="245">
        <v>640.9</v>
      </c>
      <c r="F288" s="244">
        <v>640.904</v>
      </c>
      <c r="G288" s="243">
        <v>100.00062412232798</v>
      </c>
    </row>
    <row r="289" spans="1:7" x14ac:dyDescent="0.2">
      <c r="A289" s="242">
        <v>3143</v>
      </c>
      <c r="B289" s="241">
        <v>5213</v>
      </c>
      <c r="C289" s="240" t="s">
        <v>411</v>
      </c>
      <c r="D289" s="238">
        <v>0</v>
      </c>
      <c r="E289" s="239">
        <v>5524.5499999999984</v>
      </c>
      <c r="F289" s="238">
        <v>5524.5389999999998</v>
      </c>
      <c r="G289" s="237">
        <v>99.999800888760191</v>
      </c>
    </row>
    <row r="290" spans="1:7" x14ac:dyDescent="0.2">
      <c r="A290" s="242">
        <v>3143</v>
      </c>
      <c r="B290" s="241">
        <v>5331</v>
      </c>
      <c r="C290" s="240" t="s">
        <v>403</v>
      </c>
      <c r="D290" s="238">
        <v>0</v>
      </c>
      <c r="E290" s="239">
        <v>1204</v>
      </c>
      <c r="F290" s="238">
        <v>1204</v>
      </c>
      <c r="G290" s="237">
        <v>100</v>
      </c>
    </row>
    <row r="291" spans="1:7" x14ac:dyDescent="0.2">
      <c r="A291" s="242">
        <v>3143</v>
      </c>
      <c r="B291" s="241">
        <v>5336</v>
      </c>
      <c r="C291" s="240" t="s">
        <v>401</v>
      </c>
      <c r="D291" s="238">
        <v>0</v>
      </c>
      <c r="E291" s="239">
        <v>22879</v>
      </c>
      <c r="F291" s="238">
        <v>22879</v>
      </c>
      <c r="G291" s="237">
        <v>100</v>
      </c>
    </row>
    <row r="292" spans="1:7" x14ac:dyDescent="0.2">
      <c r="A292" s="242">
        <v>3143</v>
      </c>
      <c r="B292" s="241">
        <v>5339</v>
      </c>
      <c r="C292" s="240" t="s">
        <v>398</v>
      </c>
      <c r="D292" s="238">
        <v>0</v>
      </c>
      <c r="E292" s="239">
        <v>374824</v>
      </c>
      <c r="F292" s="238">
        <v>374824</v>
      </c>
      <c r="G292" s="237">
        <v>100</v>
      </c>
    </row>
    <row r="293" spans="1:7" x14ac:dyDescent="0.2">
      <c r="A293" s="236">
        <v>3143</v>
      </c>
      <c r="B293" s="235"/>
      <c r="C293" s="234" t="s">
        <v>451</v>
      </c>
      <c r="D293" s="232">
        <v>0</v>
      </c>
      <c r="E293" s="233">
        <v>405072.45</v>
      </c>
      <c r="F293" s="232">
        <v>405072.44299999997</v>
      </c>
      <c r="G293" s="231">
        <v>99.999998271914052</v>
      </c>
    </row>
    <row r="294" spans="1:7" x14ac:dyDescent="0.2">
      <c r="A294" s="242"/>
      <c r="B294" s="250"/>
      <c r="C294" s="240"/>
      <c r="D294" s="249"/>
      <c r="E294" s="249"/>
      <c r="F294" s="249"/>
      <c r="G294" s="237"/>
    </row>
    <row r="295" spans="1:7" x14ac:dyDescent="0.2">
      <c r="A295" s="248">
        <v>3145</v>
      </c>
      <c r="B295" s="247">
        <v>5331</v>
      </c>
      <c r="C295" s="246" t="s">
        <v>403</v>
      </c>
      <c r="D295" s="244">
        <v>200</v>
      </c>
      <c r="E295" s="245">
        <v>570</v>
      </c>
      <c r="F295" s="244">
        <v>570</v>
      </c>
      <c r="G295" s="243">
        <v>100</v>
      </c>
    </row>
    <row r="296" spans="1:7" x14ac:dyDescent="0.2">
      <c r="A296" s="242">
        <v>3145</v>
      </c>
      <c r="B296" s="241">
        <v>5336</v>
      </c>
      <c r="C296" s="240" t="s">
        <v>401</v>
      </c>
      <c r="D296" s="238">
        <v>0</v>
      </c>
      <c r="E296" s="239">
        <v>5435</v>
      </c>
      <c r="F296" s="238">
        <v>5435</v>
      </c>
      <c r="G296" s="237">
        <v>100</v>
      </c>
    </row>
    <row r="297" spans="1:7" x14ac:dyDescent="0.2">
      <c r="A297" s="236">
        <v>3145</v>
      </c>
      <c r="B297" s="235"/>
      <c r="C297" s="234" t="s">
        <v>450</v>
      </c>
      <c r="D297" s="232">
        <v>200</v>
      </c>
      <c r="E297" s="233">
        <v>6005</v>
      </c>
      <c r="F297" s="232">
        <v>6005</v>
      </c>
      <c r="G297" s="231">
        <v>100</v>
      </c>
    </row>
    <row r="298" spans="1:7" x14ac:dyDescent="0.2">
      <c r="A298" s="242"/>
      <c r="B298" s="250"/>
      <c r="C298" s="240"/>
      <c r="D298" s="249"/>
      <c r="E298" s="249"/>
      <c r="F298" s="249"/>
      <c r="G298" s="237"/>
    </row>
    <row r="299" spans="1:7" x14ac:dyDescent="0.2">
      <c r="A299" s="248">
        <v>3146</v>
      </c>
      <c r="B299" s="247">
        <v>5011</v>
      </c>
      <c r="C299" s="246" t="s">
        <v>386</v>
      </c>
      <c r="D299" s="244">
        <v>0</v>
      </c>
      <c r="E299" s="245">
        <v>8</v>
      </c>
      <c r="F299" s="244">
        <v>4.1710000000000003</v>
      </c>
      <c r="G299" s="243">
        <v>52.137500000000003</v>
      </c>
    </row>
    <row r="300" spans="1:7" x14ac:dyDescent="0.2">
      <c r="A300" s="242">
        <v>3146</v>
      </c>
      <c r="B300" s="241">
        <v>5031</v>
      </c>
      <c r="C300" s="240" t="s">
        <v>383</v>
      </c>
      <c r="D300" s="238">
        <v>0</v>
      </c>
      <c r="E300" s="239">
        <v>2</v>
      </c>
      <c r="F300" s="238">
        <v>1.042</v>
      </c>
      <c r="G300" s="237">
        <v>52.1</v>
      </c>
    </row>
    <row r="301" spans="1:7" x14ac:dyDescent="0.2">
      <c r="A301" s="242">
        <v>3146</v>
      </c>
      <c r="B301" s="241">
        <v>5032</v>
      </c>
      <c r="C301" s="240" t="s">
        <v>382</v>
      </c>
      <c r="D301" s="238">
        <v>0</v>
      </c>
      <c r="E301" s="239">
        <v>0.72</v>
      </c>
      <c r="F301" s="238">
        <v>0.37399999999999994</v>
      </c>
      <c r="G301" s="237">
        <v>51.944444444444436</v>
      </c>
    </row>
    <row r="302" spans="1:7" x14ac:dyDescent="0.2">
      <c r="A302" s="242">
        <v>3146</v>
      </c>
      <c r="B302" s="241">
        <v>5038</v>
      </c>
      <c r="C302" s="240" t="s">
        <v>381</v>
      </c>
      <c r="D302" s="238">
        <v>0</v>
      </c>
      <c r="E302" s="239">
        <v>0.04</v>
      </c>
      <c r="F302" s="238">
        <v>1.6999999999999998E-2</v>
      </c>
      <c r="G302" s="237">
        <v>42.499999999999993</v>
      </c>
    </row>
    <row r="303" spans="1:7" x14ac:dyDescent="0.2">
      <c r="A303" s="242">
        <v>3146</v>
      </c>
      <c r="B303" s="241">
        <v>5137</v>
      </c>
      <c r="C303" s="240" t="s">
        <v>345</v>
      </c>
      <c r="D303" s="238">
        <v>0</v>
      </c>
      <c r="E303" s="239">
        <v>828.99</v>
      </c>
      <c r="F303" s="238">
        <v>828.97690999999998</v>
      </c>
      <c r="G303" s="237">
        <v>99.998420970096134</v>
      </c>
    </row>
    <row r="304" spans="1:7" x14ac:dyDescent="0.2">
      <c r="A304" s="242">
        <v>3146</v>
      </c>
      <c r="B304" s="241">
        <v>5221</v>
      </c>
      <c r="C304" s="240" t="s">
        <v>399</v>
      </c>
      <c r="D304" s="238">
        <v>0</v>
      </c>
      <c r="E304" s="239">
        <v>2282.67</v>
      </c>
      <c r="F304" s="238">
        <v>2282.6680000000001</v>
      </c>
      <c r="G304" s="237">
        <v>99.999912383305528</v>
      </c>
    </row>
    <row r="305" spans="1:7" x14ac:dyDescent="0.2">
      <c r="A305" s="242">
        <v>3146</v>
      </c>
      <c r="B305" s="241">
        <v>5331</v>
      </c>
      <c r="C305" s="240" t="s">
        <v>403</v>
      </c>
      <c r="D305" s="238">
        <v>2455</v>
      </c>
      <c r="E305" s="239">
        <v>7782.85</v>
      </c>
      <c r="F305" s="238">
        <v>7782.85</v>
      </c>
      <c r="G305" s="237">
        <v>100</v>
      </c>
    </row>
    <row r="306" spans="1:7" x14ac:dyDescent="0.2">
      <c r="A306" s="242">
        <v>3146</v>
      </c>
      <c r="B306" s="241">
        <v>5336</v>
      </c>
      <c r="C306" s="240" t="s">
        <v>401</v>
      </c>
      <c r="D306" s="238">
        <v>0</v>
      </c>
      <c r="E306" s="239">
        <v>81328.92</v>
      </c>
      <c r="F306" s="238">
        <v>81328.909</v>
      </c>
      <c r="G306" s="237">
        <v>99.999986474675921</v>
      </c>
    </row>
    <row r="307" spans="1:7" x14ac:dyDescent="0.2">
      <c r="A307" s="236">
        <v>3146</v>
      </c>
      <c r="B307" s="235"/>
      <c r="C307" s="234" t="s">
        <v>307</v>
      </c>
      <c r="D307" s="232">
        <v>2455</v>
      </c>
      <c r="E307" s="233">
        <v>92234.19</v>
      </c>
      <c r="F307" s="232">
        <v>92229.00791</v>
      </c>
      <c r="G307" s="231">
        <v>99.994381595371522</v>
      </c>
    </row>
    <row r="308" spans="1:7" x14ac:dyDescent="0.2">
      <c r="A308" s="242"/>
      <c r="B308" s="250"/>
      <c r="C308" s="240"/>
      <c r="D308" s="249"/>
      <c r="E308" s="249"/>
      <c r="F308" s="249"/>
      <c r="G308" s="237"/>
    </row>
    <row r="309" spans="1:7" x14ac:dyDescent="0.2">
      <c r="A309" s="248">
        <v>3147</v>
      </c>
      <c r="B309" s="247">
        <v>5213</v>
      </c>
      <c r="C309" s="246" t="s">
        <v>411</v>
      </c>
      <c r="D309" s="244">
        <v>0</v>
      </c>
      <c r="E309" s="245">
        <v>4034.13</v>
      </c>
      <c r="F309" s="244">
        <v>4034.136</v>
      </c>
      <c r="G309" s="243">
        <v>100.00014873095313</v>
      </c>
    </row>
    <row r="310" spans="1:7" x14ac:dyDescent="0.2">
      <c r="A310" s="242">
        <v>3147</v>
      </c>
      <c r="B310" s="241">
        <v>5221</v>
      </c>
      <c r="C310" s="240" t="s">
        <v>399</v>
      </c>
      <c r="D310" s="238">
        <v>0</v>
      </c>
      <c r="E310" s="239">
        <v>667.55</v>
      </c>
      <c r="F310" s="238">
        <v>667.54899999999998</v>
      </c>
      <c r="G310" s="237">
        <v>99.99985019848701</v>
      </c>
    </row>
    <row r="311" spans="1:7" x14ac:dyDescent="0.2">
      <c r="A311" s="242">
        <v>3147</v>
      </c>
      <c r="B311" s="241">
        <v>5331</v>
      </c>
      <c r="C311" s="240" t="s">
        <v>403</v>
      </c>
      <c r="D311" s="238">
        <v>4844</v>
      </c>
      <c r="E311" s="239">
        <v>17116</v>
      </c>
      <c r="F311" s="238">
        <v>17116</v>
      </c>
      <c r="G311" s="237">
        <v>100</v>
      </c>
    </row>
    <row r="312" spans="1:7" x14ac:dyDescent="0.2">
      <c r="A312" s="242">
        <v>3147</v>
      </c>
      <c r="B312" s="241">
        <v>5336</v>
      </c>
      <c r="C312" s="240" t="s">
        <v>401</v>
      </c>
      <c r="D312" s="238">
        <v>0</v>
      </c>
      <c r="E312" s="239">
        <v>50248.91</v>
      </c>
      <c r="F312" s="238">
        <v>50248.907999999996</v>
      </c>
      <c r="G312" s="237">
        <v>99.999996019814148</v>
      </c>
    </row>
    <row r="313" spans="1:7" x14ac:dyDescent="0.2">
      <c r="A313" s="236">
        <v>3147</v>
      </c>
      <c r="B313" s="235"/>
      <c r="C313" s="234" t="s">
        <v>449</v>
      </c>
      <c r="D313" s="232">
        <v>4844</v>
      </c>
      <c r="E313" s="233">
        <v>72066.59</v>
      </c>
      <c r="F313" s="232">
        <v>72066.592999999993</v>
      </c>
      <c r="G313" s="231">
        <v>100.00000416281662</v>
      </c>
    </row>
    <row r="314" spans="1:7" x14ac:dyDescent="0.2">
      <c r="A314" s="242"/>
      <c r="B314" s="250"/>
      <c r="C314" s="240"/>
      <c r="D314" s="249"/>
      <c r="E314" s="249"/>
      <c r="F314" s="249"/>
      <c r="G314" s="237"/>
    </row>
    <row r="315" spans="1:7" x14ac:dyDescent="0.2">
      <c r="A315" s="248">
        <v>3149</v>
      </c>
      <c r="B315" s="247">
        <v>5331</v>
      </c>
      <c r="C315" s="246" t="s">
        <v>403</v>
      </c>
      <c r="D315" s="244">
        <v>1969</v>
      </c>
      <c r="E315" s="245">
        <v>4461</v>
      </c>
      <c r="F315" s="244">
        <v>4461</v>
      </c>
      <c r="G315" s="243">
        <v>100</v>
      </c>
    </row>
    <row r="316" spans="1:7" x14ac:dyDescent="0.2">
      <c r="A316" s="236">
        <v>3149</v>
      </c>
      <c r="B316" s="235"/>
      <c r="C316" s="234" t="s">
        <v>448</v>
      </c>
      <c r="D316" s="232">
        <v>1969</v>
      </c>
      <c r="E316" s="233">
        <v>4461</v>
      </c>
      <c r="F316" s="232">
        <v>4461</v>
      </c>
      <c r="G316" s="231">
        <v>100</v>
      </c>
    </row>
    <row r="317" spans="1:7" x14ac:dyDescent="0.2">
      <c r="A317" s="242"/>
      <c r="B317" s="250"/>
      <c r="C317" s="240"/>
      <c r="D317" s="249"/>
      <c r="E317" s="249"/>
      <c r="F317" s="249"/>
      <c r="G317" s="237"/>
    </row>
    <row r="318" spans="1:7" x14ac:dyDescent="0.2">
      <c r="A318" s="248">
        <v>3150</v>
      </c>
      <c r="B318" s="247">
        <v>5213</v>
      </c>
      <c r="C318" s="246" t="s">
        <v>411</v>
      </c>
      <c r="D318" s="244">
        <v>0</v>
      </c>
      <c r="E318" s="245">
        <v>24820.559999999998</v>
      </c>
      <c r="F318" s="244">
        <v>24802.042680000002</v>
      </c>
      <c r="G318" s="243">
        <v>99.92539523685204</v>
      </c>
    </row>
    <row r="319" spans="1:7" x14ac:dyDescent="0.2">
      <c r="A319" s="242">
        <v>3150</v>
      </c>
      <c r="B319" s="241">
        <v>5221</v>
      </c>
      <c r="C319" s="240" t="s">
        <v>399</v>
      </c>
      <c r="D319" s="238">
        <v>0</v>
      </c>
      <c r="E319" s="239">
        <v>9193.51</v>
      </c>
      <c r="F319" s="238">
        <v>9193.5010000000002</v>
      </c>
      <c r="G319" s="237">
        <v>99.999902104854399</v>
      </c>
    </row>
    <row r="320" spans="1:7" x14ac:dyDescent="0.2">
      <c r="A320" s="242">
        <v>3150</v>
      </c>
      <c r="B320" s="241">
        <v>5331</v>
      </c>
      <c r="C320" s="240" t="s">
        <v>403</v>
      </c>
      <c r="D320" s="238">
        <v>1700</v>
      </c>
      <c r="E320" s="239">
        <v>4924</v>
      </c>
      <c r="F320" s="238">
        <v>4924</v>
      </c>
      <c r="G320" s="237">
        <v>100</v>
      </c>
    </row>
    <row r="321" spans="1:7" x14ac:dyDescent="0.2">
      <c r="A321" s="242">
        <v>3150</v>
      </c>
      <c r="B321" s="241">
        <v>5336</v>
      </c>
      <c r="C321" s="240" t="s">
        <v>401</v>
      </c>
      <c r="D321" s="238">
        <v>0</v>
      </c>
      <c r="E321" s="239">
        <v>47463</v>
      </c>
      <c r="F321" s="238">
        <v>47463</v>
      </c>
      <c r="G321" s="237">
        <v>100</v>
      </c>
    </row>
    <row r="322" spans="1:7" x14ac:dyDescent="0.2">
      <c r="A322" s="236">
        <v>3150</v>
      </c>
      <c r="B322" s="235"/>
      <c r="C322" s="234" t="s">
        <v>447</v>
      </c>
      <c r="D322" s="232">
        <v>1700</v>
      </c>
      <c r="E322" s="233">
        <v>86401.07</v>
      </c>
      <c r="F322" s="232">
        <v>86382.543680000002</v>
      </c>
      <c r="G322" s="231">
        <v>99.978557765546185</v>
      </c>
    </row>
    <row r="323" spans="1:7" x14ac:dyDescent="0.2">
      <c r="A323" s="242"/>
      <c r="B323" s="250"/>
      <c r="C323" s="240"/>
      <c r="D323" s="249"/>
      <c r="E323" s="249"/>
      <c r="F323" s="249"/>
      <c r="G323" s="237"/>
    </row>
    <row r="324" spans="1:7" x14ac:dyDescent="0.2">
      <c r="A324" s="248">
        <v>3231</v>
      </c>
      <c r="B324" s="247">
        <v>5011</v>
      </c>
      <c r="C324" s="246" t="s">
        <v>386</v>
      </c>
      <c r="D324" s="244">
        <v>0</v>
      </c>
      <c r="E324" s="245">
        <v>37.47</v>
      </c>
      <c r="F324" s="244">
        <v>37.44</v>
      </c>
      <c r="G324" s="243">
        <v>99.919935948759004</v>
      </c>
    </row>
    <row r="325" spans="1:7" x14ac:dyDescent="0.2">
      <c r="A325" s="242">
        <v>3231</v>
      </c>
      <c r="B325" s="241">
        <v>5031</v>
      </c>
      <c r="C325" s="240" t="s">
        <v>383</v>
      </c>
      <c r="D325" s="238">
        <v>0</v>
      </c>
      <c r="E325" s="239">
        <v>9.379999999999999</v>
      </c>
      <c r="F325" s="238">
        <v>9.3559999999999999</v>
      </c>
      <c r="G325" s="237">
        <v>99.744136460554373</v>
      </c>
    </row>
    <row r="326" spans="1:7" x14ac:dyDescent="0.2">
      <c r="A326" s="242">
        <v>3231</v>
      </c>
      <c r="B326" s="241">
        <v>5032</v>
      </c>
      <c r="C326" s="240" t="s">
        <v>382</v>
      </c>
      <c r="D326" s="238">
        <v>0</v>
      </c>
      <c r="E326" s="239">
        <v>3.38</v>
      </c>
      <c r="F326" s="238">
        <v>3.3639999999999999</v>
      </c>
      <c r="G326" s="237">
        <v>99.526627218934919</v>
      </c>
    </row>
    <row r="327" spans="1:7" x14ac:dyDescent="0.2">
      <c r="A327" s="242">
        <v>3231</v>
      </c>
      <c r="B327" s="241">
        <v>5038</v>
      </c>
      <c r="C327" s="240" t="s">
        <v>381</v>
      </c>
      <c r="D327" s="238">
        <v>0</v>
      </c>
      <c r="E327" s="239">
        <v>0.17</v>
      </c>
      <c r="F327" s="238">
        <v>0.15</v>
      </c>
      <c r="G327" s="237">
        <v>88.235294117647044</v>
      </c>
    </row>
    <row r="328" spans="1:7" x14ac:dyDescent="0.2">
      <c r="A328" s="242">
        <v>3231</v>
      </c>
      <c r="B328" s="241">
        <v>5137</v>
      </c>
      <c r="C328" s="240" t="s">
        <v>345</v>
      </c>
      <c r="D328" s="238">
        <v>2840</v>
      </c>
      <c r="E328" s="239">
        <v>3267</v>
      </c>
      <c r="F328" s="238">
        <v>2657.0745899999997</v>
      </c>
      <c r="G328" s="237">
        <v>81.330719008264452</v>
      </c>
    </row>
    <row r="329" spans="1:7" x14ac:dyDescent="0.2">
      <c r="A329" s="242">
        <v>3231</v>
      </c>
      <c r="B329" s="241">
        <v>5172</v>
      </c>
      <c r="C329" s="240" t="s">
        <v>362</v>
      </c>
      <c r="D329" s="238">
        <v>0</v>
      </c>
      <c r="E329" s="239">
        <v>113</v>
      </c>
      <c r="F329" s="238">
        <v>63.16</v>
      </c>
      <c r="G329" s="237">
        <v>55.89380530973451</v>
      </c>
    </row>
    <row r="330" spans="1:7" x14ac:dyDescent="0.2">
      <c r="A330" s="242">
        <v>3231</v>
      </c>
      <c r="B330" s="241">
        <v>5213</v>
      </c>
      <c r="C330" s="240" t="s">
        <v>411</v>
      </c>
      <c r="D330" s="238">
        <v>0</v>
      </c>
      <c r="E330" s="239">
        <v>21250.260000000002</v>
      </c>
      <c r="F330" s="238">
        <v>21250.262999999999</v>
      </c>
      <c r="G330" s="237">
        <v>100.00001411747432</v>
      </c>
    </row>
    <row r="331" spans="1:7" x14ac:dyDescent="0.2">
      <c r="A331" s="242">
        <v>3231</v>
      </c>
      <c r="B331" s="241">
        <v>5221</v>
      </c>
      <c r="C331" s="240" t="s">
        <v>399</v>
      </c>
      <c r="D331" s="238">
        <v>0</v>
      </c>
      <c r="E331" s="239">
        <v>10634.679999999998</v>
      </c>
      <c r="F331" s="238">
        <v>10634.682000000001</v>
      </c>
      <c r="G331" s="237">
        <v>100.0000188063957</v>
      </c>
    </row>
    <row r="332" spans="1:7" x14ac:dyDescent="0.2">
      <c r="A332" s="242">
        <v>3231</v>
      </c>
      <c r="B332" s="241">
        <v>5331</v>
      </c>
      <c r="C332" s="240" t="s">
        <v>403</v>
      </c>
      <c r="D332" s="238">
        <v>0</v>
      </c>
      <c r="E332" s="239">
        <v>1249.3599999999999</v>
      </c>
      <c r="F332" s="238">
        <v>1230.0909999999999</v>
      </c>
      <c r="G332" s="237">
        <v>98.457690337452775</v>
      </c>
    </row>
    <row r="333" spans="1:7" x14ac:dyDescent="0.2">
      <c r="A333" s="242">
        <v>3231</v>
      </c>
      <c r="B333" s="241">
        <v>5336</v>
      </c>
      <c r="C333" s="240" t="s">
        <v>401</v>
      </c>
      <c r="D333" s="238">
        <v>0</v>
      </c>
      <c r="E333" s="239">
        <v>380050.2</v>
      </c>
      <c r="F333" s="238">
        <v>380050.19599999994</v>
      </c>
      <c r="G333" s="237">
        <v>99.999998947507436</v>
      </c>
    </row>
    <row r="334" spans="1:7" x14ac:dyDescent="0.2">
      <c r="A334" s="242">
        <v>3231</v>
      </c>
      <c r="B334" s="241">
        <v>5339</v>
      </c>
      <c r="C334" s="240" t="s">
        <v>398</v>
      </c>
      <c r="D334" s="238">
        <v>0</v>
      </c>
      <c r="E334" s="239">
        <v>56582.82</v>
      </c>
      <c r="F334" s="238">
        <v>56582.832000000009</v>
      </c>
      <c r="G334" s="237">
        <v>100.00002120785074</v>
      </c>
    </row>
    <row r="335" spans="1:7" x14ac:dyDescent="0.2">
      <c r="A335" s="236">
        <v>3231</v>
      </c>
      <c r="B335" s="235"/>
      <c r="C335" s="234" t="s">
        <v>217</v>
      </c>
      <c r="D335" s="232">
        <v>2840</v>
      </c>
      <c r="E335" s="233">
        <v>473197.72000000003</v>
      </c>
      <c r="F335" s="232">
        <v>472518.6085899999</v>
      </c>
      <c r="G335" s="231">
        <v>99.856484640289437</v>
      </c>
    </row>
    <row r="336" spans="1:7" x14ac:dyDescent="0.2">
      <c r="A336" s="242"/>
      <c r="B336" s="250"/>
      <c r="C336" s="240"/>
      <c r="D336" s="249"/>
      <c r="E336" s="249"/>
      <c r="F336" s="249"/>
      <c r="G336" s="237"/>
    </row>
    <row r="337" spans="1:7" x14ac:dyDescent="0.2">
      <c r="A337" s="248">
        <v>3233</v>
      </c>
      <c r="B337" s="247">
        <v>5331</v>
      </c>
      <c r="C337" s="246" t="s">
        <v>403</v>
      </c>
      <c r="D337" s="244">
        <v>0</v>
      </c>
      <c r="E337" s="245">
        <v>2769</v>
      </c>
      <c r="F337" s="244">
        <v>2769</v>
      </c>
      <c r="G337" s="243">
        <v>100</v>
      </c>
    </row>
    <row r="338" spans="1:7" x14ac:dyDescent="0.2">
      <c r="A338" s="242">
        <v>3233</v>
      </c>
      <c r="B338" s="241">
        <v>5336</v>
      </c>
      <c r="C338" s="240" t="s">
        <v>401</v>
      </c>
      <c r="D338" s="238">
        <v>0</v>
      </c>
      <c r="E338" s="239">
        <v>11156.82</v>
      </c>
      <c r="F338" s="238">
        <v>11156.817999999999</v>
      </c>
      <c r="G338" s="237">
        <v>99.999982073745016</v>
      </c>
    </row>
    <row r="339" spans="1:7" x14ac:dyDescent="0.2">
      <c r="A339" s="242">
        <v>3233</v>
      </c>
      <c r="B339" s="241">
        <v>5339</v>
      </c>
      <c r="C339" s="240" t="s">
        <v>398</v>
      </c>
      <c r="D339" s="238">
        <v>0</v>
      </c>
      <c r="E339" s="239">
        <v>101720.4</v>
      </c>
      <c r="F339" s="238">
        <v>101720.361</v>
      </c>
      <c r="G339" s="237">
        <v>99.999961659608118</v>
      </c>
    </row>
    <row r="340" spans="1:7" x14ac:dyDescent="0.2">
      <c r="A340" s="236">
        <v>3233</v>
      </c>
      <c r="B340" s="235"/>
      <c r="C340" s="259" t="s">
        <v>446</v>
      </c>
      <c r="D340" s="232">
        <v>0</v>
      </c>
      <c r="E340" s="233">
        <v>115646.22</v>
      </c>
      <c r="F340" s="232">
        <v>115646.179</v>
      </c>
      <c r="G340" s="231">
        <v>99.999964547047028</v>
      </c>
    </row>
    <row r="341" spans="1:7" x14ac:dyDescent="0.2">
      <c r="A341" s="242"/>
      <c r="B341" s="250"/>
      <c r="C341" s="240"/>
      <c r="D341" s="249"/>
      <c r="E341" s="249"/>
      <c r="F341" s="249"/>
      <c r="G341" s="237"/>
    </row>
    <row r="342" spans="1:7" x14ac:dyDescent="0.2">
      <c r="A342" s="248">
        <v>3291</v>
      </c>
      <c r="B342" s="247">
        <v>5493</v>
      </c>
      <c r="C342" s="246" t="s">
        <v>429</v>
      </c>
      <c r="D342" s="244">
        <v>90</v>
      </c>
      <c r="E342" s="245">
        <v>200</v>
      </c>
      <c r="F342" s="244">
        <v>200</v>
      </c>
      <c r="G342" s="243">
        <v>100</v>
      </c>
    </row>
    <row r="343" spans="1:7" x14ac:dyDescent="0.2">
      <c r="A343" s="236">
        <v>3291</v>
      </c>
      <c r="B343" s="235"/>
      <c r="C343" s="234" t="s">
        <v>445</v>
      </c>
      <c r="D343" s="232">
        <v>90</v>
      </c>
      <c r="E343" s="233">
        <v>200</v>
      </c>
      <c r="F343" s="232">
        <v>200</v>
      </c>
      <c r="G343" s="231">
        <v>100</v>
      </c>
    </row>
    <row r="344" spans="1:7" x14ac:dyDescent="0.2">
      <c r="A344" s="242"/>
      <c r="B344" s="250"/>
      <c r="C344" s="240"/>
      <c r="D344" s="249"/>
      <c r="E344" s="249"/>
      <c r="F344" s="249"/>
      <c r="G344" s="237"/>
    </row>
    <row r="345" spans="1:7" x14ac:dyDescent="0.2">
      <c r="A345" s="248">
        <v>3299</v>
      </c>
      <c r="B345" s="247">
        <v>5011</v>
      </c>
      <c r="C345" s="246" t="s">
        <v>386</v>
      </c>
      <c r="D345" s="244">
        <v>0</v>
      </c>
      <c r="E345" s="245">
        <v>7392.17</v>
      </c>
      <c r="F345" s="244">
        <v>5820.5493299999998</v>
      </c>
      <c r="G345" s="243">
        <v>78.73938681063882</v>
      </c>
    </row>
    <row r="346" spans="1:7" x14ac:dyDescent="0.2">
      <c r="A346" s="242">
        <v>3299</v>
      </c>
      <c r="B346" s="241">
        <v>5021</v>
      </c>
      <c r="C346" s="240" t="s">
        <v>385</v>
      </c>
      <c r="D346" s="238">
        <v>0</v>
      </c>
      <c r="E346" s="239">
        <v>1430.54</v>
      </c>
      <c r="F346" s="238">
        <v>940.83100000000002</v>
      </c>
      <c r="G346" s="237">
        <v>65.767542326673848</v>
      </c>
    </row>
    <row r="347" spans="1:7" x14ac:dyDescent="0.2">
      <c r="A347" s="242">
        <v>3299</v>
      </c>
      <c r="B347" s="241">
        <v>5031</v>
      </c>
      <c r="C347" s="240" t="s">
        <v>383</v>
      </c>
      <c r="D347" s="238">
        <v>0</v>
      </c>
      <c r="E347" s="239">
        <v>2117.1400000000003</v>
      </c>
      <c r="F347" s="238">
        <v>1678.1934199999998</v>
      </c>
      <c r="G347" s="237">
        <v>79.267002654524475</v>
      </c>
    </row>
    <row r="348" spans="1:7" x14ac:dyDescent="0.2">
      <c r="A348" s="242">
        <v>3299</v>
      </c>
      <c r="B348" s="241">
        <v>5032</v>
      </c>
      <c r="C348" s="240" t="s">
        <v>382</v>
      </c>
      <c r="D348" s="238">
        <v>0</v>
      </c>
      <c r="E348" s="239">
        <v>770.66</v>
      </c>
      <c r="F348" s="238">
        <v>604.10501000000011</v>
      </c>
      <c r="G348" s="237">
        <v>78.388006384138293</v>
      </c>
    </row>
    <row r="349" spans="1:7" x14ac:dyDescent="0.2">
      <c r="A349" s="242">
        <v>3299</v>
      </c>
      <c r="B349" s="241">
        <v>5038</v>
      </c>
      <c r="C349" s="240" t="s">
        <v>381</v>
      </c>
      <c r="D349" s="238">
        <v>0</v>
      </c>
      <c r="E349" s="239">
        <v>39.08</v>
      </c>
      <c r="F349" s="238">
        <v>28.135059999999999</v>
      </c>
      <c r="G349" s="237">
        <v>71.993500511770719</v>
      </c>
    </row>
    <row r="350" spans="1:7" x14ac:dyDescent="0.2">
      <c r="A350" s="242">
        <v>3299</v>
      </c>
      <c r="B350" s="241">
        <v>5137</v>
      </c>
      <c r="C350" s="240" t="s">
        <v>345</v>
      </c>
      <c r="D350" s="238">
        <v>20</v>
      </c>
      <c r="E350" s="239">
        <v>6961.2699999999995</v>
      </c>
      <c r="F350" s="238">
        <v>6940.7306400000007</v>
      </c>
      <c r="G350" s="237">
        <v>99.704948091368408</v>
      </c>
    </row>
    <row r="351" spans="1:7" x14ac:dyDescent="0.2">
      <c r="A351" s="242">
        <v>3299</v>
      </c>
      <c r="B351" s="241">
        <v>5139</v>
      </c>
      <c r="C351" s="240" t="s">
        <v>344</v>
      </c>
      <c r="D351" s="238">
        <v>60</v>
      </c>
      <c r="E351" s="239">
        <v>2593.2399999999998</v>
      </c>
      <c r="F351" s="238">
        <v>2503.7828599999998</v>
      </c>
      <c r="G351" s="237">
        <v>96.550371735743695</v>
      </c>
    </row>
    <row r="352" spans="1:7" x14ac:dyDescent="0.2">
      <c r="A352" s="242">
        <v>3299</v>
      </c>
      <c r="B352" s="241">
        <v>5162</v>
      </c>
      <c r="C352" s="240" t="s">
        <v>366</v>
      </c>
      <c r="D352" s="238">
        <v>0</v>
      </c>
      <c r="E352" s="239">
        <v>12.129999999999999</v>
      </c>
      <c r="F352" s="238">
        <v>12.032</v>
      </c>
      <c r="G352" s="237">
        <v>99.192085737840074</v>
      </c>
    </row>
    <row r="353" spans="1:7" x14ac:dyDescent="0.2">
      <c r="A353" s="242">
        <v>3299</v>
      </c>
      <c r="B353" s="241">
        <v>5163</v>
      </c>
      <c r="C353" s="240" t="s">
        <v>336</v>
      </c>
      <c r="D353" s="238">
        <v>0</v>
      </c>
      <c r="E353" s="239">
        <v>1.59</v>
      </c>
      <c r="F353" s="238">
        <v>0.58320000000000005</v>
      </c>
      <c r="G353" s="237">
        <v>36.679245283018872</v>
      </c>
    </row>
    <row r="354" spans="1:7" x14ac:dyDescent="0.2">
      <c r="A354" s="242">
        <v>3299</v>
      </c>
      <c r="B354" s="241">
        <v>5164</v>
      </c>
      <c r="C354" s="240" t="s">
        <v>343</v>
      </c>
      <c r="D354" s="238">
        <v>0</v>
      </c>
      <c r="E354" s="239">
        <v>1102.1000000000001</v>
      </c>
      <c r="F354" s="238">
        <v>1038.335</v>
      </c>
      <c r="G354" s="237">
        <v>94.214227384084921</v>
      </c>
    </row>
    <row r="355" spans="1:7" x14ac:dyDescent="0.2">
      <c r="A355" s="242">
        <v>3299</v>
      </c>
      <c r="B355" s="241">
        <v>5166</v>
      </c>
      <c r="C355" s="240" t="s">
        <v>342</v>
      </c>
      <c r="D355" s="238">
        <v>0</v>
      </c>
      <c r="E355" s="239">
        <v>250</v>
      </c>
      <c r="F355" s="238">
        <v>133.1</v>
      </c>
      <c r="G355" s="237">
        <v>53.239999999999995</v>
      </c>
    </row>
    <row r="356" spans="1:7" x14ac:dyDescent="0.2">
      <c r="A356" s="242">
        <v>3299</v>
      </c>
      <c r="B356" s="241">
        <v>5167</v>
      </c>
      <c r="C356" s="240" t="s">
        <v>365</v>
      </c>
      <c r="D356" s="238">
        <v>0</v>
      </c>
      <c r="E356" s="239">
        <v>1210.3599999999999</v>
      </c>
      <c r="F356" s="238">
        <v>900.79340999999999</v>
      </c>
      <c r="G356" s="237">
        <v>74.423593806801293</v>
      </c>
    </row>
    <row r="357" spans="1:7" x14ac:dyDescent="0.2">
      <c r="A357" s="242">
        <v>3299</v>
      </c>
      <c r="B357" s="241">
        <v>5168</v>
      </c>
      <c r="C357" s="240" t="s">
        <v>364</v>
      </c>
      <c r="D357" s="238">
        <v>197</v>
      </c>
      <c r="E357" s="239">
        <v>197</v>
      </c>
      <c r="F357" s="238">
        <v>197</v>
      </c>
      <c r="G357" s="237">
        <v>100</v>
      </c>
    </row>
    <row r="358" spans="1:7" x14ac:dyDescent="0.2">
      <c r="A358" s="242">
        <v>3299</v>
      </c>
      <c r="B358" s="241">
        <v>5169</v>
      </c>
      <c r="C358" s="240" t="s">
        <v>341</v>
      </c>
      <c r="D358" s="238">
        <v>7415</v>
      </c>
      <c r="E358" s="239">
        <v>22615.579999999998</v>
      </c>
      <c r="F358" s="238">
        <v>14099.551009999997</v>
      </c>
      <c r="G358" s="237">
        <v>62.344414823763081</v>
      </c>
    </row>
    <row r="359" spans="1:7" x14ac:dyDescent="0.2">
      <c r="A359" s="242">
        <v>3299</v>
      </c>
      <c r="B359" s="241">
        <v>5172</v>
      </c>
      <c r="C359" s="240" t="s">
        <v>362</v>
      </c>
      <c r="D359" s="238">
        <v>0</v>
      </c>
      <c r="E359" s="239">
        <v>183.21</v>
      </c>
      <c r="F359" s="238">
        <v>182.71605</v>
      </c>
      <c r="G359" s="237">
        <v>99.730391354183709</v>
      </c>
    </row>
    <row r="360" spans="1:7" x14ac:dyDescent="0.2">
      <c r="A360" s="242">
        <v>3299</v>
      </c>
      <c r="B360" s="241">
        <v>5173</v>
      </c>
      <c r="C360" s="240" t="s">
        <v>361</v>
      </c>
      <c r="D360" s="238">
        <v>169</v>
      </c>
      <c r="E360" s="239">
        <v>627.96</v>
      </c>
      <c r="F360" s="238">
        <v>185.74553999999998</v>
      </c>
      <c r="G360" s="237">
        <v>29.579199312058087</v>
      </c>
    </row>
    <row r="361" spans="1:7" x14ac:dyDescent="0.2">
      <c r="A361" s="242">
        <v>3299</v>
      </c>
      <c r="B361" s="241">
        <v>5175</v>
      </c>
      <c r="C361" s="240" t="s">
        <v>340</v>
      </c>
      <c r="D361" s="238">
        <v>87</v>
      </c>
      <c r="E361" s="239">
        <v>2644.8499999999995</v>
      </c>
      <c r="F361" s="238">
        <v>2216.4901</v>
      </c>
      <c r="G361" s="237">
        <v>83.804000226855976</v>
      </c>
    </row>
    <row r="362" spans="1:7" x14ac:dyDescent="0.2">
      <c r="A362" s="242">
        <v>3299</v>
      </c>
      <c r="B362" s="241">
        <v>5194</v>
      </c>
      <c r="C362" s="240" t="s">
        <v>355</v>
      </c>
      <c r="D362" s="238">
        <v>110</v>
      </c>
      <c r="E362" s="239">
        <v>110</v>
      </c>
      <c r="F362" s="238">
        <v>110</v>
      </c>
      <c r="G362" s="237">
        <v>100</v>
      </c>
    </row>
    <row r="363" spans="1:7" x14ac:dyDescent="0.2">
      <c r="A363" s="242">
        <v>3299</v>
      </c>
      <c r="B363" s="241">
        <v>5213</v>
      </c>
      <c r="C363" s="240" t="s">
        <v>411</v>
      </c>
      <c r="D363" s="238">
        <v>0</v>
      </c>
      <c r="E363" s="239">
        <v>40634.109999999993</v>
      </c>
      <c r="F363" s="238">
        <v>26814.526750000008</v>
      </c>
      <c r="G363" s="237">
        <v>65.990190876581309</v>
      </c>
    </row>
    <row r="364" spans="1:7" x14ac:dyDescent="0.2">
      <c r="A364" s="242">
        <v>3299</v>
      </c>
      <c r="B364" s="241">
        <v>5221</v>
      </c>
      <c r="C364" s="240" t="s">
        <v>399</v>
      </c>
      <c r="D364" s="238">
        <v>0</v>
      </c>
      <c r="E364" s="239">
        <v>4936</v>
      </c>
      <c r="F364" s="238">
        <v>1523.80944</v>
      </c>
      <c r="G364" s="237">
        <v>30.871341977309562</v>
      </c>
    </row>
    <row r="365" spans="1:7" x14ac:dyDescent="0.2">
      <c r="A365" s="242">
        <v>3299</v>
      </c>
      <c r="B365" s="241">
        <v>5222</v>
      </c>
      <c r="C365" s="240" t="s">
        <v>354</v>
      </c>
      <c r="D365" s="238">
        <v>250</v>
      </c>
      <c r="E365" s="239">
        <v>12180.919999999998</v>
      </c>
      <c r="F365" s="238">
        <v>8932.0677200000009</v>
      </c>
      <c r="G365" s="237">
        <v>73.32835056793742</v>
      </c>
    </row>
    <row r="366" spans="1:7" x14ac:dyDescent="0.2">
      <c r="A366" s="242">
        <v>3299</v>
      </c>
      <c r="B366" s="241">
        <v>5223</v>
      </c>
      <c r="C366" s="240" t="s">
        <v>400</v>
      </c>
      <c r="D366" s="238">
        <v>0</v>
      </c>
      <c r="E366" s="239">
        <v>1691.9499999999998</v>
      </c>
      <c r="F366" s="238">
        <v>1375.6773600000001</v>
      </c>
      <c r="G366" s="237">
        <v>81.307211206004922</v>
      </c>
    </row>
    <row r="367" spans="1:7" x14ac:dyDescent="0.2">
      <c r="A367" s="242">
        <v>3299</v>
      </c>
      <c r="B367" s="241">
        <v>5229</v>
      </c>
      <c r="C367" s="240" t="s">
        <v>390</v>
      </c>
      <c r="D367" s="238">
        <v>500</v>
      </c>
      <c r="E367" s="239">
        <v>4536.5400000000018</v>
      </c>
      <c r="F367" s="238">
        <v>3377.4738699999994</v>
      </c>
      <c r="G367" s="237">
        <v>74.45043733770666</v>
      </c>
    </row>
    <row r="368" spans="1:7" x14ac:dyDescent="0.2">
      <c r="A368" s="242">
        <v>3299</v>
      </c>
      <c r="B368" s="241">
        <v>5321</v>
      </c>
      <c r="C368" s="240" t="s">
        <v>353</v>
      </c>
      <c r="D368" s="238">
        <v>418</v>
      </c>
      <c r="E368" s="239">
        <v>19212.050000000003</v>
      </c>
      <c r="F368" s="238">
        <v>10497.50143</v>
      </c>
      <c r="G368" s="237">
        <v>54.640194201035285</v>
      </c>
    </row>
    <row r="369" spans="1:7" x14ac:dyDescent="0.2">
      <c r="A369" s="242">
        <v>3299</v>
      </c>
      <c r="B369" s="241">
        <v>5331</v>
      </c>
      <c r="C369" s="240" t="s">
        <v>403</v>
      </c>
      <c r="D369" s="238">
        <v>427117</v>
      </c>
      <c r="E369" s="239">
        <v>1952.8</v>
      </c>
      <c r="F369" s="238">
        <v>1918.1384699999999</v>
      </c>
      <c r="G369" s="237">
        <v>98.22503430970913</v>
      </c>
    </row>
    <row r="370" spans="1:7" x14ac:dyDescent="0.2">
      <c r="A370" s="242">
        <v>3299</v>
      </c>
      <c r="B370" s="241">
        <v>5332</v>
      </c>
      <c r="C370" s="240" t="s">
        <v>432</v>
      </c>
      <c r="D370" s="238">
        <v>0</v>
      </c>
      <c r="E370" s="239">
        <v>13116.61</v>
      </c>
      <c r="F370" s="238">
        <v>6922.24208</v>
      </c>
      <c r="G370" s="237">
        <v>52.774627590513091</v>
      </c>
    </row>
    <row r="371" spans="1:7" x14ac:dyDescent="0.2">
      <c r="A371" s="242">
        <v>3299</v>
      </c>
      <c r="B371" s="241">
        <v>5336</v>
      </c>
      <c r="C371" s="240" t="s">
        <v>401</v>
      </c>
      <c r="D371" s="238">
        <v>0</v>
      </c>
      <c r="E371" s="239">
        <v>73297.37</v>
      </c>
      <c r="F371" s="238">
        <v>54131.510880000002</v>
      </c>
      <c r="G371" s="237">
        <v>73.851914304701523</v>
      </c>
    </row>
    <row r="372" spans="1:7" x14ac:dyDescent="0.2">
      <c r="A372" s="242">
        <v>3299</v>
      </c>
      <c r="B372" s="241">
        <v>5339</v>
      </c>
      <c r="C372" s="240" t="s">
        <v>398</v>
      </c>
      <c r="D372" s="238">
        <v>0</v>
      </c>
      <c r="E372" s="239">
        <v>1229</v>
      </c>
      <c r="F372" s="238">
        <v>1052.68418</v>
      </c>
      <c r="G372" s="237">
        <v>85.653716842961757</v>
      </c>
    </row>
    <row r="373" spans="1:7" x14ac:dyDescent="0.2">
      <c r="A373" s="242">
        <v>3299</v>
      </c>
      <c r="B373" s="241">
        <v>5362</v>
      </c>
      <c r="C373" s="240" t="s">
        <v>335</v>
      </c>
      <c r="D373" s="238">
        <v>0</v>
      </c>
      <c r="E373" s="239">
        <v>11</v>
      </c>
      <c r="F373" s="238">
        <v>6</v>
      </c>
      <c r="G373" s="237">
        <v>54.54545454545454</v>
      </c>
    </row>
    <row r="374" spans="1:7" x14ac:dyDescent="0.2">
      <c r="A374" s="242">
        <v>3299</v>
      </c>
      <c r="B374" s="241">
        <v>5363</v>
      </c>
      <c r="C374" s="240" t="s">
        <v>351</v>
      </c>
      <c r="D374" s="238">
        <v>0</v>
      </c>
      <c r="E374" s="239">
        <v>1008.78</v>
      </c>
      <c r="F374" s="238">
        <v>122.511</v>
      </c>
      <c r="G374" s="237">
        <v>12.144471539879854</v>
      </c>
    </row>
    <row r="375" spans="1:7" x14ac:dyDescent="0.2">
      <c r="A375" s="242">
        <v>3299</v>
      </c>
      <c r="B375" s="241">
        <v>5424</v>
      </c>
      <c r="C375" s="240" t="s">
        <v>350</v>
      </c>
      <c r="D375" s="238">
        <v>0</v>
      </c>
      <c r="E375" s="239">
        <v>100</v>
      </c>
      <c r="F375" s="238">
        <v>26.052000000000003</v>
      </c>
      <c r="G375" s="237">
        <v>26.052000000000003</v>
      </c>
    </row>
    <row r="376" spans="1:7" x14ac:dyDescent="0.2">
      <c r="A376" s="242">
        <v>3299</v>
      </c>
      <c r="B376" s="241">
        <v>5492</v>
      </c>
      <c r="C376" s="240" t="s">
        <v>388</v>
      </c>
      <c r="D376" s="238">
        <v>250</v>
      </c>
      <c r="E376" s="239">
        <v>250</v>
      </c>
      <c r="F376" s="238">
        <v>250</v>
      </c>
      <c r="G376" s="237">
        <v>100</v>
      </c>
    </row>
    <row r="377" spans="1:7" x14ac:dyDescent="0.2">
      <c r="A377" s="242">
        <v>3299</v>
      </c>
      <c r="B377" s="241">
        <v>5651</v>
      </c>
      <c r="C377" s="240" t="s">
        <v>412</v>
      </c>
      <c r="D377" s="238">
        <v>0</v>
      </c>
      <c r="E377" s="239">
        <v>848</v>
      </c>
      <c r="F377" s="238">
        <v>848</v>
      </c>
      <c r="G377" s="237">
        <v>100</v>
      </c>
    </row>
    <row r="378" spans="1:7" x14ac:dyDescent="0.2">
      <c r="A378" s="242">
        <v>3299</v>
      </c>
      <c r="B378" s="241">
        <v>5909</v>
      </c>
      <c r="C378" s="240" t="s">
        <v>329</v>
      </c>
      <c r="D378" s="238">
        <v>0</v>
      </c>
      <c r="E378" s="239">
        <v>114.52000000000001</v>
      </c>
      <c r="F378" s="238">
        <v>114.45900000000002</v>
      </c>
      <c r="G378" s="237">
        <v>99.946734194900458</v>
      </c>
    </row>
    <row r="379" spans="1:7" x14ac:dyDescent="0.2">
      <c r="A379" s="236">
        <v>3299</v>
      </c>
      <c r="B379" s="235"/>
      <c r="C379" s="234" t="s">
        <v>214</v>
      </c>
      <c r="D379" s="232">
        <v>436593</v>
      </c>
      <c r="E379" s="233">
        <v>225378.52999999997</v>
      </c>
      <c r="F379" s="232">
        <v>155505.32781000002</v>
      </c>
      <c r="G379" s="231">
        <v>68.997400866000874</v>
      </c>
    </row>
    <row r="380" spans="1:7" x14ac:dyDescent="0.2">
      <c r="A380" s="242"/>
      <c r="B380" s="250"/>
      <c r="C380" s="240"/>
      <c r="D380" s="249"/>
      <c r="E380" s="249"/>
      <c r="F380" s="249"/>
      <c r="G380" s="237"/>
    </row>
    <row r="381" spans="1:7" x14ac:dyDescent="0.2">
      <c r="A381" s="248">
        <v>3311</v>
      </c>
      <c r="B381" s="247">
        <v>5212</v>
      </c>
      <c r="C381" s="246" t="s">
        <v>418</v>
      </c>
      <c r="D381" s="244">
        <v>0</v>
      </c>
      <c r="E381" s="245">
        <v>30</v>
      </c>
      <c r="F381" s="244">
        <v>30</v>
      </c>
      <c r="G381" s="243">
        <v>100</v>
      </c>
    </row>
    <row r="382" spans="1:7" x14ac:dyDescent="0.2">
      <c r="A382" s="242">
        <v>3311</v>
      </c>
      <c r="B382" s="241">
        <v>5213</v>
      </c>
      <c r="C382" s="240" t="s">
        <v>411</v>
      </c>
      <c r="D382" s="238">
        <v>0</v>
      </c>
      <c r="E382" s="239">
        <v>1117</v>
      </c>
      <c r="F382" s="238">
        <v>1117</v>
      </c>
      <c r="G382" s="237">
        <v>100</v>
      </c>
    </row>
    <row r="383" spans="1:7" x14ac:dyDescent="0.2">
      <c r="A383" s="242">
        <v>3311</v>
      </c>
      <c r="B383" s="241">
        <v>5222</v>
      </c>
      <c r="C383" s="240" t="s">
        <v>354</v>
      </c>
      <c r="D383" s="238">
        <v>0</v>
      </c>
      <c r="E383" s="239">
        <v>102.5</v>
      </c>
      <c r="F383" s="238">
        <v>102.5</v>
      </c>
      <c r="G383" s="237">
        <v>100</v>
      </c>
    </row>
    <row r="384" spans="1:7" x14ac:dyDescent="0.2">
      <c r="A384" s="242">
        <v>3311</v>
      </c>
      <c r="B384" s="241">
        <v>5321</v>
      </c>
      <c r="C384" s="240" t="s">
        <v>353</v>
      </c>
      <c r="D384" s="238">
        <v>5000</v>
      </c>
      <c r="E384" s="239">
        <v>4082</v>
      </c>
      <c r="F384" s="238">
        <v>4082</v>
      </c>
      <c r="G384" s="237">
        <v>100</v>
      </c>
    </row>
    <row r="385" spans="1:7" x14ac:dyDescent="0.2">
      <c r="A385" s="242">
        <v>3311</v>
      </c>
      <c r="B385" s="241">
        <v>5331</v>
      </c>
      <c r="C385" s="240" t="s">
        <v>403</v>
      </c>
      <c r="D385" s="238">
        <v>45284</v>
      </c>
      <c r="E385" s="239">
        <v>45067</v>
      </c>
      <c r="F385" s="238">
        <v>45050</v>
      </c>
      <c r="G385" s="237">
        <v>99.962278385514907</v>
      </c>
    </row>
    <row r="386" spans="1:7" x14ac:dyDescent="0.2">
      <c r="A386" s="242">
        <v>3311</v>
      </c>
      <c r="B386" s="241">
        <v>5336</v>
      </c>
      <c r="C386" s="240" t="s">
        <v>401</v>
      </c>
      <c r="D386" s="238">
        <v>0</v>
      </c>
      <c r="E386" s="239">
        <v>2165</v>
      </c>
      <c r="F386" s="238">
        <v>2165</v>
      </c>
      <c r="G386" s="237">
        <v>100</v>
      </c>
    </row>
    <row r="387" spans="1:7" x14ac:dyDescent="0.2">
      <c r="A387" s="236">
        <v>3311</v>
      </c>
      <c r="B387" s="235"/>
      <c r="C387" s="234" t="s">
        <v>305</v>
      </c>
      <c r="D387" s="232">
        <v>50284</v>
      </c>
      <c r="E387" s="233">
        <v>52563.5</v>
      </c>
      <c r="F387" s="232">
        <v>52546.5</v>
      </c>
      <c r="G387" s="231">
        <v>99.96765816583752</v>
      </c>
    </row>
    <row r="388" spans="1:7" x14ac:dyDescent="0.2">
      <c r="A388" s="242"/>
      <c r="B388" s="250"/>
      <c r="C388" s="240"/>
      <c r="D388" s="249"/>
      <c r="E388" s="249"/>
      <c r="F388" s="249"/>
      <c r="G388" s="237"/>
    </row>
    <row r="389" spans="1:7" x14ac:dyDescent="0.2">
      <c r="A389" s="248">
        <v>3312</v>
      </c>
      <c r="B389" s="247">
        <v>5212</v>
      </c>
      <c r="C389" s="246" t="s">
        <v>418</v>
      </c>
      <c r="D389" s="244">
        <v>0</v>
      </c>
      <c r="E389" s="245">
        <v>480</v>
      </c>
      <c r="F389" s="244">
        <v>480</v>
      </c>
      <c r="G389" s="243">
        <v>100</v>
      </c>
    </row>
    <row r="390" spans="1:7" x14ac:dyDescent="0.2">
      <c r="A390" s="242">
        <v>3312</v>
      </c>
      <c r="B390" s="241">
        <v>5213</v>
      </c>
      <c r="C390" s="240" t="s">
        <v>411</v>
      </c>
      <c r="D390" s="238">
        <v>0</v>
      </c>
      <c r="E390" s="239">
        <v>1100</v>
      </c>
      <c r="F390" s="238">
        <v>1100</v>
      </c>
      <c r="G390" s="237">
        <v>100</v>
      </c>
    </row>
    <row r="391" spans="1:7" x14ac:dyDescent="0.2">
      <c r="A391" s="242">
        <v>3312</v>
      </c>
      <c r="B391" s="241">
        <v>5221</v>
      </c>
      <c r="C391" s="240" t="s">
        <v>399</v>
      </c>
      <c r="D391" s="238">
        <v>0</v>
      </c>
      <c r="E391" s="239">
        <v>1680</v>
      </c>
      <c r="F391" s="238">
        <v>1680</v>
      </c>
      <c r="G391" s="237">
        <v>100</v>
      </c>
    </row>
    <row r="392" spans="1:7" x14ac:dyDescent="0.2">
      <c r="A392" s="242">
        <v>3312</v>
      </c>
      <c r="B392" s="241">
        <v>5222</v>
      </c>
      <c r="C392" s="240" t="s">
        <v>354</v>
      </c>
      <c r="D392" s="238">
        <v>0</v>
      </c>
      <c r="E392" s="239">
        <v>4070</v>
      </c>
      <c r="F392" s="238">
        <v>3670</v>
      </c>
      <c r="G392" s="237">
        <v>90.171990171990174</v>
      </c>
    </row>
    <row r="393" spans="1:7" x14ac:dyDescent="0.2">
      <c r="A393" s="242">
        <v>3312</v>
      </c>
      <c r="B393" s="241">
        <v>5223</v>
      </c>
      <c r="C393" s="240" t="s">
        <v>400</v>
      </c>
      <c r="D393" s="238">
        <v>0</v>
      </c>
      <c r="E393" s="239">
        <v>100</v>
      </c>
      <c r="F393" s="238">
        <v>100</v>
      </c>
      <c r="G393" s="237">
        <v>100</v>
      </c>
    </row>
    <row r="394" spans="1:7" x14ac:dyDescent="0.2">
      <c r="A394" s="242">
        <v>3312</v>
      </c>
      <c r="B394" s="241">
        <v>5229</v>
      </c>
      <c r="C394" s="240" t="s">
        <v>390</v>
      </c>
      <c r="D394" s="238">
        <v>0</v>
      </c>
      <c r="E394" s="239">
        <v>50</v>
      </c>
      <c r="F394" s="238">
        <v>50</v>
      </c>
      <c r="G394" s="237">
        <v>100</v>
      </c>
    </row>
    <row r="395" spans="1:7" x14ac:dyDescent="0.2">
      <c r="A395" s="242">
        <v>3312</v>
      </c>
      <c r="B395" s="241">
        <v>5321</v>
      </c>
      <c r="C395" s="240" t="s">
        <v>353</v>
      </c>
      <c r="D395" s="238">
        <v>0</v>
      </c>
      <c r="E395" s="239">
        <v>2504.3000000000002</v>
      </c>
      <c r="F395" s="238">
        <v>1504.3</v>
      </c>
      <c r="G395" s="237">
        <v>60.068681867188431</v>
      </c>
    </row>
    <row r="396" spans="1:7" x14ac:dyDescent="0.2">
      <c r="A396" s="242">
        <v>3312</v>
      </c>
      <c r="B396" s="241">
        <v>5331</v>
      </c>
      <c r="C396" s="240" t="s">
        <v>403</v>
      </c>
      <c r="D396" s="238">
        <v>0</v>
      </c>
      <c r="E396" s="239">
        <v>30</v>
      </c>
      <c r="F396" s="238">
        <v>30</v>
      </c>
      <c r="G396" s="237">
        <v>100</v>
      </c>
    </row>
    <row r="397" spans="1:7" x14ac:dyDescent="0.2">
      <c r="A397" s="242">
        <v>3312</v>
      </c>
      <c r="B397" s="241">
        <v>5336</v>
      </c>
      <c r="C397" s="240" t="s">
        <v>401</v>
      </c>
      <c r="D397" s="238">
        <v>0</v>
      </c>
      <c r="E397" s="239">
        <v>350</v>
      </c>
      <c r="F397" s="238">
        <v>350</v>
      </c>
      <c r="G397" s="237">
        <v>100</v>
      </c>
    </row>
    <row r="398" spans="1:7" x14ac:dyDescent="0.2">
      <c r="A398" s="236">
        <v>3312</v>
      </c>
      <c r="B398" s="235"/>
      <c r="C398" s="234" t="s">
        <v>213</v>
      </c>
      <c r="D398" s="232">
        <v>0</v>
      </c>
      <c r="E398" s="233">
        <v>10364.299999999999</v>
      </c>
      <c r="F398" s="232">
        <v>8964.2999999999993</v>
      </c>
      <c r="G398" s="231">
        <v>86.492093050181879</v>
      </c>
    </row>
    <row r="399" spans="1:7" x14ac:dyDescent="0.2">
      <c r="A399" s="242"/>
      <c r="B399" s="250"/>
      <c r="C399" s="240"/>
      <c r="D399" s="249"/>
      <c r="E399" s="249"/>
      <c r="F399" s="249"/>
      <c r="G399" s="237"/>
    </row>
    <row r="400" spans="1:7" x14ac:dyDescent="0.2">
      <c r="A400" s="248">
        <v>3313</v>
      </c>
      <c r="B400" s="247">
        <v>5213</v>
      </c>
      <c r="C400" s="246" t="s">
        <v>411</v>
      </c>
      <c r="D400" s="244">
        <v>0</v>
      </c>
      <c r="E400" s="245">
        <v>10</v>
      </c>
      <c r="F400" s="244">
        <v>10</v>
      </c>
      <c r="G400" s="243">
        <v>100</v>
      </c>
    </row>
    <row r="401" spans="1:7" x14ac:dyDescent="0.2">
      <c r="A401" s="236">
        <v>3313</v>
      </c>
      <c r="B401" s="235"/>
      <c r="C401" s="234" t="s">
        <v>212</v>
      </c>
      <c r="D401" s="232">
        <v>0</v>
      </c>
      <c r="E401" s="233">
        <v>10</v>
      </c>
      <c r="F401" s="232">
        <v>10</v>
      </c>
      <c r="G401" s="231">
        <v>100</v>
      </c>
    </row>
    <row r="402" spans="1:7" x14ac:dyDescent="0.2">
      <c r="A402" s="242"/>
      <c r="B402" s="250"/>
      <c r="C402" s="240"/>
      <c r="D402" s="249"/>
      <c r="E402" s="249"/>
      <c r="F402" s="249"/>
      <c r="G402" s="237"/>
    </row>
    <row r="403" spans="1:7" x14ac:dyDescent="0.2">
      <c r="A403" s="248">
        <v>3314</v>
      </c>
      <c r="B403" s="247">
        <v>5321</v>
      </c>
      <c r="C403" s="246" t="s">
        <v>353</v>
      </c>
      <c r="D403" s="244">
        <v>13460</v>
      </c>
      <c r="E403" s="245">
        <v>13565</v>
      </c>
      <c r="F403" s="244">
        <v>13565</v>
      </c>
      <c r="G403" s="243">
        <v>100</v>
      </c>
    </row>
    <row r="404" spans="1:7" x14ac:dyDescent="0.2">
      <c r="A404" s="242">
        <v>3314</v>
      </c>
      <c r="B404" s="241">
        <v>5331</v>
      </c>
      <c r="C404" s="240" t="s">
        <v>403</v>
      </c>
      <c r="D404" s="238">
        <v>36617</v>
      </c>
      <c r="E404" s="239">
        <v>36717</v>
      </c>
      <c r="F404" s="238">
        <v>36717</v>
      </c>
      <c r="G404" s="237">
        <v>100</v>
      </c>
    </row>
    <row r="405" spans="1:7" x14ac:dyDescent="0.2">
      <c r="A405" s="242">
        <v>3314</v>
      </c>
      <c r="B405" s="241">
        <v>5336</v>
      </c>
      <c r="C405" s="240" t="s">
        <v>401</v>
      </c>
      <c r="D405" s="238">
        <v>0</v>
      </c>
      <c r="E405" s="239">
        <v>166</v>
      </c>
      <c r="F405" s="238">
        <v>166</v>
      </c>
      <c r="G405" s="237">
        <v>100</v>
      </c>
    </row>
    <row r="406" spans="1:7" x14ac:dyDescent="0.2">
      <c r="A406" s="242">
        <v>3314</v>
      </c>
      <c r="B406" s="241">
        <v>5494</v>
      </c>
      <c r="C406" s="240" t="s">
        <v>443</v>
      </c>
      <c r="D406" s="238">
        <v>50</v>
      </c>
      <c r="E406" s="239">
        <v>0</v>
      </c>
      <c r="F406" s="238">
        <v>0</v>
      </c>
      <c r="G406" s="260" t="s">
        <v>279</v>
      </c>
    </row>
    <row r="407" spans="1:7" x14ac:dyDescent="0.2">
      <c r="A407" s="236">
        <v>3314</v>
      </c>
      <c r="B407" s="235"/>
      <c r="C407" s="234" t="s">
        <v>211</v>
      </c>
      <c r="D407" s="232">
        <v>50127</v>
      </c>
      <c r="E407" s="233">
        <v>50448</v>
      </c>
      <c r="F407" s="232">
        <v>50448</v>
      </c>
      <c r="G407" s="231">
        <v>100</v>
      </c>
    </row>
    <row r="408" spans="1:7" x14ac:dyDescent="0.2">
      <c r="A408" s="242"/>
      <c r="B408" s="250"/>
      <c r="C408" s="240"/>
      <c r="D408" s="249"/>
      <c r="E408" s="249"/>
      <c r="F408" s="249"/>
      <c r="G408" s="237"/>
    </row>
    <row r="409" spans="1:7" x14ac:dyDescent="0.2">
      <c r="A409" s="248">
        <v>3315</v>
      </c>
      <c r="B409" s="247">
        <v>5331</v>
      </c>
      <c r="C409" s="246" t="s">
        <v>403</v>
      </c>
      <c r="D409" s="244">
        <v>113597</v>
      </c>
      <c r="E409" s="245">
        <v>113980.80000000002</v>
      </c>
      <c r="F409" s="244">
        <v>113980.8</v>
      </c>
      <c r="G409" s="243">
        <v>99.999999999999986</v>
      </c>
    </row>
    <row r="410" spans="1:7" x14ac:dyDescent="0.2">
      <c r="A410" s="242">
        <v>3315</v>
      </c>
      <c r="B410" s="241">
        <v>5336</v>
      </c>
      <c r="C410" s="240" t="s">
        <v>401</v>
      </c>
      <c r="D410" s="238">
        <v>0</v>
      </c>
      <c r="E410" s="239">
        <v>1412</v>
      </c>
      <c r="F410" s="238">
        <v>1412</v>
      </c>
      <c r="G410" s="237">
        <v>100</v>
      </c>
    </row>
    <row r="411" spans="1:7" x14ac:dyDescent="0.2">
      <c r="A411" s="236">
        <v>3315</v>
      </c>
      <c r="B411" s="235"/>
      <c r="C411" s="234" t="s">
        <v>304</v>
      </c>
      <c r="D411" s="232">
        <v>113597</v>
      </c>
      <c r="E411" s="233">
        <v>115392.80000000002</v>
      </c>
      <c r="F411" s="232">
        <v>115392.8</v>
      </c>
      <c r="G411" s="231">
        <v>99.999999999999986</v>
      </c>
    </row>
    <row r="412" spans="1:7" x14ac:dyDescent="0.2">
      <c r="A412" s="242"/>
      <c r="B412" s="250"/>
      <c r="C412" s="240"/>
      <c r="D412" s="249"/>
      <c r="E412" s="249"/>
      <c r="F412" s="249"/>
      <c r="G412" s="237"/>
    </row>
    <row r="413" spans="1:7" x14ac:dyDescent="0.2">
      <c r="A413" s="248">
        <v>3316</v>
      </c>
      <c r="B413" s="247">
        <v>5213</v>
      </c>
      <c r="C413" s="246" t="s">
        <v>411</v>
      </c>
      <c r="D413" s="244">
        <v>0</v>
      </c>
      <c r="E413" s="245">
        <v>180</v>
      </c>
      <c r="F413" s="244">
        <v>180</v>
      </c>
      <c r="G413" s="243">
        <v>100</v>
      </c>
    </row>
    <row r="414" spans="1:7" x14ac:dyDescent="0.2">
      <c r="A414" s="242">
        <v>3316</v>
      </c>
      <c r="B414" s="241">
        <v>5339</v>
      </c>
      <c r="C414" s="240" t="s">
        <v>398</v>
      </c>
      <c r="D414" s="238">
        <v>0</v>
      </c>
      <c r="E414" s="239">
        <v>50</v>
      </c>
      <c r="F414" s="238">
        <v>50</v>
      </c>
      <c r="G414" s="237">
        <v>100</v>
      </c>
    </row>
    <row r="415" spans="1:7" x14ac:dyDescent="0.2">
      <c r="A415" s="236">
        <v>3316</v>
      </c>
      <c r="B415" s="235"/>
      <c r="C415" s="234" t="s">
        <v>210</v>
      </c>
      <c r="D415" s="232">
        <v>0</v>
      </c>
      <c r="E415" s="233">
        <v>230</v>
      </c>
      <c r="F415" s="232">
        <v>230</v>
      </c>
      <c r="G415" s="231">
        <v>100</v>
      </c>
    </row>
    <row r="416" spans="1:7" x14ac:dyDescent="0.2">
      <c r="A416" s="242"/>
      <c r="B416" s="250"/>
      <c r="C416" s="240"/>
      <c r="D416" s="249"/>
      <c r="E416" s="249"/>
      <c r="F416" s="249"/>
      <c r="G416" s="237"/>
    </row>
    <row r="417" spans="1:7" x14ac:dyDescent="0.2">
      <c r="A417" s="248">
        <v>3317</v>
      </c>
      <c r="B417" s="247">
        <v>5213</v>
      </c>
      <c r="C417" s="246" t="s">
        <v>411</v>
      </c>
      <c r="D417" s="244">
        <v>0</v>
      </c>
      <c r="E417" s="245">
        <v>250</v>
      </c>
      <c r="F417" s="244">
        <v>250</v>
      </c>
      <c r="G417" s="243">
        <v>100</v>
      </c>
    </row>
    <row r="418" spans="1:7" x14ac:dyDescent="0.2">
      <c r="A418" s="242">
        <v>3317</v>
      </c>
      <c r="B418" s="241">
        <v>5222</v>
      </c>
      <c r="C418" s="240" t="s">
        <v>354</v>
      </c>
      <c r="D418" s="238">
        <v>0</v>
      </c>
      <c r="E418" s="239">
        <v>150</v>
      </c>
      <c r="F418" s="238">
        <v>150</v>
      </c>
      <c r="G418" s="237">
        <v>100</v>
      </c>
    </row>
    <row r="419" spans="1:7" x14ac:dyDescent="0.2">
      <c r="A419" s="236">
        <v>3317</v>
      </c>
      <c r="B419" s="235"/>
      <c r="C419" s="234" t="s">
        <v>444</v>
      </c>
      <c r="D419" s="232">
        <v>0</v>
      </c>
      <c r="E419" s="233">
        <v>400</v>
      </c>
      <c r="F419" s="232">
        <v>400</v>
      </c>
      <c r="G419" s="231">
        <v>100</v>
      </c>
    </row>
    <row r="420" spans="1:7" x14ac:dyDescent="0.2">
      <c r="A420" s="242"/>
      <c r="B420" s="250"/>
      <c r="C420" s="240"/>
      <c r="D420" s="249"/>
      <c r="E420" s="249"/>
      <c r="F420" s="249"/>
      <c r="G420" s="237"/>
    </row>
    <row r="421" spans="1:7" x14ac:dyDescent="0.2">
      <c r="A421" s="248">
        <v>3319</v>
      </c>
      <c r="B421" s="247">
        <v>5041</v>
      </c>
      <c r="C421" s="246" t="s">
        <v>380</v>
      </c>
      <c r="D421" s="244">
        <v>0</v>
      </c>
      <c r="E421" s="245">
        <v>143.86000000000001</v>
      </c>
      <c r="F421" s="244">
        <v>0</v>
      </c>
      <c r="G421" s="243">
        <v>0</v>
      </c>
    </row>
    <row r="422" spans="1:7" x14ac:dyDescent="0.2">
      <c r="A422" s="242">
        <v>3319</v>
      </c>
      <c r="B422" s="241">
        <v>5136</v>
      </c>
      <c r="C422" s="240" t="s">
        <v>373</v>
      </c>
      <c r="D422" s="238">
        <v>600</v>
      </c>
      <c r="E422" s="239">
        <v>0</v>
      </c>
      <c r="F422" s="238">
        <v>0</v>
      </c>
      <c r="G422" s="260" t="s">
        <v>279</v>
      </c>
    </row>
    <row r="423" spans="1:7" x14ac:dyDescent="0.2">
      <c r="A423" s="242">
        <v>3319</v>
      </c>
      <c r="B423" s="241">
        <v>5139</v>
      </c>
      <c r="C423" s="240" t="s">
        <v>344</v>
      </c>
      <c r="D423" s="238">
        <v>0</v>
      </c>
      <c r="E423" s="239">
        <v>480.07</v>
      </c>
      <c r="F423" s="238">
        <v>480.05549999999999</v>
      </c>
      <c r="G423" s="237">
        <v>99.996979607140617</v>
      </c>
    </row>
    <row r="424" spans="1:7" x14ac:dyDescent="0.2">
      <c r="A424" s="242">
        <v>3319</v>
      </c>
      <c r="B424" s="241">
        <v>5168</v>
      </c>
      <c r="C424" s="240" t="s">
        <v>364</v>
      </c>
      <c r="D424" s="238">
        <v>18</v>
      </c>
      <c r="E424" s="239">
        <v>18</v>
      </c>
      <c r="F424" s="238">
        <v>16.6388</v>
      </c>
      <c r="G424" s="237">
        <v>92.437777777777768</v>
      </c>
    </row>
    <row r="425" spans="1:7" x14ac:dyDescent="0.2">
      <c r="A425" s="242">
        <v>3319</v>
      </c>
      <c r="B425" s="241">
        <v>5169</v>
      </c>
      <c r="C425" s="240" t="s">
        <v>341</v>
      </c>
      <c r="D425" s="238">
        <v>100</v>
      </c>
      <c r="E425" s="239">
        <v>76.069999999999993</v>
      </c>
      <c r="F425" s="238">
        <v>3.5089999999999999</v>
      </c>
      <c r="G425" s="237">
        <v>4.612856579466281</v>
      </c>
    </row>
    <row r="426" spans="1:7" x14ac:dyDescent="0.2">
      <c r="A426" s="242">
        <v>3319</v>
      </c>
      <c r="B426" s="241">
        <v>5212</v>
      </c>
      <c r="C426" s="240" t="s">
        <v>418</v>
      </c>
      <c r="D426" s="238">
        <v>0</v>
      </c>
      <c r="E426" s="239">
        <v>150</v>
      </c>
      <c r="F426" s="238">
        <v>150</v>
      </c>
      <c r="G426" s="237">
        <v>100</v>
      </c>
    </row>
    <row r="427" spans="1:7" x14ac:dyDescent="0.2">
      <c r="A427" s="242">
        <v>3319</v>
      </c>
      <c r="B427" s="241">
        <v>5213</v>
      </c>
      <c r="C427" s="240" t="s">
        <v>411</v>
      </c>
      <c r="D427" s="238">
        <v>0</v>
      </c>
      <c r="E427" s="239">
        <v>240</v>
      </c>
      <c r="F427" s="238">
        <v>240</v>
      </c>
      <c r="G427" s="237">
        <v>100</v>
      </c>
    </row>
    <row r="428" spans="1:7" x14ac:dyDescent="0.2">
      <c r="A428" s="242">
        <v>3319</v>
      </c>
      <c r="B428" s="241">
        <v>5221</v>
      </c>
      <c r="C428" s="240" t="s">
        <v>399</v>
      </c>
      <c r="D428" s="238">
        <v>200</v>
      </c>
      <c r="E428" s="239">
        <v>462.5</v>
      </c>
      <c r="F428" s="238">
        <v>462.5</v>
      </c>
      <c r="G428" s="237">
        <v>100</v>
      </c>
    </row>
    <row r="429" spans="1:7" x14ac:dyDescent="0.2">
      <c r="A429" s="242">
        <v>3319</v>
      </c>
      <c r="B429" s="241">
        <v>5222</v>
      </c>
      <c r="C429" s="240" t="s">
        <v>354</v>
      </c>
      <c r="D429" s="238">
        <v>250</v>
      </c>
      <c r="E429" s="239">
        <v>2558.3999999999996</v>
      </c>
      <c r="F429" s="238">
        <v>2550.8539999999998</v>
      </c>
      <c r="G429" s="237">
        <v>99.70505003126955</v>
      </c>
    </row>
    <row r="430" spans="1:7" x14ac:dyDescent="0.2">
      <c r="A430" s="242">
        <v>3319</v>
      </c>
      <c r="B430" s="241">
        <v>5223</v>
      </c>
      <c r="C430" s="240" t="s">
        <v>400</v>
      </c>
      <c r="D430" s="238">
        <v>0</v>
      </c>
      <c r="E430" s="239">
        <v>150</v>
      </c>
      <c r="F430" s="238">
        <v>150</v>
      </c>
      <c r="G430" s="237">
        <v>100</v>
      </c>
    </row>
    <row r="431" spans="1:7" x14ac:dyDescent="0.2">
      <c r="A431" s="242">
        <v>3319</v>
      </c>
      <c r="B431" s="241">
        <v>5229</v>
      </c>
      <c r="C431" s="240" t="s">
        <v>390</v>
      </c>
      <c r="D431" s="238">
        <v>13000</v>
      </c>
      <c r="E431" s="239">
        <v>19</v>
      </c>
      <c r="F431" s="238">
        <v>0</v>
      </c>
      <c r="G431" s="237">
        <v>0</v>
      </c>
    </row>
    <row r="432" spans="1:7" x14ac:dyDescent="0.2">
      <c r="A432" s="242">
        <v>3319</v>
      </c>
      <c r="B432" s="241">
        <v>5321</v>
      </c>
      <c r="C432" s="240" t="s">
        <v>353</v>
      </c>
      <c r="D432" s="238">
        <v>0</v>
      </c>
      <c r="E432" s="239">
        <v>2167.6</v>
      </c>
      <c r="F432" s="238">
        <v>2135.7219999999998</v>
      </c>
      <c r="G432" s="237">
        <v>98.529341206864729</v>
      </c>
    </row>
    <row r="433" spans="1:7" x14ac:dyDescent="0.2">
      <c r="A433" s="242">
        <v>3319</v>
      </c>
      <c r="B433" s="241">
        <v>5329</v>
      </c>
      <c r="C433" s="240" t="s">
        <v>426</v>
      </c>
      <c r="D433" s="238">
        <v>0</v>
      </c>
      <c r="E433" s="239">
        <v>90.7</v>
      </c>
      <c r="F433" s="238">
        <v>73.611000000000004</v>
      </c>
      <c r="G433" s="237">
        <v>81.158765159867698</v>
      </c>
    </row>
    <row r="434" spans="1:7" x14ac:dyDescent="0.2">
      <c r="A434" s="242">
        <v>3319</v>
      </c>
      <c r="B434" s="241">
        <v>5494</v>
      </c>
      <c r="C434" s="240" t="s">
        <v>443</v>
      </c>
      <c r="D434" s="238">
        <v>100</v>
      </c>
      <c r="E434" s="239">
        <v>100</v>
      </c>
      <c r="F434" s="238">
        <v>50</v>
      </c>
      <c r="G434" s="237">
        <v>50</v>
      </c>
    </row>
    <row r="435" spans="1:7" x14ac:dyDescent="0.2">
      <c r="A435" s="236">
        <v>3319</v>
      </c>
      <c r="B435" s="235"/>
      <c r="C435" s="234" t="s">
        <v>209</v>
      </c>
      <c r="D435" s="232">
        <v>14268</v>
      </c>
      <c r="E435" s="233">
        <v>6656.2</v>
      </c>
      <c r="F435" s="232">
        <v>6312.8903</v>
      </c>
      <c r="G435" s="231">
        <v>94.842256843243902</v>
      </c>
    </row>
    <row r="436" spans="1:7" x14ac:dyDescent="0.2">
      <c r="A436" s="242"/>
      <c r="B436" s="250"/>
      <c r="C436" s="240"/>
      <c r="D436" s="249"/>
      <c r="E436" s="249"/>
      <c r="F436" s="249"/>
      <c r="G436" s="237"/>
    </row>
    <row r="437" spans="1:7" x14ac:dyDescent="0.2">
      <c r="A437" s="248">
        <v>3322</v>
      </c>
      <c r="B437" s="247">
        <v>5011</v>
      </c>
      <c r="C437" s="246" t="s">
        <v>386</v>
      </c>
      <c r="D437" s="244">
        <v>0</v>
      </c>
      <c r="E437" s="245">
        <v>52.050000000000004</v>
      </c>
      <c r="F437" s="244">
        <v>27.229999999999997</v>
      </c>
      <c r="G437" s="243">
        <v>52.315081652257433</v>
      </c>
    </row>
    <row r="438" spans="1:7" x14ac:dyDescent="0.2">
      <c r="A438" s="242">
        <v>3322</v>
      </c>
      <c r="B438" s="241">
        <v>5031</v>
      </c>
      <c r="C438" s="240" t="s">
        <v>383</v>
      </c>
      <c r="D438" s="238">
        <v>0</v>
      </c>
      <c r="E438" s="239">
        <v>13.02</v>
      </c>
      <c r="F438" s="238">
        <v>6.8019999999999996</v>
      </c>
      <c r="G438" s="237">
        <v>52.242703533026116</v>
      </c>
    </row>
    <row r="439" spans="1:7" x14ac:dyDescent="0.2">
      <c r="A439" s="242">
        <v>3322</v>
      </c>
      <c r="B439" s="241">
        <v>5032</v>
      </c>
      <c r="C439" s="240" t="s">
        <v>382</v>
      </c>
      <c r="D439" s="238">
        <v>0</v>
      </c>
      <c r="E439" s="239">
        <v>4.7</v>
      </c>
      <c r="F439" s="238">
        <v>2.4450000000000003</v>
      </c>
      <c r="G439" s="237">
        <v>52.021276595744681</v>
      </c>
    </row>
    <row r="440" spans="1:7" x14ac:dyDescent="0.2">
      <c r="A440" s="242">
        <v>3322</v>
      </c>
      <c r="B440" s="241">
        <v>5038</v>
      </c>
      <c r="C440" s="240" t="s">
        <v>381</v>
      </c>
      <c r="D440" s="238">
        <v>0</v>
      </c>
      <c r="E440" s="239">
        <v>0.23</v>
      </c>
      <c r="F440" s="238">
        <v>0.11</v>
      </c>
      <c r="G440" s="237">
        <v>47.826086956521735</v>
      </c>
    </row>
    <row r="441" spans="1:7" x14ac:dyDescent="0.2">
      <c r="A441" s="242">
        <v>3322</v>
      </c>
      <c r="B441" s="241">
        <v>5137</v>
      </c>
      <c r="C441" s="240" t="s">
        <v>345</v>
      </c>
      <c r="D441" s="238">
        <v>25</v>
      </c>
      <c r="E441" s="239">
        <v>16.97</v>
      </c>
      <c r="F441" s="238">
        <v>16.743980000000001</v>
      </c>
      <c r="G441" s="237">
        <v>98.668120212139073</v>
      </c>
    </row>
    <row r="442" spans="1:7" x14ac:dyDescent="0.2">
      <c r="A442" s="242">
        <v>3322</v>
      </c>
      <c r="B442" s="241">
        <v>5139</v>
      </c>
      <c r="C442" s="240" t="s">
        <v>344</v>
      </c>
      <c r="D442" s="238">
        <v>87</v>
      </c>
      <c r="E442" s="239">
        <v>13.200000000000001</v>
      </c>
      <c r="F442" s="238">
        <v>13.11</v>
      </c>
      <c r="G442" s="237">
        <v>99.318181818181799</v>
      </c>
    </row>
    <row r="443" spans="1:7" x14ac:dyDescent="0.2">
      <c r="A443" s="242">
        <v>3322</v>
      </c>
      <c r="B443" s="241">
        <v>5169</v>
      </c>
      <c r="C443" s="240" t="s">
        <v>341</v>
      </c>
      <c r="D443" s="238">
        <v>0</v>
      </c>
      <c r="E443" s="239">
        <v>53.8</v>
      </c>
      <c r="F443" s="238">
        <v>53.76</v>
      </c>
      <c r="G443" s="237">
        <v>99.925650557620813</v>
      </c>
    </row>
    <row r="444" spans="1:7" x14ac:dyDescent="0.2">
      <c r="A444" s="242">
        <v>3322</v>
      </c>
      <c r="B444" s="241">
        <v>5171</v>
      </c>
      <c r="C444" s="240" t="s">
        <v>363</v>
      </c>
      <c r="D444" s="238">
        <v>4020</v>
      </c>
      <c r="E444" s="239">
        <v>5610.82</v>
      </c>
      <c r="F444" s="238">
        <v>5101.2891799999998</v>
      </c>
      <c r="G444" s="237">
        <v>90.918781568469498</v>
      </c>
    </row>
    <row r="445" spans="1:7" x14ac:dyDescent="0.2">
      <c r="A445" s="242">
        <v>3322</v>
      </c>
      <c r="B445" s="241">
        <v>5212</v>
      </c>
      <c r="C445" s="240" t="s">
        <v>418</v>
      </c>
      <c r="D445" s="238">
        <v>0</v>
      </c>
      <c r="E445" s="239">
        <v>700</v>
      </c>
      <c r="F445" s="238">
        <v>700</v>
      </c>
      <c r="G445" s="237">
        <v>100</v>
      </c>
    </row>
    <row r="446" spans="1:7" x14ac:dyDescent="0.2">
      <c r="A446" s="242">
        <v>3322</v>
      </c>
      <c r="B446" s="241">
        <v>5222</v>
      </c>
      <c r="C446" s="240" t="s">
        <v>354</v>
      </c>
      <c r="D446" s="238">
        <v>0</v>
      </c>
      <c r="E446" s="239">
        <v>58.7</v>
      </c>
      <c r="F446" s="238">
        <v>58.7</v>
      </c>
      <c r="G446" s="237">
        <v>100</v>
      </c>
    </row>
    <row r="447" spans="1:7" x14ac:dyDescent="0.2">
      <c r="A447" s="242">
        <v>3322</v>
      </c>
      <c r="B447" s="241">
        <v>5223</v>
      </c>
      <c r="C447" s="240" t="s">
        <v>400</v>
      </c>
      <c r="D447" s="238">
        <v>0</v>
      </c>
      <c r="E447" s="239">
        <v>2082.75</v>
      </c>
      <c r="F447" s="238">
        <v>2082.75</v>
      </c>
      <c r="G447" s="237">
        <v>100</v>
      </c>
    </row>
    <row r="448" spans="1:7" x14ac:dyDescent="0.2">
      <c r="A448" s="242">
        <v>3322</v>
      </c>
      <c r="B448" s="241">
        <v>5229</v>
      </c>
      <c r="C448" s="240" t="s">
        <v>390</v>
      </c>
      <c r="D448" s="238">
        <v>5000</v>
      </c>
      <c r="E448" s="239">
        <v>0</v>
      </c>
      <c r="F448" s="238">
        <v>0</v>
      </c>
      <c r="G448" s="260" t="s">
        <v>279</v>
      </c>
    </row>
    <row r="449" spans="1:7" x14ac:dyDescent="0.2">
      <c r="A449" s="242">
        <v>3322</v>
      </c>
      <c r="B449" s="241">
        <v>5321</v>
      </c>
      <c r="C449" s="240" t="s">
        <v>353</v>
      </c>
      <c r="D449" s="238">
        <v>0</v>
      </c>
      <c r="E449" s="239">
        <v>1856.65</v>
      </c>
      <c r="F449" s="238">
        <v>1836.212</v>
      </c>
      <c r="G449" s="237">
        <v>98.899200172353432</v>
      </c>
    </row>
    <row r="450" spans="1:7" x14ac:dyDescent="0.2">
      <c r="A450" s="242">
        <v>3322</v>
      </c>
      <c r="B450" s="241">
        <v>5493</v>
      </c>
      <c r="C450" s="240" t="s">
        <v>429</v>
      </c>
      <c r="D450" s="238">
        <v>0</v>
      </c>
      <c r="E450" s="239">
        <v>301.89999999999998</v>
      </c>
      <c r="F450" s="238">
        <v>301.89999999999998</v>
      </c>
      <c r="G450" s="237">
        <v>100</v>
      </c>
    </row>
    <row r="451" spans="1:7" x14ac:dyDescent="0.2">
      <c r="A451" s="236">
        <v>3322</v>
      </c>
      <c r="B451" s="235"/>
      <c r="C451" s="234" t="s">
        <v>206</v>
      </c>
      <c r="D451" s="232">
        <v>9132</v>
      </c>
      <c r="E451" s="233">
        <v>10764.789999999999</v>
      </c>
      <c r="F451" s="232">
        <v>10201.052159999999</v>
      </c>
      <c r="G451" s="231">
        <v>94.763132025798924</v>
      </c>
    </row>
    <row r="452" spans="1:7" x14ac:dyDescent="0.2">
      <c r="A452" s="242"/>
      <c r="B452" s="250"/>
      <c r="C452" s="240"/>
      <c r="D452" s="249"/>
      <c r="E452" s="249"/>
      <c r="F452" s="249"/>
      <c r="G452" s="237"/>
    </row>
    <row r="453" spans="1:7" x14ac:dyDescent="0.2">
      <c r="A453" s="248">
        <v>3326</v>
      </c>
      <c r="B453" s="247">
        <v>5011</v>
      </c>
      <c r="C453" s="246" t="s">
        <v>386</v>
      </c>
      <c r="D453" s="244">
        <v>0</v>
      </c>
      <c r="E453" s="245">
        <v>141.31</v>
      </c>
      <c r="F453" s="244">
        <v>119.187</v>
      </c>
      <c r="G453" s="243">
        <v>84.34434930295096</v>
      </c>
    </row>
    <row r="454" spans="1:7" x14ac:dyDescent="0.2">
      <c r="A454" s="242">
        <v>3326</v>
      </c>
      <c r="B454" s="241">
        <v>5031</v>
      </c>
      <c r="C454" s="240" t="s">
        <v>383</v>
      </c>
      <c r="D454" s="238">
        <v>0</v>
      </c>
      <c r="E454" s="239">
        <v>35.339999999999996</v>
      </c>
      <c r="F454" s="238">
        <v>29.780999999999999</v>
      </c>
      <c r="G454" s="237">
        <v>84.269949066213925</v>
      </c>
    </row>
    <row r="455" spans="1:7" x14ac:dyDescent="0.2">
      <c r="A455" s="242">
        <v>3326</v>
      </c>
      <c r="B455" s="241">
        <v>5032</v>
      </c>
      <c r="C455" s="240" t="s">
        <v>382</v>
      </c>
      <c r="D455" s="238">
        <v>0</v>
      </c>
      <c r="E455" s="239">
        <v>12.74</v>
      </c>
      <c r="F455" s="238">
        <v>10.706000000000001</v>
      </c>
      <c r="G455" s="237">
        <v>84.03453689167975</v>
      </c>
    </row>
    <row r="456" spans="1:7" x14ac:dyDescent="0.2">
      <c r="A456" s="242">
        <v>3326</v>
      </c>
      <c r="B456" s="241">
        <v>5038</v>
      </c>
      <c r="C456" s="240" t="s">
        <v>381</v>
      </c>
      <c r="D456" s="238">
        <v>0</v>
      </c>
      <c r="E456" s="239">
        <v>0.61</v>
      </c>
      <c r="F456" s="238">
        <v>0.48199999999999998</v>
      </c>
      <c r="G456" s="237">
        <v>79.016393442622942</v>
      </c>
    </row>
    <row r="457" spans="1:7" x14ac:dyDescent="0.2">
      <c r="A457" s="242">
        <v>3326</v>
      </c>
      <c r="B457" s="241">
        <v>5137</v>
      </c>
      <c r="C457" s="240" t="s">
        <v>345</v>
      </c>
      <c r="D457" s="238">
        <v>3025</v>
      </c>
      <c r="E457" s="239">
        <v>3471</v>
      </c>
      <c r="F457" s="238">
        <v>3337.4855000000002</v>
      </c>
      <c r="G457" s="237">
        <v>96.153428406799208</v>
      </c>
    </row>
    <row r="458" spans="1:7" x14ac:dyDescent="0.2">
      <c r="A458" s="242">
        <v>3326</v>
      </c>
      <c r="B458" s="241">
        <v>5139</v>
      </c>
      <c r="C458" s="240" t="s">
        <v>344</v>
      </c>
      <c r="D458" s="238">
        <v>11</v>
      </c>
      <c r="E458" s="239">
        <v>31</v>
      </c>
      <c r="F458" s="238">
        <v>8.4143399999999993</v>
      </c>
      <c r="G458" s="237">
        <v>27.143032258064515</v>
      </c>
    </row>
    <row r="459" spans="1:7" x14ac:dyDescent="0.2">
      <c r="A459" s="242">
        <v>3326</v>
      </c>
      <c r="B459" s="241">
        <v>5169</v>
      </c>
      <c r="C459" s="240" t="s">
        <v>341</v>
      </c>
      <c r="D459" s="238">
        <v>59</v>
      </c>
      <c r="E459" s="239">
        <v>59</v>
      </c>
      <c r="F459" s="238">
        <v>0</v>
      </c>
      <c r="G459" s="237">
        <v>0</v>
      </c>
    </row>
    <row r="460" spans="1:7" x14ac:dyDescent="0.2">
      <c r="A460" s="242">
        <v>3326</v>
      </c>
      <c r="B460" s="241">
        <v>5222</v>
      </c>
      <c r="C460" s="240" t="s">
        <v>354</v>
      </c>
      <c r="D460" s="238">
        <v>0</v>
      </c>
      <c r="E460" s="239">
        <v>2000</v>
      </c>
      <c r="F460" s="238">
        <v>100</v>
      </c>
      <c r="G460" s="237">
        <v>5</v>
      </c>
    </row>
    <row r="461" spans="1:7" x14ac:dyDescent="0.2">
      <c r="A461" s="242">
        <v>3326</v>
      </c>
      <c r="B461" s="241">
        <v>5223</v>
      </c>
      <c r="C461" s="240" t="s">
        <v>400</v>
      </c>
      <c r="D461" s="238">
        <v>0</v>
      </c>
      <c r="E461" s="239">
        <v>160</v>
      </c>
      <c r="F461" s="238">
        <v>160</v>
      </c>
      <c r="G461" s="237">
        <v>100</v>
      </c>
    </row>
    <row r="462" spans="1:7" x14ac:dyDescent="0.2">
      <c r="A462" s="242">
        <v>3326</v>
      </c>
      <c r="B462" s="241">
        <v>5321</v>
      </c>
      <c r="C462" s="240" t="s">
        <v>353</v>
      </c>
      <c r="D462" s="238">
        <v>550</v>
      </c>
      <c r="E462" s="239">
        <v>580</v>
      </c>
      <c r="F462" s="238">
        <v>509.928</v>
      </c>
      <c r="G462" s="237">
        <v>87.918620689655171</v>
      </c>
    </row>
    <row r="463" spans="1:7" x14ac:dyDescent="0.2">
      <c r="A463" s="236">
        <v>3326</v>
      </c>
      <c r="B463" s="235"/>
      <c r="C463" s="234" t="s">
        <v>303</v>
      </c>
      <c r="D463" s="232">
        <v>3645</v>
      </c>
      <c r="E463" s="233">
        <v>6491</v>
      </c>
      <c r="F463" s="232">
        <v>4275.9838399999999</v>
      </c>
      <c r="G463" s="231">
        <v>65.875579109536275</v>
      </c>
    </row>
    <row r="464" spans="1:7" x14ac:dyDescent="0.2">
      <c r="A464" s="242"/>
      <c r="B464" s="250"/>
      <c r="C464" s="240"/>
      <c r="D464" s="249"/>
      <c r="E464" s="249"/>
      <c r="F464" s="249"/>
      <c r="G464" s="237"/>
    </row>
    <row r="465" spans="1:7" x14ac:dyDescent="0.2">
      <c r="A465" s="248">
        <v>3329</v>
      </c>
      <c r="B465" s="247">
        <v>5164</v>
      </c>
      <c r="C465" s="246" t="s">
        <v>343</v>
      </c>
      <c r="D465" s="244">
        <v>0</v>
      </c>
      <c r="E465" s="245">
        <v>8.5</v>
      </c>
      <c r="F465" s="244">
        <v>8.3490000000000002</v>
      </c>
      <c r="G465" s="243">
        <v>98.223529411764716</v>
      </c>
    </row>
    <row r="466" spans="1:7" x14ac:dyDescent="0.2">
      <c r="A466" s="242">
        <v>3329</v>
      </c>
      <c r="B466" s="241">
        <v>5169</v>
      </c>
      <c r="C466" s="240" t="s">
        <v>341</v>
      </c>
      <c r="D466" s="238">
        <v>0</v>
      </c>
      <c r="E466" s="239">
        <v>33.46</v>
      </c>
      <c r="F466" s="238">
        <v>33.154000000000003</v>
      </c>
      <c r="G466" s="237">
        <v>99.085475194261818</v>
      </c>
    </row>
    <row r="467" spans="1:7" x14ac:dyDescent="0.2">
      <c r="A467" s="242">
        <v>3329</v>
      </c>
      <c r="B467" s="241">
        <v>5175</v>
      </c>
      <c r="C467" s="240" t="s">
        <v>340</v>
      </c>
      <c r="D467" s="238">
        <v>0</v>
      </c>
      <c r="E467" s="239">
        <v>10</v>
      </c>
      <c r="F467" s="238">
        <v>7.1719999999999997</v>
      </c>
      <c r="G467" s="237">
        <v>71.72</v>
      </c>
    </row>
    <row r="468" spans="1:7" x14ac:dyDescent="0.2">
      <c r="A468" s="242">
        <v>3329</v>
      </c>
      <c r="B468" s="241">
        <v>5179</v>
      </c>
      <c r="C468" s="240" t="s">
        <v>359</v>
      </c>
      <c r="D468" s="238">
        <v>3</v>
      </c>
      <c r="E468" s="239">
        <v>303</v>
      </c>
      <c r="F468" s="238">
        <v>0</v>
      </c>
      <c r="G468" s="237">
        <v>0</v>
      </c>
    </row>
    <row r="469" spans="1:7" x14ac:dyDescent="0.2">
      <c r="A469" s="236">
        <v>3329</v>
      </c>
      <c r="B469" s="235"/>
      <c r="C469" s="234" t="s">
        <v>302</v>
      </c>
      <c r="D469" s="232">
        <v>3</v>
      </c>
      <c r="E469" s="233">
        <v>354.96</v>
      </c>
      <c r="F469" s="232">
        <v>48.674999999999997</v>
      </c>
      <c r="G469" s="231">
        <v>13.712812711291415</v>
      </c>
    </row>
    <row r="470" spans="1:7" x14ac:dyDescent="0.2">
      <c r="A470" s="242"/>
      <c r="B470" s="250"/>
      <c r="C470" s="240"/>
      <c r="D470" s="249"/>
      <c r="E470" s="249"/>
      <c r="F470" s="249"/>
      <c r="G470" s="237"/>
    </row>
    <row r="471" spans="1:7" x14ac:dyDescent="0.2">
      <c r="A471" s="248">
        <v>3341</v>
      </c>
      <c r="B471" s="247">
        <v>5041</v>
      </c>
      <c r="C471" s="246" t="s">
        <v>380</v>
      </c>
      <c r="D471" s="244">
        <v>2400</v>
      </c>
      <c r="E471" s="245">
        <v>4522.5200000000004</v>
      </c>
      <c r="F471" s="244">
        <v>3872.2027200000002</v>
      </c>
      <c r="G471" s="243">
        <v>85.620466465598824</v>
      </c>
    </row>
    <row r="472" spans="1:7" x14ac:dyDescent="0.2">
      <c r="A472" s="242">
        <v>3341</v>
      </c>
      <c r="B472" s="241">
        <v>5169</v>
      </c>
      <c r="C472" s="240" t="s">
        <v>341</v>
      </c>
      <c r="D472" s="238">
        <v>0</v>
      </c>
      <c r="E472" s="239">
        <v>97</v>
      </c>
      <c r="F472" s="238">
        <v>95.623000000000005</v>
      </c>
      <c r="G472" s="237">
        <v>98.580412371134031</v>
      </c>
    </row>
    <row r="473" spans="1:7" x14ac:dyDescent="0.2">
      <c r="A473" s="242">
        <v>3341</v>
      </c>
      <c r="B473" s="241">
        <v>5179</v>
      </c>
      <c r="C473" s="240" t="s">
        <v>359</v>
      </c>
      <c r="D473" s="238">
        <v>3000</v>
      </c>
      <c r="E473" s="239">
        <v>3297.66</v>
      </c>
      <c r="F473" s="238">
        <v>3079.9340000000002</v>
      </c>
      <c r="G473" s="237">
        <v>93.397560694553121</v>
      </c>
    </row>
    <row r="474" spans="1:7" x14ac:dyDescent="0.2">
      <c r="A474" s="242">
        <v>3341</v>
      </c>
      <c r="B474" s="241">
        <v>5319</v>
      </c>
      <c r="C474" s="240" t="s">
        <v>397</v>
      </c>
      <c r="D474" s="238">
        <v>0</v>
      </c>
      <c r="E474" s="239">
        <v>50</v>
      </c>
      <c r="F474" s="238">
        <v>50</v>
      </c>
      <c r="G474" s="237">
        <v>100</v>
      </c>
    </row>
    <row r="475" spans="1:7" x14ac:dyDescent="0.2">
      <c r="A475" s="236">
        <v>3341</v>
      </c>
      <c r="B475" s="235"/>
      <c r="C475" s="234" t="s">
        <v>442</v>
      </c>
      <c r="D475" s="232">
        <v>5400</v>
      </c>
      <c r="E475" s="233">
        <v>7967.18</v>
      </c>
      <c r="F475" s="232">
        <v>7097.75972</v>
      </c>
      <c r="G475" s="231">
        <v>89.087477877994473</v>
      </c>
    </row>
    <row r="476" spans="1:7" x14ac:dyDescent="0.2">
      <c r="A476" s="242"/>
      <c r="B476" s="250"/>
      <c r="C476" s="240"/>
      <c r="D476" s="249"/>
      <c r="E476" s="249"/>
      <c r="F476" s="249"/>
      <c r="G476" s="237"/>
    </row>
    <row r="477" spans="1:7" x14ac:dyDescent="0.2">
      <c r="A477" s="248">
        <v>3349</v>
      </c>
      <c r="B477" s="247">
        <v>5041</v>
      </c>
      <c r="C477" s="246" t="s">
        <v>380</v>
      </c>
      <c r="D477" s="244">
        <v>1700</v>
      </c>
      <c r="E477" s="245">
        <v>0</v>
      </c>
      <c r="F477" s="244">
        <v>0</v>
      </c>
      <c r="G477" s="261" t="s">
        <v>279</v>
      </c>
    </row>
    <row r="478" spans="1:7" x14ac:dyDescent="0.2">
      <c r="A478" s="242">
        <v>3349</v>
      </c>
      <c r="B478" s="241">
        <v>5166</v>
      </c>
      <c r="C478" s="240" t="s">
        <v>342</v>
      </c>
      <c r="D478" s="238">
        <v>1000</v>
      </c>
      <c r="E478" s="239">
        <v>2849.9</v>
      </c>
      <c r="F478" s="238">
        <v>1070.94831</v>
      </c>
      <c r="G478" s="237">
        <v>37.578452226393907</v>
      </c>
    </row>
    <row r="479" spans="1:7" x14ac:dyDescent="0.2">
      <c r="A479" s="242">
        <v>3349</v>
      </c>
      <c r="B479" s="241">
        <v>5169</v>
      </c>
      <c r="C479" s="240" t="s">
        <v>341</v>
      </c>
      <c r="D479" s="238">
        <v>1000</v>
      </c>
      <c r="E479" s="239">
        <v>11562.61</v>
      </c>
      <c r="F479" s="238">
        <v>4504.9395000000004</v>
      </c>
      <c r="G479" s="237">
        <v>38.961268260366822</v>
      </c>
    </row>
    <row r="480" spans="1:7" x14ac:dyDescent="0.2">
      <c r="A480" s="236">
        <v>3349</v>
      </c>
      <c r="B480" s="235"/>
      <c r="C480" s="234" t="s">
        <v>441</v>
      </c>
      <c r="D480" s="232">
        <v>3700</v>
      </c>
      <c r="E480" s="233">
        <v>14412.51</v>
      </c>
      <c r="F480" s="232">
        <v>5575.8878100000002</v>
      </c>
      <c r="G480" s="231">
        <v>38.687833070020424</v>
      </c>
    </row>
    <row r="481" spans="1:7" x14ac:dyDescent="0.2">
      <c r="A481" s="242"/>
      <c r="B481" s="250"/>
      <c r="C481" s="240"/>
      <c r="D481" s="249"/>
      <c r="E481" s="249"/>
      <c r="F481" s="249"/>
      <c r="G481" s="237"/>
    </row>
    <row r="482" spans="1:7" x14ac:dyDescent="0.2">
      <c r="A482" s="248">
        <v>3391</v>
      </c>
      <c r="B482" s="247">
        <v>5175</v>
      </c>
      <c r="C482" s="246" t="s">
        <v>340</v>
      </c>
      <c r="D482" s="244">
        <v>50</v>
      </c>
      <c r="E482" s="245">
        <v>40</v>
      </c>
      <c r="F482" s="244">
        <v>36.408000000000001</v>
      </c>
      <c r="G482" s="243">
        <v>91.02</v>
      </c>
    </row>
    <row r="483" spans="1:7" x14ac:dyDescent="0.2">
      <c r="A483" s="242">
        <v>3391</v>
      </c>
      <c r="B483" s="241">
        <v>5229</v>
      </c>
      <c r="C483" s="240" t="s">
        <v>390</v>
      </c>
      <c r="D483" s="238">
        <v>0</v>
      </c>
      <c r="E483" s="239">
        <v>70</v>
      </c>
      <c r="F483" s="238">
        <v>70</v>
      </c>
      <c r="G483" s="237">
        <v>100</v>
      </c>
    </row>
    <row r="484" spans="1:7" x14ac:dyDescent="0.2">
      <c r="A484" s="236">
        <v>3391</v>
      </c>
      <c r="B484" s="235"/>
      <c r="C484" s="234" t="s">
        <v>440</v>
      </c>
      <c r="D484" s="232">
        <v>50</v>
      </c>
      <c r="E484" s="233">
        <v>110</v>
      </c>
      <c r="F484" s="232">
        <v>106.408</v>
      </c>
      <c r="G484" s="231">
        <v>96.734545454545454</v>
      </c>
    </row>
    <row r="485" spans="1:7" x14ac:dyDescent="0.2">
      <c r="A485" s="242"/>
      <c r="B485" s="250"/>
      <c r="C485" s="240"/>
      <c r="D485" s="249"/>
      <c r="E485" s="249"/>
      <c r="F485" s="249"/>
      <c r="G485" s="237"/>
    </row>
    <row r="486" spans="1:7" x14ac:dyDescent="0.2">
      <c r="A486" s="248">
        <v>3399</v>
      </c>
      <c r="B486" s="247">
        <v>5137</v>
      </c>
      <c r="C486" s="246" t="s">
        <v>345</v>
      </c>
      <c r="D486" s="244">
        <v>0</v>
      </c>
      <c r="E486" s="245">
        <v>35.25</v>
      </c>
      <c r="F486" s="244">
        <v>35.244</v>
      </c>
      <c r="G486" s="243">
        <v>99.982978723404258</v>
      </c>
    </row>
    <row r="487" spans="1:7" x14ac:dyDescent="0.2">
      <c r="A487" s="242">
        <v>3399</v>
      </c>
      <c r="B487" s="241">
        <v>5139</v>
      </c>
      <c r="C487" s="240" t="s">
        <v>344</v>
      </c>
      <c r="D487" s="238">
        <v>0</v>
      </c>
      <c r="E487" s="239">
        <v>165</v>
      </c>
      <c r="F487" s="238">
        <v>127.369</v>
      </c>
      <c r="G487" s="237">
        <v>77.193333333333342</v>
      </c>
    </row>
    <row r="488" spans="1:7" x14ac:dyDescent="0.2">
      <c r="A488" s="242">
        <v>3399</v>
      </c>
      <c r="B488" s="241">
        <v>5164</v>
      </c>
      <c r="C488" s="240" t="s">
        <v>343</v>
      </c>
      <c r="D488" s="238">
        <v>150</v>
      </c>
      <c r="E488" s="239">
        <v>43.73</v>
      </c>
      <c r="F488" s="238">
        <v>42.63</v>
      </c>
      <c r="G488" s="237">
        <v>97.484564372284481</v>
      </c>
    </row>
    <row r="489" spans="1:7" x14ac:dyDescent="0.2">
      <c r="A489" s="242">
        <v>3399</v>
      </c>
      <c r="B489" s="241">
        <v>5169</v>
      </c>
      <c r="C489" s="240" t="s">
        <v>341</v>
      </c>
      <c r="D489" s="238">
        <v>250</v>
      </c>
      <c r="E489" s="239">
        <v>36.1</v>
      </c>
      <c r="F489" s="238">
        <v>36.1</v>
      </c>
      <c r="G489" s="237">
        <v>100</v>
      </c>
    </row>
    <row r="490" spans="1:7" x14ac:dyDescent="0.2">
      <c r="A490" s="242">
        <v>3399</v>
      </c>
      <c r="B490" s="241">
        <v>5175</v>
      </c>
      <c r="C490" s="240" t="s">
        <v>340</v>
      </c>
      <c r="D490" s="238">
        <v>100</v>
      </c>
      <c r="E490" s="239">
        <v>277</v>
      </c>
      <c r="F490" s="238">
        <v>239.14499999999998</v>
      </c>
      <c r="G490" s="237">
        <v>86.333935018050539</v>
      </c>
    </row>
    <row r="491" spans="1:7" x14ac:dyDescent="0.2">
      <c r="A491" s="242">
        <v>3399</v>
      </c>
      <c r="B491" s="241">
        <v>5179</v>
      </c>
      <c r="C491" s="240" t="s">
        <v>359</v>
      </c>
      <c r="D491" s="238">
        <v>0</v>
      </c>
      <c r="E491" s="239">
        <v>30</v>
      </c>
      <c r="F491" s="238">
        <v>30</v>
      </c>
      <c r="G491" s="237">
        <v>100</v>
      </c>
    </row>
    <row r="492" spans="1:7" x14ac:dyDescent="0.2">
      <c r="A492" s="242">
        <v>3399</v>
      </c>
      <c r="B492" s="241">
        <v>5212</v>
      </c>
      <c r="C492" s="240" t="s">
        <v>418</v>
      </c>
      <c r="D492" s="238">
        <v>0</v>
      </c>
      <c r="E492" s="239">
        <v>10</v>
      </c>
      <c r="F492" s="238">
        <v>10</v>
      </c>
      <c r="G492" s="237">
        <v>100</v>
      </c>
    </row>
    <row r="493" spans="1:7" x14ac:dyDescent="0.2">
      <c r="A493" s="242">
        <v>3399</v>
      </c>
      <c r="B493" s="241">
        <v>5222</v>
      </c>
      <c r="C493" s="240" t="s">
        <v>354</v>
      </c>
      <c r="D493" s="238">
        <v>1300</v>
      </c>
      <c r="E493" s="239">
        <v>1365</v>
      </c>
      <c r="F493" s="238">
        <v>1365</v>
      </c>
      <c r="G493" s="237">
        <v>100</v>
      </c>
    </row>
    <row r="494" spans="1:7" x14ac:dyDescent="0.2">
      <c r="A494" s="236">
        <v>3399</v>
      </c>
      <c r="B494" s="235"/>
      <c r="C494" s="234" t="s">
        <v>439</v>
      </c>
      <c r="D494" s="232">
        <v>1800</v>
      </c>
      <c r="E494" s="233">
        <v>1962.08</v>
      </c>
      <c r="F494" s="232">
        <v>1885.4879999999998</v>
      </c>
      <c r="G494" s="231">
        <v>96.09638750713529</v>
      </c>
    </row>
    <row r="495" spans="1:7" x14ac:dyDescent="0.2">
      <c r="A495" s="242"/>
      <c r="B495" s="250"/>
      <c r="C495" s="240"/>
      <c r="D495" s="249"/>
      <c r="E495" s="249"/>
      <c r="F495" s="249"/>
      <c r="G495" s="237"/>
    </row>
    <row r="496" spans="1:7" x14ac:dyDescent="0.2">
      <c r="A496" s="248">
        <v>3419</v>
      </c>
      <c r="B496" s="247">
        <v>5134</v>
      </c>
      <c r="C496" s="246" t="s">
        <v>374</v>
      </c>
      <c r="D496" s="244">
        <v>1040</v>
      </c>
      <c r="E496" s="245">
        <v>1126.03</v>
      </c>
      <c r="F496" s="244">
        <v>648.59499999999991</v>
      </c>
      <c r="G496" s="243">
        <v>57.600152749038649</v>
      </c>
    </row>
    <row r="497" spans="1:7" x14ac:dyDescent="0.2">
      <c r="A497" s="242">
        <v>3419</v>
      </c>
      <c r="B497" s="241">
        <v>5139</v>
      </c>
      <c r="C497" s="240" t="s">
        <v>344</v>
      </c>
      <c r="D497" s="238">
        <v>60</v>
      </c>
      <c r="E497" s="239">
        <v>30.97</v>
      </c>
      <c r="F497" s="238">
        <v>30.895800000000001</v>
      </c>
      <c r="G497" s="237">
        <v>99.760413303196643</v>
      </c>
    </row>
    <row r="498" spans="1:7" x14ac:dyDescent="0.2">
      <c r="A498" s="242">
        <v>3419</v>
      </c>
      <c r="B498" s="241">
        <v>5164</v>
      </c>
      <c r="C498" s="240" t="s">
        <v>343</v>
      </c>
      <c r="D498" s="238">
        <v>50</v>
      </c>
      <c r="E498" s="239">
        <v>84.7</v>
      </c>
      <c r="F498" s="238">
        <v>84.7</v>
      </c>
      <c r="G498" s="237">
        <v>100</v>
      </c>
    </row>
    <row r="499" spans="1:7" x14ac:dyDescent="0.2">
      <c r="A499" s="242">
        <v>3419</v>
      </c>
      <c r="B499" s="241">
        <v>5169</v>
      </c>
      <c r="C499" s="240" t="s">
        <v>341</v>
      </c>
      <c r="D499" s="238">
        <v>1400</v>
      </c>
      <c r="E499" s="239">
        <v>1174.55</v>
      </c>
      <c r="F499" s="238">
        <v>1173.5983000000001</v>
      </c>
      <c r="G499" s="237">
        <v>99.918973223787845</v>
      </c>
    </row>
    <row r="500" spans="1:7" x14ac:dyDescent="0.2">
      <c r="A500" s="242">
        <v>3419</v>
      </c>
      <c r="B500" s="241">
        <v>5175</v>
      </c>
      <c r="C500" s="240" t="s">
        <v>340</v>
      </c>
      <c r="D500" s="238">
        <v>150</v>
      </c>
      <c r="E500" s="239">
        <v>15</v>
      </c>
      <c r="F500" s="238">
        <v>14.916</v>
      </c>
      <c r="G500" s="237">
        <v>99.440000000000012</v>
      </c>
    </row>
    <row r="501" spans="1:7" x14ac:dyDescent="0.2">
      <c r="A501" s="242">
        <v>3419</v>
      </c>
      <c r="B501" s="241">
        <v>5179</v>
      </c>
      <c r="C501" s="240" t="s">
        <v>359</v>
      </c>
      <c r="D501" s="238">
        <v>0</v>
      </c>
      <c r="E501" s="239">
        <v>290.39999999999998</v>
      </c>
      <c r="F501" s="238">
        <v>290.39999999999998</v>
      </c>
      <c r="G501" s="237">
        <v>100</v>
      </c>
    </row>
    <row r="502" spans="1:7" x14ac:dyDescent="0.2">
      <c r="A502" s="242">
        <v>3419</v>
      </c>
      <c r="B502" s="241">
        <v>5194</v>
      </c>
      <c r="C502" s="240" t="s">
        <v>355</v>
      </c>
      <c r="D502" s="238">
        <v>0</v>
      </c>
      <c r="E502" s="239">
        <v>91.06</v>
      </c>
      <c r="F502" s="238">
        <v>91.056999999999988</v>
      </c>
      <c r="G502" s="237">
        <v>99.996705468921576</v>
      </c>
    </row>
    <row r="503" spans="1:7" x14ac:dyDescent="0.2">
      <c r="A503" s="242">
        <v>3419</v>
      </c>
      <c r="B503" s="241">
        <v>5212</v>
      </c>
      <c r="C503" s="240" t="s">
        <v>418</v>
      </c>
      <c r="D503" s="238">
        <v>0</v>
      </c>
      <c r="E503" s="239">
        <v>20</v>
      </c>
      <c r="F503" s="238">
        <v>20</v>
      </c>
      <c r="G503" s="237">
        <v>100</v>
      </c>
    </row>
    <row r="504" spans="1:7" x14ac:dyDescent="0.2">
      <c r="A504" s="242">
        <v>3419</v>
      </c>
      <c r="B504" s="241">
        <v>5213</v>
      </c>
      <c r="C504" s="240" t="s">
        <v>411</v>
      </c>
      <c r="D504" s="238">
        <v>2000</v>
      </c>
      <c r="E504" s="239">
        <v>6650</v>
      </c>
      <c r="F504" s="238">
        <v>4850</v>
      </c>
      <c r="G504" s="237">
        <v>72.932330827067673</v>
      </c>
    </row>
    <row r="505" spans="1:7" x14ac:dyDescent="0.2">
      <c r="A505" s="242">
        <v>3419</v>
      </c>
      <c r="B505" s="241">
        <v>5221</v>
      </c>
      <c r="C505" s="240" t="s">
        <v>399</v>
      </c>
      <c r="D505" s="238">
        <v>0</v>
      </c>
      <c r="E505" s="239">
        <v>50</v>
      </c>
      <c r="F505" s="238">
        <v>50</v>
      </c>
      <c r="G505" s="237">
        <v>100</v>
      </c>
    </row>
    <row r="506" spans="1:7" x14ac:dyDescent="0.2">
      <c r="A506" s="242">
        <v>3419</v>
      </c>
      <c r="B506" s="241">
        <v>5222</v>
      </c>
      <c r="C506" s="240" t="s">
        <v>354</v>
      </c>
      <c r="D506" s="238">
        <v>8800</v>
      </c>
      <c r="E506" s="239">
        <v>29123.289999999997</v>
      </c>
      <c r="F506" s="238">
        <v>28854.252999999993</v>
      </c>
      <c r="G506" s="237">
        <v>99.07621357339778</v>
      </c>
    </row>
    <row r="507" spans="1:7" x14ac:dyDescent="0.2">
      <c r="A507" s="242">
        <v>3419</v>
      </c>
      <c r="B507" s="241">
        <v>5229</v>
      </c>
      <c r="C507" s="240" t="s">
        <v>390</v>
      </c>
      <c r="D507" s="238">
        <v>14500</v>
      </c>
      <c r="E507" s="239">
        <v>810</v>
      </c>
      <c r="F507" s="238">
        <v>810</v>
      </c>
      <c r="G507" s="237">
        <v>100</v>
      </c>
    </row>
    <row r="508" spans="1:7" x14ac:dyDescent="0.2">
      <c r="A508" s="242">
        <v>3419</v>
      </c>
      <c r="B508" s="241">
        <v>5240</v>
      </c>
      <c r="C508" s="240" t="s">
        <v>389</v>
      </c>
      <c r="D508" s="238">
        <v>10000</v>
      </c>
      <c r="E508" s="239">
        <v>10000</v>
      </c>
      <c r="F508" s="238">
        <v>10000</v>
      </c>
      <c r="G508" s="237">
        <v>100</v>
      </c>
    </row>
    <row r="509" spans="1:7" x14ac:dyDescent="0.2">
      <c r="A509" s="242">
        <v>3419</v>
      </c>
      <c r="B509" s="241">
        <v>5321</v>
      </c>
      <c r="C509" s="240" t="s">
        <v>353</v>
      </c>
      <c r="D509" s="238">
        <v>0</v>
      </c>
      <c r="E509" s="239">
        <v>85</v>
      </c>
      <c r="F509" s="238">
        <v>85</v>
      </c>
      <c r="G509" s="237">
        <v>100</v>
      </c>
    </row>
    <row r="510" spans="1:7" x14ac:dyDescent="0.2">
      <c r="A510" s="242">
        <v>3419</v>
      </c>
      <c r="B510" s="241">
        <v>5331</v>
      </c>
      <c r="C510" s="240" t="s">
        <v>403</v>
      </c>
      <c r="D510" s="238">
        <v>0</v>
      </c>
      <c r="E510" s="239">
        <v>260</v>
      </c>
      <c r="F510" s="238">
        <v>260</v>
      </c>
      <c r="G510" s="237">
        <v>100</v>
      </c>
    </row>
    <row r="511" spans="1:7" x14ac:dyDescent="0.2">
      <c r="A511" s="242">
        <v>3419</v>
      </c>
      <c r="B511" s="241">
        <v>5493</v>
      </c>
      <c r="C511" s="240" t="s">
        <v>429</v>
      </c>
      <c r="D511" s="238">
        <v>0</v>
      </c>
      <c r="E511" s="239">
        <v>123</v>
      </c>
      <c r="F511" s="238">
        <v>123</v>
      </c>
      <c r="G511" s="237">
        <v>100</v>
      </c>
    </row>
    <row r="512" spans="1:7" x14ac:dyDescent="0.2">
      <c r="A512" s="236">
        <v>3419</v>
      </c>
      <c r="B512" s="235"/>
      <c r="C512" s="234" t="s">
        <v>205</v>
      </c>
      <c r="D512" s="232">
        <v>38000</v>
      </c>
      <c r="E512" s="233">
        <v>49934</v>
      </c>
      <c r="F512" s="232">
        <v>47386.415099999991</v>
      </c>
      <c r="G512" s="231">
        <v>94.898095686305908</v>
      </c>
    </row>
    <row r="513" spans="1:7" x14ac:dyDescent="0.2">
      <c r="A513" s="242"/>
      <c r="B513" s="250"/>
      <c r="C513" s="240"/>
      <c r="D513" s="249"/>
      <c r="E513" s="249"/>
      <c r="F513" s="249"/>
      <c r="G513" s="237"/>
    </row>
    <row r="514" spans="1:7" x14ac:dyDescent="0.2">
      <c r="A514" s="248">
        <v>3421</v>
      </c>
      <c r="B514" s="247">
        <v>5164</v>
      </c>
      <c r="C514" s="246" t="s">
        <v>343</v>
      </c>
      <c r="D514" s="244">
        <v>0</v>
      </c>
      <c r="E514" s="245">
        <v>4.3000000000000007</v>
      </c>
      <c r="F514" s="244">
        <v>4.29</v>
      </c>
      <c r="G514" s="243">
        <v>99.767441860465098</v>
      </c>
    </row>
    <row r="515" spans="1:7" x14ac:dyDescent="0.2">
      <c r="A515" s="242">
        <v>3421</v>
      </c>
      <c r="B515" s="241">
        <v>5169</v>
      </c>
      <c r="C515" s="240" t="s">
        <v>341</v>
      </c>
      <c r="D515" s="238">
        <v>298</v>
      </c>
      <c r="E515" s="239">
        <v>18.71</v>
      </c>
      <c r="F515" s="238">
        <v>18.7</v>
      </c>
      <c r="G515" s="237">
        <v>99.946552645644033</v>
      </c>
    </row>
    <row r="516" spans="1:7" x14ac:dyDescent="0.2">
      <c r="A516" s="242">
        <v>3421</v>
      </c>
      <c r="B516" s="241">
        <v>5175</v>
      </c>
      <c r="C516" s="240" t="s">
        <v>340</v>
      </c>
      <c r="D516" s="238">
        <v>0</v>
      </c>
      <c r="E516" s="239">
        <v>46.68</v>
      </c>
      <c r="F516" s="238">
        <v>45.879000000000005</v>
      </c>
      <c r="G516" s="237">
        <v>98.284061696658114</v>
      </c>
    </row>
    <row r="517" spans="1:7" x14ac:dyDescent="0.2">
      <c r="A517" s="242">
        <v>3421</v>
      </c>
      <c r="B517" s="241">
        <v>5213</v>
      </c>
      <c r="C517" s="240" t="s">
        <v>411</v>
      </c>
      <c r="D517" s="238">
        <v>0</v>
      </c>
      <c r="E517" s="239">
        <v>971.44</v>
      </c>
      <c r="F517" s="238">
        <v>921.43499999999995</v>
      </c>
      <c r="G517" s="237">
        <v>94.852487029564344</v>
      </c>
    </row>
    <row r="518" spans="1:7" x14ac:dyDescent="0.2">
      <c r="A518" s="242">
        <v>3421</v>
      </c>
      <c r="B518" s="241">
        <v>5221</v>
      </c>
      <c r="C518" s="240" t="s">
        <v>399</v>
      </c>
      <c r="D518" s="238">
        <v>0</v>
      </c>
      <c r="E518" s="239">
        <v>80</v>
      </c>
      <c r="F518" s="238">
        <v>80</v>
      </c>
      <c r="G518" s="237">
        <v>100</v>
      </c>
    </row>
    <row r="519" spans="1:7" x14ac:dyDescent="0.2">
      <c r="A519" s="242">
        <v>3421</v>
      </c>
      <c r="B519" s="241">
        <v>5222</v>
      </c>
      <c r="C519" s="240" t="s">
        <v>354</v>
      </c>
      <c r="D519" s="238">
        <v>400</v>
      </c>
      <c r="E519" s="239">
        <v>2211.04</v>
      </c>
      <c r="F519" s="238">
        <v>2191.114</v>
      </c>
      <c r="G519" s="237">
        <v>99.098795137130054</v>
      </c>
    </row>
    <row r="520" spans="1:7" x14ac:dyDescent="0.2">
      <c r="A520" s="242">
        <v>3421</v>
      </c>
      <c r="B520" s="241">
        <v>5229</v>
      </c>
      <c r="C520" s="240" t="s">
        <v>390</v>
      </c>
      <c r="D520" s="238">
        <v>2200</v>
      </c>
      <c r="E520" s="239">
        <v>0</v>
      </c>
      <c r="F520" s="238">
        <v>0</v>
      </c>
      <c r="G520" s="260" t="s">
        <v>279</v>
      </c>
    </row>
    <row r="521" spans="1:7" x14ac:dyDescent="0.2">
      <c r="A521" s="242">
        <v>3421</v>
      </c>
      <c r="B521" s="241">
        <v>5321</v>
      </c>
      <c r="C521" s="240" t="s">
        <v>353</v>
      </c>
      <c r="D521" s="238">
        <v>0</v>
      </c>
      <c r="E521" s="239">
        <v>587.79999999999995</v>
      </c>
      <c r="F521" s="238">
        <v>587.79999999999995</v>
      </c>
      <c r="G521" s="237">
        <v>100</v>
      </c>
    </row>
    <row r="522" spans="1:7" x14ac:dyDescent="0.2">
      <c r="A522" s="242">
        <v>3421</v>
      </c>
      <c r="B522" s="241">
        <v>5331</v>
      </c>
      <c r="C522" s="240" t="s">
        <v>403</v>
      </c>
      <c r="D522" s="238">
        <v>1182</v>
      </c>
      <c r="E522" s="239">
        <v>90</v>
      </c>
      <c r="F522" s="238">
        <v>90</v>
      </c>
      <c r="G522" s="237">
        <v>100</v>
      </c>
    </row>
    <row r="523" spans="1:7" x14ac:dyDescent="0.2">
      <c r="A523" s="242">
        <v>3421</v>
      </c>
      <c r="B523" s="241">
        <v>5493</v>
      </c>
      <c r="C523" s="240" t="s">
        <v>429</v>
      </c>
      <c r="D523" s="238">
        <v>0</v>
      </c>
      <c r="E523" s="239">
        <v>458.87999999999994</v>
      </c>
      <c r="F523" s="238">
        <v>458.38980000000004</v>
      </c>
      <c r="G523" s="237">
        <v>99.893174686192481</v>
      </c>
    </row>
    <row r="524" spans="1:7" x14ac:dyDescent="0.2">
      <c r="A524" s="236">
        <v>3421</v>
      </c>
      <c r="B524" s="235"/>
      <c r="C524" s="234" t="s">
        <v>202</v>
      </c>
      <c r="D524" s="232">
        <v>4080</v>
      </c>
      <c r="E524" s="233">
        <v>4468.8500000000004</v>
      </c>
      <c r="F524" s="232">
        <v>4397.6077999999998</v>
      </c>
      <c r="G524" s="231">
        <v>98.405804625351024</v>
      </c>
    </row>
    <row r="525" spans="1:7" x14ac:dyDescent="0.2">
      <c r="A525" s="242"/>
      <c r="B525" s="250"/>
      <c r="C525" s="240"/>
      <c r="D525" s="249"/>
      <c r="E525" s="249"/>
      <c r="F525" s="249"/>
      <c r="G525" s="237"/>
    </row>
    <row r="526" spans="1:7" x14ac:dyDescent="0.2">
      <c r="A526" s="248">
        <v>3522</v>
      </c>
      <c r="B526" s="247">
        <v>5011</v>
      </c>
      <c r="C526" s="246" t="s">
        <v>386</v>
      </c>
      <c r="D526" s="244">
        <v>0</v>
      </c>
      <c r="E526" s="245">
        <v>652.29999999999995</v>
      </c>
      <c r="F526" s="244">
        <v>480.27599999999995</v>
      </c>
      <c r="G526" s="243">
        <v>73.628085236854204</v>
      </c>
    </row>
    <row r="527" spans="1:7" x14ac:dyDescent="0.2">
      <c r="A527" s="242">
        <v>3522</v>
      </c>
      <c r="B527" s="241">
        <v>5031</v>
      </c>
      <c r="C527" s="240" t="s">
        <v>383</v>
      </c>
      <c r="D527" s="238">
        <v>0</v>
      </c>
      <c r="E527" s="239">
        <v>163.08000000000001</v>
      </c>
      <c r="F527" s="238">
        <v>120.01900000000002</v>
      </c>
      <c r="G527" s="237">
        <v>73.595168015697823</v>
      </c>
    </row>
    <row r="528" spans="1:7" x14ac:dyDescent="0.2">
      <c r="A528" s="242">
        <v>3522</v>
      </c>
      <c r="B528" s="241">
        <v>5032</v>
      </c>
      <c r="C528" s="240" t="s">
        <v>382</v>
      </c>
      <c r="D528" s="238">
        <v>0</v>
      </c>
      <c r="E528" s="239">
        <v>58.72</v>
      </c>
      <c r="F528" s="238">
        <v>43.158000000000001</v>
      </c>
      <c r="G528" s="237">
        <v>73.497956403269754</v>
      </c>
    </row>
    <row r="529" spans="1:7" x14ac:dyDescent="0.2">
      <c r="A529" s="242">
        <v>3522</v>
      </c>
      <c r="B529" s="241">
        <v>5038</v>
      </c>
      <c r="C529" s="240" t="s">
        <v>381</v>
      </c>
      <c r="D529" s="238">
        <v>0</v>
      </c>
      <c r="E529" s="239">
        <v>2.77</v>
      </c>
      <c r="F529" s="238">
        <v>1.95</v>
      </c>
      <c r="G529" s="237">
        <v>70.397111913357406</v>
      </c>
    </row>
    <row r="530" spans="1:7" x14ac:dyDescent="0.2">
      <c r="A530" s="242">
        <v>3522</v>
      </c>
      <c r="B530" s="241">
        <v>5137</v>
      </c>
      <c r="C530" s="240" t="s">
        <v>345</v>
      </c>
      <c r="D530" s="238">
        <v>96561</v>
      </c>
      <c r="E530" s="239">
        <v>75194.280000000013</v>
      </c>
      <c r="F530" s="238">
        <v>66806.441809999989</v>
      </c>
      <c r="G530" s="237">
        <v>88.845111370173342</v>
      </c>
    </row>
    <row r="531" spans="1:7" x14ac:dyDescent="0.2">
      <c r="A531" s="242">
        <v>3522</v>
      </c>
      <c r="B531" s="241">
        <v>5139</v>
      </c>
      <c r="C531" s="240" t="s">
        <v>344</v>
      </c>
      <c r="D531" s="238">
        <v>0</v>
      </c>
      <c r="E531" s="239">
        <v>151.49</v>
      </c>
      <c r="F531" s="238">
        <v>149.23127000000002</v>
      </c>
      <c r="G531" s="237">
        <v>98.508990692454958</v>
      </c>
    </row>
    <row r="532" spans="1:7" x14ac:dyDescent="0.2">
      <c r="A532" s="242">
        <v>3522</v>
      </c>
      <c r="B532" s="241">
        <v>5166</v>
      </c>
      <c r="C532" s="240" t="s">
        <v>342</v>
      </c>
      <c r="D532" s="238">
        <v>250</v>
      </c>
      <c r="E532" s="239">
        <v>26</v>
      </c>
      <c r="F532" s="238">
        <v>19.965</v>
      </c>
      <c r="G532" s="237">
        <v>76.788461538461533</v>
      </c>
    </row>
    <row r="533" spans="1:7" x14ac:dyDescent="0.2">
      <c r="A533" s="242">
        <v>3522</v>
      </c>
      <c r="B533" s="241">
        <v>5167</v>
      </c>
      <c r="C533" s="240" t="s">
        <v>365</v>
      </c>
      <c r="D533" s="238">
        <v>152</v>
      </c>
      <c r="E533" s="239">
        <v>212.92</v>
      </c>
      <c r="F533" s="238">
        <v>203.42812000000001</v>
      </c>
      <c r="G533" s="237">
        <v>95.542043960172833</v>
      </c>
    </row>
    <row r="534" spans="1:7" x14ac:dyDescent="0.2">
      <c r="A534" s="242">
        <v>3522</v>
      </c>
      <c r="B534" s="241">
        <v>5169</v>
      </c>
      <c r="C534" s="240" t="s">
        <v>341</v>
      </c>
      <c r="D534" s="238">
        <v>100</v>
      </c>
      <c r="E534" s="239">
        <v>471.84000000000009</v>
      </c>
      <c r="F534" s="238">
        <v>465.32668000000012</v>
      </c>
      <c r="G534" s="237">
        <v>98.619591386910827</v>
      </c>
    </row>
    <row r="535" spans="1:7" x14ac:dyDescent="0.2">
      <c r="A535" s="242">
        <v>3522</v>
      </c>
      <c r="B535" s="241">
        <v>5171</v>
      </c>
      <c r="C535" s="240" t="s">
        <v>363</v>
      </c>
      <c r="D535" s="238">
        <v>7397</v>
      </c>
      <c r="E535" s="239">
        <v>5467.07</v>
      </c>
      <c r="F535" s="238">
        <v>1423.9473600000001</v>
      </c>
      <c r="G535" s="237">
        <v>26.045895882072116</v>
      </c>
    </row>
    <row r="536" spans="1:7" x14ac:dyDescent="0.2">
      <c r="A536" s="242">
        <v>3522</v>
      </c>
      <c r="B536" s="241">
        <v>5172</v>
      </c>
      <c r="C536" s="240" t="s">
        <v>362</v>
      </c>
      <c r="D536" s="238">
        <v>0</v>
      </c>
      <c r="E536" s="239">
        <v>343.15999999999997</v>
      </c>
      <c r="F536" s="238">
        <v>338.73563000000001</v>
      </c>
      <c r="G536" s="237">
        <v>98.710697633756865</v>
      </c>
    </row>
    <row r="537" spans="1:7" x14ac:dyDescent="0.2">
      <c r="A537" s="242">
        <v>3522</v>
      </c>
      <c r="B537" s="241">
        <v>5192</v>
      </c>
      <c r="C537" s="240" t="s">
        <v>356</v>
      </c>
      <c r="D537" s="238">
        <v>3</v>
      </c>
      <c r="E537" s="239">
        <v>2.5</v>
      </c>
      <c r="F537" s="238">
        <v>2.4239999999999999</v>
      </c>
      <c r="G537" s="237">
        <v>96.960000000000008</v>
      </c>
    </row>
    <row r="538" spans="1:7" x14ac:dyDescent="0.2">
      <c r="A538" s="242">
        <v>3522</v>
      </c>
      <c r="B538" s="241">
        <v>5213</v>
      </c>
      <c r="C538" s="240" t="s">
        <v>411</v>
      </c>
      <c r="D538" s="238">
        <v>0</v>
      </c>
      <c r="E538" s="239">
        <v>20</v>
      </c>
      <c r="F538" s="238">
        <v>20</v>
      </c>
      <c r="G538" s="237">
        <v>100</v>
      </c>
    </row>
    <row r="539" spans="1:7" x14ac:dyDescent="0.2">
      <c r="A539" s="242">
        <v>3522</v>
      </c>
      <c r="B539" s="241">
        <v>5331</v>
      </c>
      <c r="C539" s="240" t="s">
        <v>403</v>
      </c>
      <c r="D539" s="238">
        <v>40633</v>
      </c>
      <c r="E539" s="239">
        <v>45068.63</v>
      </c>
      <c r="F539" s="238">
        <v>42836.898690000002</v>
      </c>
      <c r="G539" s="237">
        <v>95.048149211546928</v>
      </c>
    </row>
    <row r="540" spans="1:7" x14ac:dyDescent="0.2">
      <c r="A540" s="242">
        <v>3522</v>
      </c>
      <c r="B540" s="241">
        <v>5336</v>
      </c>
      <c r="C540" s="240" t="s">
        <v>401</v>
      </c>
      <c r="D540" s="238">
        <v>0</v>
      </c>
      <c r="E540" s="239">
        <v>6126.4299999999994</v>
      </c>
      <c r="F540" s="238">
        <v>6117.4223000000011</v>
      </c>
      <c r="G540" s="237">
        <v>99.852969837246192</v>
      </c>
    </row>
    <row r="541" spans="1:7" x14ac:dyDescent="0.2">
      <c r="A541" s="242">
        <v>3522</v>
      </c>
      <c r="B541" s="241">
        <v>5363</v>
      </c>
      <c r="C541" s="240" t="s">
        <v>351</v>
      </c>
      <c r="D541" s="238">
        <v>0</v>
      </c>
      <c r="E541" s="239">
        <v>13536</v>
      </c>
      <c r="F541" s="238">
        <v>10439.549999999999</v>
      </c>
      <c r="G541" s="237">
        <v>77.124335106382972</v>
      </c>
    </row>
    <row r="542" spans="1:7" x14ac:dyDescent="0.2">
      <c r="A542" s="236">
        <v>3522</v>
      </c>
      <c r="B542" s="235"/>
      <c r="C542" s="234" t="s">
        <v>201</v>
      </c>
      <c r="D542" s="232">
        <v>145096</v>
      </c>
      <c r="E542" s="233">
        <v>147497.19</v>
      </c>
      <c r="F542" s="232">
        <v>129468.77386</v>
      </c>
      <c r="G542" s="231">
        <v>87.777112133458274</v>
      </c>
    </row>
    <row r="543" spans="1:7" x14ac:dyDescent="0.2">
      <c r="A543" s="242"/>
      <c r="B543" s="250"/>
      <c r="C543" s="240"/>
      <c r="D543" s="249"/>
      <c r="E543" s="249"/>
      <c r="F543" s="249"/>
      <c r="G543" s="237"/>
    </row>
    <row r="544" spans="1:7" x14ac:dyDescent="0.2">
      <c r="A544" s="248">
        <v>3523</v>
      </c>
      <c r="B544" s="247">
        <v>5213</v>
      </c>
      <c r="C544" s="246" t="s">
        <v>411</v>
      </c>
      <c r="D544" s="244">
        <v>400</v>
      </c>
      <c r="E544" s="245">
        <v>430</v>
      </c>
      <c r="F544" s="244">
        <v>430</v>
      </c>
      <c r="G544" s="243">
        <v>100</v>
      </c>
    </row>
    <row r="545" spans="1:7" x14ac:dyDescent="0.2">
      <c r="A545" s="242">
        <v>3523</v>
      </c>
      <c r="B545" s="241">
        <v>5331</v>
      </c>
      <c r="C545" s="240" t="s">
        <v>403</v>
      </c>
      <c r="D545" s="238">
        <v>5143</v>
      </c>
      <c r="E545" s="239">
        <v>5193</v>
      </c>
      <c r="F545" s="238">
        <v>5193</v>
      </c>
      <c r="G545" s="237">
        <v>100</v>
      </c>
    </row>
    <row r="546" spans="1:7" x14ac:dyDescent="0.2">
      <c r="A546" s="236">
        <v>3523</v>
      </c>
      <c r="B546" s="235"/>
      <c r="C546" s="234" t="s">
        <v>300</v>
      </c>
      <c r="D546" s="232">
        <v>5543</v>
      </c>
      <c r="E546" s="233">
        <v>5623</v>
      </c>
      <c r="F546" s="232">
        <v>5623</v>
      </c>
      <c r="G546" s="231">
        <v>100</v>
      </c>
    </row>
    <row r="547" spans="1:7" x14ac:dyDescent="0.2">
      <c r="A547" s="242"/>
      <c r="B547" s="250"/>
      <c r="C547" s="240"/>
      <c r="D547" s="249"/>
      <c r="E547" s="249"/>
      <c r="F547" s="249"/>
      <c r="G547" s="237"/>
    </row>
    <row r="548" spans="1:7" x14ac:dyDescent="0.2">
      <c r="A548" s="248">
        <v>3529</v>
      </c>
      <c r="B548" s="247">
        <v>5331</v>
      </c>
      <c r="C548" s="246" t="s">
        <v>403</v>
      </c>
      <c r="D548" s="244">
        <v>42406</v>
      </c>
      <c r="E548" s="245">
        <v>42424.5</v>
      </c>
      <c r="F548" s="244">
        <v>42424.5</v>
      </c>
      <c r="G548" s="243">
        <v>100</v>
      </c>
    </row>
    <row r="549" spans="1:7" x14ac:dyDescent="0.2">
      <c r="A549" s="236">
        <v>3529</v>
      </c>
      <c r="B549" s="235"/>
      <c r="C549" s="234" t="s">
        <v>438</v>
      </c>
      <c r="D549" s="232">
        <v>42406</v>
      </c>
      <c r="E549" s="233">
        <v>42424.5</v>
      </c>
      <c r="F549" s="232">
        <v>42424.5</v>
      </c>
      <c r="G549" s="231">
        <v>100</v>
      </c>
    </row>
    <row r="550" spans="1:7" x14ac:dyDescent="0.2">
      <c r="A550" s="242"/>
      <c r="B550" s="250"/>
      <c r="C550" s="240"/>
      <c r="D550" s="249"/>
      <c r="E550" s="249"/>
      <c r="F550" s="249"/>
      <c r="G550" s="237"/>
    </row>
    <row r="551" spans="1:7" x14ac:dyDescent="0.2">
      <c r="A551" s="248">
        <v>3531</v>
      </c>
      <c r="B551" s="247">
        <v>5319</v>
      </c>
      <c r="C551" s="246" t="s">
        <v>397</v>
      </c>
      <c r="D551" s="244">
        <v>0</v>
      </c>
      <c r="E551" s="245">
        <v>20</v>
      </c>
      <c r="F551" s="244">
        <v>20</v>
      </c>
      <c r="G551" s="243">
        <v>100</v>
      </c>
    </row>
    <row r="552" spans="1:7" x14ac:dyDescent="0.2">
      <c r="A552" s="236">
        <v>3531</v>
      </c>
      <c r="B552" s="235"/>
      <c r="C552" s="234" t="s">
        <v>437</v>
      </c>
      <c r="D552" s="232">
        <v>0</v>
      </c>
      <c r="E552" s="233">
        <v>20</v>
      </c>
      <c r="F552" s="232">
        <v>20</v>
      </c>
      <c r="G552" s="231">
        <v>100</v>
      </c>
    </row>
    <row r="553" spans="1:7" x14ac:dyDescent="0.2">
      <c r="A553" s="242"/>
      <c r="B553" s="250"/>
      <c r="C553" s="240"/>
      <c r="D553" s="249"/>
      <c r="E553" s="249"/>
      <c r="F553" s="249"/>
      <c r="G553" s="237"/>
    </row>
    <row r="554" spans="1:7" x14ac:dyDescent="0.2">
      <c r="A554" s="248">
        <v>3533</v>
      </c>
      <c r="B554" s="247">
        <v>5137</v>
      </c>
      <c r="C554" s="246" t="s">
        <v>345</v>
      </c>
      <c r="D554" s="244">
        <v>2100</v>
      </c>
      <c r="E554" s="245">
        <v>2966.11</v>
      </c>
      <c r="F554" s="244">
        <v>1817.9324000000001</v>
      </c>
      <c r="G554" s="243">
        <v>61.290120730519106</v>
      </c>
    </row>
    <row r="555" spans="1:7" x14ac:dyDescent="0.2">
      <c r="A555" s="242">
        <v>3533</v>
      </c>
      <c r="B555" s="241">
        <v>5139</v>
      </c>
      <c r="C555" s="240" t="s">
        <v>344</v>
      </c>
      <c r="D555" s="238">
        <v>60</v>
      </c>
      <c r="E555" s="239">
        <v>60</v>
      </c>
      <c r="F555" s="238">
        <v>0</v>
      </c>
      <c r="G555" s="237">
        <v>0</v>
      </c>
    </row>
    <row r="556" spans="1:7" x14ac:dyDescent="0.2">
      <c r="A556" s="242">
        <v>3533</v>
      </c>
      <c r="B556" s="241">
        <v>5167</v>
      </c>
      <c r="C556" s="240" t="s">
        <v>365</v>
      </c>
      <c r="D556" s="238">
        <v>0</v>
      </c>
      <c r="E556" s="239">
        <v>278.26</v>
      </c>
      <c r="F556" s="238">
        <v>270.072</v>
      </c>
      <c r="G556" s="237">
        <v>97.057428304463457</v>
      </c>
    </row>
    <row r="557" spans="1:7" x14ac:dyDescent="0.2">
      <c r="A557" s="242">
        <v>3533</v>
      </c>
      <c r="B557" s="241">
        <v>5169</v>
      </c>
      <c r="C557" s="240" t="s">
        <v>341</v>
      </c>
      <c r="D557" s="238">
        <v>420</v>
      </c>
      <c r="E557" s="239">
        <v>2395</v>
      </c>
      <c r="F557" s="238">
        <v>1974.7805000000001</v>
      </c>
      <c r="G557" s="237">
        <v>82.4543006263048</v>
      </c>
    </row>
    <row r="558" spans="1:7" x14ac:dyDescent="0.2">
      <c r="A558" s="242">
        <v>3533</v>
      </c>
      <c r="B558" s="241">
        <v>5172</v>
      </c>
      <c r="C558" s="240" t="s">
        <v>362</v>
      </c>
      <c r="D558" s="238">
        <v>0</v>
      </c>
      <c r="E558" s="239">
        <v>2225</v>
      </c>
      <c r="F558" s="238">
        <v>663.04369999999994</v>
      </c>
      <c r="G558" s="237">
        <v>29.799716853932583</v>
      </c>
    </row>
    <row r="559" spans="1:7" x14ac:dyDescent="0.2">
      <c r="A559" s="242">
        <v>3533</v>
      </c>
      <c r="B559" s="241">
        <v>5173</v>
      </c>
      <c r="C559" s="240" t="s">
        <v>361</v>
      </c>
      <c r="D559" s="238">
        <v>60</v>
      </c>
      <c r="E559" s="239">
        <v>60</v>
      </c>
      <c r="F559" s="238">
        <v>0</v>
      </c>
      <c r="G559" s="237">
        <v>0</v>
      </c>
    </row>
    <row r="560" spans="1:7" x14ac:dyDescent="0.2">
      <c r="A560" s="242">
        <v>3533</v>
      </c>
      <c r="B560" s="241">
        <v>5331</v>
      </c>
      <c r="C560" s="240" t="s">
        <v>403</v>
      </c>
      <c r="D560" s="238">
        <v>344084</v>
      </c>
      <c r="E560" s="239">
        <v>358084</v>
      </c>
      <c r="F560" s="238">
        <v>358084</v>
      </c>
      <c r="G560" s="237">
        <v>100</v>
      </c>
    </row>
    <row r="561" spans="1:7" x14ac:dyDescent="0.2">
      <c r="A561" s="242">
        <v>3533</v>
      </c>
      <c r="B561" s="241">
        <v>5336</v>
      </c>
      <c r="C561" s="240" t="s">
        <v>401</v>
      </c>
      <c r="D561" s="238">
        <v>0</v>
      </c>
      <c r="E561" s="239">
        <v>2416.7600000000002</v>
      </c>
      <c r="F561" s="238">
        <v>2416.7600000000002</v>
      </c>
      <c r="G561" s="237">
        <v>100</v>
      </c>
    </row>
    <row r="562" spans="1:7" x14ac:dyDescent="0.2">
      <c r="A562" s="236">
        <v>3533</v>
      </c>
      <c r="B562" s="235"/>
      <c r="C562" s="234" t="s">
        <v>200</v>
      </c>
      <c r="D562" s="232">
        <v>346724</v>
      </c>
      <c r="E562" s="233">
        <v>368485.13</v>
      </c>
      <c r="F562" s="232">
        <v>365226.58860000002</v>
      </c>
      <c r="G562" s="231">
        <v>99.11569256539606</v>
      </c>
    </row>
    <row r="563" spans="1:7" x14ac:dyDescent="0.2">
      <c r="A563" s="242"/>
      <c r="B563" s="250"/>
      <c r="C563" s="240"/>
      <c r="D563" s="249"/>
      <c r="E563" s="249"/>
      <c r="F563" s="249"/>
      <c r="G563" s="237"/>
    </row>
    <row r="564" spans="1:7" x14ac:dyDescent="0.2">
      <c r="A564" s="248">
        <v>3541</v>
      </c>
      <c r="B564" s="247">
        <v>5021</v>
      </c>
      <c r="C564" s="246" t="s">
        <v>385</v>
      </c>
      <c r="D564" s="244">
        <v>0</v>
      </c>
      <c r="E564" s="245">
        <v>9</v>
      </c>
      <c r="F564" s="244">
        <v>9</v>
      </c>
      <c r="G564" s="243">
        <v>100</v>
      </c>
    </row>
    <row r="565" spans="1:7" x14ac:dyDescent="0.2">
      <c r="A565" s="242">
        <v>3541</v>
      </c>
      <c r="B565" s="241">
        <v>5169</v>
      </c>
      <c r="C565" s="240" t="s">
        <v>341</v>
      </c>
      <c r="D565" s="238">
        <v>102</v>
      </c>
      <c r="E565" s="239">
        <v>81</v>
      </c>
      <c r="F565" s="238">
        <v>80.400000000000006</v>
      </c>
      <c r="G565" s="237">
        <v>99.259259259259267</v>
      </c>
    </row>
    <row r="566" spans="1:7" x14ac:dyDescent="0.2">
      <c r="A566" s="242">
        <v>3541</v>
      </c>
      <c r="B566" s="241">
        <v>5194</v>
      </c>
      <c r="C566" s="240" t="s">
        <v>355</v>
      </c>
      <c r="D566" s="238">
        <v>18</v>
      </c>
      <c r="E566" s="239">
        <v>30</v>
      </c>
      <c r="F566" s="238">
        <v>29.97</v>
      </c>
      <c r="G566" s="237">
        <v>99.9</v>
      </c>
    </row>
    <row r="567" spans="1:7" x14ac:dyDescent="0.2">
      <c r="A567" s="242">
        <v>3541</v>
      </c>
      <c r="B567" s="241">
        <v>5229</v>
      </c>
      <c r="C567" s="240" t="s">
        <v>390</v>
      </c>
      <c r="D567" s="238">
        <v>2300</v>
      </c>
      <c r="E567" s="239">
        <v>0</v>
      </c>
      <c r="F567" s="238">
        <v>0</v>
      </c>
      <c r="G567" s="260" t="s">
        <v>279</v>
      </c>
    </row>
    <row r="568" spans="1:7" x14ac:dyDescent="0.2">
      <c r="A568" s="242">
        <v>3541</v>
      </c>
      <c r="B568" s="241">
        <v>5336</v>
      </c>
      <c r="C568" s="240" t="s">
        <v>401</v>
      </c>
      <c r="D568" s="238">
        <v>0</v>
      </c>
      <c r="E568" s="239">
        <v>255.8</v>
      </c>
      <c r="F568" s="238">
        <v>215.79900000000001</v>
      </c>
      <c r="G568" s="237">
        <v>84.362392494136046</v>
      </c>
    </row>
    <row r="569" spans="1:7" x14ac:dyDescent="0.2">
      <c r="A569" s="236">
        <v>3541</v>
      </c>
      <c r="B569" s="235"/>
      <c r="C569" s="234" t="s">
        <v>436</v>
      </c>
      <c r="D569" s="232">
        <v>2420</v>
      </c>
      <c r="E569" s="233">
        <v>375.8</v>
      </c>
      <c r="F569" s="232">
        <v>335.16899999999998</v>
      </c>
      <c r="G569" s="231">
        <v>89.188131985098451</v>
      </c>
    </row>
    <row r="570" spans="1:7" x14ac:dyDescent="0.2">
      <c r="A570" s="242"/>
      <c r="B570" s="250"/>
      <c r="C570" s="240"/>
      <c r="D570" s="249"/>
      <c r="E570" s="249"/>
      <c r="F570" s="249"/>
      <c r="G570" s="237"/>
    </row>
    <row r="571" spans="1:7" x14ac:dyDescent="0.2">
      <c r="A571" s="248">
        <v>3549</v>
      </c>
      <c r="B571" s="247">
        <v>5221</v>
      </c>
      <c r="C571" s="246" t="s">
        <v>399</v>
      </c>
      <c r="D571" s="244">
        <v>0</v>
      </c>
      <c r="E571" s="245">
        <v>80</v>
      </c>
      <c r="F571" s="244">
        <v>80</v>
      </c>
      <c r="G571" s="243">
        <v>100</v>
      </c>
    </row>
    <row r="572" spans="1:7" x14ac:dyDescent="0.2">
      <c r="A572" s="242">
        <v>3549</v>
      </c>
      <c r="B572" s="241">
        <v>5222</v>
      </c>
      <c r="C572" s="240" t="s">
        <v>354</v>
      </c>
      <c r="D572" s="238">
        <v>0</v>
      </c>
      <c r="E572" s="239">
        <v>330.8</v>
      </c>
      <c r="F572" s="238">
        <v>330.8</v>
      </c>
      <c r="G572" s="237">
        <v>100</v>
      </c>
    </row>
    <row r="573" spans="1:7" x14ac:dyDescent="0.2">
      <c r="A573" s="242">
        <v>3549</v>
      </c>
      <c r="B573" s="241">
        <v>5223</v>
      </c>
      <c r="C573" s="240" t="s">
        <v>400</v>
      </c>
      <c r="D573" s="238">
        <v>0</v>
      </c>
      <c r="E573" s="239">
        <v>402</v>
      </c>
      <c r="F573" s="238">
        <v>402</v>
      </c>
      <c r="G573" s="237">
        <v>100</v>
      </c>
    </row>
    <row r="574" spans="1:7" x14ac:dyDescent="0.2">
      <c r="A574" s="242">
        <v>3549</v>
      </c>
      <c r="B574" s="241">
        <v>5229</v>
      </c>
      <c r="C574" s="240" t="s">
        <v>390</v>
      </c>
      <c r="D574" s="238">
        <v>1000</v>
      </c>
      <c r="E574" s="239">
        <v>7.2</v>
      </c>
      <c r="F574" s="238">
        <v>0</v>
      </c>
      <c r="G574" s="237">
        <v>0</v>
      </c>
    </row>
    <row r="575" spans="1:7" x14ac:dyDescent="0.2">
      <c r="A575" s="236">
        <v>3549</v>
      </c>
      <c r="B575" s="235"/>
      <c r="C575" s="234" t="s">
        <v>435</v>
      </c>
      <c r="D575" s="232">
        <v>1000</v>
      </c>
      <c r="E575" s="233">
        <v>820</v>
      </c>
      <c r="F575" s="232">
        <v>812.8</v>
      </c>
      <c r="G575" s="231">
        <v>99.121951219512198</v>
      </c>
    </row>
    <row r="576" spans="1:7" x14ac:dyDescent="0.2">
      <c r="A576" s="242"/>
      <c r="B576" s="250"/>
      <c r="C576" s="240"/>
      <c r="D576" s="249"/>
      <c r="E576" s="249"/>
      <c r="F576" s="249"/>
      <c r="G576" s="237"/>
    </row>
    <row r="577" spans="1:7" x14ac:dyDescent="0.2">
      <c r="A577" s="248">
        <v>3599</v>
      </c>
      <c r="B577" s="247">
        <v>5021</v>
      </c>
      <c r="C577" s="246" t="s">
        <v>385</v>
      </c>
      <c r="D577" s="244">
        <v>200</v>
      </c>
      <c r="E577" s="245">
        <v>2077.0500000000002</v>
      </c>
      <c r="F577" s="244">
        <v>909.8</v>
      </c>
      <c r="G577" s="243">
        <v>43.802508365229528</v>
      </c>
    </row>
    <row r="578" spans="1:7" x14ac:dyDescent="0.2">
      <c r="A578" s="242">
        <v>3599</v>
      </c>
      <c r="B578" s="241">
        <v>5139</v>
      </c>
      <c r="C578" s="240" t="s">
        <v>344</v>
      </c>
      <c r="D578" s="238">
        <v>0</v>
      </c>
      <c r="E578" s="239">
        <v>44</v>
      </c>
      <c r="F578" s="238">
        <v>0</v>
      </c>
      <c r="G578" s="237">
        <v>0</v>
      </c>
    </row>
    <row r="579" spans="1:7" x14ac:dyDescent="0.2">
      <c r="A579" s="242">
        <v>3599</v>
      </c>
      <c r="B579" s="241">
        <v>5166</v>
      </c>
      <c r="C579" s="240" t="s">
        <v>342</v>
      </c>
      <c r="D579" s="238">
        <v>3000</v>
      </c>
      <c r="E579" s="239">
        <v>1405.51</v>
      </c>
      <c r="F579" s="238">
        <v>1405.396</v>
      </c>
      <c r="G579" s="237">
        <v>99.99188906517918</v>
      </c>
    </row>
    <row r="580" spans="1:7" x14ac:dyDescent="0.2">
      <c r="A580" s="242">
        <v>3599</v>
      </c>
      <c r="B580" s="241">
        <v>5168</v>
      </c>
      <c r="C580" s="240" t="s">
        <v>364</v>
      </c>
      <c r="D580" s="238">
        <v>2673</v>
      </c>
      <c r="E580" s="239">
        <v>2673</v>
      </c>
      <c r="F580" s="238">
        <v>1940.6818800000001</v>
      </c>
      <c r="G580" s="237">
        <v>72.603138047138046</v>
      </c>
    </row>
    <row r="581" spans="1:7" x14ac:dyDescent="0.2">
      <c r="A581" s="242">
        <v>3599</v>
      </c>
      <c r="B581" s="241">
        <v>5169</v>
      </c>
      <c r="C581" s="240" t="s">
        <v>341</v>
      </c>
      <c r="D581" s="238">
        <v>7500</v>
      </c>
      <c r="E581" s="239">
        <v>10301.86</v>
      </c>
      <c r="F581" s="238">
        <v>10151.453600000001</v>
      </c>
      <c r="G581" s="237">
        <v>98.540007338480635</v>
      </c>
    </row>
    <row r="582" spans="1:7" x14ac:dyDescent="0.2">
      <c r="A582" s="242">
        <v>3599</v>
      </c>
      <c r="B582" s="241">
        <v>5175</v>
      </c>
      <c r="C582" s="240" t="s">
        <v>340</v>
      </c>
      <c r="D582" s="238">
        <v>0</v>
      </c>
      <c r="E582" s="239">
        <v>121</v>
      </c>
      <c r="F582" s="238">
        <v>119.87</v>
      </c>
      <c r="G582" s="237">
        <v>99.066115702479337</v>
      </c>
    </row>
    <row r="583" spans="1:7" x14ac:dyDescent="0.2">
      <c r="A583" s="242">
        <v>3599</v>
      </c>
      <c r="B583" s="241">
        <v>5179</v>
      </c>
      <c r="C583" s="240" t="s">
        <v>359</v>
      </c>
      <c r="D583" s="238">
        <v>0</v>
      </c>
      <c r="E583" s="239">
        <v>673.49</v>
      </c>
      <c r="F583" s="238">
        <v>673.48599999999999</v>
      </c>
      <c r="G583" s="237">
        <v>99.99940607878365</v>
      </c>
    </row>
    <row r="584" spans="1:7" x14ac:dyDescent="0.2">
      <c r="A584" s="242">
        <v>3599</v>
      </c>
      <c r="B584" s="241">
        <v>5192</v>
      </c>
      <c r="C584" s="240" t="s">
        <v>356</v>
      </c>
      <c r="D584" s="238">
        <v>0</v>
      </c>
      <c r="E584" s="239">
        <v>5000</v>
      </c>
      <c r="F584" s="238">
        <v>593.55050000000006</v>
      </c>
      <c r="G584" s="237">
        <v>11.871010000000002</v>
      </c>
    </row>
    <row r="585" spans="1:7" x14ac:dyDescent="0.2">
      <c r="A585" s="242">
        <v>3599</v>
      </c>
      <c r="B585" s="241">
        <v>5213</v>
      </c>
      <c r="C585" s="240" t="s">
        <v>411</v>
      </c>
      <c r="D585" s="238">
        <v>0</v>
      </c>
      <c r="E585" s="239">
        <v>30</v>
      </c>
      <c r="F585" s="238">
        <v>30</v>
      </c>
      <c r="G585" s="237">
        <v>100</v>
      </c>
    </row>
    <row r="586" spans="1:7" x14ac:dyDescent="0.2">
      <c r="A586" s="242">
        <v>3599</v>
      </c>
      <c r="B586" s="241">
        <v>5221</v>
      </c>
      <c r="C586" s="240" t="s">
        <v>399</v>
      </c>
      <c r="D586" s="238">
        <v>0</v>
      </c>
      <c r="E586" s="239">
        <v>30</v>
      </c>
      <c r="F586" s="238">
        <v>30</v>
      </c>
      <c r="G586" s="237">
        <v>100</v>
      </c>
    </row>
    <row r="587" spans="1:7" x14ac:dyDescent="0.2">
      <c r="A587" s="242">
        <v>3599</v>
      </c>
      <c r="B587" s="241">
        <v>5222</v>
      </c>
      <c r="C587" s="240" t="s">
        <v>354</v>
      </c>
      <c r="D587" s="238">
        <v>0</v>
      </c>
      <c r="E587" s="239">
        <v>438</v>
      </c>
      <c r="F587" s="238">
        <v>438</v>
      </c>
      <c r="G587" s="237">
        <v>100</v>
      </c>
    </row>
    <row r="588" spans="1:7" x14ac:dyDescent="0.2">
      <c r="A588" s="242">
        <v>3599</v>
      </c>
      <c r="B588" s="241">
        <v>5229</v>
      </c>
      <c r="C588" s="240" t="s">
        <v>390</v>
      </c>
      <c r="D588" s="238">
        <v>500</v>
      </c>
      <c r="E588" s="239">
        <v>50</v>
      </c>
      <c r="F588" s="238">
        <v>50</v>
      </c>
      <c r="G588" s="237">
        <v>100</v>
      </c>
    </row>
    <row r="589" spans="1:7" x14ac:dyDescent="0.2">
      <c r="A589" s="242">
        <v>3599</v>
      </c>
      <c r="B589" s="241">
        <v>5321</v>
      </c>
      <c r="C589" s="240" t="s">
        <v>353</v>
      </c>
      <c r="D589" s="238">
        <v>8300</v>
      </c>
      <c r="E589" s="239">
        <v>6271</v>
      </c>
      <c r="F589" s="238">
        <v>6266.5</v>
      </c>
      <c r="G589" s="237">
        <v>99.928241109870825</v>
      </c>
    </row>
    <row r="590" spans="1:7" x14ac:dyDescent="0.2">
      <c r="A590" s="242">
        <v>3599</v>
      </c>
      <c r="B590" s="241">
        <v>5332</v>
      </c>
      <c r="C590" s="240" t="s">
        <v>432</v>
      </c>
      <c r="D590" s="238">
        <v>0</v>
      </c>
      <c r="E590" s="239">
        <v>30</v>
      </c>
      <c r="F590" s="238">
        <v>30</v>
      </c>
      <c r="G590" s="237">
        <v>100</v>
      </c>
    </row>
    <row r="591" spans="1:7" x14ac:dyDescent="0.2">
      <c r="A591" s="242">
        <v>3599</v>
      </c>
      <c r="B591" s="241">
        <v>5909</v>
      </c>
      <c r="C591" s="240" t="s">
        <v>329</v>
      </c>
      <c r="D591" s="238">
        <v>0</v>
      </c>
      <c r="E591" s="239">
        <v>100</v>
      </c>
      <c r="F591" s="238">
        <v>94</v>
      </c>
      <c r="G591" s="237">
        <v>94</v>
      </c>
    </row>
    <row r="592" spans="1:7" x14ac:dyDescent="0.2">
      <c r="A592" s="236">
        <v>3599</v>
      </c>
      <c r="B592" s="235"/>
      <c r="C592" s="234" t="s">
        <v>199</v>
      </c>
      <c r="D592" s="232">
        <v>22173</v>
      </c>
      <c r="E592" s="233">
        <v>29244.910000000003</v>
      </c>
      <c r="F592" s="232">
        <v>22732.737980000002</v>
      </c>
      <c r="G592" s="231">
        <v>77.732289071841905</v>
      </c>
    </row>
    <row r="593" spans="1:7" x14ac:dyDescent="0.2">
      <c r="A593" s="242"/>
      <c r="B593" s="250"/>
      <c r="C593" s="240"/>
      <c r="D593" s="249"/>
      <c r="E593" s="249"/>
      <c r="F593" s="249"/>
      <c r="G593" s="237"/>
    </row>
    <row r="594" spans="1:7" x14ac:dyDescent="0.2">
      <c r="A594" s="248">
        <v>3635</v>
      </c>
      <c r="B594" s="247">
        <v>5166</v>
      </c>
      <c r="C594" s="246" t="s">
        <v>342</v>
      </c>
      <c r="D594" s="244">
        <v>600</v>
      </c>
      <c r="E594" s="245">
        <v>230</v>
      </c>
      <c r="F594" s="244">
        <v>192.53</v>
      </c>
      <c r="G594" s="243">
        <v>83.708695652173915</v>
      </c>
    </row>
    <row r="595" spans="1:7" x14ac:dyDescent="0.2">
      <c r="A595" s="242">
        <v>3635</v>
      </c>
      <c r="B595" s="241">
        <v>5169</v>
      </c>
      <c r="C595" s="240" t="s">
        <v>341</v>
      </c>
      <c r="D595" s="238">
        <v>100</v>
      </c>
      <c r="E595" s="239">
        <v>3485.88</v>
      </c>
      <c r="F595" s="238">
        <v>447.7</v>
      </c>
      <c r="G595" s="237">
        <v>12.843241878664784</v>
      </c>
    </row>
    <row r="596" spans="1:7" x14ac:dyDescent="0.2">
      <c r="A596" s="236">
        <v>3635</v>
      </c>
      <c r="B596" s="235"/>
      <c r="C596" s="234" t="s">
        <v>299</v>
      </c>
      <c r="D596" s="232">
        <v>700</v>
      </c>
      <c r="E596" s="233">
        <v>3715.88</v>
      </c>
      <c r="F596" s="232">
        <v>640.23</v>
      </c>
      <c r="G596" s="231">
        <v>17.229566078560126</v>
      </c>
    </row>
    <row r="597" spans="1:7" x14ac:dyDescent="0.2">
      <c r="A597" s="242"/>
      <c r="B597" s="250"/>
      <c r="C597" s="240"/>
      <c r="D597" s="249"/>
      <c r="E597" s="249"/>
      <c r="F597" s="249"/>
      <c r="G597" s="237"/>
    </row>
    <row r="598" spans="1:7" x14ac:dyDescent="0.2">
      <c r="A598" s="248">
        <v>3636</v>
      </c>
      <c r="B598" s="247">
        <v>5011</v>
      </c>
      <c r="C598" s="246" t="s">
        <v>386</v>
      </c>
      <c r="D598" s="244">
        <v>0</v>
      </c>
      <c r="E598" s="245">
        <v>219.53000000000003</v>
      </c>
      <c r="F598" s="244">
        <v>197.75801000000004</v>
      </c>
      <c r="G598" s="243">
        <v>90.082453423222347</v>
      </c>
    </row>
    <row r="599" spans="1:7" x14ac:dyDescent="0.2">
      <c r="A599" s="242">
        <v>3636</v>
      </c>
      <c r="B599" s="241">
        <v>5021</v>
      </c>
      <c r="C599" s="240" t="s">
        <v>385</v>
      </c>
      <c r="D599" s="238">
        <v>0</v>
      </c>
      <c r="E599" s="239">
        <v>820.40000000000009</v>
      </c>
      <c r="F599" s="238">
        <v>500.52200000000005</v>
      </c>
      <c r="G599" s="237">
        <v>61.009507557289119</v>
      </c>
    </row>
    <row r="600" spans="1:7" x14ac:dyDescent="0.2">
      <c r="A600" s="242">
        <v>3636</v>
      </c>
      <c r="B600" s="241">
        <v>5031</v>
      </c>
      <c r="C600" s="240" t="s">
        <v>383</v>
      </c>
      <c r="D600" s="238">
        <v>0</v>
      </c>
      <c r="E600" s="239">
        <v>256.83</v>
      </c>
      <c r="F600" s="238">
        <v>174.58699999999999</v>
      </c>
      <c r="G600" s="237">
        <v>67.97765058599073</v>
      </c>
    </row>
    <row r="601" spans="1:7" x14ac:dyDescent="0.2">
      <c r="A601" s="242">
        <v>3636</v>
      </c>
      <c r="B601" s="241">
        <v>5032</v>
      </c>
      <c r="C601" s="240" t="s">
        <v>382</v>
      </c>
      <c r="D601" s="238">
        <v>0</v>
      </c>
      <c r="E601" s="239">
        <v>93.13000000000001</v>
      </c>
      <c r="F601" s="238">
        <v>62.884</v>
      </c>
      <c r="G601" s="237">
        <v>67.522817566842036</v>
      </c>
    </row>
    <row r="602" spans="1:7" x14ac:dyDescent="0.2">
      <c r="A602" s="242">
        <v>3636</v>
      </c>
      <c r="B602" s="241">
        <v>5038</v>
      </c>
      <c r="C602" s="240" t="s">
        <v>381</v>
      </c>
      <c r="D602" s="238">
        <v>0</v>
      </c>
      <c r="E602" s="239">
        <v>3.68</v>
      </c>
      <c r="F602" s="238">
        <v>2.976</v>
      </c>
      <c r="G602" s="237">
        <v>80.869565217391298</v>
      </c>
    </row>
    <row r="603" spans="1:7" x14ac:dyDescent="0.2">
      <c r="A603" s="242">
        <v>3636</v>
      </c>
      <c r="B603" s="241">
        <v>5136</v>
      </c>
      <c r="C603" s="240" t="s">
        <v>373</v>
      </c>
      <c r="D603" s="238">
        <v>0</v>
      </c>
      <c r="E603" s="239">
        <v>50</v>
      </c>
      <c r="F603" s="238">
        <v>0</v>
      </c>
      <c r="G603" s="237">
        <v>0</v>
      </c>
    </row>
    <row r="604" spans="1:7" x14ac:dyDescent="0.2">
      <c r="A604" s="242">
        <v>3636</v>
      </c>
      <c r="B604" s="241">
        <v>5137</v>
      </c>
      <c r="C604" s="240" t="s">
        <v>345</v>
      </c>
      <c r="D604" s="238">
        <v>0</v>
      </c>
      <c r="E604" s="239">
        <v>21.6</v>
      </c>
      <c r="F604" s="238">
        <v>17.236449999999998</v>
      </c>
      <c r="G604" s="237">
        <v>79.798379629629608</v>
      </c>
    </row>
    <row r="605" spans="1:7" x14ac:dyDescent="0.2">
      <c r="A605" s="242">
        <v>3636</v>
      </c>
      <c r="B605" s="241">
        <v>5139</v>
      </c>
      <c r="C605" s="240" t="s">
        <v>344</v>
      </c>
      <c r="D605" s="238">
        <v>0</v>
      </c>
      <c r="E605" s="239">
        <v>203.01000000000002</v>
      </c>
      <c r="F605" s="238">
        <v>190.08696000000003</v>
      </c>
      <c r="G605" s="237">
        <v>93.634284025417472</v>
      </c>
    </row>
    <row r="606" spans="1:7" x14ac:dyDescent="0.2">
      <c r="A606" s="242">
        <v>3636</v>
      </c>
      <c r="B606" s="241">
        <v>5162</v>
      </c>
      <c r="C606" s="240" t="s">
        <v>366</v>
      </c>
      <c r="D606" s="238">
        <v>0</v>
      </c>
      <c r="E606" s="239">
        <v>12.7</v>
      </c>
      <c r="F606" s="238">
        <v>7.4689999999999994</v>
      </c>
      <c r="G606" s="237">
        <v>58.811023622047244</v>
      </c>
    </row>
    <row r="607" spans="1:7" x14ac:dyDescent="0.2">
      <c r="A607" s="242">
        <v>3636</v>
      </c>
      <c r="B607" s="241">
        <v>5163</v>
      </c>
      <c r="C607" s="240" t="s">
        <v>336</v>
      </c>
      <c r="D607" s="238">
        <v>0</v>
      </c>
      <c r="E607" s="239">
        <v>0.31</v>
      </c>
      <c r="F607" s="238">
        <v>0.29560000000000003</v>
      </c>
      <c r="G607" s="237">
        <v>95.354838709677423</v>
      </c>
    </row>
    <row r="608" spans="1:7" x14ac:dyDescent="0.2">
      <c r="A608" s="242">
        <v>3636</v>
      </c>
      <c r="B608" s="241">
        <v>5164</v>
      </c>
      <c r="C608" s="240" t="s">
        <v>343</v>
      </c>
      <c r="D608" s="238">
        <v>0</v>
      </c>
      <c r="E608" s="239">
        <v>66.64</v>
      </c>
      <c r="F608" s="238">
        <v>58.841000000000001</v>
      </c>
      <c r="G608" s="237">
        <v>88.296818727491001</v>
      </c>
    </row>
    <row r="609" spans="1:7" x14ac:dyDescent="0.2">
      <c r="A609" s="242">
        <v>3636</v>
      </c>
      <c r="B609" s="241">
        <v>5166</v>
      </c>
      <c r="C609" s="240" t="s">
        <v>342</v>
      </c>
      <c r="D609" s="238">
        <v>1200</v>
      </c>
      <c r="E609" s="239">
        <v>1320.0200000000002</v>
      </c>
      <c r="F609" s="238">
        <v>1096.0785000000001</v>
      </c>
      <c r="G609" s="237">
        <v>83.034991894062202</v>
      </c>
    </row>
    <row r="610" spans="1:7" x14ac:dyDescent="0.2">
      <c r="A610" s="242">
        <v>3636</v>
      </c>
      <c r="B610" s="241">
        <v>5169</v>
      </c>
      <c r="C610" s="240" t="s">
        <v>341</v>
      </c>
      <c r="D610" s="238">
        <v>15790</v>
      </c>
      <c r="E610" s="239">
        <v>23239.110000000004</v>
      </c>
      <c r="F610" s="238">
        <v>20856.904789999997</v>
      </c>
      <c r="G610" s="237">
        <v>89.749154722362405</v>
      </c>
    </row>
    <row r="611" spans="1:7" x14ac:dyDescent="0.2">
      <c r="A611" s="242">
        <v>3636</v>
      </c>
      <c r="B611" s="241">
        <v>5173</v>
      </c>
      <c r="C611" s="240" t="s">
        <v>361</v>
      </c>
      <c r="D611" s="238">
        <v>0</v>
      </c>
      <c r="E611" s="239">
        <v>105.5</v>
      </c>
      <c r="F611" s="238">
        <v>95.540130000000005</v>
      </c>
      <c r="G611" s="237">
        <v>90.559364928909957</v>
      </c>
    </row>
    <row r="612" spans="1:7" x14ac:dyDescent="0.2">
      <c r="A612" s="242">
        <v>3636</v>
      </c>
      <c r="B612" s="241">
        <v>5175</v>
      </c>
      <c r="C612" s="240" t="s">
        <v>340</v>
      </c>
      <c r="D612" s="238">
        <v>0</v>
      </c>
      <c r="E612" s="239">
        <v>109.06</v>
      </c>
      <c r="F612" s="238">
        <v>93.584789999999998</v>
      </c>
      <c r="G612" s="237">
        <v>85.810370438290846</v>
      </c>
    </row>
    <row r="613" spans="1:7" x14ac:dyDescent="0.2">
      <c r="A613" s="242">
        <v>3636</v>
      </c>
      <c r="B613" s="241">
        <v>5212</v>
      </c>
      <c r="C613" s="240" t="s">
        <v>418</v>
      </c>
      <c r="D613" s="238">
        <v>0</v>
      </c>
      <c r="E613" s="239">
        <v>148.15</v>
      </c>
      <c r="F613" s="238">
        <v>148.15</v>
      </c>
      <c r="G613" s="237">
        <v>100</v>
      </c>
    </row>
    <row r="614" spans="1:7" x14ac:dyDescent="0.2">
      <c r="A614" s="242">
        <v>3636</v>
      </c>
      <c r="B614" s="241">
        <v>5213</v>
      </c>
      <c r="C614" s="240" t="s">
        <v>411</v>
      </c>
      <c r="D614" s="238">
        <v>20000</v>
      </c>
      <c r="E614" s="239">
        <v>28755.370000000006</v>
      </c>
      <c r="F614" s="238">
        <v>11058.45976</v>
      </c>
      <c r="G614" s="237">
        <v>38.457024757462683</v>
      </c>
    </row>
    <row r="615" spans="1:7" x14ac:dyDescent="0.2">
      <c r="A615" s="242">
        <v>3636</v>
      </c>
      <c r="B615" s="241">
        <v>5221</v>
      </c>
      <c r="C615" s="240" t="s">
        <v>399</v>
      </c>
      <c r="D615" s="238">
        <v>0</v>
      </c>
      <c r="E615" s="239">
        <v>858.75</v>
      </c>
      <c r="F615" s="238">
        <v>258.73</v>
      </c>
      <c r="G615" s="237">
        <v>30.128675400291122</v>
      </c>
    </row>
    <row r="616" spans="1:7" x14ac:dyDescent="0.2">
      <c r="A616" s="242">
        <v>3636</v>
      </c>
      <c r="B616" s="241">
        <v>5222</v>
      </c>
      <c r="C616" s="240" t="s">
        <v>354</v>
      </c>
      <c r="D616" s="238">
        <v>3000</v>
      </c>
      <c r="E616" s="239">
        <v>10075.560000000001</v>
      </c>
      <c r="F616" s="238">
        <v>4465.9070499999998</v>
      </c>
      <c r="G616" s="237">
        <v>44.324157168435299</v>
      </c>
    </row>
    <row r="617" spans="1:7" x14ac:dyDescent="0.2">
      <c r="A617" s="242">
        <v>3636</v>
      </c>
      <c r="B617" s="241">
        <v>5229</v>
      </c>
      <c r="C617" s="240" t="s">
        <v>390</v>
      </c>
      <c r="D617" s="238">
        <v>5000</v>
      </c>
      <c r="E617" s="239">
        <v>5550</v>
      </c>
      <c r="F617" s="238">
        <v>5550</v>
      </c>
      <c r="G617" s="237">
        <v>100</v>
      </c>
    </row>
    <row r="618" spans="1:7" x14ac:dyDescent="0.2">
      <c r="A618" s="242">
        <v>3636</v>
      </c>
      <c r="B618" s="241">
        <v>5321</v>
      </c>
      <c r="C618" s="240" t="s">
        <v>353</v>
      </c>
      <c r="D618" s="238">
        <v>525</v>
      </c>
      <c r="E618" s="239">
        <v>3929.73</v>
      </c>
      <c r="F618" s="238">
        <v>3615.8398299999999</v>
      </c>
      <c r="G618" s="237">
        <v>92.012424008774147</v>
      </c>
    </row>
    <row r="619" spans="1:7" x14ac:dyDescent="0.2">
      <c r="A619" s="242">
        <v>3636</v>
      </c>
      <c r="B619" s="241">
        <v>5329</v>
      </c>
      <c r="C619" s="240" t="s">
        <v>426</v>
      </c>
      <c r="D619" s="238">
        <v>0</v>
      </c>
      <c r="E619" s="239">
        <v>2387.88</v>
      </c>
      <c r="F619" s="238">
        <v>1573.1775</v>
      </c>
      <c r="G619" s="237">
        <v>65.881765415347502</v>
      </c>
    </row>
    <row r="620" spans="1:7" x14ac:dyDescent="0.2">
      <c r="A620" s="242">
        <v>3636</v>
      </c>
      <c r="B620" s="241">
        <v>5332</v>
      </c>
      <c r="C620" s="240" t="s">
        <v>432</v>
      </c>
      <c r="D620" s="238">
        <v>6000</v>
      </c>
      <c r="E620" s="239">
        <v>25759.33</v>
      </c>
      <c r="F620" s="238">
        <v>15925.946520000001</v>
      </c>
      <c r="G620" s="237">
        <v>61.825934603112742</v>
      </c>
    </row>
    <row r="621" spans="1:7" x14ac:dyDescent="0.2">
      <c r="A621" s="242">
        <v>3636</v>
      </c>
      <c r="B621" s="241">
        <v>5334</v>
      </c>
      <c r="C621" s="240" t="s">
        <v>434</v>
      </c>
      <c r="D621" s="238">
        <v>0</v>
      </c>
      <c r="E621" s="239">
        <v>446.35</v>
      </c>
      <c r="F621" s="238">
        <v>70.036690000000007</v>
      </c>
      <c r="G621" s="237">
        <v>15.690980172510363</v>
      </c>
    </row>
    <row r="622" spans="1:7" x14ac:dyDescent="0.2">
      <c r="A622" s="242">
        <v>3636</v>
      </c>
      <c r="B622" s="241">
        <v>5339</v>
      </c>
      <c r="C622" s="240" t="s">
        <v>398</v>
      </c>
      <c r="D622" s="238">
        <v>0</v>
      </c>
      <c r="E622" s="239">
        <v>876.3</v>
      </c>
      <c r="F622" s="238">
        <v>0</v>
      </c>
      <c r="G622" s="237">
        <v>0</v>
      </c>
    </row>
    <row r="623" spans="1:7" x14ac:dyDescent="0.2">
      <c r="A623" s="236">
        <v>3636</v>
      </c>
      <c r="B623" s="235"/>
      <c r="C623" s="234" t="s">
        <v>198</v>
      </c>
      <c r="D623" s="232">
        <v>51515</v>
      </c>
      <c r="E623" s="233">
        <v>105308.94000000003</v>
      </c>
      <c r="F623" s="232">
        <v>66021.011579999991</v>
      </c>
      <c r="G623" s="231">
        <v>62.692694067569164</v>
      </c>
    </row>
    <row r="624" spans="1:7" x14ac:dyDescent="0.2">
      <c r="A624" s="242"/>
      <c r="B624" s="250"/>
      <c r="C624" s="240"/>
      <c r="D624" s="249"/>
      <c r="E624" s="249"/>
      <c r="F624" s="249"/>
      <c r="G624" s="237"/>
    </row>
    <row r="625" spans="1:7" x14ac:dyDescent="0.2">
      <c r="A625" s="248">
        <v>3639</v>
      </c>
      <c r="B625" s="247">
        <v>5011</v>
      </c>
      <c r="C625" s="246" t="s">
        <v>386</v>
      </c>
      <c r="D625" s="244">
        <v>0</v>
      </c>
      <c r="E625" s="245">
        <v>322.36</v>
      </c>
      <c r="F625" s="244">
        <v>224.76972000000001</v>
      </c>
      <c r="G625" s="243">
        <v>69.72630599329942</v>
      </c>
    </row>
    <row r="626" spans="1:7" x14ac:dyDescent="0.2">
      <c r="A626" s="242">
        <v>3639</v>
      </c>
      <c r="B626" s="241">
        <v>5031</v>
      </c>
      <c r="C626" s="240" t="s">
        <v>383</v>
      </c>
      <c r="D626" s="238">
        <v>0</v>
      </c>
      <c r="E626" s="239">
        <v>80.86</v>
      </c>
      <c r="F626" s="238">
        <v>56.192390000000003</v>
      </c>
      <c r="G626" s="237">
        <v>69.493433094236963</v>
      </c>
    </row>
    <row r="627" spans="1:7" x14ac:dyDescent="0.2">
      <c r="A627" s="242">
        <v>3639</v>
      </c>
      <c r="B627" s="241">
        <v>5032</v>
      </c>
      <c r="C627" s="240" t="s">
        <v>382</v>
      </c>
      <c r="D627" s="238">
        <v>0</v>
      </c>
      <c r="E627" s="239">
        <v>29.47</v>
      </c>
      <c r="F627" s="238">
        <v>20.229320000000001</v>
      </c>
      <c r="G627" s="237">
        <v>68.643773328808962</v>
      </c>
    </row>
    <row r="628" spans="1:7" x14ac:dyDescent="0.2">
      <c r="A628" s="242">
        <v>3639</v>
      </c>
      <c r="B628" s="241">
        <v>5038</v>
      </c>
      <c r="C628" s="240" t="s">
        <v>381</v>
      </c>
      <c r="D628" s="238">
        <v>0</v>
      </c>
      <c r="E628" s="239">
        <v>2.0099999999999998</v>
      </c>
      <c r="F628" s="238">
        <v>0.93780999999999992</v>
      </c>
      <c r="G628" s="237">
        <v>46.657213930348263</v>
      </c>
    </row>
    <row r="629" spans="1:7" x14ac:dyDescent="0.2">
      <c r="A629" s="242">
        <v>3639</v>
      </c>
      <c r="B629" s="241">
        <v>5041</v>
      </c>
      <c r="C629" s="240" t="s">
        <v>380</v>
      </c>
      <c r="D629" s="238">
        <v>0</v>
      </c>
      <c r="E629" s="239">
        <v>26.7</v>
      </c>
      <c r="F629" s="238">
        <v>26.7</v>
      </c>
      <c r="G629" s="237">
        <v>100</v>
      </c>
    </row>
    <row r="630" spans="1:7" x14ac:dyDescent="0.2">
      <c r="A630" s="242">
        <v>3639</v>
      </c>
      <c r="B630" s="241">
        <v>5136</v>
      </c>
      <c r="C630" s="240" t="s">
        <v>373</v>
      </c>
      <c r="D630" s="238">
        <v>275</v>
      </c>
      <c r="E630" s="239">
        <v>275</v>
      </c>
      <c r="F630" s="238">
        <v>255.65189999999998</v>
      </c>
      <c r="G630" s="237">
        <v>92.96432727272726</v>
      </c>
    </row>
    <row r="631" spans="1:7" x14ac:dyDescent="0.2">
      <c r="A631" s="242">
        <v>3639</v>
      </c>
      <c r="B631" s="241">
        <v>5139</v>
      </c>
      <c r="C631" s="240" t="s">
        <v>344</v>
      </c>
      <c r="D631" s="238">
        <v>700</v>
      </c>
      <c r="E631" s="239">
        <v>411.5</v>
      </c>
      <c r="F631" s="238">
        <v>161.46600000000001</v>
      </c>
      <c r="G631" s="237">
        <v>39.238396111786152</v>
      </c>
    </row>
    <row r="632" spans="1:7" x14ac:dyDescent="0.2">
      <c r="A632" s="242">
        <v>3639</v>
      </c>
      <c r="B632" s="241">
        <v>5141</v>
      </c>
      <c r="C632" s="240" t="s">
        <v>338</v>
      </c>
      <c r="D632" s="238">
        <v>6919</v>
      </c>
      <c r="E632" s="239">
        <v>6919</v>
      </c>
      <c r="F632" s="238">
        <v>6918.7510000000002</v>
      </c>
      <c r="G632" s="237">
        <v>99.996401214048277</v>
      </c>
    </row>
    <row r="633" spans="1:7" x14ac:dyDescent="0.2">
      <c r="A633" s="242">
        <v>3639</v>
      </c>
      <c r="B633" s="241">
        <v>5151</v>
      </c>
      <c r="C633" s="240" t="s">
        <v>371</v>
      </c>
      <c r="D633" s="238">
        <v>150</v>
      </c>
      <c r="E633" s="239">
        <v>150</v>
      </c>
      <c r="F633" s="238">
        <v>148.12276</v>
      </c>
      <c r="G633" s="237">
        <v>98.748506666666671</v>
      </c>
    </row>
    <row r="634" spans="1:7" x14ac:dyDescent="0.2">
      <c r="A634" s="242">
        <v>3639</v>
      </c>
      <c r="B634" s="241">
        <v>5152</v>
      </c>
      <c r="C634" s="240" t="s">
        <v>370</v>
      </c>
      <c r="D634" s="238">
        <v>720</v>
      </c>
      <c r="E634" s="239">
        <v>720</v>
      </c>
      <c r="F634" s="238">
        <v>584.60681999999997</v>
      </c>
      <c r="G634" s="237">
        <v>81.195391666666666</v>
      </c>
    </row>
    <row r="635" spans="1:7" x14ac:dyDescent="0.2">
      <c r="A635" s="242">
        <v>3639</v>
      </c>
      <c r="B635" s="241">
        <v>5154</v>
      </c>
      <c r="C635" s="240" t="s">
        <v>369</v>
      </c>
      <c r="D635" s="238">
        <v>770</v>
      </c>
      <c r="E635" s="239">
        <v>770</v>
      </c>
      <c r="F635" s="238">
        <v>638.30681000000004</v>
      </c>
      <c r="G635" s="237">
        <v>82.896988311688318</v>
      </c>
    </row>
    <row r="636" spans="1:7" x14ac:dyDescent="0.2">
      <c r="A636" s="242">
        <v>3639</v>
      </c>
      <c r="B636" s="241">
        <v>5162</v>
      </c>
      <c r="C636" s="240" t="s">
        <v>366</v>
      </c>
      <c r="D636" s="238">
        <v>3</v>
      </c>
      <c r="E636" s="239">
        <v>3</v>
      </c>
      <c r="F636" s="238">
        <v>2.0566999999999998</v>
      </c>
      <c r="G636" s="237">
        <v>68.556666666666658</v>
      </c>
    </row>
    <row r="637" spans="1:7" x14ac:dyDescent="0.2">
      <c r="A637" s="242">
        <v>3639</v>
      </c>
      <c r="B637" s="241">
        <v>5163</v>
      </c>
      <c r="C637" s="240" t="s">
        <v>336</v>
      </c>
      <c r="D637" s="238">
        <v>2000</v>
      </c>
      <c r="E637" s="239">
        <v>2000.08</v>
      </c>
      <c r="F637" s="238">
        <v>5.3999999999999992E-2</v>
      </c>
      <c r="G637" s="237">
        <v>2.6998920043198268E-3</v>
      </c>
    </row>
    <row r="638" spans="1:7" x14ac:dyDescent="0.2">
      <c r="A638" s="242">
        <v>3639</v>
      </c>
      <c r="B638" s="241">
        <v>5164</v>
      </c>
      <c r="C638" s="240" t="s">
        <v>343</v>
      </c>
      <c r="D638" s="238">
        <v>230</v>
      </c>
      <c r="E638" s="239">
        <v>251.95999999999998</v>
      </c>
      <c r="F638" s="238">
        <v>206.0394</v>
      </c>
      <c r="G638" s="237">
        <v>81.77464676932847</v>
      </c>
    </row>
    <row r="639" spans="1:7" x14ac:dyDescent="0.2">
      <c r="A639" s="242">
        <v>3639</v>
      </c>
      <c r="B639" s="241">
        <v>5166</v>
      </c>
      <c r="C639" s="240" t="s">
        <v>342</v>
      </c>
      <c r="D639" s="238">
        <v>7300</v>
      </c>
      <c r="E639" s="239">
        <v>8718.09</v>
      </c>
      <c r="F639" s="238">
        <v>3904.1464999999998</v>
      </c>
      <c r="G639" s="237">
        <v>44.782131177815323</v>
      </c>
    </row>
    <row r="640" spans="1:7" x14ac:dyDescent="0.2">
      <c r="A640" s="242">
        <v>3639</v>
      </c>
      <c r="B640" s="241">
        <v>5168</v>
      </c>
      <c r="C640" s="240" t="s">
        <v>364</v>
      </c>
      <c r="D640" s="238">
        <v>0</v>
      </c>
      <c r="E640" s="239">
        <v>326.7</v>
      </c>
      <c r="F640" s="238">
        <v>326.7</v>
      </c>
      <c r="G640" s="237">
        <v>100</v>
      </c>
    </row>
    <row r="641" spans="1:7" x14ac:dyDescent="0.2">
      <c r="A641" s="242">
        <v>3639</v>
      </c>
      <c r="B641" s="241">
        <v>5169</v>
      </c>
      <c r="C641" s="240" t="s">
        <v>341</v>
      </c>
      <c r="D641" s="238">
        <v>10066</v>
      </c>
      <c r="E641" s="239">
        <v>24526.79</v>
      </c>
      <c r="F641" s="238">
        <v>9064.4755599999989</v>
      </c>
      <c r="G641" s="237">
        <v>36.957447590981126</v>
      </c>
    </row>
    <row r="642" spans="1:7" x14ac:dyDescent="0.2">
      <c r="A642" s="242">
        <v>3639</v>
      </c>
      <c r="B642" s="241">
        <v>5173</v>
      </c>
      <c r="C642" s="240" t="s">
        <v>361</v>
      </c>
      <c r="D642" s="238">
        <v>0</v>
      </c>
      <c r="E642" s="239">
        <v>44.32</v>
      </c>
      <c r="F642" s="238">
        <v>39.688999999999986</v>
      </c>
      <c r="G642" s="237">
        <v>89.550992779783357</v>
      </c>
    </row>
    <row r="643" spans="1:7" x14ac:dyDescent="0.2">
      <c r="A643" s="242">
        <v>3639</v>
      </c>
      <c r="B643" s="241">
        <v>5175</v>
      </c>
      <c r="C643" s="240" t="s">
        <v>340</v>
      </c>
      <c r="D643" s="238">
        <v>440</v>
      </c>
      <c r="E643" s="239">
        <v>242.84</v>
      </c>
      <c r="F643" s="238">
        <v>107.10599999999999</v>
      </c>
      <c r="G643" s="237">
        <v>44.105583923571075</v>
      </c>
    </row>
    <row r="644" spans="1:7" x14ac:dyDescent="0.2">
      <c r="A644" s="242">
        <v>3639</v>
      </c>
      <c r="B644" s="241">
        <v>5179</v>
      </c>
      <c r="C644" s="240" t="s">
        <v>359</v>
      </c>
      <c r="D644" s="238">
        <v>36000</v>
      </c>
      <c r="E644" s="239">
        <v>78795.319999999992</v>
      </c>
      <c r="F644" s="238">
        <v>5</v>
      </c>
      <c r="G644" s="237">
        <v>6.3455545329341896E-3</v>
      </c>
    </row>
    <row r="645" spans="1:7" x14ac:dyDescent="0.2">
      <c r="A645" s="242">
        <v>3639</v>
      </c>
      <c r="B645" s="241">
        <v>5192</v>
      </c>
      <c r="C645" s="240" t="s">
        <v>356</v>
      </c>
      <c r="D645" s="238">
        <v>0</v>
      </c>
      <c r="E645" s="239">
        <v>2916.1</v>
      </c>
      <c r="F645" s="238">
        <v>2916.02</v>
      </c>
      <c r="G645" s="237">
        <v>99.99725660985564</v>
      </c>
    </row>
    <row r="646" spans="1:7" x14ac:dyDescent="0.2">
      <c r="A646" s="242">
        <v>3639</v>
      </c>
      <c r="B646" s="241">
        <v>5213</v>
      </c>
      <c r="C646" s="240" t="s">
        <v>411</v>
      </c>
      <c r="D646" s="238">
        <v>11500</v>
      </c>
      <c r="E646" s="239">
        <v>7646.6</v>
      </c>
      <c r="F646" s="238">
        <v>7062.5867999999991</v>
      </c>
      <c r="G646" s="237">
        <v>92.36244605445556</v>
      </c>
    </row>
    <row r="647" spans="1:7" x14ac:dyDescent="0.2">
      <c r="A647" s="242">
        <v>3639</v>
      </c>
      <c r="B647" s="241">
        <v>5221</v>
      </c>
      <c r="C647" s="240" t="s">
        <v>399</v>
      </c>
      <c r="D647" s="238">
        <v>0</v>
      </c>
      <c r="E647" s="239">
        <v>100</v>
      </c>
      <c r="F647" s="238">
        <v>100</v>
      </c>
      <c r="G647" s="237">
        <v>100</v>
      </c>
    </row>
    <row r="648" spans="1:7" x14ac:dyDescent="0.2">
      <c r="A648" s="242">
        <v>3639</v>
      </c>
      <c r="B648" s="241">
        <v>5222</v>
      </c>
      <c r="C648" s="240" t="s">
        <v>354</v>
      </c>
      <c r="D648" s="238">
        <v>0</v>
      </c>
      <c r="E648" s="239">
        <v>1270</v>
      </c>
      <c r="F648" s="238">
        <v>1220</v>
      </c>
      <c r="G648" s="237">
        <v>96.062992125984252</v>
      </c>
    </row>
    <row r="649" spans="1:7" x14ac:dyDescent="0.2">
      <c r="A649" s="242">
        <v>3639</v>
      </c>
      <c r="B649" s="241">
        <v>5229</v>
      </c>
      <c r="C649" s="240" t="s">
        <v>390</v>
      </c>
      <c r="D649" s="238">
        <v>150</v>
      </c>
      <c r="E649" s="239">
        <v>400</v>
      </c>
      <c r="F649" s="238">
        <v>250</v>
      </c>
      <c r="G649" s="237">
        <v>62.5</v>
      </c>
    </row>
    <row r="650" spans="1:7" x14ac:dyDescent="0.2">
      <c r="A650" s="242">
        <v>3639</v>
      </c>
      <c r="B650" s="241">
        <v>5230</v>
      </c>
      <c r="C650" s="240" t="s">
        <v>433</v>
      </c>
      <c r="D650" s="238">
        <v>310</v>
      </c>
      <c r="E650" s="239">
        <v>350</v>
      </c>
      <c r="F650" s="238">
        <v>180</v>
      </c>
      <c r="G650" s="237">
        <v>51.428571428571423</v>
      </c>
    </row>
    <row r="651" spans="1:7" x14ac:dyDescent="0.2">
      <c r="A651" s="242">
        <v>3639</v>
      </c>
      <c r="B651" s="241">
        <v>5321</v>
      </c>
      <c r="C651" s="240" t="s">
        <v>353</v>
      </c>
      <c r="D651" s="238">
        <v>0</v>
      </c>
      <c r="E651" s="239">
        <v>550</v>
      </c>
      <c r="F651" s="238">
        <v>50</v>
      </c>
      <c r="G651" s="237">
        <v>9.0909090909090917</v>
      </c>
    </row>
    <row r="652" spans="1:7" x14ac:dyDescent="0.2">
      <c r="A652" s="242">
        <v>3639</v>
      </c>
      <c r="B652" s="241">
        <v>5329</v>
      </c>
      <c r="C652" s="240" t="s">
        <v>426</v>
      </c>
      <c r="D652" s="238">
        <v>0</v>
      </c>
      <c r="E652" s="239">
        <v>30</v>
      </c>
      <c r="F652" s="238">
        <v>30</v>
      </c>
      <c r="G652" s="237">
        <v>100</v>
      </c>
    </row>
    <row r="653" spans="1:7" x14ac:dyDescent="0.2">
      <c r="A653" s="242">
        <v>3639</v>
      </c>
      <c r="B653" s="241">
        <v>5332</v>
      </c>
      <c r="C653" s="240" t="s">
        <v>432</v>
      </c>
      <c r="D653" s="238">
        <v>0</v>
      </c>
      <c r="E653" s="239">
        <v>605</v>
      </c>
      <c r="F653" s="238">
        <v>175</v>
      </c>
      <c r="G653" s="237">
        <v>28.925619834710741</v>
      </c>
    </row>
    <row r="654" spans="1:7" x14ac:dyDescent="0.2">
      <c r="A654" s="242">
        <v>3639</v>
      </c>
      <c r="B654" s="241">
        <v>5362</v>
      </c>
      <c r="C654" s="240" t="s">
        <v>335</v>
      </c>
      <c r="D654" s="238">
        <v>2300</v>
      </c>
      <c r="E654" s="239">
        <v>3202.1</v>
      </c>
      <c r="F654" s="238">
        <v>3198.857</v>
      </c>
      <c r="G654" s="237">
        <v>99.898722713219456</v>
      </c>
    </row>
    <row r="655" spans="1:7" x14ac:dyDescent="0.2">
      <c r="A655" s="242">
        <v>3639</v>
      </c>
      <c r="B655" s="241">
        <v>5363</v>
      </c>
      <c r="C655" s="240" t="s">
        <v>351</v>
      </c>
      <c r="D655" s="238">
        <v>0</v>
      </c>
      <c r="E655" s="239">
        <v>458.41</v>
      </c>
      <c r="F655" s="238">
        <v>458.40800000000002</v>
      </c>
      <c r="G655" s="237">
        <v>99.999563709343164</v>
      </c>
    </row>
    <row r="656" spans="1:7" x14ac:dyDescent="0.2">
      <c r="A656" s="242">
        <v>3639</v>
      </c>
      <c r="B656" s="241">
        <v>5532</v>
      </c>
      <c r="C656" s="240" t="s">
        <v>348</v>
      </c>
      <c r="D656" s="238">
        <v>0</v>
      </c>
      <c r="E656" s="239">
        <v>1150.5999999999999</v>
      </c>
      <c r="F656" s="238">
        <v>1138.5989299999999</v>
      </c>
      <c r="G656" s="237">
        <v>98.956972883712851</v>
      </c>
    </row>
    <row r="657" spans="1:7" x14ac:dyDescent="0.2">
      <c r="A657" s="242">
        <v>3639</v>
      </c>
      <c r="B657" s="241">
        <v>5909</v>
      </c>
      <c r="C657" s="240" t="s">
        <v>329</v>
      </c>
      <c r="D657" s="238">
        <v>2435</v>
      </c>
      <c r="E657" s="239">
        <v>3169.74</v>
      </c>
      <c r="F657" s="238">
        <v>5.6340000000000003</v>
      </c>
      <c r="G657" s="237">
        <v>0.17774328493819685</v>
      </c>
    </row>
    <row r="658" spans="1:7" x14ac:dyDescent="0.2">
      <c r="A658" s="236">
        <v>3639</v>
      </c>
      <c r="B658" s="235"/>
      <c r="C658" s="234" t="s">
        <v>125</v>
      </c>
      <c r="D658" s="232">
        <v>82268</v>
      </c>
      <c r="E658" s="233">
        <v>146464.55000000002</v>
      </c>
      <c r="F658" s="232">
        <v>39476.106420000004</v>
      </c>
      <c r="G658" s="231">
        <v>26.952669721103163</v>
      </c>
    </row>
    <row r="659" spans="1:7" x14ac:dyDescent="0.2">
      <c r="A659" s="242"/>
      <c r="B659" s="250"/>
      <c r="C659" s="240"/>
      <c r="D659" s="249"/>
      <c r="E659" s="249"/>
      <c r="F659" s="249"/>
      <c r="G659" s="237"/>
    </row>
    <row r="660" spans="1:7" x14ac:dyDescent="0.2">
      <c r="A660" s="248">
        <v>3713</v>
      </c>
      <c r="B660" s="247">
        <v>5139</v>
      </c>
      <c r="C660" s="246" t="s">
        <v>344</v>
      </c>
      <c r="D660" s="244">
        <v>0</v>
      </c>
      <c r="E660" s="245">
        <v>300</v>
      </c>
      <c r="F660" s="244">
        <v>0</v>
      </c>
      <c r="G660" s="243">
        <v>0</v>
      </c>
    </row>
    <row r="661" spans="1:7" x14ac:dyDescent="0.2">
      <c r="A661" s="242">
        <v>3713</v>
      </c>
      <c r="B661" s="241">
        <v>5169</v>
      </c>
      <c r="C661" s="240" t="s">
        <v>341</v>
      </c>
      <c r="D661" s="238">
        <v>0</v>
      </c>
      <c r="E661" s="239">
        <v>100</v>
      </c>
      <c r="F661" s="238">
        <v>0</v>
      </c>
      <c r="G661" s="237">
        <v>0</v>
      </c>
    </row>
    <row r="662" spans="1:7" x14ac:dyDescent="0.2">
      <c r="A662" s="236">
        <v>3713</v>
      </c>
      <c r="B662" s="235"/>
      <c r="C662" s="234" t="s">
        <v>431</v>
      </c>
      <c r="D662" s="232">
        <v>0</v>
      </c>
      <c r="E662" s="233">
        <v>400</v>
      </c>
      <c r="F662" s="232">
        <v>0</v>
      </c>
      <c r="G662" s="231">
        <v>0</v>
      </c>
    </row>
    <row r="663" spans="1:7" x14ac:dyDescent="0.2">
      <c r="A663" s="242"/>
      <c r="B663" s="250"/>
      <c r="C663" s="240"/>
      <c r="D663" s="249"/>
      <c r="E663" s="249"/>
      <c r="F663" s="249"/>
      <c r="G663" s="237"/>
    </row>
    <row r="664" spans="1:7" x14ac:dyDescent="0.2">
      <c r="A664" s="248">
        <v>3716</v>
      </c>
      <c r="B664" s="247">
        <v>5169</v>
      </c>
      <c r="C664" s="246" t="s">
        <v>341</v>
      </c>
      <c r="D664" s="244">
        <v>0</v>
      </c>
      <c r="E664" s="245">
        <v>199.65</v>
      </c>
      <c r="F664" s="244">
        <v>0</v>
      </c>
      <c r="G664" s="243">
        <v>0</v>
      </c>
    </row>
    <row r="665" spans="1:7" x14ac:dyDescent="0.2">
      <c r="A665" s="242">
        <v>3716</v>
      </c>
      <c r="B665" s="241">
        <v>5339</v>
      </c>
      <c r="C665" s="240" t="s">
        <v>398</v>
      </c>
      <c r="D665" s="238">
        <v>2500</v>
      </c>
      <c r="E665" s="239">
        <v>1900.35</v>
      </c>
      <c r="F665" s="238">
        <v>1900</v>
      </c>
      <c r="G665" s="237">
        <v>99.981582340095258</v>
      </c>
    </row>
    <row r="666" spans="1:7" x14ac:dyDescent="0.2">
      <c r="A666" s="236">
        <v>3716</v>
      </c>
      <c r="B666" s="235"/>
      <c r="C666" s="234" t="s">
        <v>430</v>
      </c>
      <c r="D666" s="232">
        <v>2500</v>
      </c>
      <c r="E666" s="233">
        <v>2100</v>
      </c>
      <c r="F666" s="232">
        <v>1900</v>
      </c>
      <c r="G666" s="231">
        <v>90.476190476190482</v>
      </c>
    </row>
    <row r="667" spans="1:7" x14ac:dyDescent="0.2">
      <c r="A667" s="242"/>
      <c r="B667" s="250"/>
      <c r="C667" s="240"/>
      <c r="D667" s="249"/>
      <c r="E667" s="249"/>
      <c r="F667" s="249"/>
      <c r="G667" s="237"/>
    </row>
    <row r="668" spans="1:7" x14ac:dyDescent="0.2">
      <c r="A668" s="248">
        <v>3719</v>
      </c>
      <c r="B668" s="247">
        <v>5169</v>
      </c>
      <c r="C668" s="246" t="s">
        <v>341</v>
      </c>
      <c r="D668" s="244">
        <v>2406</v>
      </c>
      <c r="E668" s="245">
        <v>1018.52</v>
      </c>
      <c r="F668" s="244">
        <v>953.30499999999995</v>
      </c>
      <c r="G668" s="243">
        <v>93.597082040607944</v>
      </c>
    </row>
    <row r="669" spans="1:7" x14ac:dyDescent="0.2">
      <c r="A669" s="242">
        <v>3719</v>
      </c>
      <c r="B669" s="241">
        <v>5493</v>
      </c>
      <c r="C669" s="240" t="s">
        <v>429</v>
      </c>
      <c r="D669" s="238">
        <v>0</v>
      </c>
      <c r="E669" s="239">
        <v>20</v>
      </c>
      <c r="F669" s="238">
        <v>20</v>
      </c>
      <c r="G669" s="237">
        <v>100</v>
      </c>
    </row>
    <row r="670" spans="1:7" x14ac:dyDescent="0.2">
      <c r="A670" s="236">
        <v>3719</v>
      </c>
      <c r="B670" s="235"/>
      <c r="C670" s="234" t="s">
        <v>291</v>
      </c>
      <c r="D670" s="232">
        <v>2406</v>
      </c>
      <c r="E670" s="233">
        <v>1038.52</v>
      </c>
      <c r="F670" s="232">
        <v>973.30499999999995</v>
      </c>
      <c r="G670" s="231">
        <v>93.720390555790928</v>
      </c>
    </row>
    <row r="671" spans="1:7" x14ac:dyDescent="0.2">
      <c r="A671" s="242"/>
      <c r="B671" s="250"/>
      <c r="C671" s="240"/>
      <c r="D671" s="249"/>
      <c r="E671" s="249"/>
      <c r="F671" s="249"/>
      <c r="G671" s="237"/>
    </row>
    <row r="672" spans="1:7" x14ac:dyDescent="0.2">
      <c r="A672" s="248">
        <v>3724</v>
      </c>
      <c r="B672" s="247">
        <v>5212</v>
      </c>
      <c r="C672" s="246" t="s">
        <v>418</v>
      </c>
      <c r="D672" s="244">
        <v>0</v>
      </c>
      <c r="E672" s="245">
        <v>104.13</v>
      </c>
      <c r="F672" s="244">
        <v>104.12053999999999</v>
      </c>
      <c r="G672" s="243">
        <v>99.990915202151157</v>
      </c>
    </row>
    <row r="673" spans="1:7" x14ac:dyDescent="0.2">
      <c r="A673" s="242">
        <v>3724</v>
      </c>
      <c r="B673" s="241">
        <v>5213</v>
      </c>
      <c r="C673" s="240" t="s">
        <v>411</v>
      </c>
      <c r="D673" s="238">
        <v>0</v>
      </c>
      <c r="E673" s="239">
        <v>844.34</v>
      </c>
      <c r="F673" s="238">
        <v>844.33933999999999</v>
      </c>
      <c r="G673" s="237">
        <v>99.999921832437167</v>
      </c>
    </row>
    <row r="674" spans="1:7" x14ac:dyDescent="0.2">
      <c r="A674" s="242">
        <v>3724</v>
      </c>
      <c r="B674" s="241">
        <v>5336</v>
      </c>
      <c r="C674" s="240" t="s">
        <v>401</v>
      </c>
      <c r="D674" s="238">
        <v>0</v>
      </c>
      <c r="E674" s="239">
        <v>20.029999999999998</v>
      </c>
      <c r="F674" s="238">
        <v>20.022500000000001</v>
      </c>
      <c r="G674" s="237">
        <v>99.962556165751394</v>
      </c>
    </row>
    <row r="675" spans="1:7" x14ac:dyDescent="0.2">
      <c r="A675" s="236">
        <v>3724</v>
      </c>
      <c r="B675" s="235"/>
      <c r="C675" s="234" t="s">
        <v>428</v>
      </c>
      <c r="D675" s="232">
        <v>0</v>
      </c>
      <c r="E675" s="233">
        <v>968.5</v>
      </c>
      <c r="F675" s="232">
        <v>968.48238000000003</v>
      </c>
      <c r="G675" s="231">
        <v>99.998180691791433</v>
      </c>
    </row>
    <row r="676" spans="1:7" x14ac:dyDescent="0.2">
      <c r="A676" s="242"/>
      <c r="B676" s="250"/>
      <c r="C676" s="240"/>
      <c r="D676" s="249"/>
      <c r="E676" s="249"/>
      <c r="F676" s="249"/>
      <c r="G676" s="237"/>
    </row>
    <row r="677" spans="1:7" x14ac:dyDescent="0.2">
      <c r="A677" s="248">
        <v>3729</v>
      </c>
      <c r="B677" s="247">
        <v>5169</v>
      </c>
      <c r="C677" s="246" t="s">
        <v>341</v>
      </c>
      <c r="D677" s="244">
        <v>3000</v>
      </c>
      <c r="E677" s="245">
        <v>1426.41</v>
      </c>
      <c r="F677" s="244">
        <v>338.19499999999999</v>
      </c>
      <c r="G677" s="243">
        <v>23.709522507553928</v>
      </c>
    </row>
    <row r="678" spans="1:7" x14ac:dyDescent="0.2">
      <c r="A678" s="242">
        <v>3729</v>
      </c>
      <c r="B678" s="241">
        <v>5213</v>
      </c>
      <c r="C678" s="240" t="s">
        <v>411</v>
      </c>
      <c r="D678" s="238">
        <v>1000</v>
      </c>
      <c r="E678" s="239">
        <v>1000</v>
      </c>
      <c r="F678" s="238">
        <v>1000</v>
      </c>
      <c r="G678" s="237">
        <v>100</v>
      </c>
    </row>
    <row r="679" spans="1:7" x14ac:dyDescent="0.2">
      <c r="A679" s="242">
        <v>3729</v>
      </c>
      <c r="B679" s="241">
        <v>5321</v>
      </c>
      <c r="C679" s="240" t="s">
        <v>353</v>
      </c>
      <c r="D679" s="238">
        <v>300</v>
      </c>
      <c r="E679" s="239">
        <v>300</v>
      </c>
      <c r="F679" s="238">
        <v>300</v>
      </c>
      <c r="G679" s="237">
        <v>100</v>
      </c>
    </row>
    <row r="680" spans="1:7" x14ac:dyDescent="0.2">
      <c r="A680" s="236">
        <v>3729</v>
      </c>
      <c r="B680" s="235"/>
      <c r="C680" s="234" t="s">
        <v>289</v>
      </c>
      <c r="D680" s="232">
        <v>4300</v>
      </c>
      <c r="E680" s="233">
        <v>2726.41</v>
      </c>
      <c r="F680" s="232">
        <v>1638.1949999999999</v>
      </c>
      <c r="G680" s="231">
        <v>60.086157254411475</v>
      </c>
    </row>
    <row r="681" spans="1:7" x14ac:dyDescent="0.2">
      <c r="A681" s="242"/>
      <c r="B681" s="250"/>
      <c r="C681" s="240"/>
      <c r="D681" s="249"/>
      <c r="E681" s="249"/>
      <c r="F681" s="249"/>
      <c r="G681" s="237"/>
    </row>
    <row r="682" spans="1:7" x14ac:dyDescent="0.2">
      <c r="A682" s="248">
        <v>3741</v>
      </c>
      <c r="B682" s="247">
        <v>5169</v>
      </c>
      <c r="C682" s="246" t="s">
        <v>341</v>
      </c>
      <c r="D682" s="244">
        <v>300</v>
      </c>
      <c r="E682" s="245">
        <v>210</v>
      </c>
      <c r="F682" s="244">
        <v>172.26</v>
      </c>
      <c r="G682" s="243">
        <v>82.028571428571425</v>
      </c>
    </row>
    <row r="683" spans="1:7" x14ac:dyDescent="0.2">
      <c r="A683" s="242">
        <v>3741</v>
      </c>
      <c r="B683" s="241">
        <v>5192</v>
      </c>
      <c r="C683" s="240" t="s">
        <v>356</v>
      </c>
      <c r="D683" s="238">
        <v>0</v>
      </c>
      <c r="E683" s="239">
        <v>353.1</v>
      </c>
      <c r="F683" s="238">
        <v>353.1</v>
      </c>
      <c r="G683" s="237">
        <v>100</v>
      </c>
    </row>
    <row r="684" spans="1:7" x14ac:dyDescent="0.2">
      <c r="A684" s="242">
        <v>3741</v>
      </c>
      <c r="B684" s="241">
        <v>5222</v>
      </c>
      <c r="C684" s="240" t="s">
        <v>354</v>
      </c>
      <c r="D684" s="238">
        <v>1000</v>
      </c>
      <c r="E684" s="239">
        <v>900</v>
      </c>
      <c r="F684" s="238">
        <v>900</v>
      </c>
      <c r="G684" s="237">
        <v>100</v>
      </c>
    </row>
    <row r="685" spans="1:7" x14ac:dyDescent="0.2">
      <c r="A685" s="236">
        <v>3741</v>
      </c>
      <c r="B685" s="235"/>
      <c r="C685" s="234" t="s">
        <v>427</v>
      </c>
      <c r="D685" s="232">
        <v>1300</v>
      </c>
      <c r="E685" s="233">
        <v>1463.1</v>
      </c>
      <c r="F685" s="232">
        <v>1425.3600000000001</v>
      </c>
      <c r="G685" s="231">
        <v>97.420545417264719</v>
      </c>
    </row>
    <row r="686" spans="1:7" x14ac:dyDescent="0.2">
      <c r="A686" s="242"/>
      <c r="B686" s="250"/>
      <c r="C686" s="240"/>
      <c r="D686" s="249"/>
      <c r="E686" s="249"/>
      <c r="F686" s="249"/>
      <c r="G686" s="237"/>
    </row>
    <row r="687" spans="1:7" x14ac:dyDescent="0.2">
      <c r="A687" s="248">
        <v>3742</v>
      </c>
      <c r="B687" s="247">
        <v>5139</v>
      </c>
      <c r="C687" s="246" t="s">
        <v>344</v>
      </c>
      <c r="D687" s="244">
        <v>0</v>
      </c>
      <c r="E687" s="245">
        <v>6.12</v>
      </c>
      <c r="F687" s="244">
        <v>6.12</v>
      </c>
      <c r="G687" s="243">
        <v>100</v>
      </c>
    </row>
    <row r="688" spans="1:7" x14ac:dyDescent="0.2">
      <c r="A688" s="242">
        <v>3742</v>
      </c>
      <c r="B688" s="241">
        <v>5169</v>
      </c>
      <c r="C688" s="240" t="s">
        <v>341</v>
      </c>
      <c r="D688" s="238">
        <v>2800</v>
      </c>
      <c r="E688" s="239">
        <v>2917.59</v>
      </c>
      <c r="F688" s="238">
        <v>2379.4086699999998</v>
      </c>
      <c r="G688" s="237">
        <v>81.553908191349706</v>
      </c>
    </row>
    <row r="689" spans="1:7" x14ac:dyDescent="0.2">
      <c r="A689" s="242">
        <v>3742</v>
      </c>
      <c r="B689" s="241">
        <v>5192</v>
      </c>
      <c r="C689" s="240" t="s">
        <v>356</v>
      </c>
      <c r="D689" s="238">
        <v>700</v>
      </c>
      <c r="E689" s="239">
        <v>700</v>
      </c>
      <c r="F689" s="238">
        <v>679.34299999999996</v>
      </c>
      <c r="G689" s="237">
        <v>97.048999999999992</v>
      </c>
    </row>
    <row r="690" spans="1:7" x14ac:dyDescent="0.2">
      <c r="A690" s="236">
        <v>3742</v>
      </c>
      <c r="B690" s="235"/>
      <c r="C690" s="234" t="s">
        <v>193</v>
      </c>
      <c r="D690" s="232">
        <v>3500</v>
      </c>
      <c r="E690" s="233">
        <v>3623.71</v>
      </c>
      <c r="F690" s="232">
        <v>3064.8716699999995</v>
      </c>
      <c r="G690" s="231">
        <v>84.578282202494108</v>
      </c>
    </row>
    <row r="691" spans="1:7" x14ac:dyDescent="0.2">
      <c r="A691" s="242"/>
      <c r="B691" s="250"/>
      <c r="C691" s="240"/>
      <c r="D691" s="249"/>
      <c r="E691" s="249"/>
      <c r="F691" s="249"/>
      <c r="G691" s="237"/>
    </row>
    <row r="692" spans="1:7" x14ac:dyDescent="0.2">
      <c r="A692" s="248">
        <v>3744</v>
      </c>
      <c r="B692" s="247">
        <v>5169</v>
      </c>
      <c r="C692" s="246" t="s">
        <v>341</v>
      </c>
      <c r="D692" s="244">
        <v>100</v>
      </c>
      <c r="E692" s="245">
        <v>0</v>
      </c>
      <c r="F692" s="244">
        <v>0</v>
      </c>
      <c r="G692" s="261" t="s">
        <v>279</v>
      </c>
    </row>
    <row r="693" spans="1:7" x14ac:dyDescent="0.2">
      <c r="A693" s="236">
        <v>3744</v>
      </c>
      <c r="B693" s="235"/>
      <c r="C693" s="234" t="s">
        <v>287</v>
      </c>
      <c r="D693" s="232">
        <v>100</v>
      </c>
      <c r="E693" s="233">
        <v>0</v>
      </c>
      <c r="F693" s="232">
        <v>0</v>
      </c>
      <c r="G693" s="258" t="s">
        <v>279</v>
      </c>
    </row>
    <row r="694" spans="1:7" x14ac:dyDescent="0.2">
      <c r="A694" s="242"/>
      <c r="B694" s="250"/>
      <c r="C694" s="240"/>
      <c r="D694" s="249"/>
      <c r="E694" s="249"/>
      <c r="F694" s="249"/>
      <c r="G694" s="237"/>
    </row>
    <row r="695" spans="1:7" x14ac:dyDescent="0.2">
      <c r="A695" s="248">
        <v>3745</v>
      </c>
      <c r="B695" s="247">
        <v>5169</v>
      </c>
      <c r="C695" s="246" t="s">
        <v>341</v>
      </c>
      <c r="D695" s="244">
        <v>0</v>
      </c>
      <c r="E695" s="245">
        <v>1866.37</v>
      </c>
      <c r="F695" s="244">
        <v>1552.3765899999999</v>
      </c>
      <c r="G695" s="243">
        <v>83.17625068984178</v>
      </c>
    </row>
    <row r="696" spans="1:7" x14ac:dyDescent="0.2">
      <c r="A696" s="236">
        <v>3745</v>
      </c>
      <c r="B696" s="235"/>
      <c r="C696" s="234" t="s">
        <v>286</v>
      </c>
      <c r="D696" s="232">
        <v>0</v>
      </c>
      <c r="E696" s="233">
        <v>1866.37</v>
      </c>
      <c r="F696" s="232">
        <v>1552.3765899999999</v>
      </c>
      <c r="G696" s="231">
        <v>83.17625068984178</v>
      </c>
    </row>
    <row r="697" spans="1:7" x14ac:dyDescent="0.2">
      <c r="A697" s="242"/>
      <c r="B697" s="250"/>
      <c r="C697" s="240"/>
      <c r="D697" s="249"/>
      <c r="E697" s="249"/>
      <c r="F697" s="249"/>
      <c r="G697" s="237"/>
    </row>
    <row r="698" spans="1:7" x14ac:dyDescent="0.2">
      <c r="A698" s="248">
        <v>3769</v>
      </c>
      <c r="B698" s="247">
        <v>5041</v>
      </c>
      <c r="C698" s="246" t="s">
        <v>380</v>
      </c>
      <c r="D698" s="244">
        <v>950</v>
      </c>
      <c r="E698" s="245">
        <v>0</v>
      </c>
      <c r="F698" s="244">
        <v>0</v>
      </c>
      <c r="G698" s="261" t="s">
        <v>279</v>
      </c>
    </row>
    <row r="699" spans="1:7" x14ac:dyDescent="0.2">
      <c r="A699" s="242">
        <v>3769</v>
      </c>
      <c r="B699" s="241">
        <v>5139</v>
      </c>
      <c r="C699" s="240" t="s">
        <v>344</v>
      </c>
      <c r="D699" s="238">
        <v>50</v>
      </c>
      <c r="E699" s="239">
        <v>50</v>
      </c>
      <c r="F699" s="238">
        <v>0</v>
      </c>
      <c r="G699" s="237">
        <v>0</v>
      </c>
    </row>
    <row r="700" spans="1:7" x14ac:dyDescent="0.2">
      <c r="A700" s="242">
        <v>3769</v>
      </c>
      <c r="B700" s="241">
        <v>5164</v>
      </c>
      <c r="C700" s="240" t="s">
        <v>343</v>
      </c>
      <c r="D700" s="238">
        <v>50</v>
      </c>
      <c r="E700" s="239">
        <v>50</v>
      </c>
      <c r="F700" s="238">
        <v>3</v>
      </c>
      <c r="G700" s="237">
        <v>6</v>
      </c>
    </row>
    <row r="701" spans="1:7" x14ac:dyDescent="0.2">
      <c r="A701" s="242">
        <v>3769</v>
      </c>
      <c r="B701" s="241">
        <v>5166</v>
      </c>
      <c r="C701" s="240" t="s">
        <v>342</v>
      </c>
      <c r="D701" s="238">
        <v>800</v>
      </c>
      <c r="E701" s="239">
        <v>950</v>
      </c>
      <c r="F701" s="238">
        <v>235.99945000000002</v>
      </c>
      <c r="G701" s="237">
        <v>24.842047368421056</v>
      </c>
    </row>
    <row r="702" spans="1:7" x14ac:dyDescent="0.2">
      <c r="A702" s="242">
        <v>3769</v>
      </c>
      <c r="B702" s="241">
        <v>5169</v>
      </c>
      <c r="C702" s="240" t="s">
        <v>341</v>
      </c>
      <c r="D702" s="238">
        <v>500</v>
      </c>
      <c r="E702" s="239">
        <v>1357.15</v>
      </c>
      <c r="F702" s="238">
        <v>165.22550000000001</v>
      </c>
      <c r="G702" s="237">
        <v>12.174446450281842</v>
      </c>
    </row>
    <row r="703" spans="1:7" x14ac:dyDescent="0.2">
      <c r="A703" s="242">
        <v>3769</v>
      </c>
      <c r="B703" s="241">
        <v>5229</v>
      </c>
      <c r="C703" s="240" t="s">
        <v>390</v>
      </c>
      <c r="D703" s="238">
        <v>1000</v>
      </c>
      <c r="E703" s="239">
        <v>0</v>
      </c>
      <c r="F703" s="238">
        <v>0</v>
      </c>
      <c r="G703" s="260" t="s">
        <v>279</v>
      </c>
    </row>
    <row r="704" spans="1:7" x14ac:dyDescent="0.2">
      <c r="A704" s="242">
        <v>3769</v>
      </c>
      <c r="B704" s="241">
        <v>5321</v>
      </c>
      <c r="C704" s="240" t="s">
        <v>353</v>
      </c>
      <c r="D704" s="238">
        <v>0</v>
      </c>
      <c r="E704" s="239">
        <v>90.79</v>
      </c>
      <c r="F704" s="238">
        <v>90.782880000000006</v>
      </c>
      <c r="G704" s="237">
        <v>99.992157726621883</v>
      </c>
    </row>
    <row r="705" spans="1:7" x14ac:dyDescent="0.2">
      <c r="A705" s="236">
        <v>3769</v>
      </c>
      <c r="B705" s="235"/>
      <c r="C705" s="234" t="s">
        <v>192</v>
      </c>
      <c r="D705" s="232">
        <v>3350</v>
      </c>
      <c r="E705" s="233">
        <v>2497.94</v>
      </c>
      <c r="F705" s="232">
        <v>495.00783000000001</v>
      </c>
      <c r="G705" s="231">
        <v>19.816642113101196</v>
      </c>
    </row>
    <row r="706" spans="1:7" x14ac:dyDescent="0.2">
      <c r="A706" s="242"/>
      <c r="B706" s="250"/>
      <c r="C706" s="240"/>
      <c r="D706" s="249"/>
      <c r="E706" s="249"/>
      <c r="F706" s="249"/>
      <c r="G706" s="237"/>
    </row>
    <row r="707" spans="1:7" x14ac:dyDescent="0.2">
      <c r="A707" s="248">
        <v>3792</v>
      </c>
      <c r="B707" s="247">
        <v>5139</v>
      </c>
      <c r="C707" s="246" t="s">
        <v>344</v>
      </c>
      <c r="D707" s="244">
        <v>210</v>
      </c>
      <c r="E707" s="245">
        <v>258.75</v>
      </c>
      <c r="F707" s="244">
        <v>258.62476000000004</v>
      </c>
      <c r="G707" s="243">
        <v>99.951598067632858</v>
      </c>
    </row>
    <row r="708" spans="1:7" x14ac:dyDescent="0.2">
      <c r="A708" s="242">
        <v>3792</v>
      </c>
      <c r="B708" s="241">
        <v>5164</v>
      </c>
      <c r="C708" s="240" t="s">
        <v>343</v>
      </c>
      <c r="D708" s="238">
        <v>0</v>
      </c>
      <c r="E708" s="239">
        <v>1.6</v>
      </c>
      <c r="F708" s="238">
        <v>0.8</v>
      </c>
      <c r="G708" s="237">
        <v>50</v>
      </c>
    </row>
    <row r="709" spans="1:7" x14ac:dyDescent="0.2">
      <c r="A709" s="242">
        <v>3792</v>
      </c>
      <c r="B709" s="241">
        <v>5169</v>
      </c>
      <c r="C709" s="240" t="s">
        <v>341</v>
      </c>
      <c r="D709" s="238">
        <v>3461</v>
      </c>
      <c r="E709" s="239">
        <v>2138.65</v>
      </c>
      <c r="F709" s="238">
        <v>328.15500000000003</v>
      </c>
      <c r="G709" s="237">
        <v>15.344025436607206</v>
      </c>
    </row>
    <row r="710" spans="1:7" x14ac:dyDescent="0.2">
      <c r="A710" s="242">
        <v>3792</v>
      </c>
      <c r="B710" s="241">
        <v>5175</v>
      </c>
      <c r="C710" s="240" t="s">
        <v>340</v>
      </c>
      <c r="D710" s="238">
        <v>10</v>
      </c>
      <c r="E710" s="239">
        <v>10</v>
      </c>
      <c r="F710" s="238">
        <v>9.9949999999999992</v>
      </c>
      <c r="G710" s="237">
        <v>99.949999999999989</v>
      </c>
    </row>
    <row r="711" spans="1:7" x14ac:dyDescent="0.2">
      <c r="A711" s="242">
        <v>3792</v>
      </c>
      <c r="B711" s="241">
        <v>5194</v>
      </c>
      <c r="C711" s="240" t="s">
        <v>355</v>
      </c>
      <c r="D711" s="238">
        <v>100</v>
      </c>
      <c r="E711" s="239">
        <v>100</v>
      </c>
      <c r="F711" s="238">
        <v>100</v>
      </c>
      <c r="G711" s="237">
        <v>100</v>
      </c>
    </row>
    <row r="712" spans="1:7" x14ac:dyDescent="0.2">
      <c r="A712" s="242">
        <v>3792</v>
      </c>
      <c r="B712" s="241">
        <v>5221</v>
      </c>
      <c r="C712" s="240" t="s">
        <v>399</v>
      </c>
      <c r="D712" s="238">
        <v>0</v>
      </c>
      <c r="E712" s="239">
        <v>110</v>
      </c>
      <c r="F712" s="238">
        <v>110</v>
      </c>
      <c r="G712" s="237">
        <v>100</v>
      </c>
    </row>
    <row r="713" spans="1:7" x14ac:dyDescent="0.2">
      <c r="A713" s="242">
        <v>3792</v>
      </c>
      <c r="B713" s="241">
        <v>5222</v>
      </c>
      <c r="C713" s="240" t="s">
        <v>354</v>
      </c>
      <c r="D713" s="238">
        <v>0</v>
      </c>
      <c r="E713" s="239">
        <v>440.4</v>
      </c>
      <c r="F713" s="238">
        <v>436.59710000000001</v>
      </c>
      <c r="G713" s="237">
        <v>99.13648955495006</v>
      </c>
    </row>
    <row r="714" spans="1:7" x14ac:dyDescent="0.2">
      <c r="A714" s="242">
        <v>3792</v>
      </c>
      <c r="B714" s="241">
        <v>5229</v>
      </c>
      <c r="C714" s="240" t="s">
        <v>390</v>
      </c>
      <c r="D714" s="238">
        <v>2599</v>
      </c>
      <c r="E714" s="239">
        <v>100.6</v>
      </c>
      <c r="F714" s="238">
        <v>99</v>
      </c>
      <c r="G714" s="237">
        <v>98.409542743538765</v>
      </c>
    </row>
    <row r="715" spans="1:7" x14ac:dyDescent="0.2">
      <c r="A715" s="242">
        <v>3792</v>
      </c>
      <c r="B715" s="241">
        <v>5321</v>
      </c>
      <c r="C715" s="240" t="s">
        <v>353</v>
      </c>
      <c r="D715" s="238">
        <v>0</v>
      </c>
      <c r="E715" s="239">
        <v>984.40000000000009</v>
      </c>
      <c r="F715" s="238">
        <v>974.45300000000009</v>
      </c>
      <c r="G715" s="237">
        <v>98.989536773669244</v>
      </c>
    </row>
    <row r="716" spans="1:7" x14ac:dyDescent="0.2">
      <c r="A716" s="242">
        <v>3792</v>
      </c>
      <c r="B716" s="241">
        <v>5329</v>
      </c>
      <c r="C716" s="240" t="s">
        <v>426</v>
      </c>
      <c r="D716" s="238">
        <v>0</v>
      </c>
      <c r="E716" s="239">
        <v>150</v>
      </c>
      <c r="F716" s="238">
        <v>140.56066000000001</v>
      </c>
      <c r="G716" s="237">
        <v>93.707106666666675</v>
      </c>
    </row>
    <row r="717" spans="1:7" x14ac:dyDescent="0.2">
      <c r="A717" s="242">
        <v>3792</v>
      </c>
      <c r="B717" s="241">
        <v>5331</v>
      </c>
      <c r="C717" s="240" t="s">
        <v>403</v>
      </c>
      <c r="D717" s="238">
        <v>160</v>
      </c>
      <c r="E717" s="239">
        <v>795.3</v>
      </c>
      <c r="F717" s="238">
        <v>795.3</v>
      </c>
      <c r="G717" s="237">
        <v>100</v>
      </c>
    </row>
    <row r="718" spans="1:7" x14ac:dyDescent="0.2">
      <c r="A718" s="242">
        <v>3792</v>
      </c>
      <c r="B718" s="241">
        <v>5336</v>
      </c>
      <c r="C718" s="240" t="s">
        <v>401</v>
      </c>
      <c r="D718" s="238">
        <v>0</v>
      </c>
      <c r="E718" s="239">
        <v>180</v>
      </c>
      <c r="F718" s="238">
        <v>180</v>
      </c>
      <c r="G718" s="237">
        <v>100</v>
      </c>
    </row>
    <row r="719" spans="1:7" x14ac:dyDescent="0.2">
      <c r="A719" s="236">
        <v>3792</v>
      </c>
      <c r="B719" s="235"/>
      <c r="C719" s="234" t="s">
        <v>285</v>
      </c>
      <c r="D719" s="232">
        <v>6540</v>
      </c>
      <c r="E719" s="233">
        <v>5269.7</v>
      </c>
      <c r="F719" s="232">
        <v>3433.4855200000002</v>
      </c>
      <c r="G719" s="231">
        <v>65.155236920507818</v>
      </c>
    </row>
    <row r="720" spans="1:7" x14ac:dyDescent="0.2">
      <c r="A720" s="242"/>
      <c r="B720" s="250"/>
      <c r="C720" s="240"/>
      <c r="D720" s="249"/>
      <c r="E720" s="249"/>
      <c r="F720" s="249"/>
      <c r="G720" s="237"/>
    </row>
    <row r="721" spans="1:15" x14ac:dyDescent="0.2">
      <c r="A721" s="248">
        <v>3799</v>
      </c>
      <c r="B721" s="247">
        <v>5213</v>
      </c>
      <c r="C721" s="246" t="s">
        <v>411</v>
      </c>
      <c r="D721" s="244">
        <v>0</v>
      </c>
      <c r="E721" s="245">
        <v>250</v>
      </c>
      <c r="F721" s="244">
        <v>250</v>
      </c>
      <c r="G721" s="243">
        <v>100</v>
      </c>
    </row>
    <row r="722" spans="1:15" x14ac:dyDescent="0.2">
      <c r="A722" s="242">
        <v>3799</v>
      </c>
      <c r="B722" s="241">
        <v>5222</v>
      </c>
      <c r="C722" s="240" t="s">
        <v>354</v>
      </c>
      <c r="D722" s="238">
        <v>0</v>
      </c>
      <c r="E722" s="239">
        <v>495</v>
      </c>
      <c r="F722" s="238">
        <v>310.03840000000002</v>
      </c>
      <c r="G722" s="237">
        <v>62.634020202020203</v>
      </c>
    </row>
    <row r="723" spans="1:15" x14ac:dyDescent="0.2">
      <c r="A723" s="242">
        <v>3799</v>
      </c>
      <c r="B723" s="241">
        <v>5229</v>
      </c>
      <c r="C723" s="240" t="s">
        <v>390</v>
      </c>
      <c r="D723" s="238">
        <v>950</v>
      </c>
      <c r="E723" s="239">
        <v>155</v>
      </c>
      <c r="F723" s="238">
        <v>150</v>
      </c>
      <c r="G723" s="237">
        <v>96.774193548387103</v>
      </c>
    </row>
    <row r="724" spans="1:15" x14ac:dyDescent="0.2">
      <c r="A724" s="242">
        <v>3799</v>
      </c>
      <c r="B724" s="241">
        <v>5321</v>
      </c>
      <c r="C724" s="240" t="s">
        <v>353</v>
      </c>
      <c r="D724" s="238">
        <v>0</v>
      </c>
      <c r="E724" s="239">
        <v>20</v>
      </c>
      <c r="F724" s="238">
        <v>0</v>
      </c>
      <c r="G724" s="237">
        <v>0</v>
      </c>
    </row>
    <row r="725" spans="1:15" x14ac:dyDescent="0.2">
      <c r="A725" s="236">
        <v>3799</v>
      </c>
      <c r="B725" s="235"/>
      <c r="C725" s="234" t="s">
        <v>284</v>
      </c>
      <c r="D725" s="232">
        <v>950</v>
      </c>
      <c r="E725" s="233">
        <v>920</v>
      </c>
      <c r="F725" s="232">
        <v>710.03840000000002</v>
      </c>
      <c r="G725" s="231">
        <v>77.178086956521739</v>
      </c>
    </row>
    <row r="726" spans="1:15" x14ac:dyDescent="0.2">
      <c r="A726" s="242"/>
      <c r="B726" s="250"/>
      <c r="C726" s="240"/>
      <c r="D726" s="249"/>
      <c r="E726" s="249"/>
      <c r="F726" s="249"/>
      <c r="G726" s="237"/>
    </row>
    <row r="727" spans="1:15" x14ac:dyDescent="0.2">
      <c r="A727" s="248">
        <v>3900</v>
      </c>
      <c r="B727" s="247">
        <v>5222</v>
      </c>
      <c r="C727" s="246" t="s">
        <v>354</v>
      </c>
      <c r="D727" s="244">
        <v>0</v>
      </c>
      <c r="E727" s="245">
        <v>70</v>
      </c>
      <c r="F727" s="244">
        <v>70</v>
      </c>
      <c r="G727" s="243">
        <v>100</v>
      </c>
    </row>
    <row r="728" spans="1:15" x14ac:dyDescent="0.2">
      <c r="A728" s="242">
        <v>3900</v>
      </c>
      <c r="B728" s="241">
        <v>5229</v>
      </c>
      <c r="C728" s="240" t="s">
        <v>390</v>
      </c>
      <c r="D728" s="238">
        <v>0</v>
      </c>
      <c r="E728" s="239">
        <v>18</v>
      </c>
      <c r="F728" s="238">
        <v>18</v>
      </c>
      <c r="G728" s="237">
        <v>100</v>
      </c>
    </row>
    <row r="729" spans="1:15" x14ac:dyDescent="0.2">
      <c r="A729" s="242">
        <v>3900</v>
      </c>
      <c r="B729" s="241">
        <v>5321</v>
      </c>
      <c r="C729" s="240" t="s">
        <v>353</v>
      </c>
      <c r="D729" s="238">
        <v>0</v>
      </c>
      <c r="E729" s="239">
        <v>1540.0100000000002</v>
      </c>
      <c r="F729" s="238">
        <v>1539.9995000000001</v>
      </c>
      <c r="G729" s="237">
        <v>99.999318186245532</v>
      </c>
    </row>
    <row r="730" spans="1:15" x14ac:dyDescent="0.2">
      <c r="A730" s="236">
        <v>3900</v>
      </c>
      <c r="B730" s="235"/>
      <c r="C730" s="234" t="s">
        <v>425</v>
      </c>
      <c r="D730" s="232">
        <v>0</v>
      </c>
      <c r="E730" s="233">
        <v>1628.0100000000002</v>
      </c>
      <c r="F730" s="232">
        <v>1627.9995000000001</v>
      </c>
      <c r="G730" s="231">
        <v>99.999355040816695</v>
      </c>
    </row>
    <row r="731" spans="1:15" x14ac:dyDescent="0.2">
      <c r="A731" s="242"/>
      <c r="B731" s="250"/>
      <c r="C731" s="240"/>
      <c r="D731" s="249"/>
      <c r="E731" s="249"/>
      <c r="F731" s="249"/>
      <c r="G731" s="237"/>
    </row>
    <row r="732" spans="1:15" customFormat="1" x14ac:dyDescent="0.2">
      <c r="A732" s="1317" t="s">
        <v>283</v>
      </c>
      <c r="B732" s="1318"/>
      <c r="C732" s="1318"/>
      <c r="D732" s="257">
        <v>1732478</v>
      </c>
      <c r="E732" s="257">
        <v>12349676.09</v>
      </c>
      <c r="F732" s="257">
        <v>12070527.970009999</v>
      </c>
      <c r="G732" s="256">
        <v>97.74</v>
      </c>
      <c r="I732" s="100"/>
      <c r="J732" s="100"/>
      <c r="K732" s="100"/>
      <c r="L732" s="100"/>
      <c r="M732" s="100"/>
      <c r="N732" s="100"/>
      <c r="O732" s="100"/>
    </row>
    <row r="733" spans="1:15" customFormat="1" x14ac:dyDescent="0.2">
      <c r="A733" s="255"/>
      <c r="B733" s="254"/>
      <c r="C733" s="253"/>
      <c r="D733" s="252"/>
      <c r="E733" s="252"/>
      <c r="F733" s="252"/>
      <c r="G733" s="251"/>
      <c r="I733" s="100"/>
      <c r="J733" s="100"/>
      <c r="K733" s="100"/>
      <c r="L733" s="100"/>
      <c r="M733" s="100"/>
      <c r="N733" s="100"/>
      <c r="O733" s="100"/>
    </row>
    <row r="734" spans="1:15" x14ac:dyDescent="0.2">
      <c r="A734" s="248">
        <v>4311</v>
      </c>
      <c r="B734" s="247">
        <v>5011</v>
      </c>
      <c r="C734" s="246" t="s">
        <v>386</v>
      </c>
      <c r="D734" s="244">
        <v>0</v>
      </c>
      <c r="E734" s="245">
        <v>164.38</v>
      </c>
      <c r="F734" s="244">
        <v>164.30672999999999</v>
      </c>
      <c r="G734" s="243">
        <v>99.95542645090643</v>
      </c>
    </row>
    <row r="735" spans="1:15" x14ac:dyDescent="0.2">
      <c r="A735" s="242">
        <v>4311</v>
      </c>
      <c r="B735" s="241">
        <v>5021</v>
      </c>
      <c r="C735" s="240" t="s">
        <v>385</v>
      </c>
      <c r="D735" s="238">
        <v>0</v>
      </c>
      <c r="E735" s="239">
        <v>266.39999999999998</v>
      </c>
      <c r="F735" s="238">
        <v>266.39999999999998</v>
      </c>
      <c r="G735" s="237">
        <v>100</v>
      </c>
    </row>
    <row r="736" spans="1:15" x14ac:dyDescent="0.2">
      <c r="A736" s="242">
        <v>4311</v>
      </c>
      <c r="B736" s="241">
        <v>5031</v>
      </c>
      <c r="C736" s="240" t="s">
        <v>383</v>
      </c>
      <c r="D736" s="238">
        <v>0</v>
      </c>
      <c r="E736" s="239">
        <v>41.18</v>
      </c>
      <c r="F736" s="238">
        <v>41.089000000000006</v>
      </c>
      <c r="G736" s="237">
        <v>99.779018941233616</v>
      </c>
    </row>
    <row r="737" spans="1:7" x14ac:dyDescent="0.2">
      <c r="A737" s="242">
        <v>4311</v>
      </c>
      <c r="B737" s="241">
        <v>5032</v>
      </c>
      <c r="C737" s="240" t="s">
        <v>382</v>
      </c>
      <c r="D737" s="238">
        <v>0</v>
      </c>
      <c r="E737" s="239">
        <v>14.9</v>
      </c>
      <c r="F737" s="238">
        <v>14.802000000000001</v>
      </c>
      <c r="G737" s="237">
        <v>99.342281879194644</v>
      </c>
    </row>
    <row r="738" spans="1:7" x14ac:dyDescent="0.2">
      <c r="A738" s="242">
        <v>4311</v>
      </c>
      <c r="B738" s="241">
        <v>5038</v>
      </c>
      <c r="C738" s="240" t="s">
        <v>381</v>
      </c>
      <c r="D738" s="238">
        <v>0</v>
      </c>
      <c r="E738" s="239">
        <v>0.71</v>
      </c>
      <c r="F738" s="238">
        <v>0.70199999999999996</v>
      </c>
      <c r="G738" s="237">
        <v>98.873239436619713</v>
      </c>
    </row>
    <row r="739" spans="1:7" x14ac:dyDescent="0.2">
      <c r="A739" s="242">
        <v>4311</v>
      </c>
      <c r="B739" s="241">
        <v>5136</v>
      </c>
      <c r="C739" s="240" t="s">
        <v>373</v>
      </c>
      <c r="D739" s="238">
        <v>0</v>
      </c>
      <c r="E739" s="239">
        <v>36.200000000000003</v>
      </c>
      <c r="F739" s="238">
        <v>0</v>
      </c>
      <c r="G739" s="237">
        <v>0</v>
      </c>
    </row>
    <row r="740" spans="1:7" x14ac:dyDescent="0.2">
      <c r="A740" s="242">
        <v>4311</v>
      </c>
      <c r="B740" s="241">
        <v>5139</v>
      </c>
      <c r="C740" s="240" t="s">
        <v>344</v>
      </c>
      <c r="D740" s="238">
        <v>0</v>
      </c>
      <c r="E740" s="239">
        <v>231</v>
      </c>
      <c r="F740" s="238">
        <v>217.45799999999997</v>
      </c>
      <c r="G740" s="237">
        <v>94.13766233766232</v>
      </c>
    </row>
    <row r="741" spans="1:7" x14ac:dyDescent="0.2">
      <c r="A741" s="242">
        <v>4311</v>
      </c>
      <c r="B741" s="241">
        <v>5162</v>
      </c>
      <c r="C741" s="240" t="s">
        <v>366</v>
      </c>
      <c r="D741" s="238">
        <v>0</v>
      </c>
      <c r="E741" s="239">
        <v>1</v>
      </c>
      <c r="F741" s="238">
        <v>0.53200000000000003</v>
      </c>
      <c r="G741" s="237">
        <v>53.2</v>
      </c>
    </row>
    <row r="742" spans="1:7" x14ac:dyDescent="0.2">
      <c r="A742" s="242">
        <v>4311</v>
      </c>
      <c r="B742" s="241">
        <v>5164</v>
      </c>
      <c r="C742" s="240" t="s">
        <v>343</v>
      </c>
      <c r="D742" s="238">
        <v>0</v>
      </c>
      <c r="E742" s="239">
        <v>12</v>
      </c>
      <c r="F742" s="238">
        <v>12</v>
      </c>
      <c r="G742" s="237">
        <v>100</v>
      </c>
    </row>
    <row r="743" spans="1:7" x14ac:dyDescent="0.2">
      <c r="A743" s="242">
        <v>4311</v>
      </c>
      <c r="B743" s="241">
        <v>5169</v>
      </c>
      <c r="C743" s="240" t="s">
        <v>341</v>
      </c>
      <c r="D743" s="238">
        <v>0</v>
      </c>
      <c r="E743" s="239">
        <v>1637.1</v>
      </c>
      <c r="F743" s="238">
        <v>920.08400000000006</v>
      </c>
      <c r="G743" s="237">
        <v>56.20206462647365</v>
      </c>
    </row>
    <row r="744" spans="1:7" x14ac:dyDescent="0.2">
      <c r="A744" s="242">
        <v>4311</v>
      </c>
      <c r="B744" s="241">
        <v>5175</v>
      </c>
      <c r="C744" s="240" t="s">
        <v>340</v>
      </c>
      <c r="D744" s="238">
        <v>0</v>
      </c>
      <c r="E744" s="239">
        <v>73</v>
      </c>
      <c r="F744" s="238">
        <v>62.05</v>
      </c>
      <c r="G744" s="237">
        <v>85</v>
      </c>
    </row>
    <row r="745" spans="1:7" x14ac:dyDescent="0.2">
      <c r="A745" s="236">
        <v>4311</v>
      </c>
      <c r="B745" s="235"/>
      <c r="C745" s="234" t="s">
        <v>424</v>
      </c>
      <c r="D745" s="232">
        <v>0</v>
      </c>
      <c r="E745" s="233">
        <v>2477.87</v>
      </c>
      <c r="F745" s="232">
        <v>1699.4237300000002</v>
      </c>
      <c r="G745" s="231">
        <v>68.584055257136185</v>
      </c>
    </row>
    <row r="746" spans="1:7" x14ac:dyDescent="0.2">
      <c r="A746" s="242"/>
      <c r="B746" s="250"/>
      <c r="C746" s="240"/>
      <c r="D746" s="249"/>
      <c r="E746" s="249"/>
      <c r="F746" s="249"/>
      <c r="G746" s="237"/>
    </row>
    <row r="747" spans="1:7" x14ac:dyDescent="0.2">
      <c r="A747" s="248">
        <v>4312</v>
      </c>
      <c r="B747" s="247">
        <v>5221</v>
      </c>
      <c r="C747" s="246" t="s">
        <v>399</v>
      </c>
      <c r="D747" s="244">
        <v>0</v>
      </c>
      <c r="E747" s="245">
        <v>7429</v>
      </c>
      <c r="F747" s="244">
        <v>7429</v>
      </c>
      <c r="G747" s="243">
        <v>100</v>
      </c>
    </row>
    <row r="748" spans="1:7" x14ac:dyDescent="0.2">
      <c r="A748" s="242">
        <v>4312</v>
      </c>
      <c r="B748" s="241">
        <v>5222</v>
      </c>
      <c r="C748" s="240" t="s">
        <v>354</v>
      </c>
      <c r="D748" s="238">
        <v>0</v>
      </c>
      <c r="E748" s="239">
        <v>4604.3999999999996</v>
      </c>
      <c r="F748" s="238">
        <v>4604.3999999999996</v>
      </c>
      <c r="G748" s="237">
        <v>100</v>
      </c>
    </row>
    <row r="749" spans="1:7" x14ac:dyDescent="0.2">
      <c r="A749" s="242">
        <v>4312</v>
      </c>
      <c r="B749" s="241">
        <v>5223</v>
      </c>
      <c r="C749" s="240" t="s">
        <v>400</v>
      </c>
      <c r="D749" s="238">
        <v>0</v>
      </c>
      <c r="E749" s="239">
        <v>8705</v>
      </c>
      <c r="F749" s="238">
        <v>8705</v>
      </c>
      <c r="G749" s="237">
        <v>100</v>
      </c>
    </row>
    <row r="750" spans="1:7" x14ac:dyDescent="0.2">
      <c r="A750" s="242">
        <v>4312</v>
      </c>
      <c r="B750" s="241">
        <v>5229</v>
      </c>
      <c r="C750" s="240" t="s">
        <v>390</v>
      </c>
      <c r="D750" s="238">
        <v>0</v>
      </c>
      <c r="E750" s="239">
        <v>553</v>
      </c>
      <c r="F750" s="238">
        <v>553</v>
      </c>
      <c r="G750" s="237">
        <v>100</v>
      </c>
    </row>
    <row r="751" spans="1:7" x14ac:dyDescent="0.2">
      <c r="A751" s="242">
        <v>4312</v>
      </c>
      <c r="B751" s="241">
        <v>5321</v>
      </c>
      <c r="C751" s="240" t="s">
        <v>353</v>
      </c>
      <c r="D751" s="238">
        <v>0</v>
      </c>
      <c r="E751" s="239">
        <v>1868</v>
      </c>
      <c r="F751" s="238">
        <v>1868</v>
      </c>
      <c r="G751" s="237">
        <v>100</v>
      </c>
    </row>
    <row r="752" spans="1:7" x14ac:dyDescent="0.2">
      <c r="A752" s="242">
        <v>4312</v>
      </c>
      <c r="B752" s="241">
        <v>5331</v>
      </c>
      <c r="C752" s="240" t="s">
        <v>403</v>
      </c>
      <c r="D752" s="238">
        <v>2000</v>
      </c>
      <c r="E752" s="239">
        <v>2000</v>
      </c>
      <c r="F752" s="238">
        <v>2000</v>
      </c>
      <c r="G752" s="237">
        <v>100</v>
      </c>
    </row>
    <row r="753" spans="1:7" x14ac:dyDescent="0.2">
      <c r="A753" s="242">
        <v>4312</v>
      </c>
      <c r="B753" s="241">
        <v>5336</v>
      </c>
      <c r="C753" s="240" t="s">
        <v>401</v>
      </c>
      <c r="D753" s="238">
        <v>0</v>
      </c>
      <c r="E753" s="239">
        <v>4296</v>
      </c>
      <c r="F753" s="238">
        <v>4296</v>
      </c>
      <c r="G753" s="237">
        <v>100</v>
      </c>
    </row>
    <row r="754" spans="1:7" x14ac:dyDescent="0.2">
      <c r="A754" s="236">
        <v>4312</v>
      </c>
      <c r="B754" s="235"/>
      <c r="C754" s="234" t="s">
        <v>282</v>
      </c>
      <c r="D754" s="232">
        <v>2000</v>
      </c>
      <c r="E754" s="233">
        <v>29455.4</v>
      </c>
      <c r="F754" s="232">
        <v>29455.4</v>
      </c>
      <c r="G754" s="231">
        <v>100</v>
      </c>
    </row>
    <row r="755" spans="1:7" x14ac:dyDescent="0.2">
      <c r="A755" s="242"/>
      <c r="B755" s="250"/>
      <c r="C755" s="240"/>
      <c r="D755" s="249"/>
      <c r="E755" s="249"/>
      <c r="F755" s="249"/>
      <c r="G755" s="237"/>
    </row>
    <row r="756" spans="1:7" x14ac:dyDescent="0.2">
      <c r="A756" s="248">
        <v>4319</v>
      </c>
      <c r="B756" s="247">
        <v>5011</v>
      </c>
      <c r="C756" s="246" t="s">
        <v>386</v>
      </c>
      <c r="D756" s="244">
        <v>0</v>
      </c>
      <c r="E756" s="245">
        <v>111.55</v>
      </c>
      <c r="F756" s="244">
        <v>102.583</v>
      </c>
      <c r="G756" s="243">
        <v>91.96145226355894</v>
      </c>
    </row>
    <row r="757" spans="1:7" x14ac:dyDescent="0.2">
      <c r="A757" s="242">
        <v>4319</v>
      </c>
      <c r="B757" s="241">
        <v>5031</v>
      </c>
      <c r="C757" s="240" t="s">
        <v>383</v>
      </c>
      <c r="D757" s="238">
        <v>0</v>
      </c>
      <c r="E757" s="239">
        <v>27.9</v>
      </c>
      <c r="F757" s="238">
        <v>25.627000000000002</v>
      </c>
      <c r="G757" s="237">
        <v>91.853046594982089</v>
      </c>
    </row>
    <row r="758" spans="1:7" x14ac:dyDescent="0.2">
      <c r="A758" s="242">
        <v>4319</v>
      </c>
      <c r="B758" s="241">
        <v>5032</v>
      </c>
      <c r="C758" s="240" t="s">
        <v>382</v>
      </c>
      <c r="D758" s="238">
        <v>0</v>
      </c>
      <c r="E758" s="239">
        <v>10.06</v>
      </c>
      <c r="F758" s="238">
        <v>9.2100000000000009</v>
      </c>
      <c r="G758" s="237">
        <v>91.550695825049715</v>
      </c>
    </row>
    <row r="759" spans="1:7" x14ac:dyDescent="0.2">
      <c r="A759" s="242">
        <v>4319</v>
      </c>
      <c r="B759" s="241">
        <v>5038</v>
      </c>
      <c r="C759" s="240" t="s">
        <v>381</v>
      </c>
      <c r="D759" s="238">
        <v>0</v>
      </c>
      <c r="E759" s="239">
        <v>0.49000000000000005</v>
      </c>
      <c r="F759" s="238">
        <v>0.41000000000000003</v>
      </c>
      <c r="G759" s="237">
        <v>83.673469387755091</v>
      </c>
    </row>
    <row r="760" spans="1:7" x14ac:dyDescent="0.2">
      <c r="A760" s="242">
        <v>4319</v>
      </c>
      <c r="B760" s="241">
        <v>5137</v>
      </c>
      <c r="C760" s="240" t="s">
        <v>345</v>
      </c>
      <c r="D760" s="238">
        <v>0</v>
      </c>
      <c r="E760" s="239">
        <v>1598.14</v>
      </c>
      <c r="F760" s="238">
        <v>1414.4803200000001</v>
      </c>
      <c r="G760" s="237">
        <v>88.507910445893359</v>
      </c>
    </row>
    <row r="761" spans="1:7" x14ac:dyDescent="0.2">
      <c r="A761" s="242">
        <v>4319</v>
      </c>
      <c r="B761" s="241">
        <v>5166</v>
      </c>
      <c r="C761" s="240" t="s">
        <v>342</v>
      </c>
      <c r="D761" s="238">
        <v>230</v>
      </c>
      <c r="E761" s="239">
        <v>162</v>
      </c>
      <c r="F761" s="238">
        <v>161.9</v>
      </c>
      <c r="G761" s="237">
        <v>99.938271604938279</v>
      </c>
    </row>
    <row r="762" spans="1:7" x14ac:dyDescent="0.2">
      <c r="A762" s="242">
        <v>4319</v>
      </c>
      <c r="B762" s="241">
        <v>5331</v>
      </c>
      <c r="C762" s="240" t="s">
        <v>403</v>
      </c>
      <c r="D762" s="238">
        <v>8500</v>
      </c>
      <c r="E762" s="239">
        <v>8500</v>
      </c>
      <c r="F762" s="238">
        <v>7900</v>
      </c>
      <c r="G762" s="237">
        <v>92.941176470588232</v>
      </c>
    </row>
    <row r="763" spans="1:7" x14ac:dyDescent="0.2">
      <c r="A763" s="236">
        <v>4319</v>
      </c>
      <c r="B763" s="235"/>
      <c r="C763" s="234" t="s">
        <v>281</v>
      </c>
      <c r="D763" s="232">
        <v>8730</v>
      </c>
      <c r="E763" s="233">
        <v>10410.14</v>
      </c>
      <c r="F763" s="232">
        <v>9614.2103200000001</v>
      </c>
      <c r="G763" s="231">
        <v>92.354284572541772</v>
      </c>
    </row>
    <row r="764" spans="1:7" x14ac:dyDescent="0.2">
      <c r="A764" s="242"/>
      <c r="B764" s="250"/>
      <c r="C764" s="240"/>
      <c r="D764" s="249"/>
      <c r="E764" s="249"/>
      <c r="F764" s="249"/>
      <c r="G764" s="237"/>
    </row>
    <row r="765" spans="1:7" x14ac:dyDescent="0.2">
      <c r="A765" s="248">
        <v>4322</v>
      </c>
      <c r="B765" s="247">
        <v>5331</v>
      </c>
      <c r="C765" s="246" t="s">
        <v>403</v>
      </c>
      <c r="D765" s="244">
        <v>29358</v>
      </c>
      <c r="E765" s="245">
        <v>0</v>
      </c>
      <c r="F765" s="244">
        <v>0</v>
      </c>
      <c r="G765" s="261" t="s">
        <v>279</v>
      </c>
    </row>
    <row r="766" spans="1:7" x14ac:dyDescent="0.2">
      <c r="A766" s="236">
        <v>4322</v>
      </c>
      <c r="B766" s="235"/>
      <c r="C766" s="259" t="s">
        <v>423</v>
      </c>
      <c r="D766" s="232">
        <v>29358</v>
      </c>
      <c r="E766" s="233">
        <v>0</v>
      </c>
      <c r="F766" s="232">
        <v>0</v>
      </c>
      <c r="G766" s="258" t="s">
        <v>279</v>
      </c>
    </row>
    <row r="767" spans="1:7" x14ac:dyDescent="0.2">
      <c r="A767" s="242"/>
      <c r="B767" s="250"/>
      <c r="C767" s="240"/>
      <c r="D767" s="249"/>
      <c r="E767" s="249"/>
      <c r="F767" s="249"/>
      <c r="G767" s="237"/>
    </row>
    <row r="768" spans="1:7" x14ac:dyDescent="0.2">
      <c r="A768" s="248">
        <v>4324</v>
      </c>
      <c r="B768" s="247">
        <v>5221</v>
      </c>
      <c r="C768" s="246" t="s">
        <v>399</v>
      </c>
      <c r="D768" s="244">
        <v>0</v>
      </c>
      <c r="E768" s="245">
        <v>821.4</v>
      </c>
      <c r="F768" s="244">
        <v>798.76</v>
      </c>
      <c r="G768" s="243">
        <v>97.243730216703199</v>
      </c>
    </row>
    <row r="769" spans="1:7" x14ac:dyDescent="0.2">
      <c r="A769" s="242">
        <v>4324</v>
      </c>
      <c r="B769" s="241">
        <v>5222</v>
      </c>
      <c r="C769" s="240" t="s">
        <v>354</v>
      </c>
      <c r="D769" s="238">
        <v>0</v>
      </c>
      <c r="E769" s="239">
        <v>7048.6</v>
      </c>
      <c r="F769" s="238">
        <v>6417.44</v>
      </c>
      <c r="G769" s="237">
        <v>91.045597707346133</v>
      </c>
    </row>
    <row r="770" spans="1:7" x14ac:dyDescent="0.2">
      <c r="A770" s="242">
        <v>4324</v>
      </c>
      <c r="B770" s="241">
        <v>5223</v>
      </c>
      <c r="C770" s="240" t="s">
        <v>400</v>
      </c>
      <c r="D770" s="238">
        <v>0</v>
      </c>
      <c r="E770" s="239">
        <v>3360</v>
      </c>
      <c r="F770" s="238">
        <v>2990.7200000000003</v>
      </c>
      <c r="G770" s="237">
        <v>89.009523809523813</v>
      </c>
    </row>
    <row r="771" spans="1:7" x14ac:dyDescent="0.2">
      <c r="A771" s="242">
        <v>4324</v>
      </c>
      <c r="B771" s="241">
        <v>5321</v>
      </c>
      <c r="C771" s="240" t="s">
        <v>353</v>
      </c>
      <c r="D771" s="238">
        <v>0</v>
      </c>
      <c r="E771" s="239">
        <v>4270</v>
      </c>
      <c r="F771" s="238">
        <v>3781</v>
      </c>
      <c r="G771" s="237">
        <v>88.548009367681502</v>
      </c>
    </row>
    <row r="772" spans="1:7" x14ac:dyDescent="0.2">
      <c r="A772" s="242">
        <v>4324</v>
      </c>
      <c r="B772" s="241">
        <v>5336</v>
      </c>
      <c r="C772" s="240" t="s">
        <v>401</v>
      </c>
      <c r="D772" s="238">
        <v>0</v>
      </c>
      <c r="E772" s="239">
        <v>9000</v>
      </c>
      <c r="F772" s="238">
        <v>8263.48</v>
      </c>
      <c r="G772" s="237">
        <v>91.816444444444443</v>
      </c>
    </row>
    <row r="773" spans="1:7" x14ac:dyDescent="0.2">
      <c r="A773" s="236">
        <v>4324</v>
      </c>
      <c r="B773" s="235"/>
      <c r="C773" s="234" t="s">
        <v>422</v>
      </c>
      <c r="D773" s="232">
        <v>0</v>
      </c>
      <c r="E773" s="233">
        <v>24500</v>
      </c>
      <c r="F773" s="232">
        <v>22251.4</v>
      </c>
      <c r="G773" s="231">
        <v>90.822040816326535</v>
      </c>
    </row>
    <row r="774" spans="1:7" x14ac:dyDescent="0.2">
      <c r="A774" s="242"/>
      <c r="B774" s="250"/>
      <c r="C774" s="240"/>
      <c r="D774" s="249"/>
      <c r="E774" s="249"/>
      <c r="F774" s="249"/>
      <c r="G774" s="237"/>
    </row>
    <row r="775" spans="1:7" x14ac:dyDescent="0.2">
      <c r="A775" s="248">
        <v>4329</v>
      </c>
      <c r="B775" s="247">
        <v>5011</v>
      </c>
      <c r="C775" s="246" t="s">
        <v>386</v>
      </c>
      <c r="D775" s="244">
        <v>0</v>
      </c>
      <c r="E775" s="245">
        <v>770</v>
      </c>
      <c r="F775" s="244">
        <v>737.80603000000008</v>
      </c>
      <c r="G775" s="243">
        <v>95.81896493506494</v>
      </c>
    </row>
    <row r="776" spans="1:7" x14ac:dyDescent="0.2">
      <c r="A776" s="242">
        <v>4329</v>
      </c>
      <c r="B776" s="241">
        <v>5021</v>
      </c>
      <c r="C776" s="240" t="s">
        <v>385</v>
      </c>
      <c r="D776" s="238">
        <v>0</v>
      </c>
      <c r="E776" s="239">
        <v>537.20000000000005</v>
      </c>
      <c r="F776" s="238">
        <v>537.19599999999991</v>
      </c>
      <c r="G776" s="237">
        <v>99.999255398361854</v>
      </c>
    </row>
    <row r="777" spans="1:7" x14ac:dyDescent="0.2">
      <c r="A777" s="242">
        <v>4329</v>
      </c>
      <c r="B777" s="241">
        <v>5031</v>
      </c>
      <c r="C777" s="240" t="s">
        <v>383</v>
      </c>
      <c r="D777" s="238">
        <v>0</v>
      </c>
      <c r="E777" s="239">
        <v>323.5</v>
      </c>
      <c r="F777" s="238">
        <v>315.13299999999998</v>
      </c>
      <c r="G777" s="237">
        <v>97.413601236476026</v>
      </c>
    </row>
    <row r="778" spans="1:7" x14ac:dyDescent="0.2">
      <c r="A778" s="242">
        <v>4329</v>
      </c>
      <c r="B778" s="241">
        <v>5032</v>
      </c>
      <c r="C778" s="240" t="s">
        <v>382</v>
      </c>
      <c r="D778" s="238">
        <v>0</v>
      </c>
      <c r="E778" s="239">
        <v>118.86000000000001</v>
      </c>
      <c r="F778" s="238">
        <v>113.48399999999999</v>
      </c>
      <c r="G778" s="237">
        <v>95.477031802120123</v>
      </c>
    </row>
    <row r="779" spans="1:7" x14ac:dyDescent="0.2">
      <c r="A779" s="242">
        <v>4329</v>
      </c>
      <c r="B779" s="241">
        <v>5038</v>
      </c>
      <c r="C779" s="240" t="s">
        <v>381</v>
      </c>
      <c r="D779" s="238">
        <v>0</v>
      </c>
      <c r="E779" s="239">
        <v>5.72</v>
      </c>
      <c r="F779" s="238">
        <v>5.3460000000000001</v>
      </c>
      <c r="G779" s="237">
        <v>93.461538461538467</v>
      </c>
    </row>
    <row r="780" spans="1:7" x14ac:dyDescent="0.2">
      <c r="A780" s="242">
        <v>4329</v>
      </c>
      <c r="B780" s="241">
        <v>5136</v>
      </c>
      <c r="C780" s="240" t="s">
        <v>373</v>
      </c>
      <c r="D780" s="238">
        <v>0</v>
      </c>
      <c r="E780" s="239">
        <v>6.8000000000000007</v>
      </c>
      <c r="F780" s="238">
        <v>6.2409999999999997</v>
      </c>
      <c r="G780" s="237">
        <v>91.77941176470587</v>
      </c>
    </row>
    <row r="781" spans="1:7" x14ac:dyDescent="0.2">
      <c r="A781" s="242">
        <v>4329</v>
      </c>
      <c r="B781" s="241">
        <v>5139</v>
      </c>
      <c r="C781" s="240" t="s">
        <v>344</v>
      </c>
      <c r="D781" s="238">
        <v>0</v>
      </c>
      <c r="E781" s="239">
        <v>178</v>
      </c>
      <c r="F781" s="238">
        <v>173.15434999999999</v>
      </c>
      <c r="G781" s="237">
        <v>97.277724719101116</v>
      </c>
    </row>
    <row r="782" spans="1:7" x14ac:dyDescent="0.2">
      <c r="A782" s="242">
        <v>4329</v>
      </c>
      <c r="B782" s="241">
        <v>5161</v>
      </c>
      <c r="C782" s="240" t="s">
        <v>367</v>
      </c>
      <c r="D782" s="238">
        <v>0</v>
      </c>
      <c r="E782" s="239">
        <v>1</v>
      </c>
      <c r="F782" s="238">
        <v>0.20499999999999999</v>
      </c>
      <c r="G782" s="237">
        <v>20.5</v>
      </c>
    </row>
    <row r="783" spans="1:7" x14ac:dyDescent="0.2">
      <c r="A783" s="242">
        <v>4329</v>
      </c>
      <c r="B783" s="241">
        <v>5162</v>
      </c>
      <c r="C783" s="240" t="s">
        <v>366</v>
      </c>
      <c r="D783" s="238">
        <v>0</v>
      </c>
      <c r="E783" s="239">
        <v>12.399999999999999</v>
      </c>
      <c r="F783" s="238">
        <v>10.856000000000002</v>
      </c>
      <c r="G783" s="237">
        <v>87.548387096774221</v>
      </c>
    </row>
    <row r="784" spans="1:7" x14ac:dyDescent="0.2">
      <c r="A784" s="242">
        <v>4329</v>
      </c>
      <c r="B784" s="241">
        <v>5164</v>
      </c>
      <c r="C784" s="240" t="s">
        <v>343</v>
      </c>
      <c r="D784" s="238">
        <v>0</v>
      </c>
      <c r="E784" s="239">
        <v>60</v>
      </c>
      <c r="F784" s="238">
        <v>59.699999999999996</v>
      </c>
      <c r="G784" s="237">
        <v>99.499999999999986</v>
      </c>
    </row>
    <row r="785" spans="1:7" x14ac:dyDescent="0.2">
      <c r="A785" s="242">
        <v>4329</v>
      </c>
      <c r="B785" s="241">
        <v>5166</v>
      </c>
      <c r="C785" s="240" t="s">
        <v>342</v>
      </c>
      <c r="D785" s="238">
        <v>0</v>
      </c>
      <c r="E785" s="239">
        <v>1205</v>
      </c>
      <c r="F785" s="238">
        <v>605</v>
      </c>
      <c r="G785" s="237">
        <v>50.207468879668049</v>
      </c>
    </row>
    <row r="786" spans="1:7" x14ac:dyDescent="0.2">
      <c r="A786" s="242">
        <v>4329</v>
      </c>
      <c r="B786" s="241">
        <v>5167</v>
      </c>
      <c r="C786" s="240" t="s">
        <v>365</v>
      </c>
      <c r="D786" s="238">
        <v>0</v>
      </c>
      <c r="E786" s="239">
        <v>5</v>
      </c>
      <c r="F786" s="238">
        <v>2.4</v>
      </c>
      <c r="G786" s="237">
        <v>48</v>
      </c>
    </row>
    <row r="787" spans="1:7" x14ac:dyDescent="0.2">
      <c r="A787" s="242">
        <v>4329</v>
      </c>
      <c r="B787" s="241">
        <v>5169</v>
      </c>
      <c r="C787" s="240" t="s">
        <v>341</v>
      </c>
      <c r="D787" s="238">
        <v>1000</v>
      </c>
      <c r="E787" s="239">
        <v>2179.36</v>
      </c>
      <c r="F787" s="238">
        <v>628.03199999999993</v>
      </c>
      <c r="G787" s="237">
        <v>28.817267454665586</v>
      </c>
    </row>
    <row r="788" spans="1:7" x14ac:dyDescent="0.2">
      <c r="A788" s="242">
        <v>4329</v>
      </c>
      <c r="B788" s="241">
        <v>5173</v>
      </c>
      <c r="C788" s="240" t="s">
        <v>361</v>
      </c>
      <c r="D788" s="238">
        <v>0</v>
      </c>
      <c r="E788" s="239">
        <v>74</v>
      </c>
      <c r="F788" s="238">
        <v>58.556999999999995</v>
      </c>
      <c r="G788" s="237">
        <v>79.131081081081078</v>
      </c>
    </row>
    <row r="789" spans="1:7" x14ac:dyDescent="0.2">
      <c r="A789" s="242">
        <v>4329</v>
      </c>
      <c r="B789" s="241">
        <v>5175</v>
      </c>
      <c r="C789" s="240" t="s">
        <v>340</v>
      </c>
      <c r="D789" s="238">
        <v>0</v>
      </c>
      <c r="E789" s="239">
        <v>218</v>
      </c>
      <c r="F789" s="238">
        <v>210.61600000000001</v>
      </c>
      <c r="G789" s="237">
        <v>96.612844036697254</v>
      </c>
    </row>
    <row r="790" spans="1:7" x14ac:dyDescent="0.2">
      <c r="A790" s="242">
        <v>4329</v>
      </c>
      <c r="B790" s="241">
        <v>5221</v>
      </c>
      <c r="C790" s="240" t="s">
        <v>399</v>
      </c>
      <c r="D790" s="238">
        <v>0</v>
      </c>
      <c r="E790" s="239">
        <v>58.5</v>
      </c>
      <c r="F790" s="238">
        <v>58.5</v>
      </c>
      <c r="G790" s="237">
        <v>100</v>
      </c>
    </row>
    <row r="791" spans="1:7" x14ac:dyDescent="0.2">
      <c r="A791" s="242">
        <v>4329</v>
      </c>
      <c r="B791" s="241">
        <v>5229</v>
      </c>
      <c r="C791" s="240" t="s">
        <v>390</v>
      </c>
      <c r="D791" s="238">
        <v>0</v>
      </c>
      <c r="E791" s="239">
        <v>80</v>
      </c>
      <c r="F791" s="238">
        <v>80</v>
      </c>
      <c r="G791" s="237">
        <v>100</v>
      </c>
    </row>
    <row r="792" spans="1:7" x14ac:dyDescent="0.2">
      <c r="A792" s="236">
        <v>4329</v>
      </c>
      <c r="B792" s="235"/>
      <c r="C792" s="234" t="s">
        <v>421</v>
      </c>
      <c r="D792" s="232">
        <v>1000</v>
      </c>
      <c r="E792" s="233">
        <v>5833.34</v>
      </c>
      <c r="F792" s="232">
        <v>3602.2263800000001</v>
      </c>
      <c r="G792" s="231">
        <v>61.752381654420965</v>
      </c>
    </row>
    <row r="793" spans="1:7" x14ac:dyDescent="0.2">
      <c r="A793" s="242"/>
      <c r="B793" s="250"/>
      <c r="C793" s="240"/>
      <c r="D793" s="249"/>
      <c r="E793" s="249"/>
      <c r="F793" s="249"/>
      <c r="G793" s="237"/>
    </row>
    <row r="794" spans="1:7" x14ac:dyDescent="0.2">
      <c r="A794" s="248">
        <v>4332</v>
      </c>
      <c r="B794" s="247">
        <v>5137</v>
      </c>
      <c r="C794" s="246" t="s">
        <v>345</v>
      </c>
      <c r="D794" s="244">
        <v>1650</v>
      </c>
      <c r="E794" s="245">
        <v>0</v>
      </c>
      <c r="F794" s="244">
        <v>0</v>
      </c>
      <c r="G794" s="261" t="s">
        <v>279</v>
      </c>
    </row>
    <row r="795" spans="1:7" x14ac:dyDescent="0.2">
      <c r="A795" s="236">
        <v>4332</v>
      </c>
      <c r="B795" s="235"/>
      <c r="C795" s="259" t="s">
        <v>280</v>
      </c>
      <c r="D795" s="232">
        <v>1650</v>
      </c>
      <c r="E795" s="233">
        <v>0</v>
      </c>
      <c r="F795" s="232">
        <v>0</v>
      </c>
      <c r="G795" s="258" t="s">
        <v>279</v>
      </c>
    </row>
    <row r="796" spans="1:7" x14ac:dyDescent="0.2">
      <c r="A796" s="242"/>
      <c r="B796" s="250"/>
      <c r="C796" s="240"/>
      <c r="D796" s="249"/>
      <c r="E796" s="249"/>
      <c r="F796" s="249"/>
      <c r="G796" s="237"/>
    </row>
    <row r="797" spans="1:7" x14ac:dyDescent="0.2">
      <c r="A797" s="248">
        <v>4339</v>
      </c>
      <c r="B797" s="247">
        <v>5169</v>
      </c>
      <c r="C797" s="246" t="s">
        <v>341</v>
      </c>
      <c r="D797" s="244">
        <v>150</v>
      </c>
      <c r="E797" s="245">
        <v>22</v>
      </c>
      <c r="F797" s="244">
        <v>17.475999999999999</v>
      </c>
      <c r="G797" s="243">
        <v>79.436363636363623</v>
      </c>
    </row>
    <row r="798" spans="1:7" x14ac:dyDescent="0.2">
      <c r="A798" s="242">
        <v>4339</v>
      </c>
      <c r="B798" s="241">
        <v>5221</v>
      </c>
      <c r="C798" s="240" t="s">
        <v>399</v>
      </c>
      <c r="D798" s="238">
        <v>0</v>
      </c>
      <c r="E798" s="239">
        <v>217.2</v>
      </c>
      <c r="F798" s="238">
        <v>217.2</v>
      </c>
      <c r="G798" s="237">
        <v>100</v>
      </c>
    </row>
    <row r="799" spans="1:7" x14ac:dyDescent="0.2">
      <c r="A799" s="242">
        <v>4339</v>
      </c>
      <c r="B799" s="241">
        <v>5222</v>
      </c>
      <c r="C799" s="240" t="s">
        <v>354</v>
      </c>
      <c r="D799" s="238">
        <v>0</v>
      </c>
      <c r="E799" s="239">
        <v>1226.5999999999999</v>
      </c>
      <c r="F799" s="238">
        <v>1226.5999999999999</v>
      </c>
      <c r="G799" s="237">
        <v>100</v>
      </c>
    </row>
    <row r="800" spans="1:7" x14ac:dyDescent="0.2">
      <c r="A800" s="242">
        <v>4339</v>
      </c>
      <c r="B800" s="241">
        <v>5223</v>
      </c>
      <c r="C800" s="240" t="s">
        <v>400</v>
      </c>
      <c r="D800" s="238">
        <v>0</v>
      </c>
      <c r="E800" s="239">
        <v>180</v>
      </c>
      <c r="F800" s="238">
        <v>180</v>
      </c>
      <c r="G800" s="237">
        <v>100</v>
      </c>
    </row>
    <row r="801" spans="1:7" x14ac:dyDescent="0.2">
      <c r="A801" s="242">
        <v>4339</v>
      </c>
      <c r="B801" s="241">
        <v>5321</v>
      </c>
      <c r="C801" s="240" t="s">
        <v>353</v>
      </c>
      <c r="D801" s="238">
        <v>0</v>
      </c>
      <c r="E801" s="239">
        <v>50</v>
      </c>
      <c r="F801" s="238">
        <v>50</v>
      </c>
      <c r="G801" s="237">
        <v>100</v>
      </c>
    </row>
    <row r="802" spans="1:7" x14ac:dyDescent="0.2">
      <c r="A802" s="236">
        <v>4339</v>
      </c>
      <c r="B802" s="235"/>
      <c r="C802" s="234" t="s">
        <v>278</v>
      </c>
      <c r="D802" s="232">
        <v>150</v>
      </c>
      <c r="E802" s="233">
        <v>1695.8</v>
      </c>
      <c r="F802" s="232">
        <v>1691.2759999999998</v>
      </c>
      <c r="G802" s="231">
        <v>99.733223257459599</v>
      </c>
    </row>
    <row r="803" spans="1:7" x14ac:dyDescent="0.2">
      <c r="A803" s="242"/>
      <c r="B803" s="250"/>
      <c r="C803" s="240"/>
      <c r="D803" s="249"/>
      <c r="E803" s="249"/>
      <c r="F803" s="249"/>
      <c r="G803" s="237"/>
    </row>
    <row r="804" spans="1:7" x14ac:dyDescent="0.2">
      <c r="A804" s="248">
        <v>4342</v>
      </c>
      <c r="B804" s="247">
        <v>5011</v>
      </c>
      <c r="C804" s="246" t="s">
        <v>386</v>
      </c>
      <c r="D804" s="244">
        <v>0</v>
      </c>
      <c r="E804" s="245">
        <v>322.7</v>
      </c>
      <c r="F804" s="244">
        <v>60.63</v>
      </c>
      <c r="G804" s="243">
        <v>18.788348311124885</v>
      </c>
    </row>
    <row r="805" spans="1:7" x14ac:dyDescent="0.2">
      <c r="A805" s="242">
        <v>4342</v>
      </c>
      <c r="B805" s="241">
        <v>5031</v>
      </c>
      <c r="C805" s="240" t="s">
        <v>383</v>
      </c>
      <c r="D805" s="238">
        <v>0</v>
      </c>
      <c r="E805" s="239">
        <v>80.680000000000007</v>
      </c>
      <c r="F805" s="238">
        <v>15.157999999999999</v>
      </c>
      <c r="G805" s="237">
        <v>18.787803668815069</v>
      </c>
    </row>
    <row r="806" spans="1:7" x14ac:dyDescent="0.2">
      <c r="A806" s="242">
        <v>4342</v>
      </c>
      <c r="B806" s="241">
        <v>5032</v>
      </c>
      <c r="C806" s="240" t="s">
        <v>382</v>
      </c>
      <c r="D806" s="238">
        <v>0</v>
      </c>
      <c r="E806" s="239">
        <v>29.04</v>
      </c>
      <c r="F806" s="238">
        <v>5.4580000000000002</v>
      </c>
      <c r="G806" s="237">
        <v>18.794765840220386</v>
      </c>
    </row>
    <row r="807" spans="1:7" x14ac:dyDescent="0.2">
      <c r="A807" s="242">
        <v>4342</v>
      </c>
      <c r="B807" s="241">
        <v>5038</v>
      </c>
      <c r="C807" s="240" t="s">
        <v>381</v>
      </c>
      <c r="D807" s="238">
        <v>0</v>
      </c>
      <c r="E807" s="239">
        <v>1.36</v>
      </c>
      <c r="F807" s="238">
        <v>0.255</v>
      </c>
      <c r="G807" s="237">
        <v>18.75</v>
      </c>
    </row>
    <row r="808" spans="1:7" x14ac:dyDescent="0.2">
      <c r="A808" s="242">
        <v>4342</v>
      </c>
      <c r="B808" s="241">
        <v>5136</v>
      </c>
      <c r="C808" s="240" t="s">
        <v>373</v>
      </c>
      <c r="D808" s="238">
        <v>0</v>
      </c>
      <c r="E808" s="239">
        <v>1.72</v>
      </c>
      <c r="F808" s="238">
        <v>0</v>
      </c>
      <c r="G808" s="237">
        <v>0</v>
      </c>
    </row>
    <row r="809" spans="1:7" x14ac:dyDescent="0.2">
      <c r="A809" s="242">
        <v>4342</v>
      </c>
      <c r="B809" s="241">
        <v>5162</v>
      </c>
      <c r="C809" s="240" t="s">
        <v>366</v>
      </c>
      <c r="D809" s="238">
        <v>0</v>
      </c>
      <c r="E809" s="239">
        <v>1.5</v>
      </c>
      <c r="F809" s="238">
        <v>0.34855999999999998</v>
      </c>
      <c r="G809" s="237">
        <v>23.237333333333332</v>
      </c>
    </row>
    <row r="810" spans="1:7" x14ac:dyDescent="0.2">
      <c r="A810" s="242">
        <v>4342</v>
      </c>
      <c r="B810" s="241">
        <v>5167</v>
      </c>
      <c r="C810" s="240" t="s">
        <v>365</v>
      </c>
      <c r="D810" s="238">
        <v>0</v>
      </c>
      <c r="E810" s="239">
        <v>2</v>
      </c>
      <c r="F810" s="238">
        <v>0</v>
      </c>
      <c r="G810" s="237">
        <v>0</v>
      </c>
    </row>
    <row r="811" spans="1:7" x14ac:dyDescent="0.2">
      <c r="A811" s="242">
        <v>4342</v>
      </c>
      <c r="B811" s="241">
        <v>5173</v>
      </c>
      <c r="C811" s="240" t="s">
        <v>361</v>
      </c>
      <c r="D811" s="238">
        <v>0</v>
      </c>
      <c r="E811" s="239">
        <v>9</v>
      </c>
      <c r="F811" s="238">
        <v>2.0830000000000002</v>
      </c>
      <c r="G811" s="237">
        <v>23.144444444444446</v>
      </c>
    </row>
    <row r="812" spans="1:7" x14ac:dyDescent="0.2">
      <c r="A812" s="242">
        <v>4342</v>
      </c>
      <c r="B812" s="241">
        <v>5175</v>
      </c>
      <c r="C812" s="240" t="s">
        <v>340</v>
      </c>
      <c r="D812" s="238">
        <v>0</v>
      </c>
      <c r="E812" s="239">
        <v>2</v>
      </c>
      <c r="F812" s="238">
        <v>0</v>
      </c>
      <c r="G812" s="237">
        <v>0</v>
      </c>
    </row>
    <row r="813" spans="1:7" x14ac:dyDescent="0.2">
      <c r="A813" s="242">
        <v>4342</v>
      </c>
      <c r="B813" s="241">
        <v>5221</v>
      </c>
      <c r="C813" s="240" t="s">
        <v>399</v>
      </c>
      <c r="D813" s="238">
        <v>0</v>
      </c>
      <c r="E813" s="239">
        <v>239.5</v>
      </c>
      <c r="F813" s="238">
        <v>239.5</v>
      </c>
      <c r="G813" s="237">
        <v>100</v>
      </c>
    </row>
    <row r="814" spans="1:7" x14ac:dyDescent="0.2">
      <c r="A814" s="242">
        <v>4342</v>
      </c>
      <c r="B814" s="241">
        <v>5222</v>
      </c>
      <c r="C814" s="240" t="s">
        <v>354</v>
      </c>
      <c r="D814" s="238">
        <v>200</v>
      </c>
      <c r="E814" s="239">
        <v>268.8</v>
      </c>
      <c r="F814" s="238">
        <v>268.8</v>
      </c>
      <c r="G814" s="237">
        <v>100</v>
      </c>
    </row>
    <row r="815" spans="1:7" x14ac:dyDescent="0.2">
      <c r="A815" s="242">
        <v>4342</v>
      </c>
      <c r="B815" s="241">
        <v>5223</v>
      </c>
      <c r="C815" s="240" t="s">
        <v>400</v>
      </c>
      <c r="D815" s="238">
        <v>0</v>
      </c>
      <c r="E815" s="239">
        <v>240</v>
      </c>
      <c r="F815" s="238">
        <v>240</v>
      </c>
      <c r="G815" s="237">
        <v>100</v>
      </c>
    </row>
    <row r="816" spans="1:7" x14ac:dyDescent="0.2">
      <c r="A816" s="242">
        <v>4342</v>
      </c>
      <c r="B816" s="241">
        <v>5229</v>
      </c>
      <c r="C816" s="240" t="s">
        <v>390</v>
      </c>
      <c r="D816" s="238">
        <v>700</v>
      </c>
      <c r="E816" s="239">
        <v>0</v>
      </c>
      <c r="F816" s="238">
        <v>0</v>
      </c>
      <c r="G816" s="260" t="s">
        <v>279</v>
      </c>
    </row>
    <row r="817" spans="1:7" x14ac:dyDescent="0.2">
      <c r="A817" s="236">
        <v>4342</v>
      </c>
      <c r="B817" s="235"/>
      <c r="C817" s="234" t="s">
        <v>420</v>
      </c>
      <c r="D817" s="232">
        <v>900</v>
      </c>
      <c r="E817" s="233">
        <v>1198.3</v>
      </c>
      <c r="F817" s="232">
        <v>832.23255999999992</v>
      </c>
      <c r="G817" s="231">
        <v>69.451102395059664</v>
      </c>
    </row>
    <row r="818" spans="1:7" x14ac:dyDescent="0.2">
      <c r="A818" s="242"/>
      <c r="B818" s="250"/>
      <c r="C818" s="240"/>
      <c r="D818" s="249"/>
      <c r="E818" s="249"/>
      <c r="F818" s="249"/>
      <c r="G818" s="237"/>
    </row>
    <row r="819" spans="1:7" x14ac:dyDescent="0.2">
      <c r="A819" s="248">
        <v>4344</v>
      </c>
      <c r="B819" s="247">
        <v>5221</v>
      </c>
      <c r="C819" s="246" t="s">
        <v>399</v>
      </c>
      <c r="D819" s="244">
        <v>0</v>
      </c>
      <c r="E819" s="245">
        <v>13364.970000000001</v>
      </c>
      <c r="F819" s="244">
        <v>13364.970000000001</v>
      </c>
      <c r="G819" s="243">
        <v>100</v>
      </c>
    </row>
    <row r="820" spans="1:7" x14ac:dyDescent="0.2">
      <c r="A820" s="242">
        <v>4344</v>
      </c>
      <c r="B820" s="241">
        <v>5222</v>
      </c>
      <c r="C820" s="240" t="s">
        <v>354</v>
      </c>
      <c r="D820" s="238">
        <v>0</v>
      </c>
      <c r="E820" s="239">
        <v>5392.26</v>
      </c>
      <c r="F820" s="238">
        <v>5392.2519999999995</v>
      </c>
      <c r="G820" s="237">
        <v>99.999851639201367</v>
      </c>
    </row>
    <row r="821" spans="1:7" x14ac:dyDescent="0.2">
      <c r="A821" s="242">
        <v>4344</v>
      </c>
      <c r="B821" s="241">
        <v>5223</v>
      </c>
      <c r="C821" s="240" t="s">
        <v>400</v>
      </c>
      <c r="D821" s="238">
        <v>0</v>
      </c>
      <c r="E821" s="239">
        <v>10729.32</v>
      </c>
      <c r="F821" s="238">
        <v>10729.315999999999</v>
      </c>
      <c r="G821" s="237">
        <v>99.99996271897939</v>
      </c>
    </row>
    <row r="822" spans="1:7" x14ac:dyDescent="0.2">
      <c r="A822" s="236">
        <v>4344</v>
      </c>
      <c r="B822" s="235"/>
      <c r="C822" s="234" t="s">
        <v>419</v>
      </c>
      <c r="D822" s="232">
        <v>0</v>
      </c>
      <c r="E822" s="233">
        <v>29486.550000000003</v>
      </c>
      <c r="F822" s="232">
        <v>29486.538</v>
      </c>
      <c r="G822" s="231">
        <v>99.999959303479031</v>
      </c>
    </row>
    <row r="823" spans="1:7" x14ac:dyDescent="0.2">
      <c r="A823" s="242"/>
      <c r="B823" s="250"/>
      <c r="C823" s="240"/>
      <c r="D823" s="249"/>
      <c r="E823" s="249"/>
      <c r="F823" s="249"/>
      <c r="G823" s="237"/>
    </row>
    <row r="824" spans="1:7" x14ac:dyDescent="0.2">
      <c r="A824" s="248">
        <v>4349</v>
      </c>
      <c r="B824" s="247">
        <v>5169</v>
      </c>
      <c r="C824" s="246" t="s">
        <v>341</v>
      </c>
      <c r="D824" s="244">
        <v>10</v>
      </c>
      <c r="E824" s="245">
        <v>346.2</v>
      </c>
      <c r="F824" s="244">
        <v>243.71153000000001</v>
      </c>
      <c r="G824" s="243">
        <v>70.396166955517046</v>
      </c>
    </row>
    <row r="825" spans="1:7" x14ac:dyDescent="0.2">
      <c r="A825" s="242">
        <v>4349</v>
      </c>
      <c r="B825" s="241">
        <v>5213</v>
      </c>
      <c r="C825" s="240" t="s">
        <v>411</v>
      </c>
      <c r="D825" s="238">
        <v>0</v>
      </c>
      <c r="E825" s="239">
        <v>200</v>
      </c>
      <c r="F825" s="238">
        <v>200</v>
      </c>
      <c r="G825" s="237">
        <v>100</v>
      </c>
    </row>
    <row r="826" spans="1:7" x14ac:dyDescent="0.2">
      <c r="A826" s="242">
        <v>4349</v>
      </c>
      <c r="B826" s="241">
        <v>5221</v>
      </c>
      <c r="C826" s="240" t="s">
        <v>399</v>
      </c>
      <c r="D826" s="238">
        <v>0</v>
      </c>
      <c r="E826" s="239">
        <v>405.90000000000003</v>
      </c>
      <c r="F826" s="238">
        <v>405.22</v>
      </c>
      <c r="G826" s="237">
        <v>99.832471051983234</v>
      </c>
    </row>
    <row r="827" spans="1:7" x14ac:dyDescent="0.2">
      <c r="A827" s="242">
        <v>4349</v>
      </c>
      <c r="B827" s="241">
        <v>5222</v>
      </c>
      <c r="C827" s="240" t="s">
        <v>354</v>
      </c>
      <c r="D827" s="238">
        <v>0</v>
      </c>
      <c r="E827" s="239">
        <v>464.3</v>
      </c>
      <c r="F827" s="238">
        <v>464.3</v>
      </c>
      <c r="G827" s="237">
        <v>100</v>
      </c>
    </row>
    <row r="828" spans="1:7" x14ac:dyDescent="0.2">
      <c r="A828" s="242">
        <v>4349</v>
      </c>
      <c r="B828" s="241">
        <v>5223</v>
      </c>
      <c r="C828" s="240" t="s">
        <v>400</v>
      </c>
      <c r="D828" s="238">
        <v>0</v>
      </c>
      <c r="E828" s="239">
        <v>183.5</v>
      </c>
      <c r="F828" s="238">
        <v>183.5</v>
      </c>
      <c r="G828" s="237">
        <v>100</v>
      </c>
    </row>
    <row r="829" spans="1:7" x14ac:dyDescent="0.2">
      <c r="A829" s="242">
        <v>4349</v>
      </c>
      <c r="B829" s="241">
        <v>5229</v>
      </c>
      <c r="C829" s="240" t="s">
        <v>390</v>
      </c>
      <c r="D829" s="238">
        <v>1190</v>
      </c>
      <c r="E829" s="239">
        <v>58</v>
      </c>
      <c r="F829" s="238">
        <v>0</v>
      </c>
      <c r="G829" s="237">
        <v>0</v>
      </c>
    </row>
    <row r="830" spans="1:7" x14ac:dyDescent="0.2">
      <c r="A830" s="242">
        <v>4349</v>
      </c>
      <c r="B830" s="241">
        <v>5492</v>
      </c>
      <c r="C830" s="240" t="s">
        <v>388</v>
      </c>
      <c r="D830" s="238">
        <v>0</v>
      </c>
      <c r="E830" s="239">
        <v>1120</v>
      </c>
      <c r="F830" s="238">
        <v>1120</v>
      </c>
      <c r="G830" s="237">
        <v>100</v>
      </c>
    </row>
    <row r="831" spans="1:7" x14ac:dyDescent="0.2">
      <c r="A831" s="236">
        <v>4349</v>
      </c>
      <c r="B831" s="235"/>
      <c r="C831" s="234" t="s">
        <v>186</v>
      </c>
      <c r="D831" s="232">
        <v>1200</v>
      </c>
      <c r="E831" s="233">
        <v>2777.9</v>
      </c>
      <c r="F831" s="232">
        <v>2616.73153</v>
      </c>
      <c r="G831" s="231">
        <v>94.198190359624178</v>
      </c>
    </row>
    <row r="832" spans="1:7" x14ac:dyDescent="0.2">
      <c r="A832" s="242"/>
      <c r="B832" s="250"/>
      <c r="C832" s="240"/>
      <c r="D832" s="249"/>
      <c r="E832" s="249"/>
      <c r="F832" s="249"/>
      <c r="G832" s="237"/>
    </row>
    <row r="833" spans="1:7" x14ac:dyDescent="0.2">
      <c r="A833" s="248">
        <v>4350</v>
      </c>
      <c r="B833" s="247">
        <v>5137</v>
      </c>
      <c r="C833" s="246" t="s">
        <v>345</v>
      </c>
      <c r="D833" s="244">
        <v>5</v>
      </c>
      <c r="E833" s="245">
        <v>4940.91</v>
      </c>
      <c r="F833" s="244">
        <v>2401.5643</v>
      </c>
      <c r="G833" s="243">
        <v>48.605708260219274</v>
      </c>
    </row>
    <row r="834" spans="1:7" x14ac:dyDescent="0.2">
      <c r="A834" s="242">
        <v>4350</v>
      </c>
      <c r="B834" s="241">
        <v>5139</v>
      </c>
      <c r="C834" s="240" t="s">
        <v>344</v>
      </c>
      <c r="D834" s="238">
        <v>3200</v>
      </c>
      <c r="E834" s="239">
        <v>2650</v>
      </c>
      <c r="F834" s="238">
        <v>0</v>
      </c>
      <c r="G834" s="237">
        <v>0</v>
      </c>
    </row>
    <row r="835" spans="1:7" x14ac:dyDescent="0.2">
      <c r="A835" s="242">
        <v>4350</v>
      </c>
      <c r="B835" s="241">
        <v>5167</v>
      </c>
      <c r="C835" s="240" t="s">
        <v>365</v>
      </c>
      <c r="D835" s="238">
        <v>0</v>
      </c>
      <c r="E835" s="239">
        <v>1</v>
      </c>
      <c r="F835" s="238">
        <v>0.80500000000000005</v>
      </c>
      <c r="G835" s="237">
        <v>80.5</v>
      </c>
    </row>
    <row r="836" spans="1:7" x14ac:dyDescent="0.2">
      <c r="A836" s="242">
        <v>4350</v>
      </c>
      <c r="B836" s="241">
        <v>5169</v>
      </c>
      <c r="C836" s="240" t="s">
        <v>341</v>
      </c>
      <c r="D836" s="238">
        <v>100</v>
      </c>
      <c r="E836" s="239">
        <v>100</v>
      </c>
      <c r="F836" s="238">
        <v>3.4847999999999999</v>
      </c>
      <c r="G836" s="237">
        <v>3.4847999999999999</v>
      </c>
    </row>
    <row r="837" spans="1:7" x14ac:dyDescent="0.2">
      <c r="A837" s="242">
        <v>4350</v>
      </c>
      <c r="B837" s="241">
        <v>5212</v>
      </c>
      <c r="C837" s="240" t="s">
        <v>418</v>
      </c>
      <c r="D837" s="238">
        <v>0</v>
      </c>
      <c r="E837" s="239">
        <v>1003</v>
      </c>
      <c r="F837" s="238">
        <v>1003</v>
      </c>
      <c r="G837" s="237">
        <v>100</v>
      </c>
    </row>
    <row r="838" spans="1:7" x14ac:dyDescent="0.2">
      <c r="A838" s="242">
        <v>4350</v>
      </c>
      <c r="B838" s="241">
        <v>5213</v>
      </c>
      <c r="C838" s="240" t="s">
        <v>411</v>
      </c>
      <c r="D838" s="238">
        <v>0</v>
      </c>
      <c r="E838" s="239">
        <v>1825</v>
      </c>
      <c r="F838" s="238">
        <v>1825</v>
      </c>
      <c r="G838" s="237">
        <v>100</v>
      </c>
    </row>
    <row r="839" spans="1:7" x14ac:dyDescent="0.2">
      <c r="A839" s="242">
        <v>4350</v>
      </c>
      <c r="B839" s="241">
        <v>5221</v>
      </c>
      <c r="C839" s="240" t="s">
        <v>399</v>
      </c>
      <c r="D839" s="238">
        <v>0</v>
      </c>
      <c r="E839" s="239">
        <v>20376</v>
      </c>
      <c r="F839" s="238">
        <v>20376</v>
      </c>
      <c r="G839" s="237">
        <v>100</v>
      </c>
    </row>
    <row r="840" spans="1:7" x14ac:dyDescent="0.2">
      <c r="A840" s="242">
        <v>4350</v>
      </c>
      <c r="B840" s="241">
        <v>5222</v>
      </c>
      <c r="C840" s="240" t="s">
        <v>354</v>
      </c>
      <c r="D840" s="238">
        <v>0</v>
      </c>
      <c r="E840" s="239">
        <v>3020</v>
      </c>
      <c r="F840" s="238">
        <v>3020</v>
      </c>
      <c r="G840" s="237">
        <v>100</v>
      </c>
    </row>
    <row r="841" spans="1:7" x14ac:dyDescent="0.2">
      <c r="A841" s="242">
        <v>4350</v>
      </c>
      <c r="B841" s="241">
        <v>5223</v>
      </c>
      <c r="C841" s="240" t="s">
        <v>400</v>
      </c>
      <c r="D841" s="238">
        <v>0</v>
      </c>
      <c r="E841" s="239">
        <v>34497</v>
      </c>
      <c r="F841" s="238">
        <v>34497</v>
      </c>
      <c r="G841" s="237">
        <v>100</v>
      </c>
    </row>
    <row r="842" spans="1:7" x14ac:dyDescent="0.2">
      <c r="A842" s="242">
        <v>4350</v>
      </c>
      <c r="B842" s="241">
        <v>5321</v>
      </c>
      <c r="C842" s="240" t="s">
        <v>353</v>
      </c>
      <c r="D842" s="238">
        <v>0</v>
      </c>
      <c r="E842" s="239">
        <v>146906</v>
      </c>
      <c r="F842" s="238">
        <v>146906</v>
      </c>
      <c r="G842" s="237">
        <v>100</v>
      </c>
    </row>
    <row r="843" spans="1:7" x14ac:dyDescent="0.2">
      <c r="A843" s="242">
        <v>4350</v>
      </c>
      <c r="B843" s="241">
        <v>5331</v>
      </c>
      <c r="C843" s="240" t="s">
        <v>403</v>
      </c>
      <c r="D843" s="238">
        <v>23800</v>
      </c>
      <c r="E843" s="239">
        <v>11600</v>
      </c>
      <c r="F843" s="238">
        <v>11400</v>
      </c>
      <c r="G843" s="237">
        <v>98.275862068965509</v>
      </c>
    </row>
    <row r="844" spans="1:7" x14ac:dyDescent="0.2">
      <c r="A844" s="242">
        <v>4350</v>
      </c>
      <c r="B844" s="241">
        <v>5336</v>
      </c>
      <c r="C844" s="240" t="s">
        <v>401</v>
      </c>
      <c r="D844" s="238">
        <v>0</v>
      </c>
      <c r="E844" s="239">
        <v>74723.490000000005</v>
      </c>
      <c r="F844" s="238">
        <v>74723.477960000004</v>
      </c>
      <c r="G844" s="237">
        <v>99.999983887262218</v>
      </c>
    </row>
    <row r="845" spans="1:7" x14ac:dyDescent="0.2">
      <c r="A845" s="242">
        <v>4350</v>
      </c>
      <c r="B845" s="241">
        <v>5651</v>
      </c>
      <c r="C845" s="240" t="s">
        <v>412</v>
      </c>
      <c r="D845" s="238">
        <v>23500</v>
      </c>
      <c r="E845" s="239">
        <v>23500</v>
      </c>
      <c r="F845" s="238">
        <v>23500</v>
      </c>
      <c r="G845" s="237">
        <v>100</v>
      </c>
    </row>
    <row r="846" spans="1:7" x14ac:dyDescent="0.2">
      <c r="A846" s="236">
        <v>4350</v>
      </c>
      <c r="B846" s="235"/>
      <c r="C846" s="234" t="s">
        <v>185</v>
      </c>
      <c r="D846" s="232">
        <v>50605</v>
      </c>
      <c r="E846" s="233">
        <v>325142.40000000002</v>
      </c>
      <c r="F846" s="232">
        <v>319656.33205999999</v>
      </c>
      <c r="G846" s="231">
        <v>98.312718384314053</v>
      </c>
    </row>
    <row r="847" spans="1:7" x14ac:dyDescent="0.2">
      <c r="A847" s="242"/>
      <c r="B847" s="250"/>
      <c r="C847" s="240"/>
      <c r="D847" s="249"/>
      <c r="E847" s="249"/>
      <c r="F847" s="249"/>
      <c r="G847" s="237"/>
    </row>
    <row r="848" spans="1:7" x14ac:dyDescent="0.2">
      <c r="A848" s="248">
        <v>4351</v>
      </c>
      <c r="B848" s="247">
        <v>5221</v>
      </c>
      <c r="C848" s="246" t="s">
        <v>399</v>
      </c>
      <c r="D848" s="244">
        <v>0</v>
      </c>
      <c r="E848" s="245">
        <v>11043.45</v>
      </c>
      <c r="F848" s="244">
        <v>11043.45</v>
      </c>
      <c r="G848" s="243">
        <v>100</v>
      </c>
    </row>
    <row r="849" spans="1:7" x14ac:dyDescent="0.2">
      <c r="A849" s="242">
        <v>4351</v>
      </c>
      <c r="B849" s="241">
        <v>5222</v>
      </c>
      <c r="C849" s="240" t="s">
        <v>354</v>
      </c>
      <c r="D849" s="238">
        <v>0</v>
      </c>
      <c r="E849" s="239">
        <v>12444</v>
      </c>
      <c r="F849" s="238">
        <v>12444</v>
      </c>
      <c r="G849" s="237">
        <v>100</v>
      </c>
    </row>
    <row r="850" spans="1:7" x14ac:dyDescent="0.2">
      <c r="A850" s="242">
        <v>4351</v>
      </c>
      <c r="B850" s="241">
        <v>5223</v>
      </c>
      <c r="C850" s="240" t="s">
        <v>400</v>
      </c>
      <c r="D850" s="238">
        <v>0</v>
      </c>
      <c r="E850" s="239">
        <v>22409</v>
      </c>
      <c r="F850" s="238">
        <v>22409</v>
      </c>
      <c r="G850" s="237">
        <v>100</v>
      </c>
    </row>
    <row r="851" spans="1:7" x14ac:dyDescent="0.2">
      <c r="A851" s="242">
        <v>4351</v>
      </c>
      <c r="B851" s="241">
        <v>5321</v>
      </c>
      <c r="C851" s="240" t="s">
        <v>353</v>
      </c>
      <c r="D851" s="238">
        <v>0</v>
      </c>
      <c r="E851" s="239">
        <v>21264</v>
      </c>
      <c r="F851" s="238">
        <v>21264</v>
      </c>
      <c r="G851" s="237">
        <v>100</v>
      </c>
    </row>
    <row r="852" spans="1:7" x14ac:dyDescent="0.2">
      <c r="A852" s="242">
        <v>4351</v>
      </c>
      <c r="B852" s="241">
        <v>5336</v>
      </c>
      <c r="C852" s="240" t="s">
        <v>401</v>
      </c>
      <c r="D852" s="238">
        <v>0</v>
      </c>
      <c r="E852" s="239">
        <v>942</v>
      </c>
      <c r="F852" s="238">
        <v>942</v>
      </c>
      <c r="G852" s="237">
        <v>100</v>
      </c>
    </row>
    <row r="853" spans="1:7" x14ac:dyDescent="0.2">
      <c r="A853" s="236">
        <v>4351</v>
      </c>
      <c r="B853" s="235"/>
      <c r="C853" s="234" t="s">
        <v>417</v>
      </c>
      <c r="D853" s="232">
        <v>0</v>
      </c>
      <c r="E853" s="233">
        <v>68102.45</v>
      </c>
      <c r="F853" s="232">
        <v>68102.45</v>
      </c>
      <c r="G853" s="231">
        <v>100</v>
      </c>
    </row>
    <row r="854" spans="1:7" x14ac:dyDescent="0.2">
      <c r="A854" s="242"/>
      <c r="B854" s="250"/>
      <c r="C854" s="240"/>
      <c r="D854" s="249"/>
      <c r="E854" s="249"/>
      <c r="F854" s="249"/>
      <c r="G854" s="237"/>
    </row>
    <row r="855" spans="1:7" x14ac:dyDescent="0.2">
      <c r="A855" s="248">
        <v>4352</v>
      </c>
      <c r="B855" s="247">
        <v>5223</v>
      </c>
      <c r="C855" s="246" t="s">
        <v>400</v>
      </c>
      <c r="D855" s="244">
        <v>0</v>
      </c>
      <c r="E855" s="245">
        <v>1222</v>
      </c>
      <c r="F855" s="244">
        <v>1222</v>
      </c>
      <c r="G855" s="243">
        <v>100</v>
      </c>
    </row>
    <row r="856" spans="1:7" x14ac:dyDescent="0.2">
      <c r="A856" s="236">
        <v>4352</v>
      </c>
      <c r="B856" s="235"/>
      <c r="C856" s="234" t="s">
        <v>416</v>
      </c>
      <c r="D856" s="232">
        <v>0</v>
      </c>
      <c r="E856" s="233">
        <v>1222</v>
      </c>
      <c r="F856" s="232">
        <v>1222</v>
      </c>
      <c r="G856" s="231">
        <v>100</v>
      </c>
    </row>
    <row r="857" spans="1:7" x14ac:dyDescent="0.2">
      <c r="A857" s="242"/>
      <c r="B857" s="250"/>
      <c r="C857" s="240"/>
      <c r="D857" s="249"/>
      <c r="E857" s="249"/>
      <c r="F857" s="249"/>
      <c r="G857" s="237"/>
    </row>
    <row r="858" spans="1:7" x14ac:dyDescent="0.2">
      <c r="A858" s="248">
        <v>4353</v>
      </c>
      <c r="B858" s="247">
        <v>5221</v>
      </c>
      <c r="C858" s="246" t="s">
        <v>399</v>
      </c>
      <c r="D858" s="244">
        <v>0</v>
      </c>
      <c r="E858" s="245">
        <v>219</v>
      </c>
      <c r="F858" s="244">
        <v>219</v>
      </c>
      <c r="G858" s="243">
        <v>100</v>
      </c>
    </row>
    <row r="859" spans="1:7" x14ac:dyDescent="0.2">
      <c r="A859" s="236">
        <v>4353</v>
      </c>
      <c r="B859" s="235"/>
      <c r="C859" s="234" t="s">
        <v>415</v>
      </c>
      <c r="D859" s="232">
        <v>0</v>
      </c>
      <c r="E859" s="233">
        <v>219</v>
      </c>
      <c r="F859" s="232">
        <v>219</v>
      </c>
      <c r="G859" s="231">
        <v>100</v>
      </c>
    </row>
    <row r="860" spans="1:7" x14ac:dyDescent="0.2">
      <c r="A860" s="242"/>
      <c r="B860" s="250"/>
      <c r="C860" s="240"/>
      <c r="D860" s="249"/>
      <c r="E860" s="249"/>
      <c r="F860" s="249"/>
      <c r="G860" s="237"/>
    </row>
    <row r="861" spans="1:7" x14ac:dyDescent="0.2">
      <c r="A861" s="248">
        <v>4354</v>
      </c>
      <c r="B861" s="247">
        <v>5011</v>
      </c>
      <c r="C861" s="246" t="s">
        <v>386</v>
      </c>
      <c r="D861" s="244">
        <v>0</v>
      </c>
      <c r="E861" s="245">
        <v>74.38</v>
      </c>
      <c r="F861" s="244">
        <v>74.336999999999989</v>
      </c>
      <c r="G861" s="243">
        <v>99.942188760419455</v>
      </c>
    </row>
    <row r="862" spans="1:7" x14ac:dyDescent="0.2">
      <c r="A862" s="242">
        <v>4354</v>
      </c>
      <c r="B862" s="241">
        <v>5031</v>
      </c>
      <c r="C862" s="240" t="s">
        <v>383</v>
      </c>
      <c r="D862" s="238">
        <v>0</v>
      </c>
      <c r="E862" s="239">
        <v>18.600000000000001</v>
      </c>
      <c r="F862" s="238">
        <v>18.574999999999999</v>
      </c>
      <c r="G862" s="237">
        <v>99.865591397849457</v>
      </c>
    </row>
    <row r="863" spans="1:7" x14ac:dyDescent="0.2">
      <c r="A863" s="242">
        <v>4354</v>
      </c>
      <c r="B863" s="241">
        <v>5032</v>
      </c>
      <c r="C863" s="240" t="s">
        <v>382</v>
      </c>
      <c r="D863" s="238">
        <v>0</v>
      </c>
      <c r="E863" s="239">
        <v>6.7</v>
      </c>
      <c r="F863" s="238">
        <v>6.6769999999999996</v>
      </c>
      <c r="G863" s="237">
        <v>99.656716417910445</v>
      </c>
    </row>
    <row r="864" spans="1:7" x14ac:dyDescent="0.2">
      <c r="A864" s="242">
        <v>4354</v>
      </c>
      <c r="B864" s="241">
        <v>5038</v>
      </c>
      <c r="C864" s="240" t="s">
        <v>381</v>
      </c>
      <c r="D864" s="238">
        <v>0</v>
      </c>
      <c r="E864" s="239">
        <v>0.32</v>
      </c>
      <c r="F864" s="238">
        <v>0.29599999999999999</v>
      </c>
      <c r="G864" s="237">
        <v>92.5</v>
      </c>
    </row>
    <row r="865" spans="1:7" x14ac:dyDescent="0.2">
      <c r="A865" s="242">
        <v>4354</v>
      </c>
      <c r="B865" s="241">
        <v>5137</v>
      </c>
      <c r="C865" s="240" t="s">
        <v>345</v>
      </c>
      <c r="D865" s="238">
        <v>361</v>
      </c>
      <c r="E865" s="239">
        <v>300</v>
      </c>
      <c r="F865" s="238">
        <v>288.64855</v>
      </c>
      <c r="G865" s="237">
        <v>96.216183333333333</v>
      </c>
    </row>
    <row r="866" spans="1:7" x14ac:dyDescent="0.2">
      <c r="A866" s="242">
        <v>4354</v>
      </c>
      <c r="B866" s="241">
        <v>5221</v>
      </c>
      <c r="C866" s="240" t="s">
        <v>399</v>
      </c>
      <c r="D866" s="238">
        <v>0</v>
      </c>
      <c r="E866" s="239">
        <v>459</v>
      </c>
      <c r="F866" s="238">
        <v>459</v>
      </c>
      <c r="G866" s="237">
        <v>100</v>
      </c>
    </row>
    <row r="867" spans="1:7" x14ac:dyDescent="0.2">
      <c r="A867" s="242">
        <v>4354</v>
      </c>
      <c r="B867" s="241">
        <v>5223</v>
      </c>
      <c r="C867" s="240" t="s">
        <v>400</v>
      </c>
      <c r="D867" s="238">
        <v>0</v>
      </c>
      <c r="E867" s="239">
        <v>8852</v>
      </c>
      <c r="F867" s="238">
        <v>8852</v>
      </c>
      <c r="G867" s="237">
        <v>100</v>
      </c>
    </row>
    <row r="868" spans="1:7" x14ac:dyDescent="0.2">
      <c r="A868" s="242">
        <v>4354</v>
      </c>
      <c r="B868" s="241">
        <v>5321</v>
      </c>
      <c r="C868" s="240" t="s">
        <v>353</v>
      </c>
      <c r="D868" s="238">
        <v>0</v>
      </c>
      <c r="E868" s="239">
        <v>5296</v>
      </c>
      <c r="F868" s="238">
        <v>5296</v>
      </c>
      <c r="G868" s="237">
        <v>100</v>
      </c>
    </row>
    <row r="869" spans="1:7" x14ac:dyDescent="0.2">
      <c r="A869" s="242">
        <v>4354</v>
      </c>
      <c r="B869" s="241">
        <v>5336</v>
      </c>
      <c r="C869" s="240" t="s">
        <v>401</v>
      </c>
      <c r="D869" s="238">
        <v>0</v>
      </c>
      <c r="E869" s="239">
        <v>33684.6</v>
      </c>
      <c r="F869" s="238">
        <v>33684.596450000005</v>
      </c>
      <c r="G869" s="237">
        <v>99.999989461059386</v>
      </c>
    </row>
    <row r="870" spans="1:7" x14ac:dyDescent="0.2">
      <c r="A870" s="236">
        <v>4354</v>
      </c>
      <c r="B870" s="235"/>
      <c r="C870" s="234" t="s">
        <v>277</v>
      </c>
      <c r="D870" s="232">
        <v>361</v>
      </c>
      <c r="E870" s="233">
        <v>48691.6</v>
      </c>
      <c r="F870" s="232">
        <v>48680.130000000005</v>
      </c>
      <c r="G870" s="231">
        <v>99.976443575483259</v>
      </c>
    </row>
    <row r="871" spans="1:7" x14ac:dyDescent="0.2">
      <c r="A871" s="242"/>
      <c r="B871" s="250"/>
      <c r="C871" s="240"/>
      <c r="D871" s="249"/>
      <c r="E871" s="249"/>
      <c r="F871" s="249"/>
      <c r="G871" s="237"/>
    </row>
    <row r="872" spans="1:7" x14ac:dyDescent="0.2">
      <c r="A872" s="248">
        <v>4355</v>
      </c>
      <c r="B872" s="247">
        <v>5223</v>
      </c>
      <c r="C872" s="246" t="s">
        <v>400</v>
      </c>
      <c r="D872" s="244">
        <v>0</v>
      </c>
      <c r="E872" s="245">
        <v>2141</v>
      </c>
      <c r="F872" s="244">
        <v>2141</v>
      </c>
      <c r="G872" s="243">
        <v>100</v>
      </c>
    </row>
    <row r="873" spans="1:7" x14ac:dyDescent="0.2">
      <c r="A873" s="242">
        <v>4355</v>
      </c>
      <c r="B873" s="241">
        <v>5321</v>
      </c>
      <c r="C873" s="240" t="s">
        <v>353</v>
      </c>
      <c r="D873" s="238">
        <v>0</v>
      </c>
      <c r="E873" s="239">
        <v>1530</v>
      </c>
      <c r="F873" s="238">
        <v>1530</v>
      </c>
      <c r="G873" s="237">
        <v>100</v>
      </c>
    </row>
    <row r="874" spans="1:7" x14ac:dyDescent="0.2">
      <c r="A874" s="236">
        <v>4355</v>
      </c>
      <c r="B874" s="235"/>
      <c r="C874" s="234" t="s">
        <v>414</v>
      </c>
      <c r="D874" s="232">
        <v>0</v>
      </c>
      <c r="E874" s="233">
        <v>3671</v>
      </c>
      <c r="F874" s="232">
        <v>3671</v>
      </c>
      <c r="G874" s="231">
        <v>100</v>
      </c>
    </row>
    <row r="875" spans="1:7" x14ac:dyDescent="0.2">
      <c r="A875" s="242"/>
      <c r="B875" s="250"/>
      <c r="C875" s="240"/>
      <c r="D875" s="249"/>
      <c r="E875" s="249"/>
      <c r="F875" s="249"/>
      <c r="G875" s="237"/>
    </row>
    <row r="876" spans="1:7" x14ac:dyDescent="0.2">
      <c r="A876" s="248">
        <v>4356</v>
      </c>
      <c r="B876" s="247">
        <v>5221</v>
      </c>
      <c r="C876" s="246" t="s">
        <v>399</v>
      </c>
      <c r="D876" s="244">
        <v>0</v>
      </c>
      <c r="E876" s="245">
        <v>4978</v>
      </c>
      <c r="F876" s="244">
        <v>4978</v>
      </c>
      <c r="G876" s="243">
        <v>100</v>
      </c>
    </row>
    <row r="877" spans="1:7" x14ac:dyDescent="0.2">
      <c r="A877" s="242">
        <v>4356</v>
      </c>
      <c r="B877" s="241">
        <v>5222</v>
      </c>
      <c r="C877" s="240" t="s">
        <v>354</v>
      </c>
      <c r="D877" s="238">
        <v>0</v>
      </c>
      <c r="E877" s="239">
        <v>5694</v>
      </c>
      <c r="F877" s="238">
        <v>5694</v>
      </c>
      <c r="G877" s="237">
        <v>100</v>
      </c>
    </row>
    <row r="878" spans="1:7" x14ac:dyDescent="0.2">
      <c r="A878" s="242">
        <v>4356</v>
      </c>
      <c r="B878" s="241">
        <v>5223</v>
      </c>
      <c r="C878" s="240" t="s">
        <v>400</v>
      </c>
      <c r="D878" s="238">
        <v>0</v>
      </c>
      <c r="E878" s="239">
        <v>26788</v>
      </c>
      <c r="F878" s="238">
        <v>26788</v>
      </c>
      <c r="G878" s="237">
        <v>100</v>
      </c>
    </row>
    <row r="879" spans="1:7" x14ac:dyDescent="0.2">
      <c r="A879" s="242">
        <v>4356</v>
      </c>
      <c r="B879" s="241">
        <v>5321</v>
      </c>
      <c r="C879" s="240" t="s">
        <v>353</v>
      </c>
      <c r="D879" s="238">
        <v>0</v>
      </c>
      <c r="E879" s="239">
        <v>15236</v>
      </c>
      <c r="F879" s="238">
        <v>15236</v>
      </c>
      <c r="G879" s="237">
        <v>100</v>
      </c>
    </row>
    <row r="880" spans="1:7" x14ac:dyDescent="0.2">
      <c r="A880" s="242">
        <v>4356</v>
      </c>
      <c r="B880" s="241">
        <v>5336</v>
      </c>
      <c r="C880" s="240" t="s">
        <v>401</v>
      </c>
      <c r="D880" s="238">
        <v>0</v>
      </c>
      <c r="E880" s="239">
        <v>512</v>
      </c>
      <c r="F880" s="238">
        <v>512</v>
      </c>
      <c r="G880" s="237">
        <v>100</v>
      </c>
    </row>
    <row r="881" spans="1:7" x14ac:dyDescent="0.2">
      <c r="A881" s="236">
        <v>4356</v>
      </c>
      <c r="B881" s="235"/>
      <c r="C881" s="234" t="s">
        <v>413</v>
      </c>
      <c r="D881" s="232">
        <v>0</v>
      </c>
      <c r="E881" s="233">
        <v>53208</v>
      </c>
      <c r="F881" s="232">
        <v>53208</v>
      </c>
      <c r="G881" s="231">
        <v>100</v>
      </c>
    </row>
    <row r="882" spans="1:7" x14ac:dyDescent="0.2">
      <c r="A882" s="242"/>
      <c r="B882" s="250"/>
      <c r="C882" s="240"/>
      <c r="D882" s="249"/>
      <c r="E882" s="249"/>
      <c r="F882" s="249"/>
      <c r="G882" s="237"/>
    </row>
    <row r="883" spans="1:7" x14ac:dyDescent="0.2">
      <c r="A883" s="248">
        <v>4357</v>
      </c>
      <c r="B883" s="247">
        <v>5011</v>
      </c>
      <c r="C883" s="246" t="s">
        <v>386</v>
      </c>
      <c r="D883" s="244">
        <v>0</v>
      </c>
      <c r="E883" s="245">
        <v>841.07</v>
      </c>
      <c r="F883" s="244">
        <v>565.55100000000016</v>
      </c>
      <c r="G883" s="243">
        <v>67.241846695281026</v>
      </c>
    </row>
    <row r="884" spans="1:7" x14ac:dyDescent="0.2">
      <c r="A884" s="242">
        <v>4357</v>
      </c>
      <c r="B884" s="241">
        <v>5031</v>
      </c>
      <c r="C884" s="240" t="s">
        <v>383</v>
      </c>
      <c r="D884" s="238">
        <v>0</v>
      </c>
      <c r="E884" s="239">
        <v>210.31</v>
      </c>
      <c r="F884" s="238">
        <v>141.30500000000001</v>
      </c>
      <c r="G884" s="237">
        <v>67.188911606675859</v>
      </c>
    </row>
    <row r="885" spans="1:7" x14ac:dyDescent="0.2">
      <c r="A885" s="242">
        <v>4357</v>
      </c>
      <c r="B885" s="241">
        <v>5032</v>
      </c>
      <c r="C885" s="240" t="s">
        <v>382</v>
      </c>
      <c r="D885" s="238">
        <v>0</v>
      </c>
      <c r="E885" s="239">
        <v>75.760000000000005</v>
      </c>
      <c r="F885" s="238">
        <v>50.781000000000006</v>
      </c>
      <c r="G885" s="237">
        <v>67.028775079197473</v>
      </c>
    </row>
    <row r="886" spans="1:7" x14ac:dyDescent="0.2">
      <c r="A886" s="242">
        <v>4357</v>
      </c>
      <c r="B886" s="241">
        <v>5038</v>
      </c>
      <c r="C886" s="240" t="s">
        <v>381</v>
      </c>
      <c r="D886" s="238">
        <v>0</v>
      </c>
      <c r="E886" s="239">
        <v>3.5999999999999996</v>
      </c>
      <c r="F886" s="238">
        <v>2.2560000000000007</v>
      </c>
      <c r="G886" s="237">
        <v>62.666666666666693</v>
      </c>
    </row>
    <row r="887" spans="1:7" x14ac:dyDescent="0.2">
      <c r="A887" s="242">
        <v>4357</v>
      </c>
      <c r="B887" s="241">
        <v>5137</v>
      </c>
      <c r="C887" s="240" t="s">
        <v>345</v>
      </c>
      <c r="D887" s="238">
        <v>12466</v>
      </c>
      <c r="E887" s="239">
        <v>22622.200000000004</v>
      </c>
      <c r="F887" s="238">
        <v>20476.727629999998</v>
      </c>
      <c r="G887" s="237">
        <v>90.516075492215592</v>
      </c>
    </row>
    <row r="888" spans="1:7" x14ac:dyDescent="0.2">
      <c r="A888" s="242">
        <v>4357</v>
      </c>
      <c r="B888" s="241">
        <v>5139</v>
      </c>
      <c r="C888" s="240" t="s">
        <v>344</v>
      </c>
      <c r="D888" s="238">
        <v>0</v>
      </c>
      <c r="E888" s="239">
        <v>14.45</v>
      </c>
      <c r="F888" s="238">
        <v>14.301149999999998</v>
      </c>
      <c r="G888" s="237">
        <v>98.969896193771618</v>
      </c>
    </row>
    <row r="889" spans="1:7" x14ac:dyDescent="0.2">
      <c r="A889" s="242">
        <v>4357</v>
      </c>
      <c r="B889" s="241">
        <v>5166</v>
      </c>
      <c r="C889" s="240" t="s">
        <v>342</v>
      </c>
      <c r="D889" s="238">
        <v>0</v>
      </c>
      <c r="E889" s="239">
        <v>22.5</v>
      </c>
      <c r="F889" s="238">
        <v>22.215600000000002</v>
      </c>
      <c r="G889" s="237">
        <v>98.736000000000018</v>
      </c>
    </row>
    <row r="890" spans="1:7" x14ac:dyDescent="0.2">
      <c r="A890" s="242">
        <v>4357</v>
      </c>
      <c r="B890" s="241">
        <v>5169</v>
      </c>
      <c r="C890" s="240" t="s">
        <v>341</v>
      </c>
      <c r="D890" s="238">
        <v>35</v>
      </c>
      <c r="E890" s="239">
        <v>193.34</v>
      </c>
      <c r="F890" s="238">
        <v>157.4442</v>
      </c>
      <c r="G890" s="237">
        <v>81.433847108720386</v>
      </c>
    </row>
    <row r="891" spans="1:7" x14ac:dyDescent="0.2">
      <c r="A891" s="242">
        <v>4357</v>
      </c>
      <c r="B891" s="241">
        <v>5213</v>
      </c>
      <c r="C891" s="240" t="s">
        <v>411</v>
      </c>
      <c r="D891" s="238">
        <v>0</v>
      </c>
      <c r="E891" s="239">
        <v>770</v>
      </c>
      <c r="F891" s="238">
        <v>770</v>
      </c>
      <c r="G891" s="237">
        <v>100</v>
      </c>
    </row>
    <row r="892" spans="1:7" x14ac:dyDescent="0.2">
      <c r="A892" s="242">
        <v>4357</v>
      </c>
      <c r="B892" s="241">
        <v>5221</v>
      </c>
      <c r="C892" s="240" t="s">
        <v>399</v>
      </c>
      <c r="D892" s="238">
        <v>0</v>
      </c>
      <c r="E892" s="239">
        <v>3480</v>
      </c>
      <c r="F892" s="238">
        <v>3480</v>
      </c>
      <c r="G892" s="237">
        <v>100</v>
      </c>
    </row>
    <row r="893" spans="1:7" x14ac:dyDescent="0.2">
      <c r="A893" s="242">
        <v>4357</v>
      </c>
      <c r="B893" s="241">
        <v>5222</v>
      </c>
      <c r="C893" s="240" t="s">
        <v>354</v>
      </c>
      <c r="D893" s="238">
        <v>0</v>
      </c>
      <c r="E893" s="239">
        <v>8671</v>
      </c>
      <c r="F893" s="238">
        <v>8671</v>
      </c>
      <c r="G893" s="237">
        <v>100</v>
      </c>
    </row>
    <row r="894" spans="1:7" x14ac:dyDescent="0.2">
      <c r="A894" s="242">
        <v>4357</v>
      </c>
      <c r="B894" s="241">
        <v>5223</v>
      </c>
      <c r="C894" s="240" t="s">
        <v>400</v>
      </c>
      <c r="D894" s="238">
        <v>0</v>
      </c>
      <c r="E894" s="239">
        <v>24460</v>
      </c>
      <c r="F894" s="238">
        <v>24460</v>
      </c>
      <c r="G894" s="237">
        <v>100</v>
      </c>
    </row>
    <row r="895" spans="1:7" x14ac:dyDescent="0.2">
      <c r="A895" s="242">
        <v>4357</v>
      </c>
      <c r="B895" s="241">
        <v>5321</v>
      </c>
      <c r="C895" s="240" t="s">
        <v>353</v>
      </c>
      <c r="D895" s="238">
        <v>0</v>
      </c>
      <c r="E895" s="239">
        <v>56564</v>
      </c>
      <c r="F895" s="238">
        <v>56564</v>
      </c>
      <c r="G895" s="237">
        <v>100</v>
      </c>
    </row>
    <row r="896" spans="1:7" x14ac:dyDescent="0.2">
      <c r="A896" s="242">
        <v>4357</v>
      </c>
      <c r="B896" s="241">
        <v>5331</v>
      </c>
      <c r="C896" s="240" t="s">
        <v>403</v>
      </c>
      <c r="D896" s="238">
        <v>43700</v>
      </c>
      <c r="E896" s="239">
        <v>42001</v>
      </c>
      <c r="F896" s="238">
        <v>39241.120000000003</v>
      </c>
      <c r="G896" s="237">
        <v>93.429013594914409</v>
      </c>
    </row>
    <row r="897" spans="1:7" x14ac:dyDescent="0.2">
      <c r="A897" s="242">
        <v>4357</v>
      </c>
      <c r="B897" s="241">
        <v>5336</v>
      </c>
      <c r="C897" s="240" t="s">
        <v>401</v>
      </c>
      <c r="D897" s="238">
        <v>0</v>
      </c>
      <c r="E897" s="239">
        <v>176232.15</v>
      </c>
      <c r="F897" s="238">
        <v>176219.51867000002</v>
      </c>
      <c r="G897" s="237">
        <v>99.992832562049557</v>
      </c>
    </row>
    <row r="898" spans="1:7" x14ac:dyDescent="0.2">
      <c r="A898" s="242">
        <v>4357</v>
      </c>
      <c r="B898" s="241">
        <v>5363</v>
      </c>
      <c r="C898" s="240" t="s">
        <v>351</v>
      </c>
      <c r="D898" s="238">
        <v>0</v>
      </c>
      <c r="E898" s="239">
        <v>570</v>
      </c>
      <c r="F898" s="238">
        <v>569.67899999999997</v>
      </c>
      <c r="G898" s="237">
        <v>99.9436842105263</v>
      </c>
    </row>
    <row r="899" spans="1:7" x14ac:dyDescent="0.2">
      <c r="A899" s="242">
        <v>4357</v>
      </c>
      <c r="B899" s="241">
        <v>5651</v>
      </c>
      <c r="C899" s="240" t="s">
        <v>412</v>
      </c>
      <c r="D899" s="238">
        <v>46500</v>
      </c>
      <c r="E899" s="239">
        <v>46500</v>
      </c>
      <c r="F899" s="238">
        <v>46500</v>
      </c>
      <c r="G899" s="237">
        <v>100</v>
      </c>
    </row>
    <row r="900" spans="1:7" x14ac:dyDescent="0.2">
      <c r="A900" s="236">
        <v>4357</v>
      </c>
      <c r="B900" s="235"/>
      <c r="C900" s="234" t="s">
        <v>182</v>
      </c>
      <c r="D900" s="232">
        <v>102701</v>
      </c>
      <c r="E900" s="233">
        <v>383231.38</v>
      </c>
      <c r="F900" s="232">
        <v>377905.89925000002</v>
      </c>
      <c r="G900" s="231">
        <v>98.610374560141707</v>
      </c>
    </row>
    <row r="901" spans="1:7" x14ac:dyDescent="0.2">
      <c r="A901" s="242"/>
      <c r="B901" s="250"/>
      <c r="C901" s="240"/>
      <c r="D901" s="249"/>
      <c r="E901" s="249"/>
      <c r="F901" s="249"/>
      <c r="G901" s="237"/>
    </row>
    <row r="902" spans="1:7" x14ac:dyDescent="0.2">
      <c r="A902" s="248">
        <v>4358</v>
      </c>
      <c r="B902" s="247">
        <v>5213</v>
      </c>
      <c r="C902" s="246" t="s">
        <v>411</v>
      </c>
      <c r="D902" s="244">
        <v>0</v>
      </c>
      <c r="E902" s="245">
        <v>2599</v>
      </c>
      <c r="F902" s="244">
        <v>2599</v>
      </c>
      <c r="G902" s="243">
        <v>100</v>
      </c>
    </row>
    <row r="903" spans="1:7" x14ac:dyDescent="0.2">
      <c r="A903" s="242">
        <v>4358</v>
      </c>
      <c r="B903" s="241">
        <v>5321</v>
      </c>
      <c r="C903" s="240" t="s">
        <v>353</v>
      </c>
      <c r="D903" s="238">
        <v>0</v>
      </c>
      <c r="E903" s="239">
        <v>5023</v>
      </c>
      <c r="F903" s="238">
        <v>5023</v>
      </c>
      <c r="G903" s="237">
        <v>100</v>
      </c>
    </row>
    <row r="904" spans="1:7" x14ac:dyDescent="0.2">
      <c r="A904" s="242">
        <v>4358</v>
      </c>
      <c r="B904" s="241">
        <v>5336</v>
      </c>
      <c r="C904" s="240" t="s">
        <v>401</v>
      </c>
      <c r="D904" s="238">
        <v>0</v>
      </c>
      <c r="E904" s="239">
        <v>6472</v>
      </c>
      <c r="F904" s="238">
        <v>6472</v>
      </c>
      <c r="G904" s="237">
        <v>100</v>
      </c>
    </row>
    <row r="905" spans="1:7" x14ac:dyDescent="0.2">
      <c r="A905" s="242">
        <v>4358</v>
      </c>
      <c r="B905" s="241">
        <v>5339</v>
      </c>
      <c r="C905" s="240" t="s">
        <v>398</v>
      </c>
      <c r="D905" s="238">
        <v>0</v>
      </c>
      <c r="E905" s="239">
        <v>952</v>
      </c>
      <c r="F905" s="238">
        <v>952</v>
      </c>
      <c r="G905" s="237">
        <v>100</v>
      </c>
    </row>
    <row r="906" spans="1:7" x14ac:dyDescent="0.2">
      <c r="A906" s="236">
        <v>4358</v>
      </c>
      <c r="B906" s="235"/>
      <c r="C906" s="234" t="s">
        <v>410</v>
      </c>
      <c r="D906" s="232">
        <v>0</v>
      </c>
      <c r="E906" s="233">
        <v>15046</v>
      </c>
      <c r="F906" s="232">
        <v>15046</v>
      </c>
      <c r="G906" s="231">
        <v>100</v>
      </c>
    </row>
    <row r="907" spans="1:7" x14ac:dyDescent="0.2">
      <c r="A907" s="242"/>
      <c r="B907" s="250"/>
      <c r="C907" s="240"/>
      <c r="D907" s="249"/>
      <c r="E907" s="249"/>
      <c r="F907" s="249"/>
      <c r="G907" s="237"/>
    </row>
    <row r="908" spans="1:7" x14ac:dyDescent="0.2">
      <c r="A908" s="248">
        <v>4359</v>
      </c>
      <c r="B908" s="247">
        <v>5011</v>
      </c>
      <c r="C908" s="246" t="s">
        <v>386</v>
      </c>
      <c r="D908" s="244">
        <v>0</v>
      </c>
      <c r="E908" s="245">
        <v>319.27</v>
      </c>
      <c r="F908" s="244">
        <v>276.71567999999996</v>
      </c>
      <c r="G908" s="243">
        <v>86.671369060669647</v>
      </c>
    </row>
    <row r="909" spans="1:7" x14ac:dyDescent="0.2">
      <c r="A909" s="242">
        <v>4359</v>
      </c>
      <c r="B909" s="241">
        <v>5021</v>
      </c>
      <c r="C909" s="240" t="s">
        <v>385</v>
      </c>
      <c r="D909" s="238">
        <v>0</v>
      </c>
      <c r="E909" s="239">
        <v>1587.6</v>
      </c>
      <c r="F909" s="238">
        <v>1521.3899999999999</v>
      </c>
      <c r="G909" s="237">
        <v>95.829554043839764</v>
      </c>
    </row>
    <row r="910" spans="1:7" x14ac:dyDescent="0.2">
      <c r="A910" s="242">
        <v>4359</v>
      </c>
      <c r="B910" s="241">
        <v>5031</v>
      </c>
      <c r="C910" s="240" t="s">
        <v>383</v>
      </c>
      <c r="D910" s="238">
        <v>0</v>
      </c>
      <c r="E910" s="239">
        <v>477.22</v>
      </c>
      <c r="F910" s="238">
        <v>442.80599999999993</v>
      </c>
      <c r="G910" s="237">
        <v>92.788650936674884</v>
      </c>
    </row>
    <row r="911" spans="1:7" x14ac:dyDescent="0.2">
      <c r="A911" s="242">
        <v>4359</v>
      </c>
      <c r="B911" s="241">
        <v>5032</v>
      </c>
      <c r="C911" s="240" t="s">
        <v>382</v>
      </c>
      <c r="D911" s="238">
        <v>0</v>
      </c>
      <c r="E911" s="239">
        <v>172.21</v>
      </c>
      <c r="F911" s="238">
        <v>159.471</v>
      </c>
      <c r="G911" s="237">
        <v>92.602636316125668</v>
      </c>
    </row>
    <row r="912" spans="1:7" x14ac:dyDescent="0.2">
      <c r="A912" s="242">
        <v>4359</v>
      </c>
      <c r="B912" s="241">
        <v>5038</v>
      </c>
      <c r="C912" s="240" t="s">
        <v>381</v>
      </c>
      <c r="D912" s="238">
        <v>0</v>
      </c>
      <c r="E912" s="239">
        <v>8.0499999999999989</v>
      </c>
      <c r="F912" s="238">
        <v>7.5439999999999996</v>
      </c>
      <c r="G912" s="237">
        <v>93.714285714285722</v>
      </c>
    </row>
    <row r="913" spans="1:7" x14ac:dyDescent="0.2">
      <c r="A913" s="242">
        <v>4359</v>
      </c>
      <c r="B913" s="241">
        <v>5136</v>
      </c>
      <c r="C913" s="240" t="s">
        <v>373</v>
      </c>
      <c r="D913" s="238">
        <v>0</v>
      </c>
      <c r="E913" s="239">
        <v>1</v>
      </c>
      <c r="F913" s="238">
        <v>0</v>
      </c>
      <c r="G913" s="237">
        <v>0</v>
      </c>
    </row>
    <row r="914" spans="1:7" x14ac:dyDescent="0.2">
      <c r="A914" s="242">
        <v>4359</v>
      </c>
      <c r="B914" s="241">
        <v>5139</v>
      </c>
      <c r="C914" s="240" t="s">
        <v>344</v>
      </c>
      <c r="D914" s="238">
        <v>0</v>
      </c>
      <c r="E914" s="239">
        <v>277</v>
      </c>
      <c r="F914" s="238">
        <v>232.88200000000001</v>
      </c>
      <c r="G914" s="237">
        <v>84.072924187725633</v>
      </c>
    </row>
    <row r="915" spans="1:7" x14ac:dyDescent="0.2">
      <c r="A915" s="242">
        <v>4359</v>
      </c>
      <c r="B915" s="241">
        <v>5162</v>
      </c>
      <c r="C915" s="240" t="s">
        <v>366</v>
      </c>
      <c r="D915" s="238">
        <v>0</v>
      </c>
      <c r="E915" s="239">
        <v>25</v>
      </c>
      <c r="F915" s="238">
        <v>24.669</v>
      </c>
      <c r="G915" s="237">
        <v>98.676000000000002</v>
      </c>
    </row>
    <row r="916" spans="1:7" x14ac:dyDescent="0.2">
      <c r="A916" s="242">
        <v>4359</v>
      </c>
      <c r="B916" s="241">
        <v>5164</v>
      </c>
      <c r="C916" s="240" t="s">
        <v>343</v>
      </c>
      <c r="D916" s="238">
        <v>0</v>
      </c>
      <c r="E916" s="239">
        <v>171</v>
      </c>
      <c r="F916" s="238">
        <v>81.788499999999999</v>
      </c>
      <c r="G916" s="237">
        <v>47.829532163742691</v>
      </c>
    </row>
    <row r="917" spans="1:7" x14ac:dyDescent="0.2">
      <c r="A917" s="242">
        <v>4359</v>
      </c>
      <c r="B917" s="241">
        <v>5166</v>
      </c>
      <c r="C917" s="240" t="s">
        <v>342</v>
      </c>
      <c r="D917" s="238">
        <v>0</v>
      </c>
      <c r="E917" s="239">
        <v>174.3</v>
      </c>
      <c r="F917" s="238">
        <v>174.24</v>
      </c>
      <c r="G917" s="237">
        <v>99.965576592082613</v>
      </c>
    </row>
    <row r="918" spans="1:7" x14ac:dyDescent="0.2">
      <c r="A918" s="242">
        <v>4359</v>
      </c>
      <c r="B918" s="241">
        <v>5168</v>
      </c>
      <c r="C918" s="240" t="s">
        <v>364</v>
      </c>
      <c r="D918" s="238">
        <v>25</v>
      </c>
      <c r="E918" s="239">
        <v>25</v>
      </c>
      <c r="F918" s="238">
        <v>25</v>
      </c>
      <c r="G918" s="237">
        <v>100</v>
      </c>
    </row>
    <row r="919" spans="1:7" x14ac:dyDescent="0.2">
      <c r="A919" s="242">
        <v>4359</v>
      </c>
      <c r="B919" s="241">
        <v>5169</v>
      </c>
      <c r="C919" s="240" t="s">
        <v>341</v>
      </c>
      <c r="D919" s="238">
        <v>1000</v>
      </c>
      <c r="E919" s="239">
        <v>2417.2399999999998</v>
      </c>
      <c r="F919" s="238">
        <v>26</v>
      </c>
      <c r="G919" s="237">
        <v>1.0756068905032188</v>
      </c>
    </row>
    <row r="920" spans="1:7" x14ac:dyDescent="0.2">
      <c r="A920" s="242">
        <v>4359</v>
      </c>
      <c r="B920" s="241">
        <v>5173</v>
      </c>
      <c r="C920" s="240" t="s">
        <v>361</v>
      </c>
      <c r="D920" s="238">
        <v>0</v>
      </c>
      <c r="E920" s="239">
        <v>49</v>
      </c>
      <c r="F920" s="238">
        <v>41.981999999999999</v>
      </c>
      <c r="G920" s="237">
        <v>85.67755102040816</v>
      </c>
    </row>
    <row r="921" spans="1:7" x14ac:dyDescent="0.2">
      <c r="A921" s="242">
        <v>4359</v>
      </c>
      <c r="B921" s="241">
        <v>5175</v>
      </c>
      <c r="C921" s="240" t="s">
        <v>340</v>
      </c>
      <c r="D921" s="238">
        <v>0</v>
      </c>
      <c r="E921" s="239">
        <v>374.84000000000003</v>
      </c>
      <c r="F921" s="238">
        <v>90.993499999999997</v>
      </c>
      <c r="G921" s="237">
        <v>24.275290790737376</v>
      </c>
    </row>
    <row r="922" spans="1:7" x14ac:dyDescent="0.2">
      <c r="A922" s="242">
        <v>4359</v>
      </c>
      <c r="B922" s="241">
        <v>5221</v>
      </c>
      <c r="C922" s="240" t="s">
        <v>399</v>
      </c>
      <c r="D922" s="238">
        <v>0</v>
      </c>
      <c r="E922" s="239">
        <v>190</v>
      </c>
      <c r="F922" s="238">
        <v>190</v>
      </c>
      <c r="G922" s="237">
        <v>100</v>
      </c>
    </row>
    <row r="923" spans="1:7" x14ac:dyDescent="0.2">
      <c r="A923" s="242">
        <v>4359</v>
      </c>
      <c r="B923" s="241">
        <v>5222</v>
      </c>
      <c r="C923" s="240" t="s">
        <v>354</v>
      </c>
      <c r="D923" s="238">
        <v>0</v>
      </c>
      <c r="E923" s="239">
        <v>528</v>
      </c>
      <c r="F923" s="238">
        <v>528</v>
      </c>
      <c r="G923" s="237">
        <v>100</v>
      </c>
    </row>
    <row r="924" spans="1:7" x14ac:dyDescent="0.2">
      <c r="A924" s="242">
        <v>4359</v>
      </c>
      <c r="B924" s="241">
        <v>5223</v>
      </c>
      <c r="C924" s="240" t="s">
        <v>400</v>
      </c>
      <c r="D924" s="238">
        <v>0</v>
      </c>
      <c r="E924" s="239">
        <v>5859</v>
      </c>
      <c r="F924" s="238">
        <v>5859</v>
      </c>
      <c r="G924" s="237">
        <v>100</v>
      </c>
    </row>
    <row r="925" spans="1:7" x14ac:dyDescent="0.2">
      <c r="A925" s="242">
        <v>4359</v>
      </c>
      <c r="B925" s="241">
        <v>5321</v>
      </c>
      <c r="C925" s="240" t="s">
        <v>353</v>
      </c>
      <c r="D925" s="238">
        <v>0</v>
      </c>
      <c r="E925" s="239">
        <v>5458</v>
      </c>
      <c r="F925" s="238">
        <v>5458</v>
      </c>
      <c r="G925" s="237">
        <v>100</v>
      </c>
    </row>
    <row r="926" spans="1:7" x14ac:dyDescent="0.2">
      <c r="A926" s="236">
        <v>4359</v>
      </c>
      <c r="B926" s="235"/>
      <c r="C926" s="234" t="s">
        <v>409</v>
      </c>
      <c r="D926" s="232">
        <v>1025</v>
      </c>
      <c r="E926" s="233">
        <v>18113.73</v>
      </c>
      <c r="F926" s="232">
        <v>15140.481679999999</v>
      </c>
      <c r="G926" s="231">
        <v>83.585665017641304</v>
      </c>
    </row>
    <row r="927" spans="1:7" x14ac:dyDescent="0.2">
      <c r="A927" s="242"/>
      <c r="B927" s="250"/>
      <c r="C927" s="240"/>
      <c r="D927" s="249"/>
      <c r="E927" s="249"/>
      <c r="F927" s="249"/>
      <c r="G927" s="237"/>
    </row>
    <row r="928" spans="1:7" x14ac:dyDescent="0.2">
      <c r="A928" s="248">
        <v>4371</v>
      </c>
      <c r="B928" s="247">
        <v>5011</v>
      </c>
      <c r="C928" s="246" t="s">
        <v>386</v>
      </c>
      <c r="D928" s="244">
        <v>0</v>
      </c>
      <c r="E928" s="245">
        <v>267.59000000000003</v>
      </c>
      <c r="F928" s="244">
        <v>247.8518</v>
      </c>
      <c r="G928" s="243">
        <v>92.623715385477766</v>
      </c>
    </row>
    <row r="929" spans="1:7" x14ac:dyDescent="0.2">
      <c r="A929" s="242">
        <v>4371</v>
      </c>
      <c r="B929" s="241">
        <v>5031</v>
      </c>
      <c r="C929" s="240" t="s">
        <v>383</v>
      </c>
      <c r="D929" s="238">
        <v>0</v>
      </c>
      <c r="E929" s="239">
        <v>67.7</v>
      </c>
      <c r="F929" s="238">
        <v>61.984999999999999</v>
      </c>
      <c r="G929" s="237">
        <v>91.558345642540615</v>
      </c>
    </row>
    <row r="930" spans="1:7" x14ac:dyDescent="0.2">
      <c r="A930" s="242">
        <v>4371</v>
      </c>
      <c r="B930" s="241">
        <v>5032</v>
      </c>
      <c r="C930" s="240" t="s">
        <v>382</v>
      </c>
      <c r="D930" s="238">
        <v>0</v>
      </c>
      <c r="E930" s="239">
        <v>24.549999999999997</v>
      </c>
      <c r="F930" s="238">
        <v>22.332999999999998</v>
      </c>
      <c r="G930" s="237">
        <v>90.96945010183299</v>
      </c>
    </row>
    <row r="931" spans="1:7" x14ac:dyDescent="0.2">
      <c r="A931" s="242">
        <v>4371</v>
      </c>
      <c r="B931" s="241">
        <v>5038</v>
      </c>
      <c r="C931" s="240" t="s">
        <v>381</v>
      </c>
      <c r="D931" s="238">
        <v>0</v>
      </c>
      <c r="E931" s="239">
        <v>1.33</v>
      </c>
      <c r="F931" s="238">
        <v>1.0640000000000001</v>
      </c>
      <c r="G931" s="237">
        <v>80</v>
      </c>
    </row>
    <row r="932" spans="1:7" x14ac:dyDescent="0.2">
      <c r="A932" s="242">
        <v>4371</v>
      </c>
      <c r="B932" s="241">
        <v>5139</v>
      </c>
      <c r="C932" s="240" t="s">
        <v>344</v>
      </c>
      <c r="D932" s="238">
        <v>0</v>
      </c>
      <c r="E932" s="239">
        <v>50</v>
      </c>
      <c r="F932" s="238">
        <v>48.455499999999994</v>
      </c>
      <c r="G932" s="237">
        <v>96.910999999999987</v>
      </c>
    </row>
    <row r="933" spans="1:7" x14ac:dyDescent="0.2">
      <c r="A933" s="242">
        <v>4371</v>
      </c>
      <c r="B933" s="241">
        <v>5164</v>
      </c>
      <c r="C933" s="240" t="s">
        <v>343</v>
      </c>
      <c r="D933" s="238">
        <v>0</v>
      </c>
      <c r="E933" s="239">
        <v>16</v>
      </c>
      <c r="F933" s="238">
        <v>15.911999999999999</v>
      </c>
      <c r="G933" s="237">
        <v>99.449999999999989</v>
      </c>
    </row>
    <row r="934" spans="1:7" x14ac:dyDescent="0.2">
      <c r="A934" s="242">
        <v>4371</v>
      </c>
      <c r="B934" s="241">
        <v>5169</v>
      </c>
      <c r="C934" s="240" t="s">
        <v>341</v>
      </c>
      <c r="D934" s="238">
        <v>0</v>
      </c>
      <c r="E934" s="239">
        <v>4806.2800000000007</v>
      </c>
      <c r="F934" s="238">
        <v>4753.8074800000004</v>
      </c>
      <c r="G934" s="237">
        <v>98.908250871776076</v>
      </c>
    </row>
    <row r="935" spans="1:7" x14ac:dyDescent="0.2">
      <c r="A935" s="242">
        <v>4371</v>
      </c>
      <c r="B935" s="241">
        <v>5173</v>
      </c>
      <c r="C935" s="240" t="s">
        <v>361</v>
      </c>
      <c r="D935" s="238">
        <v>0</v>
      </c>
      <c r="E935" s="239">
        <v>2</v>
      </c>
      <c r="F935" s="238">
        <v>1.294</v>
      </c>
      <c r="G935" s="237">
        <v>64.7</v>
      </c>
    </row>
    <row r="936" spans="1:7" x14ac:dyDescent="0.2">
      <c r="A936" s="242">
        <v>4371</v>
      </c>
      <c r="B936" s="241">
        <v>5175</v>
      </c>
      <c r="C936" s="240" t="s">
        <v>340</v>
      </c>
      <c r="D936" s="238">
        <v>0</v>
      </c>
      <c r="E936" s="239">
        <v>46</v>
      </c>
      <c r="F936" s="238">
        <v>28.471</v>
      </c>
      <c r="G936" s="237">
        <v>61.893478260869564</v>
      </c>
    </row>
    <row r="937" spans="1:7" x14ac:dyDescent="0.2">
      <c r="A937" s="242">
        <v>4371</v>
      </c>
      <c r="B937" s="241">
        <v>5221</v>
      </c>
      <c r="C937" s="240" t="s">
        <v>399</v>
      </c>
      <c r="D937" s="238">
        <v>0</v>
      </c>
      <c r="E937" s="239">
        <v>9665</v>
      </c>
      <c r="F937" s="238">
        <v>9665</v>
      </c>
      <c r="G937" s="237">
        <v>100</v>
      </c>
    </row>
    <row r="938" spans="1:7" x14ac:dyDescent="0.2">
      <c r="A938" s="242">
        <v>4371</v>
      </c>
      <c r="B938" s="241">
        <v>5222</v>
      </c>
      <c r="C938" s="240" t="s">
        <v>354</v>
      </c>
      <c r="D938" s="238">
        <v>0</v>
      </c>
      <c r="E938" s="239">
        <v>8707.9199999999983</v>
      </c>
      <c r="F938" s="238">
        <v>8593.9639999999999</v>
      </c>
      <c r="G938" s="237">
        <v>98.691352240259462</v>
      </c>
    </row>
    <row r="939" spans="1:7" x14ac:dyDescent="0.2">
      <c r="A939" s="242">
        <v>4371</v>
      </c>
      <c r="B939" s="241">
        <v>5223</v>
      </c>
      <c r="C939" s="240" t="s">
        <v>400</v>
      </c>
      <c r="D939" s="238">
        <v>0</v>
      </c>
      <c r="E939" s="239">
        <v>17498.759999999998</v>
      </c>
      <c r="F939" s="238">
        <v>17498.759999999998</v>
      </c>
      <c r="G939" s="237">
        <v>100</v>
      </c>
    </row>
    <row r="940" spans="1:7" x14ac:dyDescent="0.2">
      <c r="A940" s="242">
        <v>4371</v>
      </c>
      <c r="B940" s="241">
        <v>5321</v>
      </c>
      <c r="C940" s="240" t="s">
        <v>353</v>
      </c>
      <c r="D940" s="238">
        <v>0</v>
      </c>
      <c r="E940" s="239">
        <v>524</v>
      </c>
      <c r="F940" s="238">
        <v>524</v>
      </c>
      <c r="G940" s="237">
        <v>100</v>
      </c>
    </row>
    <row r="941" spans="1:7" x14ac:dyDescent="0.2">
      <c r="A941" s="236">
        <v>4371</v>
      </c>
      <c r="B941" s="235"/>
      <c r="C941" s="234" t="s">
        <v>181</v>
      </c>
      <c r="D941" s="232">
        <v>0</v>
      </c>
      <c r="E941" s="233">
        <v>41677.129999999997</v>
      </c>
      <c r="F941" s="232">
        <v>41462.897779999999</v>
      </c>
      <c r="G941" s="231">
        <v>99.485971754772947</v>
      </c>
    </row>
    <row r="942" spans="1:7" x14ac:dyDescent="0.2">
      <c r="A942" s="242"/>
      <c r="B942" s="250"/>
      <c r="C942" s="240"/>
      <c r="D942" s="249"/>
      <c r="E942" s="249"/>
      <c r="F942" s="249"/>
      <c r="G942" s="237"/>
    </row>
    <row r="943" spans="1:7" x14ac:dyDescent="0.2">
      <c r="A943" s="248">
        <v>4372</v>
      </c>
      <c r="B943" s="247">
        <v>5221</v>
      </c>
      <c r="C943" s="246" t="s">
        <v>399</v>
      </c>
      <c r="D943" s="244">
        <v>0</v>
      </c>
      <c r="E943" s="245">
        <v>220</v>
      </c>
      <c r="F943" s="244">
        <v>220</v>
      </c>
      <c r="G943" s="243">
        <v>100</v>
      </c>
    </row>
    <row r="944" spans="1:7" x14ac:dyDescent="0.2">
      <c r="A944" s="242">
        <v>4372</v>
      </c>
      <c r="B944" s="241">
        <v>5222</v>
      </c>
      <c r="C944" s="240" t="s">
        <v>354</v>
      </c>
      <c r="D944" s="238">
        <v>0</v>
      </c>
      <c r="E944" s="239">
        <v>3675</v>
      </c>
      <c r="F944" s="238">
        <v>3675</v>
      </c>
      <c r="G944" s="237">
        <v>100</v>
      </c>
    </row>
    <row r="945" spans="1:7" x14ac:dyDescent="0.2">
      <c r="A945" s="242">
        <v>4372</v>
      </c>
      <c r="B945" s="241">
        <v>5223</v>
      </c>
      <c r="C945" s="240" t="s">
        <v>400</v>
      </c>
      <c r="D945" s="238">
        <v>0</v>
      </c>
      <c r="E945" s="239">
        <v>921</v>
      </c>
      <c r="F945" s="238">
        <v>921</v>
      </c>
      <c r="G945" s="237">
        <v>100</v>
      </c>
    </row>
    <row r="946" spans="1:7" x14ac:dyDescent="0.2">
      <c r="A946" s="236">
        <v>4372</v>
      </c>
      <c r="B946" s="235"/>
      <c r="C946" s="234" t="s">
        <v>408</v>
      </c>
      <c r="D946" s="232">
        <v>0</v>
      </c>
      <c r="E946" s="233">
        <v>4816</v>
      </c>
      <c r="F946" s="232">
        <v>4816</v>
      </c>
      <c r="G946" s="231">
        <v>100</v>
      </c>
    </row>
    <row r="947" spans="1:7" x14ac:dyDescent="0.2">
      <c r="A947" s="242"/>
      <c r="B947" s="250"/>
      <c r="C947" s="240"/>
      <c r="D947" s="249"/>
      <c r="E947" s="249"/>
      <c r="F947" s="249"/>
      <c r="G947" s="237"/>
    </row>
    <row r="948" spans="1:7" x14ac:dyDescent="0.2">
      <c r="A948" s="248">
        <v>4373</v>
      </c>
      <c r="B948" s="247">
        <v>5221</v>
      </c>
      <c r="C948" s="246" t="s">
        <v>399</v>
      </c>
      <c r="D948" s="244">
        <v>0</v>
      </c>
      <c r="E948" s="245">
        <v>3240.2</v>
      </c>
      <c r="F948" s="244">
        <v>3240.2</v>
      </c>
      <c r="G948" s="243">
        <v>100</v>
      </c>
    </row>
    <row r="949" spans="1:7" x14ac:dyDescent="0.2">
      <c r="A949" s="242">
        <v>4373</v>
      </c>
      <c r="B949" s="241">
        <v>5222</v>
      </c>
      <c r="C949" s="240" t="s">
        <v>354</v>
      </c>
      <c r="D949" s="238">
        <v>0</v>
      </c>
      <c r="E949" s="239">
        <v>1999</v>
      </c>
      <c r="F949" s="238">
        <v>1999</v>
      </c>
      <c r="G949" s="237">
        <v>100</v>
      </c>
    </row>
    <row r="950" spans="1:7" x14ac:dyDescent="0.2">
      <c r="A950" s="242">
        <v>4373</v>
      </c>
      <c r="B950" s="241">
        <v>5223</v>
      </c>
      <c r="C950" s="240" t="s">
        <v>400</v>
      </c>
      <c r="D950" s="238">
        <v>0</v>
      </c>
      <c r="E950" s="239">
        <v>1603</v>
      </c>
      <c r="F950" s="238">
        <v>1603</v>
      </c>
      <c r="G950" s="237">
        <v>100</v>
      </c>
    </row>
    <row r="951" spans="1:7" x14ac:dyDescent="0.2">
      <c r="A951" s="242">
        <v>4373</v>
      </c>
      <c r="B951" s="241">
        <v>5321</v>
      </c>
      <c r="C951" s="240" t="s">
        <v>353</v>
      </c>
      <c r="D951" s="238">
        <v>0</v>
      </c>
      <c r="E951" s="239">
        <v>878.4</v>
      </c>
      <c r="F951" s="238">
        <v>878.4</v>
      </c>
      <c r="G951" s="237">
        <v>100</v>
      </c>
    </row>
    <row r="952" spans="1:7" x14ac:dyDescent="0.2">
      <c r="A952" s="236">
        <v>4373</v>
      </c>
      <c r="B952" s="235"/>
      <c r="C952" s="234" t="s">
        <v>407</v>
      </c>
      <c r="D952" s="232">
        <v>0</v>
      </c>
      <c r="E952" s="233">
        <v>7720.5999999999995</v>
      </c>
      <c r="F952" s="232">
        <v>7720.5999999999995</v>
      </c>
      <c r="G952" s="231">
        <v>100</v>
      </c>
    </row>
    <row r="953" spans="1:7" x14ac:dyDescent="0.2">
      <c r="A953" s="242"/>
      <c r="B953" s="250"/>
      <c r="C953" s="240"/>
      <c r="D953" s="249"/>
      <c r="E953" s="249"/>
      <c r="F953" s="249"/>
      <c r="G953" s="237"/>
    </row>
    <row r="954" spans="1:7" x14ac:dyDescent="0.2">
      <c r="A954" s="248">
        <v>4374</v>
      </c>
      <c r="B954" s="247">
        <v>5221</v>
      </c>
      <c r="C954" s="246" t="s">
        <v>399</v>
      </c>
      <c r="D954" s="244">
        <v>0</v>
      </c>
      <c r="E954" s="245">
        <v>3786</v>
      </c>
      <c r="F954" s="244">
        <v>3786</v>
      </c>
      <c r="G954" s="243">
        <v>100</v>
      </c>
    </row>
    <row r="955" spans="1:7" x14ac:dyDescent="0.2">
      <c r="A955" s="242">
        <v>4374</v>
      </c>
      <c r="B955" s="241">
        <v>5222</v>
      </c>
      <c r="C955" s="240" t="s">
        <v>354</v>
      </c>
      <c r="D955" s="238">
        <v>0</v>
      </c>
      <c r="E955" s="239">
        <v>39663.449999999997</v>
      </c>
      <c r="F955" s="238">
        <v>39663.449999999997</v>
      </c>
      <c r="G955" s="237">
        <v>100</v>
      </c>
    </row>
    <row r="956" spans="1:7" x14ac:dyDescent="0.2">
      <c r="A956" s="242">
        <v>4374</v>
      </c>
      <c r="B956" s="241">
        <v>5223</v>
      </c>
      <c r="C956" s="240" t="s">
        <v>400</v>
      </c>
      <c r="D956" s="238">
        <v>0</v>
      </c>
      <c r="E956" s="239">
        <v>57647.62</v>
      </c>
      <c r="F956" s="238">
        <v>57216.520000000004</v>
      </c>
      <c r="G956" s="237">
        <v>99.252180749179246</v>
      </c>
    </row>
    <row r="957" spans="1:7" x14ac:dyDescent="0.2">
      <c r="A957" s="242">
        <v>4374</v>
      </c>
      <c r="B957" s="241">
        <v>5321</v>
      </c>
      <c r="C957" s="240" t="s">
        <v>353</v>
      </c>
      <c r="D957" s="238">
        <v>0</v>
      </c>
      <c r="E957" s="239">
        <v>9715.9</v>
      </c>
      <c r="F957" s="238">
        <v>9715.9</v>
      </c>
      <c r="G957" s="237">
        <v>100</v>
      </c>
    </row>
    <row r="958" spans="1:7" x14ac:dyDescent="0.2">
      <c r="A958" s="236">
        <v>4374</v>
      </c>
      <c r="B958" s="235"/>
      <c r="C958" s="234" t="s">
        <v>406</v>
      </c>
      <c r="D958" s="232">
        <v>0</v>
      </c>
      <c r="E958" s="233">
        <v>110812.97</v>
      </c>
      <c r="F958" s="232">
        <v>110381.87</v>
      </c>
      <c r="G958" s="231">
        <v>99.610966117052897</v>
      </c>
    </row>
    <row r="959" spans="1:7" x14ac:dyDescent="0.2">
      <c r="A959" s="242"/>
      <c r="B959" s="250"/>
      <c r="C959" s="240"/>
      <c r="D959" s="249"/>
      <c r="E959" s="249"/>
      <c r="F959" s="249"/>
      <c r="G959" s="237"/>
    </row>
    <row r="960" spans="1:7" x14ac:dyDescent="0.2">
      <c r="A960" s="248">
        <v>4375</v>
      </c>
      <c r="B960" s="247">
        <v>5221</v>
      </c>
      <c r="C960" s="246" t="s">
        <v>399</v>
      </c>
      <c r="D960" s="244">
        <v>0</v>
      </c>
      <c r="E960" s="245">
        <v>10786.6</v>
      </c>
      <c r="F960" s="244">
        <v>10786.6</v>
      </c>
      <c r="G960" s="243">
        <v>100</v>
      </c>
    </row>
    <row r="961" spans="1:7" x14ac:dyDescent="0.2">
      <c r="A961" s="242">
        <v>4375</v>
      </c>
      <c r="B961" s="241">
        <v>5222</v>
      </c>
      <c r="C961" s="240" t="s">
        <v>354</v>
      </c>
      <c r="D961" s="238">
        <v>0</v>
      </c>
      <c r="E961" s="239">
        <v>5822.9000000000005</v>
      </c>
      <c r="F961" s="238">
        <v>5822.9000000000005</v>
      </c>
      <c r="G961" s="237">
        <v>100</v>
      </c>
    </row>
    <row r="962" spans="1:7" x14ac:dyDescent="0.2">
      <c r="A962" s="242">
        <v>4375</v>
      </c>
      <c r="B962" s="241">
        <v>5223</v>
      </c>
      <c r="C962" s="240" t="s">
        <v>400</v>
      </c>
      <c r="D962" s="238">
        <v>0</v>
      </c>
      <c r="E962" s="239">
        <v>8151</v>
      </c>
      <c r="F962" s="238">
        <v>8151</v>
      </c>
      <c r="G962" s="237">
        <v>100</v>
      </c>
    </row>
    <row r="963" spans="1:7" x14ac:dyDescent="0.2">
      <c r="A963" s="242">
        <v>4375</v>
      </c>
      <c r="B963" s="241">
        <v>5229</v>
      </c>
      <c r="C963" s="240" t="s">
        <v>390</v>
      </c>
      <c r="D963" s="238">
        <v>0</v>
      </c>
      <c r="E963" s="239">
        <v>1632.3</v>
      </c>
      <c r="F963" s="238">
        <v>1632.3</v>
      </c>
      <c r="G963" s="237">
        <v>100</v>
      </c>
    </row>
    <row r="964" spans="1:7" x14ac:dyDescent="0.2">
      <c r="A964" s="242">
        <v>4375</v>
      </c>
      <c r="B964" s="241">
        <v>5321</v>
      </c>
      <c r="C964" s="240" t="s">
        <v>353</v>
      </c>
      <c r="D964" s="238">
        <v>0</v>
      </c>
      <c r="E964" s="239">
        <v>3198.9</v>
      </c>
      <c r="F964" s="238">
        <v>3198.9</v>
      </c>
      <c r="G964" s="237">
        <v>100</v>
      </c>
    </row>
    <row r="965" spans="1:7" x14ac:dyDescent="0.2">
      <c r="A965" s="236">
        <v>4375</v>
      </c>
      <c r="B965" s="235"/>
      <c r="C965" s="234" t="s">
        <v>405</v>
      </c>
      <c r="D965" s="232">
        <v>0</v>
      </c>
      <c r="E965" s="233">
        <v>29591.7</v>
      </c>
      <c r="F965" s="232">
        <v>29591.7</v>
      </c>
      <c r="G965" s="231">
        <v>100</v>
      </c>
    </row>
    <row r="966" spans="1:7" x14ac:dyDescent="0.2">
      <c r="A966" s="242"/>
      <c r="B966" s="250"/>
      <c r="C966" s="240"/>
      <c r="D966" s="249"/>
      <c r="E966" s="249"/>
      <c r="F966" s="249"/>
      <c r="G966" s="237"/>
    </row>
    <row r="967" spans="1:7" x14ac:dyDescent="0.2">
      <c r="A967" s="248">
        <v>4376</v>
      </c>
      <c r="B967" s="247">
        <v>5221</v>
      </c>
      <c r="C967" s="246" t="s">
        <v>399</v>
      </c>
      <c r="D967" s="244">
        <v>0</v>
      </c>
      <c r="E967" s="245">
        <v>2610</v>
      </c>
      <c r="F967" s="244">
        <v>2610</v>
      </c>
      <c r="G967" s="243">
        <v>100</v>
      </c>
    </row>
    <row r="968" spans="1:7" x14ac:dyDescent="0.2">
      <c r="A968" s="242">
        <v>4376</v>
      </c>
      <c r="B968" s="241">
        <v>5222</v>
      </c>
      <c r="C968" s="240" t="s">
        <v>354</v>
      </c>
      <c r="D968" s="238">
        <v>0</v>
      </c>
      <c r="E968" s="239">
        <v>6658</v>
      </c>
      <c r="F968" s="238">
        <v>6658</v>
      </c>
      <c r="G968" s="237">
        <v>100</v>
      </c>
    </row>
    <row r="969" spans="1:7" x14ac:dyDescent="0.2">
      <c r="A969" s="242">
        <v>4376</v>
      </c>
      <c r="B969" s="241">
        <v>5223</v>
      </c>
      <c r="C969" s="240" t="s">
        <v>400</v>
      </c>
      <c r="D969" s="238">
        <v>0</v>
      </c>
      <c r="E969" s="239">
        <v>1020</v>
      </c>
      <c r="F969" s="238">
        <v>1020</v>
      </c>
      <c r="G969" s="237">
        <v>100</v>
      </c>
    </row>
    <row r="970" spans="1:7" x14ac:dyDescent="0.2">
      <c r="A970" s="242">
        <v>4376</v>
      </c>
      <c r="B970" s="241">
        <v>5321</v>
      </c>
      <c r="C970" s="240" t="s">
        <v>353</v>
      </c>
      <c r="D970" s="238">
        <v>0</v>
      </c>
      <c r="E970" s="239">
        <v>873</v>
      </c>
      <c r="F970" s="238">
        <v>873</v>
      </c>
      <c r="G970" s="237">
        <v>100</v>
      </c>
    </row>
    <row r="971" spans="1:7" x14ac:dyDescent="0.2">
      <c r="A971" s="236">
        <v>4376</v>
      </c>
      <c r="B971" s="235"/>
      <c r="C971" s="234" t="s">
        <v>404</v>
      </c>
      <c r="D971" s="232">
        <v>0</v>
      </c>
      <c r="E971" s="233">
        <v>11161</v>
      </c>
      <c r="F971" s="232">
        <v>11161</v>
      </c>
      <c r="G971" s="231">
        <v>100</v>
      </c>
    </row>
    <row r="972" spans="1:7" x14ac:dyDescent="0.2">
      <c r="A972" s="242"/>
      <c r="B972" s="250"/>
      <c r="C972" s="240"/>
      <c r="D972" s="249"/>
      <c r="E972" s="249"/>
      <c r="F972" s="249"/>
      <c r="G972" s="237"/>
    </row>
    <row r="973" spans="1:7" x14ac:dyDescent="0.2">
      <c r="A973" s="248">
        <v>4377</v>
      </c>
      <c r="B973" s="247">
        <v>5221</v>
      </c>
      <c r="C973" s="246" t="s">
        <v>399</v>
      </c>
      <c r="D973" s="244">
        <v>0</v>
      </c>
      <c r="E973" s="245">
        <v>2149.8000000000002</v>
      </c>
      <c r="F973" s="244">
        <v>2125</v>
      </c>
      <c r="G973" s="243">
        <v>98.846404316680619</v>
      </c>
    </row>
    <row r="974" spans="1:7" x14ac:dyDescent="0.2">
      <c r="A974" s="242">
        <v>4377</v>
      </c>
      <c r="B974" s="241">
        <v>5222</v>
      </c>
      <c r="C974" s="240" t="s">
        <v>354</v>
      </c>
      <c r="D974" s="238">
        <v>0</v>
      </c>
      <c r="E974" s="239">
        <v>3184.9</v>
      </c>
      <c r="F974" s="238">
        <v>2775.4</v>
      </c>
      <c r="G974" s="237">
        <v>87.142453452227699</v>
      </c>
    </row>
    <row r="975" spans="1:7" x14ac:dyDescent="0.2">
      <c r="A975" s="242">
        <v>4377</v>
      </c>
      <c r="B975" s="241">
        <v>5223</v>
      </c>
      <c r="C975" s="240" t="s">
        <v>400</v>
      </c>
      <c r="D975" s="238">
        <v>0</v>
      </c>
      <c r="E975" s="239">
        <v>13974.73</v>
      </c>
      <c r="F975" s="238">
        <v>13974.734</v>
      </c>
      <c r="G975" s="237">
        <v>100.00002862309326</v>
      </c>
    </row>
    <row r="976" spans="1:7" x14ac:dyDescent="0.2">
      <c r="A976" s="242">
        <v>4377</v>
      </c>
      <c r="B976" s="241">
        <v>5321</v>
      </c>
      <c r="C976" s="240" t="s">
        <v>353</v>
      </c>
      <c r="D976" s="238">
        <v>0</v>
      </c>
      <c r="E976" s="239">
        <v>5398.75</v>
      </c>
      <c r="F976" s="238">
        <v>5398.75</v>
      </c>
      <c r="G976" s="237">
        <v>100</v>
      </c>
    </row>
    <row r="977" spans="1:7" x14ac:dyDescent="0.2">
      <c r="A977" s="242">
        <v>4377</v>
      </c>
      <c r="B977" s="241">
        <v>5331</v>
      </c>
      <c r="C977" s="240" t="s">
        <v>403</v>
      </c>
      <c r="D977" s="238">
        <v>0</v>
      </c>
      <c r="E977" s="239">
        <v>2557</v>
      </c>
      <c r="F977" s="238">
        <v>1674.1</v>
      </c>
      <c r="G977" s="237">
        <v>65.47125537739538</v>
      </c>
    </row>
    <row r="978" spans="1:7" x14ac:dyDescent="0.2">
      <c r="A978" s="242">
        <v>4377</v>
      </c>
      <c r="B978" s="241">
        <v>5336</v>
      </c>
      <c r="C978" s="240" t="s">
        <v>401</v>
      </c>
      <c r="D978" s="238">
        <v>0</v>
      </c>
      <c r="E978" s="239">
        <v>6214</v>
      </c>
      <c r="F978" s="238">
        <v>6214</v>
      </c>
      <c r="G978" s="237">
        <v>100</v>
      </c>
    </row>
    <row r="979" spans="1:7" x14ac:dyDescent="0.2">
      <c r="A979" s="236">
        <v>4377</v>
      </c>
      <c r="B979" s="235"/>
      <c r="C979" s="234" t="s">
        <v>275</v>
      </c>
      <c r="D979" s="232">
        <v>0</v>
      </c>
      <c r="E979" s="233">
        <v>33479.18</v>
      </c>
      <c r="F979" s="232">
        <v>32161.983999999997</v>
      </c>
      <c r="G979" s="231">
        <v>96.065626457995677</v>
      </c>
    </row>
    <row r="980" spans="1:7" x14ac:dyDescent="0.2">
      <c r="A980" s="242"/>
      <c r="B980" s="250"/>
      <c r="C980" s="240"/>
      <c r="D980" s="249"/>
      <c r="E980" s="249"/>
      <c r="F980" s="249"/>
      <c r="G980" s="237"/>
    </row>
    <row r="981" spans="1:7" x14ac:dyDescent="0.2">
      <c r="A981" s="248">
        <v>4378</v>
      </c>
      <c r="B981" s="247">
        <v>5221</v>
      </c>
      <c r="C981" s="246" t="s">
        <v>399</v>
      </c>
      <c r="D981" s="244">
        <v>0</v>
      </c>
      <c r="E981" s="245">
        <v>7559.1</v>
      </c>
      <c r="F981" s="244">
        <v>7559.1</v>
      </c>
      <c r="G981" s="243">
        <v>100</v>
      </c>
    </row>
    <row r="982" spans="1:7" x14ac:dyDescent="0.2">
      <c r="A982" s="242">
        <v>4378</v>
      </c>
      <c r="B982" s="241">
        <v>5222</v>
      </c>
      <c r="C982" s="240" t="s">
        <v>354</v>
      </c>
      <c r="D982" s="238">
        <v>0</v>
      </c>
      <c r="E982" s="239">
        <v>5053.5</v>
      </c>
      <c r="F982" s="238">
        <v>5053.5</v>
      </c>
      <c r="G982" s="237">
        <v>100</v>
      </c>
    </row>
    <row r="983" spans="1:7" x14ac:dyDescent="0.2">
      <c r="A983" s="242">
        <v>4378</v>
      </c>
      <c r="B983" s="241">
        <v>5223</v>
      </c>
      <c r="C983" s="240" t="s">
        <v>400</v>
      </c>
      <c r="D983" s="238">
        <v>0</v>
      </c>
      <c r="E983" s="239">
        <v>6015</v>
      </c>
      <c r="F983" s="238">
        <v>6015</v>
      </c>
      <c r="G983" s="237">
        <v>100</v>
      </c>
    </row>
    <row r="984" spans="1:7" x14ac:dyDescent="0.2">
      <c r="A984" s="242">
        <v>4378</v>
      </c>
      <c r="B984" s="241">
        <v>5321</v>
      </c>
      <c r="C984" s="240" t="s">
        <v>353</v>
      </c>
      <c r="D984" s="238">
        <v>0</v>
      </c>
      <c r="E984" s="239">
        <v>2089.75</v>
      </c>
      <c r="F984" s="238">
        <v>2089.75</v>
      </c>
      <c r="G984" s="237">
        <v>100</v>
      </c>
    </row>
    <row r="985" spans="1:7" x14ac:dyDescent="0.2">
      <c r="A985" s="236">
        <v>4378</v>
      </c>
      <c r="B985" s="235"/>
      <c r="C985" s="234" t="s">
        <v>402</v>
      </c>
      <c r="D985" s="232">
        <v>0</v>
      </c>
      <c r="E985" s="233">
        <v>20717.349999999999</v>
      </c>
      <c r="F985" s="232">
        <v>20717.349999999999</v>
      </c>
      <c r="G985" s="231">
        <v>100</v>
      </c>
    </row>
    <row r="986" spans="1:7" x14ac:dyDescent="0.2">
      <c r="A986" s="242"/>
      <c r="B986" s="250"/>
      <c r="C986" s="240"/>
      <c r="D986" s="249"/>
      <c r="E986" s="249"/>
      <c r="F986" s="249"/>
      <c r="G986" s="237"/>
    </row>
    <row r="987" spans="1:7" x14ac:dyDescent="0.2">
      <c r="A987" s="248">
        <v>4379</v>
      </c>
      <c r="B987" s="247">
        <v>5011</v>
      </c>
      <c r="C987" s="246" t="s">
        <v>386</v>
      </c>
      <c r="D987" s="244">
        <v>0</v>
      </c>
      <c r="E987" s="245">
        <v>1184.9699999999998</v>
      </c>
      <c r="F987" s="244">
        <v>978.69450999999992</v>
      </c>
      <c r="G987" s="243">
        <v>82.592344953880698</v>
      </c>
    </row>
    <row r="988" spans="1:7" x14ac:dyDescent="0.2">
      <c r="A988" s="242">
        <v>4379</v>
      </c>
      <c r="B988" s="241">
        <v>5021</v>
      </c>
      <c r="C988" s="240" t="s">
        <v>385</v>
      </c>
      <c r="D988" s="238">
        <v>0</v>
      </c>
      <c r="E988" s="239">
        <v>2300.59</v>
      </c>
      <c r="F988" s="238">
        <v>1741.6039999999998</v>
      </c>
      <c r="G988" s="237">
        <v>75.702493708135719</v>
      </c>
    </row>
    <row r="989" spans="1:7" x14ac:dyDescent="0.2">
      <c r="A989" s="242">
        <v>4379</v>
      </c>
      <c r="B989" s="241">
        <v>5031</v>
      </c>
      <c r="C989" s="240" t="s">
        <v>383</v>
      </c>
      <c r="D989" s="238">
        <v>0</v>
      </c>
      <c r="E989" s="239">
        <v>844.64</v>
      </c>
      <c r="F989" s="238">
        <v>653.66600000000005</v>
      </c>
      <c r="G989" s="237">
        <v>77.389893919302907</v>
      </c>
    </row>
    <row r="990" spans="1:7" x14ac:dyDescent="0.2">
      <c r="A990" s="242">
        <v>4379</v>
      </c>
      <c r="B990" s="241">
        <v>5032</v>
      </c>
      <c r="C990" s="240" t="s">
        <v>382</v>
      </c>
      <c r="D990" s="238">
        <v>0</v>
      </c>
      <c r="E990" s="239">
        <v>304.55</v>
      </c>
      <c r="F990" s="238">
        <v>235.41399999999999</v>
      </c>
      <c r="G990" s="237">
        <v>77.298965687079289</v>
      </c>
    </row>
    <row r="991" spans="1:7" x14ac:dyDescent="0.2">
      <c r="A991" s="242">
        <v>4379</v>
      </c>
      <c r="B991" s="241">
        <v>5038</v>
      </c>
      <c r="C991" s="240" t="s">
        <v>381</v>
      </c>
      <c r="D991" s="238">
        <v>0</v>
      </c>
      <c r="E991" s="239">
        <v>14.76</v>
      </c>
      <c r="F991" s="238">
        <v>10.51</v>
      </c>
      <c r="G991" s="237">
        <v>71.205962059620603</v>
      </c>
    </row>
    <row r="992" spans="1:7" x14ac:dyDescent="0.2">
      <c r="A992" s="242">
        <v>4379</v>
      </c>
      <c r="B992" s="241">
        <v>5136</v>
      </c>
      <c r="C992" s="240" t="s">
        <v>373</v>
      </c>
      <c r="D992" s="238">
        <v>0</v>
      </c>
      <c r="E992" s="239">
        <v>41</v>
      </c>
      <c r="F992" s="238">
        <v>35.237900000000003</v>
      </c>
      <c r="G992" s="237">
        <v>85.946097560975616</v>
      </c>
    </row>
    <row r="993" spans="1:7" x14ac:dyDescent="0.2">
      <c r="A993" s="242">
        <v>4379</v>
      </c>
      <c r="B993" s="241">
        <v>5139</v>
      </c>
      <c r="C993" s="240" t="s">
        <v>344</v>
      </c>
      <c r="D993" s="238">
        <v>0</v>
      </c>
      <c r="E993" s="239">
        <v>290</v>
      </c>
      <c r="F993" s="238">
        <v>214.15582000000003</v>
      </c>
      <c r="G993" s="237">
        <v>73.846834482758624</v>
      </c>
    </row>
    <row r="994" spans="1:7" x14ac:dyDescent="0.2">
      <c r="A994" s="242">
        <v>4379</v>
      </c>
      <c r="B994" s="241">
        <v>5162</v>
      </c>
      <c r="C994" s="240" t="s">
        <v>366</v>
      </c>
      <c r="D994" s="238">
        <v>0</v>
      </c>
      <c r="E994" s="239">
        <v>9.5</v>
      </c>
      <c r="F994" s="238">
        <v>8.3440000000000012</v>
      </c>
      <c r="G994" s="237">
        <v>87.831578947368442</v>
      </c>
    </row>
    <row r="995" spans="1:7" x14ac:dyDescent="0.2">
      <c r="A995" s="242">
        <v>4379</v>
      </c>
      <c r="B995" s="241">
        <v>5164</v>
      </c>
      <c r="C995" s="240" t="s">
        <v>343</v>
      </c>
      <c r="D995" s="238">
        <v>0</v>
      </c>
      <c r="E995" s="239">
        <v>340.5</v>
      </c>
      <c r="F995" s="238">
        <v>105.2</v>
      </c>
      <c r="G995" s="237">
        <v>30.895741556534507</v>
      </c>
    </row>
    <row r="996" spans="1:7" x14ac:dyDescent="0.2">
      <c r="A996" s="242">
        <v>4379</v>
      </c>
      <c r="B996" s="241">
        <v>5166</v>
      </c>
      <c r="C996" s="240" t="s">
        <v>342</v>
      </c>
      <c r="D996" s="238">
        <v>0</v>
      </c>
      <c r="E996" s="239">
        <v>127.05</v>
      </c>
      <c r="F996" s="238">
        <v>127.05000000000001</v>
      </c>
      <c r="G996" s="237">
        <v>100.00000000000003</v>
      </c>
    </row>
    <row r="997" spans="1:7" x14ac:dyDescent="0.2">
      <c r="A997" s="242">
        <v>4379</v>
      </c>
      <c r="B997" s="241">
        <v>5169</v>
      </c>
      <c r="C997" s="240" t="s">
        <v>341</v>
      </c>
      <c r="D997" s="238">
        <v>8000</v>
      </c>
      <c r="E997" s="239">
        <v>76024.649999999965</v>
      </c>
      <c r="F997" s="238">
        <v>36461.075989999998</v>
      </c>
      <c r="G997" s="237">
        <v>47.959544687150832</v>
      </c>
    </row>
    <row r="998" spans="1:7" x14ac:dyDescent="0.2">
      <c r="A998" s="242">
        <v>4379</v>
      </c>
      <c r="B998" s="241">
        <v>5173</v>
      </c>
      <c r="C998" s="240" t="s">
        <v>361</v>
      </c>
      <c r="D998" s="238">
        <v>0</v>
      </c>
      <c r="E998" s="239">
        <v>43.03</v>
      </c>
      <c r="F998" s="238">
        <v>10.351000000000001</v>
      </c>
      <c r="G998" s="237">
        <v>24.055310248663726</v>
      </c>
    </row>
    <row r="999" spans="1:7" x14ac:dyDescent="0.2">
      <c r="A999" s="242">
        <v>4379</v>
      </c>
      <c r="B999" s="241">
        <v>5175</v>
      </c>
      <c r="C999" s="240" t="s">
        <v>340</v>
      </c>
      <c r="D999" s="238">
        <v>0</v>
      </c>
      <c r="E999" s="239">
        <v>202.79999999999998</v>
      </c>
      <c r="F999" s="238">
        <v>100.14517000000001</v>
      </c>
      <c r="G999" s="237">
        <v>49.381247534516774</v>
      </c>
    </row>
    <row r="1000" spans="1:7" x14ac:dyDescent="0.2">
      <c r="A1000" s="242">
        <v>4379</v>
      </c>
      <c r="B1000" s="241">
        <v>5221</v>
      </c>
      <c r="C1000" s="240" t="s">
        <v>399</v>
      </c>
      <c r="D1000" s="238">
        <v>0</v>
      </c>
      <c r="E1000" s="239">
        <v>2390.2000000000003</v>
      </c>
      <c r="F1000" s="238">
        <v>2390.2000000000003</v>
      </c>
      <c r="G1000" s="237">
        <v>100</v>
      </c>
    </row>
    <row r="1001" spans="1:7" x14ac:dyDescent="0.2">
      <c r="A1001" s="242">
        <v>4379</v>
      </c>
      <c r="B1001" s="241">
        <v>5222</v>
      </c>
      <c r="C1001" s="240" t="s">
        <v>354</v>
      </c>
      <c r="D1001" s="238">
        <v>0</v>
      </c>
      <c r="E1001" s="239">
        <v>6507.2000000000007</v>
      </c>
      <c r="F1001" s="238">
        <v>6507.2000000000007</v>
      </c>
      <c r="G1001" s="237">
        <v>100</v>
      </c>
    </row>
    <row r="1002" spans="1:7" x14ac:dyDescent="0.2">
      <c r="A1002" s="242">
        <v>4379</v>
      </c>
      <c r="B1002" s="241">
        <v>5223</v>
      </c>
      <c r="C1002" s="240" t="s">
        <v>400</v>
      </c>
      <c r="D1002" s="238">
        <v>0</v>
      </c>
      <c r="E1002" s="239">
        <v>4428.5</v>
      </c>
      <c r="F1002" s="238">
        <v>4428.5</v>
      </c>
      <c r="G1002" s="237">
        <v>100</v>
      </c>
    </row>
    <row r="1003" spans="1:7" x14ac:dyDescent="0.2">
      <c r="A1003" s="242">
        <v>4379</v>
      </c>
      <c r="B1003" s="241">
        <v>5229</v>
      </c>
      <c r="C1003" s="240" t="s">
        <v>390</v>
      </c>
      <c r="D1003" s="238">
        <v>84300</v>
      </c>
      <c r="E1003" s="239">
        <v>0.02</v>
      </c>
      <c r="F1003" s="238">
        <v>0</v>
      </c>
      <c r="G1003" s="237">
        <v>0</v>
      </c>
    </row>
    <row r="1004" spans="1:7" x14ac:dyDescent="0.2">
      <c r="A1004" s="242">
        <v>4379</v>
      </c>
      <c r="B1004" s="241">
        <v>5321</v>
      </c>
      <c r="C1004" s="240" t="s">
        <v>353</v>
      </c>
      <c r="D1004" s="238">
        <v>0</v>
      </c>
      <c r="E1004" s="239">
        <v>250</v>
      </c>
      <c r="F1004" s="238">
        <v>250</v>
      </c>
      <c r="G1004" s="237">
        <v>100</v>
      </c>
    </row>
    <row r="1005" spans="1:7" x14ac:dyDescent="0.2">
      <c r="A1005" s="242">
        <v>4379</v>
      </c>
      <c r="B1005" s="241">
        <v>5336</v>
      </c>
      <c r="C1005" s="240" t="s">
        <v>401</v>
      </c>
      <c r="D1005" s="238">
        <v>0</v>
      </c>
      <c r="E1005" s="239">
        <v>2312.4</v>
      </c>
      <c r="F1005" s="238">
        <v>2312.3392800000001</v>
      </c>
      <c r="G1005" s="237">
        <v>99.997374156720298</v>
      </c>
    </row>
    <row r="1006" spans="1:7" x14ac:dyDescent="0.2">
      <c r="A1006" s="242">
        <v>4379</v>
      </c>
      <c r="B1006" s="241">
        <v>5909</v>
      </c>
      <c r="C1006" s="240" t="s">
        <v>329</v>
      </c>
      <c r="D1006" s="238">
        <v>0</v>
      </c>
      <c r="E1006" s="239">
        <v>0.52</v>
      </c>
      <c r="F1006" s="238">
        <v>0.51590999999999998</v>
      </c>
      <c r="G1006" s="237">
        <v>99.21346153846153</v>
      </c>
    </row>
    <row r="1007" spans="1:7" x14ac:dyDescent="0.2">
      <c r="A1007" s="236">
        <v>4379</v>
      </c>
      <c r="B1007" s="235"/>
      <c r="C1007" s="234" t="s">
        <v>180</v>
      </c>
      <c r="D1007" s="232">
        <v>92300</v>
      </c>
      <c r="E1007" s="233">
        <v>97616.879999999961</v>
      </c>
      <c r="F1007" s="232">
        <v>56570.203580000001</v>
      </c>
      <c r="G1007" s="231">
        <v>57.951251443397936</v>
      </c>
    </row>
    <row r="1008" spans="1:7" x14ac:dyDescent="0.2">
      <c r="A1008" s="242"/>
      <c r="B1008" s="250"/>
      <c r="C1008" s="240"/>
      <c r="D1008" s="249"/>
      <c r="E1008" s="249"/>
      <c r="F1008" s="249"/>
      <c r="G1008" s="237"/>
    </row>
    <row r="1009" spans="1:7" x14ac:dyDescent="0.2">
      <c r="A1009" s="248">
        <v>4399</v>
      </c>
      <c r="B1009" s="247">
        <v>5011</v>
      </c>
      <c r="C1009" s="246" t="s">
        <v>386</v>
      </c>
      <c r="D1009" s="244">
        <v>0</v>
      </c>
      <c r="E1009" s="245">
        <v>1470</v>
      </c>
      <c r="F1009" s="244">
        <v>861.18799999999999</v>
      </c>
      <c r="G1009" s="243">
        <v>58.584217687074826</v>
      </c>
    </row>
    <row r="1010" spans="1:7" x14ac:dyDescent="0.2">
      <c r="A1010" s="242">
        <v>4399</v>
      </c>
      <c r="B1010" s="241">
        <v>5021</v>
      </c>
      <c r="C1010" s="240" t="s">
        <v>385</v>
      </c>
      <c r="D1010" s="238">
        <v>0</v>
      </c>
      <c r="E1010" s="239">
        <v>30</v>
      </c>
      <c r="F1010" s="238">
        <v>0</v>
      </c>
      <c r="G1010" s="237">
        <v>0</v>
      </c>
    </row>
    <row r="1011" spans="1:7" x14ac:dyDescent="0.2">
      <c r="A1011" s="242">
        <v>4399</v>
      </c>
      <c r="B1011" s="241">
        <v>5031</v>
      </c>
      <c r="C1011" s="240" t="s">
        <v>383</v>
      </c>
      <c r="D1011" s="238">
        <v>0</v>
      </c>
      <c r="E1011" s="239">
        <v>375</v>
      </c>
      <c r="F1011" s="238">
        <v>215.297</v>
      </c>
      <c r="G1011" s="237">
        <v>57.412533333333336</v>
      </c>
    </row>
    <row r="1012" spans="1:7" x14ac:dyDescent="0.2">
      <c r="A1012" s="242">
        <v>4399</v>
      </c>
      <c r="B1012" s="241">
        <v>5032</v>
      </c>
      <c r="C1012" s="240" t="s">
        <v>382</v>
      </c>
      <c r="D1012" s="238">
        <v>0</v>
      </c>
      <c r="E1012" s="239">
        <v>135</v>
      </c>
      <c r="F1012" s="238">
        <v>77.507000000000005</v>
      </c>
      <c r="G1012" s="237">
        <v>57.412592592592596</v>
      </c>
    </row>
    <row r="1013" spans="1:7" x14ac:dyDescent="0.2">
      <c r="A1013" s="242">
        <v>4399</v>
      </c>
      <c r="B1013" s="241">
        <v>5038</v>
      </c>
      <c r="C1013" s="240" t="s">
        <v>381</v>
      </c>
      <c r="D1013" s="238">
        <v>0</v>
      </c>
      <c r="E1013" s="239">
        <v>6.3</v>
      </c>
      <c r="F1013" s="238">
        <v>3.617</v>
      </c>
      <c r="G1013" s="237">
        <v>57.412698412698418</v>
      </c>
    </row>
    <row r="1014" spans="1:7" x14ac:dyDescent="0.2">
      <c r="A1014" s="242">
        <v>4399</v>
      </c>
      <c r="B1014" s="241">
        <v>5136</v>
      </c>
      <c r="C1014" s="240" t="s">
        <v>373</v>
      </c>
      <c r="D1014" s="238">
        <v>0</v>
      </c>
      <c r="E1014" s="239">
        <v>5</v>
      </c>
      <c r="F1014" s="238">
        <v>4.4770000000000003</v>
      </c>
      <c r="G1014" s="237">
        <v>89.54</v>
      </c>
    </row>
    <row r="1015" spans="1:7" x14ac:dyDescent="0.2">
      <c r="A1015" s="242">
        <v>4399</v>
      </c>
      <c r="B1015" s="241">
        <v>5137</v>
      </c>
      <c r="C1015" s="240" t="s">
        <v>345</v>
      </c>
      <c r="D1015" s="238">
        <v>0</v>
      </c>
      <c r="E1015" s="239">
        <v>300</v>
      </c>
      <c r="F1015" s="238">
        <v>114.18300000000001</v>
      </c>
      <c r="G1015" s="237">
        <v>38.061</v>
      </c>
    </row>
    <row r="1016" spans="1:7" x14ac:dyDescent="0.2">
      <c r="A1016" s="242">
        <v>4399</v>
      </c>
      <c r="B1016" s="241">
        <v>5139</v>
      </c>
      <c r="C1016" s="240" t="s">
        <v>344</v>
      </c>
      <c r="D1016" s="238">
        <v>0</v>
      </c>
      <c r="E1016" s="239">
        <v>102.7</v>
      </c>
      <c r="F1016" s="238">
        <v>17.101500000000001</v>
      </c>
      <c r="G1016" s="237">
        <v>16.651898734177216</v>
      </c>
    </row>
    <row r="1017" spans="1:7" x14ac:dyDescent="0.2">
      <c r="A1017" s="242">
        <v>4399</v>
      </c>
      <c r="B1017" s="241">
        <v>5151</v>
      </c>
      <c r="C1017" s="240" t="s">
        <v>371</v>
      </c>
      <c r="D1017" s="238">
        <v>0</v>
      </c>
      <c r="E1017" s="239">
        <v>5</v>
      </c>
      <c r="F1017" s="238">
        <v>1.468</v>
      </c>
      <c r="G1017" s="237">
        <v>29.359999999999996</v>
      </c>
    </row>
    <row r="1018" spans="1:7" x14ac:dyDescent="0.2">
      <c r="A1018" s="242">
        <v>4399</v>
      </c>
      <c r="B1018" s="241">
        <v>5152</v>
      </c>
      <c r="C1018" s="240" t="s">
        <v>370</v>
      </c>
      <c r="D1018" s="238">
        <v>0</v>
      </c>
      <c r="E1018" s="239">
        <v>10</v>
      </c>
      <c r="F1018" s="238">
        <v>6.1041000000000007</v>
      </c>
      <c r="G1018" s="237">
        <v>61.041000000000011</v>
      </c>
    </row>
    <row r="1019" spans="1:7" x14ac:dyDescent="0.2">
      <c r="A1019" s="242">
        <v>4399</v>
      </c>
      <c r="B1019" s="241">
        <v>5154</v>
      </c>
      <c r="C1019" s="240" t="s">
        <v>369</v>
      </c>
      <c r="D1019" s="238">
        <v>0</v>
      </c>
      <c r="E1019" s="239">
        <v>15</v>
      </c>
      <c r="F1019" s="238">
        <v>12.108360000000001</v>
      </c>
      <c r="G1019" s="237">
        <v>80.722400000000007</v>
      </c>
    </row>
    <row r="1020" spans="1:7" x14ac:dyDescent="0.2">
      <c r="A1020" s="242">
        <v>4399</v>
      </c>
      <c r="B1020" s="241">
        <v>5192</v>
      </c>
      <c r="C1020" s="240" t="s">
        <v>356</v>
      </c>
      <c r="D1020" s="238">
        <v>0</v>
      </c>
      <c r="E1020" s="239">
        <v>1</v>
      </c>
      <c r="F1020" s="238">
        <v>1</v>
      </c>
      <c r="G1020" s="237">
        <v>100</v>
      </c>
    </row>
    <row r="1021" spans="1:7" x14ac:dyDescent="0.2">
      <c r="A1021" s="242">
        <v>4399</v>
      </c>
      <c r="B1021" s="241">
        <v>5221</v>
      </c>
      <c r="C1021" s="240" t="s">
        <v>399</v>
      </c>
      <c r="D1021" s="238">
        <v>0</v>
      </c>
      <c r="E1021" s="239">
        <v>829.2</v>
      </c>
      <c r="F1021" s="238">
        <v>829.2</v>
      </c>
      <c r="G1021" s="237">
        <v>100</v>
      </c>
    </row>
    <row r="1022" spans="1:7" x14ac:dyDescent="0.2">
      <c r="A1022" s="242">
        <v>4399</v>
      </c>
      <c r="B1022" s="241">
        <v>5222</v>
      </c>
      <c r="C1022" s="240" t="s">
        <v>354</v>
      </c>
      <c r="D1022" s="238">
        <v>300</v>
      </c>
      <c r="E1022" s="239">
        <v>958.59999999999991</v>
      </c>
      <c r="F1022" s="238">
        <v>886.18499999999995</v>
      </c>
      <c r="G1022" s="237">
        <v>92.44575422491134</v>
      </c>
    </row>
    <row r="1023" spans="1:7" x14ac:dyDescent="0.2">
      <c r="A1023" s="242">
        <v>4399</v>
      </c>
      <c r="B1023" s="241">
        <v>5223</v>
      </c>
      <c r="C1023" s="240" t="s">
        <v>400</v>
      </c>
      <c r="D1023" s="238">
        <v>0</v>
      </c>
      <c r="E1023" s="239">
        <v>640</v>
      </c>
      <c r="F1023" s="238">
        <v>640</v>
      </c>
      <c r="G1023" s="237">
        <v>100</v>
      </c>
    </row>
    <row r="1024" spans="1:7" x14ac:dyDescent="0.2">
      <c r="A1024" s="242">
        <v>4399</v>
      </c>
      <c r="B1024" s="241">
        <v>5229</v>
      </c>
      <c r="C1024" s="240" t="s">
        <v>390</v>
      </c>
      <c r="D1024" s="238">
        <v>11600</v>
      </c>
      <c r="E1024" s="239">
        <v>0</v>
      </c>
      <c r="F1024" s="238">
        <v>0</v>
      </c>
      <c r="G1024" s="260" t="s">
        <v>279</v>
      </c>
    </row>
    <row r="1025" spans="1:15" x14ac:dyDescent="0.2">
      <c r="A1025" s="242">
        <v>4399</v>
      </c>
      <c r="B1025" s="241">
        <v>5909</v>
      </c>
      <c r="C1025" s="240" t="s">
        <v>329</v>
      </c>
      <c r="D1025" s="238">
        <v>0</v>
      </c>
      <c r="E1025" s="239">
        <v>84</v>
      </c>
      <c r="F1025" s="238">
        <v>83.968400000000003</v>
      </c>
      <c r="G1025" s="237">
        <v>99.962380952380954</v>
      </c>
    </row>
    <row r="1026" spans="1:15" x14ac:dyDescent="0.2">
      <c r="A1026" s="236">
        <v>4399</v>
      </c>
      <c r="B1026" s="235"/>
      <c r="C1026" s="234" t="s">
        <v>179</v>
      </c>
      <c r="D1026" s="232">
        <v>11900</v>
      </c>
      <c r="E1026" s="233">
        <v>4966.7999999999993</v>
      </c>
      <c r="F1026" s="232">
        <v>3753.4043600000005</v>
      </c>
      <c r="G1026" s="231">
        <v>75.569871144398832</v>
      </c>
    </row>
    <row r="1027" spans="1:15" x14ac:dyDescent="0.2">
      <c r="A1027" s="242"/>
      <c r="B1027" s="250"/>
      <c r="C1027" s="240"/>
      <c r="D1027" s="249"/>
      <c r="E1027" s="249"/>
      <c r="F1027" s="249"/>
      <c r="G1027" s="237"/>
    </row>
    <row r="1028" spans="1:15" customFormat="1" x14ac:dyDescent="0.2">
      <c r="A1028" s="1317" t="s">
        <v>272</v>
      </c>
      <c r="B1028" s="1318"/>
      <c r="C1028" s="1318"/>
      <c r="D1028" s="257">
        <v>303880</v>
      </c>
      <c r="E1028" s="257">
        <v>1387042.45</v>
      </c>
      <c r="F1028" s="257">
        <v>1322437.74123</v>
      </c>
      <c r="G1028" s="256">
        <v>95.34</v>
      </c>
      <c r="I1028" s="100"/>
      <c r="J1028" s="100"/>
      <c r="K1028" s="100"/>
      <c r="L1028" s="100"/>
      <c r="M1028" s="100"/>
      <c r="N1028" s="100"/>
      <c r="O1028" s="100"/>
    </row>
    <row r="1029" spans="1:15" customFormat="1" x14ac:dyDescent="0.2">
      <c r="A1029" s="255"/>
      <c r="B1029" s="254"/>
      <c r="C1029" s="253"/>
      <c r="D1029" s="252"/>
      <c r="E1029" s="252"/>
      <c r="F1029" s="252"/>
      <c r="G1029" s="251"/>
      <c r="I1029" s="100"/>
      <c r="J1029" s="100"/>
      <c r="K1029" s="100"/>
      <c r="L1029" s="100"/>
      <c r="M1029" s="100"/>
      <c r="N1029" s="100"/>
      <c r="O1029" s="100"/>
    </row>
    <row r="1030" spans="1:15" x14ac:dyDescent="0.2">
      <c r="A1030" s="248">
        <v>5212</v>
      </c>
      <c r="B1030" s="247">
        <v>5137</v>
      </c>
      <c r="C1030" s="246" t="s">
        <v>345</v>
      </c>
      <c r="D1030" s="244">
        <v>950</v>
      </c>
      <c r="E1030" s="245">
        <v>950</v>
      </c>
      <c r="F1030" s="244">
        <v>949.85</v>
      </c>
      <c r="G1030" s="243">
        <v>99.984210526315792</v>
      </c>
    </row>
    <row r="1031" spans="1:15" x14ac:dyDescent="0.2">
      <c r="A1031" s="236">
        <v>5212</v>
      </c>
      <c r="B1031" s="235"/>
      <c r="C1031" s="234" t="s">
        <v>271</v>
      </c>
      <c r="D1031" s="232">
        <v>950</v>
      </c>
      <c r="E1031" s="233">
        <v>950</v>
      </c>
      <c r="F1031" s="232">
        <v>949.85</v>
      </c>
      <c r="G1031" s="231">
        <v>99.984210526315792</v>
      </c>
    </row>
    <row r="1032" spans="1:15" x14ac:dyDescent="0.2">
      <c r="A1032" s="242"/>
      <c r="B1032" s="250"/>
      <c r="C1032" s="240"/>
      <c r="D1032" s="249"/>
      <c r="E1032" s="249"/>
      <c r="F1032" s="249"/>
      <c r="G1032" s="237"/>
    </row>
    <row r="1033" spans="1:15" x14ac:dyDescent="0.2">
      <c r="A1033" s="248">
        <v>5273</v>
      </c>
      <c r="B1033" s="247">
        <v>5132</v>
      </c>
      <c r="C1033" s="246" t="s">
        <v>376</v>
      </c>
      <c r="D1033" s="244">
        <v>20</v>
      </c>
      <c r="E1033" s="245">
        <v>20</v>
      </c>
      <c r="F1033" s="244">
        <v>6.468</v>
      </c>
      <c r="G1033" s="243">
        <v>32.340000000000003</v>
      </c>
    </row>
    <row r="1034" spans="1:15" x14ac:dyDescent="0.2">
      <c r="A1034" s="242">
        <v>5273</v>
      </c>
      <c r="B1034" s="241">
        <v>5137</v>
      </c>
      <c r="C1034" s="240" t="s">
        <v>345</v>
      </c>
      <c r="D1034" s="238">
        <v>10</v>
      </c>
      <c r="E1034" s="239">
        <v>0</v>
      </c>
      <c r="F1034" s="238">
        <v>0</v>
      </c>
      <c r="G1034" s="260" t="s">
        <v>279</v>
      </c>
    </row>
    <row r="1035" spans="1:15" x14ac:dyDescent="0.2">
      <c r="A1035" s="242">
        <v>5273</v>
      </c>
      <c r="B1035" s="241">
        <v>5139</v>
      </c>
      <c r="C1035" s="240" t="s">
        <v>344</v>
      </c>
      <c r="D1035" s="238">
        <v>10</v>
      </c>
      <c r="E1035" s="239">
        <v>4</v>
      </c>
      <c r="F1035" s="238">
        <v>0</v>
      </c>
      <c r="G1035" s="237">
        <v>0</v>
      </c>
    </row>
    <row r="1036" spans="1:15" x14ac:dyDescent="0.2">
      <c r="A1036" s="242">
        <v>5273</v>
      </c>
      <c r="B1036" s="241">
        <v>5167</v>
      </c>
      <c r="C1036" s="240" t="s">
        <v>365</v>
      </c>
      <c r="D1036" s="238">
        <v>25</v>
      </c>
      <c r="E1036" s="239">
        <v>0</v>
      </c>
      <c r="F1036" s="238">
        <v>0</v>
      </c>
      <c r="G1036" s="260" t="s">
        <v>279</v>
      </c>
    </row>
    <row r="1037" spans="1:15" x14ac:dyDescent="0.2">
      <c r="A1037" s="242">
        <v>5273</v>
      </c>
      <c r="B1037" s="241">
        <v>5168</v>
      </c>
      <c r="C1037" s="240" t="s">
        <v>364</v>
      </c>
      <c r="D1037" s="238">
        <v>703</v>
      </c>
      <c r="E1037" s="239">
        <v>686.74</v>
      </c>
      <c r="F1037" s="238">
        <v>686.73288000000002</v>
      </c>
      <c r="G1037" s="237">
        <v>99.998963217520469</v>
      </c>
    </row>
    <row r="1038" spans="1:15" x14ac:dyDescent="0.2">
      <c r="A1038" s="242">
        <v>5273</v>
      </c>
      <c r="B1038" s="241">
        <v>5175</v>
      </c>
      <c r="C1038" s="240" t="s">
        <v>340</v>
      </c>
      <c r="D1038" s="238">
        <v>10</v>
      </c>
      <c r="E1038" s="239">
        <v>10</v>
      </c>
      <c r="F1038" s="238">
        <v>5.9790000000000001</v>
      </c>
      <c r="G1038" s="237">
        <v>59.79</v>
      </c>
    </row>
    <row r="1039" spans="1:15" x14ac:dyDescent="0.2">
      <c r="A1039" s="242">
        <v>5273</v>
      </c>
      <c r="B1039" s="241">
        <v>5321</v>
      </c>
      <c r="C1039" s="240" t="s">
        <v>353</v>
      </c>
      <c r="D1039" s="238">
        <v>2573</v>
      </c>
      <c r="E1039" s="239">
        <v>2573</v>
      </c>
      <c r="F1039" s="238">
        <v>2573</v>
      </c>
      <c r="G1039" s="237">
        <v>100</v>
      </c>
    </row>
    <row r="1040" spans="1:15" x14ac:dyDescent="0.2">
      <c r="A1040" s="236">
        <v>5273</v>
      </c>
      <c r="B1040" s="235"/>
      <c r="C1040" s="234" t="s">
        <v>178</v>
      </c>
      <c r="D1040" s="232">
        <v>3351</v>
      </c>
      <c r="E1040" s="233">
        <v>3293.74</v>
      </c>
      <c r="F1040" s="232">
        <v>3272.1798800000001</v>
      </c>
      <c r="G1040" s="231">
        <v>99.345421314372118</v>
      </c>
    </row>
    <row r="1041" spans="1:7" x14ac:dyDescent="0.2">
      <c r="A1041" s="242"/>
      <c r="B1041" s="250"/>
      <c r="C1041" s="240"/>
      <c r="D1041" s="249"/>
      <c r="E1041" s="249"/>
      <c r="F1041" s="249"/>
      <c r="G1041" s="237"/>
    </row>
    <row r="1042" spans="1:7" x14ac:dyDescent="0.2">
      <c r="A1042" s="248">
        <v>5279</v>
      </c>
      <c r="B1042" s="247">
        <v>5137</v>
      </c>
      <c r="C1042" s="246" t="s">
        <v>345</v>
      </c>
      <c r="D1042" s="244">
        <v>0</v>
      </c>
      <c r="E1042" s="245">
        <v>576.21</v>
      </c>
      <c r="F1042" s="244">
        <v>0</v>
      </c>
      <c r="G1042" s="243">
        <v>0</v>
      </c>
    </row>
    <row r="1043" spans="1:7" x14ac:dyDescent="0.2">
      <c r="A1043" s="242">
        <v>5279</v>
      </c>
      <c r="B1043" s="241">
        <v>5139</v>
      </c>
      <c r="C1043" s="240" t="s">
        <v>344</v>
      </c>
      <c r="D1043" s="238">
        <v>10</v>
      </c>
      <c r="E1043" s="239">
        <v>10</v>
      </c>
      <c r="F1043" s="238">
        <v>0</v>
      </c>
      <c r="G1043" s="237">
        <v>0</v>
      </c>
    </row>
    <row r="1044" spans="1:7" x14ac:dyDescent="0.2">
      <c r="A1044" s="242">
        <v>5279</v>
      </c>
      <c r="B1044" s="241">
        <v>5164</v>
      </c>
      <c r="C1044" s="240" t="s">
        <v>343</v>
      </c>
      <c r="D1044" s="238">
        <v>40</v>
      </c>
      <c r="E1044" s="239">
        <v>40</v>
      </c>
      <c r="F1044" s="238">
        <v>7</v>
      </c>
      <c r="G1044" s="237">
        <v>17.5</v>
      </c>
    </row>
    <row r="1045" spans="1:7" x14ac:dyDescent="0.2">
      <c r="A1045" s="242">
        <v>5279</v>
      </c>
      <c r="B1045" s="241">
        <v>5175</v>
      </c>
      <c r="C1045" s="240" t="s">
        <v>340</v>
      </c>
      <c r="D1045" s="238">
        <v>70</v>
      </c>
      <c r="E1045" s="239">
        <v>210</v>
      </c>
      <c r="F1045" s="238">
        <v>146.92099999999999</v>
      </c>
      <c r="G1045" s="237">
        <v>69.962380952380954</v>
      </c>
    </row>
    <row r="1046" spans="1:7" x14ac:dyDescent="0.2">
      <c r="A1046" s="242">
        <v>5279</v>
      </c>
      <c r="B1046" s="241">
        <v>5221</v>
      </c>
      <c r="C1046" s="240" t="s">
        <v>399</v>
      </c>
      <c r="D1046" s="238">
        <v>300</v>
      </c>
      <c r="E1046" s="239">
        <v>300</v>
      </c>
      <c r="F1046" s="238">
        <v>300</v>
      </c>
      <c r="G1046" s="237">
        <v>100</v>
      </c>
    </row>
    <row r="1047" spans="1:7" x14ac:dyDescent="0.2">
      <c r="A1047" s="242">
        <v>5279</v>
      </c>
      <c r="B1047" s="241">
        <v>5222</v>
      </c>
      <c r="C1047" s="240" t="s">
        <v>354</v>
      </c>
      <c r="D1047" s="238">
        <v>370</v>
      </c>
      <c r="E1047" s="239">
        <v>215</v>
      </c>
      <c r="F1047" s="238">
        <v>215</v>
      </c>
      <c r="G1047" s="237">
        <v>100</v>
      </c>
    </row>
    <row r="1048" spans="1:7" x14ac:dyDescent="0.2">
      <c r="A1048" s="242">
        <v>5279</v>
      </c>
      <c r="B1048" s="241">
        <v>5321</v>
      </c>
      <c r="C1048" s="240" t="s">
        <v>353</v>
      </c>
      <c r="D1048" s="238">
        <v>1330</v>
      </c>
      <c r="E1048" s="239">
        <v>1025</v>
      </c>
      <c r="F1048" s="238">
        <v>25</v>
      </c>
      <c r="G1048" s="237">
        <v>2.4390243902439024</v>
      </c>
    </row>
    <row r="1049" spans="1:7" x14ac:dyDescent="0.2">
      <c r="A1049" s="242">
        <v>5279</v>
      </c>
      <c r="B1049" s="241">
        <v>5339</v>
      </c>
      <c r="C1049" s="240" t="s">
        <v>398</v>
      </c>
      <c r="D1049" s="238">
        <v>0</v>
      </c>
      <c r="E1049" s="239">
        <v>10</v>
      </c>
      <c r="F1049" s="238">
        <v>10</v>
      </c>
      <c r="G1049" s="237">
        <v>100</v>
      </c>
    </row>
    <row r="1050" spans="1:7" x14ac:dyDescent="0.2">
      <c r="A1050" s="236">
        <v>5279</v>
      </c>
      <c r="B1050" s="235"/>
      <c r="C1050" s="234" t="s">
        <v>270</v>
      </c>
      <c r="D1050" s="232">
        <v>2120</v>
      </c>
      <c r="E1050" s="233">
        <v>2386.21</v>
      </c>
      <c r="F1050" s="232">
        <v>703.92100000000005</v>
      </c>
      <c r="G1050" s="231">
        <v>29.499541113313583</v>
      </c>
    </row>
    <row r="1051" spans="1:7" x14ac:dyDescent="0.2">
      <c r="A1051" s="242"/>
      <c r="B1051" s="250"/>
      <c r="C1051" s="240"/>
      <c r="D1051" s="249"/>
      <c r="E1051" s="249"/>
      <c r="F1051" s="249"/>
      <c r="G1051" s="237"/>
    </row>
    <row r="1052" spans="1:7" x14ac:dyDescent="0.2">
      <c r="A1052" s="248">
        <v>5311</v>
      </c>
      <c r="B1052" s="247">
        <v>5319</v>
      </c>
      <c r="C1052" s="246" t="s">
        <v>397</v>
      </c>
      <c r="D1052" s="244">
        <v>1000</v>
      </c>
      <c r="E1052" s="245">
        <v>1250</v>
      </c>
      <c r="F1052" s="244">
        <v>1250</v>
      </c>
      <c r="G1052" s="243">
        <v>100</v>
      </c>
    </row>
    <row r="1053" spans="1:7" x14ac:dyDescent="0.2">
      <c r="A1053" s="236">
        <v>5311</v>
      </c>
      <c r="B1053" s="235"/>
      <c r="C1053" s="234" t="s">
        <v>269</v>
      </c>
      <c r="D1053" s="232">
        <v>1000</v>
      </c>
      <c r="E1053" s="233">
        <v>1250</v>
      </c>
      <c r="F1053" s="232">
        <v>1250</v>
      </c>
      <c r="G1053" s="231">
        <v>100</v>
      </c>
    </row>
    <row r="1054" spans="1:7" x14ac:dyDescent="0.2">
      <c r="A1054" s="242"/>
      <c r="B1054" s="250"/>
      <c r="C1054" s="240"/>
      <c r="D1054" s="249"/>
      <c r="E1054" s="249"/>
      <c r="F1054" s="249"/>
      <c r="G1054" s="237"/>
    </row>
    <row r="1055" spans="1:7" x14ac:dyDescent="0.2">
      <c r="A1055" s="248">
        <v>5511</v>
      </c>
      <c r="B1055" s="247">
        <v>5011</v>
      </c>
      <c r="C1055" s="246" t="s">
        <v>386</v>
      </c>
      <c r="D1055" s="244">
        <v>0</v>
      </c>
      <c r="E1055" s="245">
        <v>300</v>
      </c>
      <c r="F1055" s="244">
        <v>77.975999999999999</v>
      </c>
      <c r="G1055" s="243">
        <v>25.991999999999997</v>
      </c>
    </row>
    <row r="1056" spans="1:7" x14ac:dyDescent="0.2">
      <c r="A1056" s="242">
        <v>5511</v>
      </c>
      <c r="B1056" s="241">
        <v>5031</v>
      </c>
      <c r="C1056" s="240" t="s">
        <v>383</v>
      </c>
      <c r="D1056" s="238">
        <v>0</v>
      </c>
      <c r="E1056" s="239">
        <v>75</v>
      </c>
      <c r="F1056" s="238">
        <v>19.478000000000002</v>
      </c>
      <c r="G1056" s="237">
        <v>25.97066666666667</v>
      </c>
    </row>
    <row r="1057" spans="1:7" x14ac:dyDescent="0.2">
      <c r="A1057" s="242">
        <v>5511</v>
      </c>
      <c r="B1057" s="241">
        <v>5032</v>
      </c>
      <c r="C1057" s="240" t="s">
        <v>382</v>
      </c>
      <c r="D1057" s="238">
        <v>0</v>
      </c>
      <c r="E1057" s="239">
        <v>27</v>
      </c>
      <c r="F1057" s="238">
        <v>6.9969999999999999</v>
      </c>
      <c r="G1057" s="237">
        <v>25.914814814814811</v>
      </c>
    </row>
    <row r="1058" spans="1:7" x14ac:dyDescent="0.2">
      <c r="A1058" s="242">
        <v>5511</v>
      </c>
      <c r="B1058" s="241">
        <v>5038</v>
      </c>
      <c r="C1058" s="240" t="s">
        <v>381</v>
      </c>
      <c r="D1058" s="238">
        <v>0</v>
      </c>
      <c r="E1058" s="239">
        <v>1.26</v>
      </c>
      <c r="F1058" s="238">
        <v>0.30600000000000005</v>
      </c>
      <c r="G1058" s="237">
        <v>24.285714285714288</v>
      </c>
    </row>
    <row r="1059" spans="1:7" x14ac:dyDescent="0.2">
      <c r="A1059" s="242">
        <v>5511</v>
      </c>
      <c r="B1059" s="241">
        <v>5137</v>
      </c>
      <c r="C1059" s="240" t="s">
        <v>345</v>
      </c>
      <c r="D1059" s="238">
        <v>0</v>
      </c>
      <c r="E1059" s="239">
        <v>171.54</v>
      </c>
      <c r="F1059" s="238">
        <v>6.5339999999999998</v>
      </c>
      <c r="G1059" s="237">
        <v>3.8090241343126969</v>
      </c>
    </row>
    <row r="1060" spans="1:7" x14ac:dyDescent="0.2">
      <c r="A1060" s="242">
        <v>5511</v>
      </c>
      <c r="B1060" s="241">
        <v>5139</v>
      </c>
      <c r="C1060" s="240" t="s">
        <v>344</v>
      </c>
      <c r="D1060" s="238">
        <v>0</v>
      </c>
      <c r="E1060" s="239">
        <v>70</v>
      </c>
      <c r="F1060" s="238">
        <v>0.121</v>
      </c>
      <c r="G1060" s="237">
        <v>0.17285714285714285</v>
      </c>
    </row>
    <row r="1061" spans="1:7" x14ac:dyDescent="0.2">
      <c r="A1061" s="242">
        <v>5511</v>
      </c>
      <c r="B1061" s="241">
        <v>5169</v>
      </c>
      <c r="C1061" s="240" t="s">
        <v>341</v>
      </c>
      <c r="D1061" s="238">
        <v>0</v>
      </c>
      <c r="E1061" s="239">
        <v>160.54</v>
      </c>
      <c r="F1061" s="238">
        <v>68.97</v>
      </c>
      <c r="G1061" s="237">
        <v>42.961255761803912</v>
      </c>
    </row>
    <row r="1062" spans="1:7" x14ac:dyDescent="0.2">
      <c r="A1062" s="242">
        <v>5511</v>
      </c>
      <c r="B1062" s="241">
        <v>5319</v>
      </c>
      <c r="C1062" s="240" t="s">
        <v>397</v>
      </c>
      <c r="D1062" s="238">
        <v>3100</v>
      </c>
      <c r="E1062" s="239">
        <v>3100</v>
      </c>
      <c r="F1062" s="238">
        <v>3100</v>
      </c>
      <c r="G1062" s="237">
        <v>100</v>
      </c>
    </row>
    <row r="1063" spans="1:7" x14ac:dyDescent="0.2">
      <c r="A1063" s="236">
        <v>5511</v>
      </c>
      <c r="B1063" s="235"/>
      <c r="C1063" s="234" t="s">
        <v>122</v>
      </c>
      <c r="D1063" s="232">
        <v>3100</v>
      </c>
      <c r="E1063" s="233">
        <v>3905.34</v>
      </c>
      <c r="F1063" s="232">
        <v>3280.3820000000001</v>
      </c>
      <c r="G1063" s="231">
        <v>83.997347222008827</v>
      </c>
    </row>
    <row r="1064" spans="1:7" x14ac:dyDescent="0.2">
      <c r="A1064" s="242"/>
      <c r="B1064" s="250"/>
      <c r="C1064" s="240"/>
      <c r="D1064" s="249"/>
      <c r="E1064" s="249"/>
      <c r="F1064" s="249"/>
      <c r="G1064" s="237"/>
    </row>
    <row r="1065" spans="1:7" x14ac:dyDescent="0.2">
      <c r="A1065" s="248">
        <v>5512</v>
      </c>
      <c r="B1065" s="247">
        <v>5137</v>
      </c>
      <c r="C1065" s="246" t="s">
        <v>345</v>
      </c>
      <c r="D1065" s="244">
        <v>1000</v>
      </c>
      <c r="E1065" s="245">
        <v>1879.55</v>
      </c>
      <c r="F1065" s="244">
        <v>1878.6263000000001</v>
      </c>
      <c r="G1065" s="243">
        <v>99.950855257907492</v>
      </c>
    </row>
    <row r="1066" spans="1:7" x14ac:dyDescent="0.2">
      <c r="A1066" s="242">
        <v>5512</v>
      </c>
      <c r="B1066" s="241">
        <v>5169</v>
      </c>
      <c r="C1066" s="240" t="s">
        <v>341</v>
      </c>
      <c r="D1066" s="238">
        <v>0</v>
      </c>
      <c r="E1066" s="239">
        <v>20</v>
      </c>
      <c r="F1066" s="238">
        <v>0</v>
      </c>
      <c r="G1066" s="237">
        <v>0</v>
      </c>
    </row>
    <row r="1067" spans="1:7" x14ac:dyDescent="0.2">
      <c r="A1067" s="242">
        <v>5512</v>
      </c>
      <c r="B1067" s="241">
        <v>5222</v>
      </c>
      <c r="C1067" s="240" t="s">
        <v>354</v>
      </c>
      <c r="D1067" s="238">
        <v>1500</v>
      </c>
      <c r="E1067" s="239">
        <v>1550</v>
      </c>
      <c r="F1067" s="238">
        <v>1550</v>
      </c>
      <c r="G1067" s="237">
        <v>100</v>
      </c>
    </row>
    <row r="1068" spans="1:7" x14ac:dyDescent="0.2">
      <c r="A1068" s="242">
        <v>5512</v>
      </c>
      <c r="B1068" s="241">
        <v>5321</v>
      </c>
      <c r="C1068" s="240" t="s">
        <v>353</v>
      </c>
      <c r="D1068" s="238">
        <v>2000</v>
      </c>
      <c r="E1068" s="239">
        <v>10575.300000000008</v>
      </c>
      <c r="F1068" s="238">
        <v>10571.000000000007</v>
      </c>
      <c r="G1068" s="237">
        <v>99.959339214963165</v>
      </c>
    </row>
    <row r="1069" spans="1:7" x14ac:dyDescent="0.2">
      <c r="A1069" s="236">
        <v>5512</v>
      </c>
      <c r="B1069" s="235"/>
      <c r="C1069" s="234" t="s">
        <v>265</v>
      </c>
      <c r="D1069" s="232">
        <v>4500</v>
      </c>
      <c r="E1069" s="233">
        <v>14024.850000000009</v>
      </c>
      <c r="F1069" s="232">
        <v>13999.626300000007</v>
      </c>
      <c r="G1069" s="231">
        <v>99.820149948127764</v>
      </c>
    </row>
    <row r="1070" spans="1:7" x14ac:dyDescent="0.2">
      <c r="A1070" s="242"/>
      <c r="B1070" s="250"/>
      <c r="C1070" s="240"/>
      <c r="D1070" s="249"/>
      <c r="E1070" s="249"/>
      <c r="F1070" s="249"/>
      <c r="G1070" s="237"/>
    </row>
    <row r="1071" spans="1:7" x14ac:dyDescent="0.2">
      <c r="A1071" s="248">
        <v>5519</v>
      </c>
      <c r="B1071" s="247">
        <v>5222</v>
      </c>
      <c r="C1071" s="246" t="s">
        <v>354</v>
      </c>
      <c r="D1071" s="244">
        <v>0</v>
      </c>
      <c r="E1071" s="245">
        <v>160</v>
      </c>
      <c r="F1071" s="244">
        <v>160</v>
      </c>
      <c r="G1071" s="243">
        <v>100</v>
      </c>
    </row>
    <row r="1072" spans="1:7" x14ac:dyDescent="0.2">
      <c r="A1072" s="236">
        <v>5519</v>
      </c>
      <c r="B1072" s="235"/>
      <c r="C1072" s="234" t="s">
        <v>396</v>
      </c>
      <c r="D1072" s="232">
        <v>0</v>
      </c>
      <c r="E1072" s="233">
        <v>160</v>
      </c>
      <c r="F1072" s="232">
        <v>160</v>
      </c>
      <c r="G1072" s="231">
        <v>100</v>
      </c>
    </row>
    <row r="1073" spans="1:7" x14ac:dyDescent="0.2">
      <c r="A1073" s="242"/>
      <c r="B1073" s="250"/>
      <c r="C1073" s="240"/>
      <c r="D1073" s="249"/>
      <c r="E1073" s="249"/>
      <c r="F1073" s="249"/>
      <c r="G1073" s="237"/>
    </row>
    <row r="1074" spans="1:7" x14ac:dyDescent="0.2">
      <c r="A1074" s="248">
        <v>5521</v>
      </c>
      <c r="B1074" s="247">
        <v>5011</v>
      </c>
      <c r="C1074" s="246" t="s">
        <v>386</v>
      </c>
      <c r="D1074" s="244">
        <v>0</v>
      </c>
      <c r="E1074" s="245">
        <v>639.6</v>
      </c>
      <c r="F1074" s="244">
        <v>420.37</v>
      </c>
      <c r="G1074" s="243">
        <v>65.723889931206998</v>
      </c>
    </row>
    <row r="1075" spans="1:7" x14ac:dyDescent="0.2">
      <c r="A1075" s="242">
        <v>5521</v>
      </c>
      <c r="B1075" s="241">
        <v>5031</v>
      </c>
      <c r="C1075" s="240" t="s">
        <v>383</v>
      </c>
      <c r="D1075" s="238">
        <v>0</v>
      </c>
      <c r="E1075" s="239">
        <v>159.9</v>
      </c>
      <c r="F1075" s="238">
        <v>105.062</v>
      </c>
      <c r="G1075" s="237">
        <v>65.70481550969356</v>
      </c>
    </row>
    <row r="1076" spans="1:7" x14ac:dyDescent="0.2">
      <c r="A1076" s="242">
        <v>5521</v>
      </c>
      <c r="B1076" s="241">
        <v>5032</v>
      </c>
      <c r="C1076" s="240" t="s">
        <v>382</v>
      </c>
      <c r="D1076" s="238">
        <v>0</v>
      </c>
      <c r="E1076" s="239">
        <v>57.569999999999993</v>
      </c>
      <c r="F1076" s="238">
        <v>37.791000000000004</v>
      </c>
      <c r="G1076" s="237">
        <v>65.643564356435661</v>
      </c>
    </row>
    <row r="1077" spans="1:7" x14ac:dyDescent="0.2">
      <c r="A1077" s="242">
        <v>5521</v>
      </c>
      <c r="B1077" s="241">
        <v>5038</v>
      </c>
      <c r="C1077" s="240" t="s">
        <v>381</v>
      </c>
      <c r="D1077" s="238">
        <v>0</v>
      </c>
      <c r="E1077" s="239">
        <v>2.7</v>
      </c>
      <c r="F1077" s="238">
        <v>1.728</v>
      </c>
      <c r="G1077" s="237">
        <v>63.999999999999993</v>
      </c>
    </row>
    <row r="1078" spans="1:7" x14ac:dyDescent="0.2">
      <c r="A1078" s="242">
        <v>5521</v>
      </c>
      <c r="B1078" s="241">
        <v>5137</v>
      </c>
      <c r="C1078" s="240" t="s">
        <v>345</v>
      </c>
      <c r="D1078" s="238">
        <v>16000</v>
      </c>
      <c r="E1078" s="239">
        <v>34328.200000000004</v>
      </c>
      <c r="F1078" s="238">
        <v>11302.101570000001</v>
      </c>
      <c r="G1078" s="237">
        <v>32.923665004282192</v>
      </c>
    </row>
    <row r="1079" spans="1:7" x14ac:dyDescent="0.2">
      <c r="A1079" s="242">
        <v>5521</v>
      </c>
      <c r="B1079" s="241">
        <v>5139</v>
      </c>
      <c r="C1079" s="240" t="s">
        <v>344</v>
      </c>
      <c r="D1079" s="238">
        <v>0</v>
      </c>
      <c r="E1079" s="239">
        <v>2.8</v>
      </c>
      <c r="F1079" s="238">
        <v>0</v>
      </c>
      <c r="G1079" s="237">
        <v>0</v>
      </c>
    </row>
    <row r="1080" spans="1:7" x14ac:dyDescent="0.2">
      <c r="A1080" s="242">
        <v>5521</v>
      </c>
      <c r="B1080" s="241">
        <v>5151</v>
      </c>
      <c r="C1080" s="240" t="s">
        <v>371</v>
      </c>
      <c r="D1080" s="238">
        <v>0</v>
      </c>
      <c r="E1080" s="239">
        <v>30</v>
      </c>
      <c r="F1080" s="238">
        <v>0</v>
      </c>
      <c r="G1080" s="237">
        <v>0</v>
      </c>
    </row>
    <row r="1081" spans="1:7" x14ac:dyDescent="0.2">
      <c r="A1081" s="242">
        <v>5521</v>
      </c>
      <c r="B1081" s="241">
        <v>5152</v>
      </c>
      <c r="C1081" s="240" t="s">
        <v>370</v>
      </c>
      <c r="D1081" s="238">
        <v>0</v>
      </c>
      <c r="E1081" s="239">
        <v>340</v>
      </c>
      <c r="F1081" s="238">
        <v>0</v>
      </c>
      <c r="G1081" s="237">
        <v>0</v>
      </c>
    </row>
    <row r="1082" spans="1:7" x14ac:dyDescent="0.2">
      <c r="A1082" s="242">
        <v>5521</v>
      </c>
      <c r="B1082" s="241">
        <v>5154</v>
      </c>
      <c r="C1082" s="240" t="s">
        <v>369</v>
      </c>
      <c r="D1082" s="238">
        <v>0</v>
      </c>
      <c r="E1082" s="239">
        <v>460</v>
      </c>
      <c r="F1082" s="238">
        <v>0</v>
      </c>
      <c r="G1082" s="237">
        <v>0</v>
      </c>
    </row>
    <row r="1083" spans="1:7" x14ac:dyDescent="0.2">
      <c r="A1083" s="242">
        <v>5521</v>
      </c>
      <c r="B1083" s="241">
        <v>5166</v>
      </c>
      <c r="C1083" s="240" t="s">
        <v>342</v>
      </c>
      <c r="D1083" s="238">
        <v>0</v>
      </c>
      <c r="E1083" s="239">
        <v>72.8</v>
      </c>
      <c r="F1083" s="238">
        <v>72.599999999999994</v>
      </c>
      <c r="G1083" s="237">
        <v>99.72527472527473</v>
      </c>
    </row>
    <row r="1084" spans="1:7" x14ac:dyDescent="0.2">
      <c r="A1084" s="242">
        <v>5521</v>
      </c>
      <c r="B1084" s="241">
        <v>5167</v>
      </c>
      <c r="C1084" s="240" t="s">
        <v>365</v>
      </c>
      <c r="D1084" s="238">
        <v>0</v>
      </c>
      <c r="E1084" s="239">
        <v>3</v>
      </c>
      <c r="F1084" s="238">
        <v>2.5409999999999999</v>
      </c>
      <c r="G1084" s="237">
        <v>84.7</v>
      </c>
    </row>
    <row r="1085" spans="1:7" x14ac:dyDescent="0.2">
      <c r="A1085" s="242">
        <v>5521</v>
      </c>
      <c r="B1085" s="241">
        <v>5169</v>
      </c>
      <c r="C1085" s="240" t="s">
        <v>341</v>
      </c>
      <c r="D1085" s="238">
        <v>800</v>
      </c>
      <c r="E1085" s="239">
        <v>727.2</v>
      </c>
      <c r="F1085" s="238">
        <v>0</v>
      </c>
      <c r="G1085" s="237">
        <v>0</v>
      </c>
    </row>
    <row r="1086" spans="1:7" x14ac:dyDescent="0.2">
      <c r="A1086" s="236">
        <v>5521</v>
      </c>
      <c r="B1086" s="235"/>
      <c r="C1086" s="234" t="s">
        <v>177</v>
      </c>
      <c r="D1086" s="232">
        <v>16800</v>
      </c>
      <c r="E1086" s="233">
        <v>36823.770000000004</v>
      </c>
      <c r="F1086" s="232">
        <v>11942.193569999999</v>
      </c>
      <c r="G1086" s="231">
        <v>32.430665219775157</v>
      </c>
    </row>
    <row r="1087" spans="1:7" x14ac:dyDescent="0.2">
      <c r="A1087" s="242"/>
      <c r="B1087" s="250"/>
      <c r="C1087" s="240"/>
      <c r="D1087" s="249"/>
      <c r="E1087" s="249"/>
      <c r="F1087" s="249"/>
      <c r="G1087" s="237"/>
    </row>
    <row r="1088" spans="1:7" x14ac:dyDescent="0.2">
      <c r="A1088" s="248">
        <v>5591</v>
      </c>
      <c r="B1088" s="247">
        <v>5164</v>
      </c>
      <c r="C1088" s="246" t="s">
        <v>343</v>
      </c>
      <c r="D1088" s="244">
        <v>20</v>
      </c>
      <c r="E1088" s="245">
        <v>0</v>
      </c>
      <c r="F1088" s="244">
        <v>0</v>
      </c>
      <c r="G1088" s="261" t="s">
        <v>279</v>
      </c>
    </row>
    <row r="1089" spans="1:15" x14ac:dyDescent="0.2">
      <c r="A1089" s="242">
        <v>5591</v>
      </c>
      <c r="B1089" s="241">
        <v>5175</v>
      </c>
      <c r="C1089" s="240" t="s">
        <v>340</v>
      </c>
      <c r="D1089" s="238">
        <v>80</v>
      </c>
      <c r="E1089" s="239">
        <v>0</v>
      </c>
      <c r="F1089" s="238">
        <v>0</v>
      </c>
      <c r="G1089" s="260" t="s">
        <v>279</v>
      </c>
    </row>
    <row r="1090" spans="1:15" x14ac:dyDescent="0.2">
      <c r="A1090" s="236">
        <v>5591</v>
      </c>
      <c r="B1090" s="235"/>
      <c r="C1090" s="234" t="s">
        <v>395</v>
      </c>
      <c r="D1090" s="232">
        <v>100</v>
      </c>
      <c r="E1090" s="233">
        <v>0</v>
      </c>
      <c r="F1090" s="232">
        <v>0</v>
      </c>
      <c r="G1090" s="258" t="s">
        <v>279</v>
      </c>
    </row>
    <row r="1091" spans="1:15" x14ac:dyDescent="0.2">
      <c r="A1091" s="242"/>
      <c r="B1091" s="250"/>
      <c r="C1091" s="240"/>
      <c r="D1091" s="249"/>
      <c r="E1091" s="249"/>
      <c r="F1091" s="249"/>
      <c r="G1091" s="237"/>
    </row>
    <row r="1092" spans="1:15" x14ac:dyDescent="0.2">
      <c r="A1092" s="248">
        <v>5599</v>
      </c>
      <c r="B1092" s="247">
        <v>5137</v>
      </c>
      <c r="C1092" s="246" t="s">
        <v>345</v>
      </c>
      <c r="D1092" s="244">
        <v>0</v>
      </c>
      <c r="E1092" s="245">
        <v>8.4400000000000013</v>
      </c>
      <c r="F1092" s="244">
        <v>7.3810000000000002</v>
      </c>
      <c r="G1092" s="243">
        <v>87.452606635071078</v>
      </c>
    </row>
    <row r="1093" spans="1:15" x14ac:dyDescent="0.2">
      <c r="A1093" s="242">
        <v>5599</v>
      </c>
      <c r="B1093" s="241">
        <v>5139</v>
      </c>
      <c r="C1093" s="240" t="s">
        <v>344</v>
      </c>
      <c r="D1093" s="238">
        <v>90</v>
      </c>
      <c r="E1093" s="239">
        <v>82.71</v>
      </c>
      <c r="F1093" s="238">
        <v>21.593</v>
      </c>
      <c r="G1093" s="237">
        <v>26.106879458348448</v>
      </c>
    </row>
    <row r="1094" spans="1:15" x14ac:dyDescent="0.2">
      <c r="A1094" s="242">
        <v>5599</v>
      </c>
      <c r="B1094" s="241">
        <v>5164</v>
      </c>
      <c r="C1094" s="240" t="s">
        <v>343</v>
      </c>
      <c r="D1094" s="238">
        <v>80</v>
      </c>
      <c r="E1094" s="239">
        <v>80</v>
      </c>
      <c r="F1094" s="238">
        <v>15.972</v>
      </c>
      <c r="G1094" s="237">
        <v>19.965</v>
      </c>
    </row>
    <row r="1095" spans="1:15" x14ac:dyDescent="0.2">
      <c r="A1095" s="242">
        <v>5599</v>
      </c>
      <c r="B1095" s="241">
        <v>5167</v>
      </c>
      <c r="C1095" s="240" t="s">
        <v>365</v>
      </c>
      <c r="D1095" s="238">
        <v>0</v>
      </c>
      <c r="E1095" s="239">
        <v>51</v>
      </c>
      <c r="F1095" s="238">
        <v>25.095400000000001</v>
      </c>
      <c r="G1095" s="237">
        <v>49.206666666666671</v>
      </c>
    </row>
    <row r="1096" spans="1:15" x14ac:dyDescent="0.2">
      <c r="A1096" s="242">
        <v>5599</v>
      </c>
      <c r="B1096" s="241">
        <v>5169</v>
      </c>
      <c r="C1096" s="240" t="s">
        <v>341</v>
      </c>
      <c r="D1096" s="238">
        <v>80</v>
      </c>
      <c r="E1096" s="239">
        <v>80</v>
      </c>
      <c r="F1096" s="238">
        <v>23.478999999999999</v>
      </c>
      <c r="G1096" s="237">
        <v>29.348750000000003</v>
      </c>
    </row>
    <row r="1097" spans="1:15" x14ac:dyDescent="0.2">
      <c r="A1097" s="242">
        <v>5599</v>
      </c>
      <c r="B1097" s="241">
        <v>5175</v>
      </c>
      <c r="C1097" s="240" t="s">
        <v>340</v>
      </c>
      <c r="D1097" s="238">
        <v>200</v>
      </c>
      <c r="E1097" s="239">
        <v>170</v>
      </c>
      <c r="F1097" s="238">
        <v>127.01853999999999</v>
      </c>
      <c r="G1097" s="237">
        <v>74.716788235294104</v>
      </c>
    </row>
    <row r="1098" spans="1:15" x14ac:dyDescent="0.2">
      <c r="A1098" s="236">
        <v>5599</v>
      </c>
      <c r="B1098" s="235"/>
      <c r="C1098" s="234" t="s">
        <v>119</v>
      </c>
      <c r="D1098" s="232">
        <v>450</v>
      </c>
      <c r="E1098" s="233">
        <v>472.15</v>
      </c>
      <c r="F1098" s="232">
        <v>220.53893999999997</v>
      </c>
      <c r="G1098" s="231">
        <v>46.709507571746265</v>
      </c>
    </row>
    <row r="1099" spans="1:15" x14ac:dyDescent="0.2">
      <c r="A1099" s="242"/>
      <c r="B1099" s="250"/>
      <c r="C1099" s="240"/>
      <c r="D1099" s="249"/>
      <c r="E1099" s="249"/>
      <c r="F1099" s="249"/>
      <c r="G1099" s="237"/>
    </row>
    <row r="1100" spans="1:15" customFormat="1" x14ac:dyDescent="0.2">
      <c r="A1100" s="1317" t="s">
        <v>263</v>
      </c>
      <c r="B1100" s="1318"/>
      <c r="C1100" s="1318"/>
      <c r="D1100" s="257">
        <v>32371</v>
      </c>
      <c r="E1100" s="257">
        <v>63266.06</v>
      </c>
      <c r="F1100" s="257">
        <v>35778.69169</v>
      </c>
      <c r="G1100" s="256">
        <v>56.55</v>
      </c>
      <c r="I1100" s="100"/>
      <c r="J1100" s="100"/>
      <c r="K1100" s="100"/>
      <c r="L1100" s="100"/>
      <c r="M1100" s="100"/>
      <c r="N1100" s="100"/>
      <c r="O1100" s="100"/>
    </row>
    <row r="1101" spans="1:15" customFormat="1" x14ac:dyDescent="0.2">
      <c r="A1101" s="255"/>
      <c r="B1101" s="254"/>
      <c r="C1101" s="253"/>
      <c r="D1101" s="252"/>
      <c r="E1101" s="252"/>
      <c r="F1101" s="252"/>
      <c r="G1101" s="251"/>
      <c r="I1101" s="100"/>
      <c r="J1101" s="100"/>
      <c r="K1101" s="100"/>
      <c r="L1101" s="100"/>
      <c r="M1101" s="100"/>
      <c r="N1101" s="100"/>
      <c r="O1101" s="100"/>
    </row>
    <row r="1102" spans="1:15" x14ac:dyDescent="0.2">
      <c r="A1102" s="248">
        <v>6113</v>
      </c>
      <c r="B1102" s="247">
        <v>5019</v>
      </c>
      <c r="C1102" s="246" t="s">
        <v>394</v>
      </c>
      <c r="D1102" s="244">
        <v>630</v>
      </c>
      <c r="E1102" s="245">
        <v>630</v>
      </c>
      <c r="F1102" s="244">
        <v>424.92382000000003</v>
      </c>
      <c r="G1102" s="243">
        <v>67.448225396825407</v>
      </c>
    </row>
    <row r="1103" spans="1:15" x14ac:dyDescent="0.2">
      <c r="A1103" s="242">
        <v>6113</v>
      </c>
      <c r="B1103" s="241">
        <v>5021</v>
      </c>
      <c r="C1103" s="240" t="s">
        <v>385</v>
      </c>
      <c r="D1103" s="238">
        <v>1250</v>
      </c>
      <c r="E1103" s="239">
        <v>950</v>
      </c>
      <c r="F1103" s="238">
        <v>765</v>
      </c>
      <c r="G1103" s="237">
        <v>80.526315789473685</v>
      </c>
    </row>
    <row r="1104" spans="1:15" x14ac:dyDescent="0.2">
      <c r="A1104" s="242">
        <v>6113</v>
      </c>
      <c r="B1104" s="241">
        <v>5023</v>
      </c>
      <c r="C1104" s="240" t="s">
        <v>393</v>
      </c>
      <c r="D1104" s="238">
        <v>21675</v>
      </c>
      <c r="E1104" s="239">
        <v>21872</v>
      </c>
      <c r="F1104" s="238">
        <v>21819.21</v>
      </c>
      <c r="G1104" s="237">
        <v>99.758641185076797</v>
      </c>
    </row>
    <row r="1105" spans="1:7" x14ac:dyDescent="0.2">
      <c r="A1105" s="242">
        <v>6113</v>
      </c>
      <c r="B1105" s="241">
        <v>5029</v>
      </c>
      <c r="C1105" s="240" t="s">
        <v>392</v>
      </c>
      <c r="D1105" s="238">
        <v>576</v>
      </c>
      <c r="E1105" s="239">
        <v>526</v>
      </c>
      <c r="F1105" s="238">
        <v>457.31799999999998</v>
      </c>
      <c r="G1105" s="237">
        <v>86.942585551330794</v>
      </c>
    </row>
    <row r="1106" spans="1:7" x14ac:dyDescent="0.2">
      <c r="A1106" s="242">
        <v>6113</v>
      </c>
      <c r="B1106" s="241">
        <v>5031</v>
      </c>
      <c r="C1106" s="240" t="s">
        <v>383</v>
      </c>
      <c r="D1106" s="238">
        <v>1956</v>
      </c>
      <c r="E1106" s="239">
        <v>1999</v>
      </c>
      <c r="F1106" s="238">
        <v>1989.325</v>
      </c>
      <c r="G1106" s="237">
        <v>99.516008004002003</v>
      </c>
    </row>
    <row r="1107" spans="1:7" x14ac:dyDescent="0.2">
      <c r="A1107" s="242">
        <v>6113</v>
      </c>
      <c r="B1107" s="241">
        <v>5032</v>
      </c>
      <c r="C1107" s="240" t="s">
        <v>382</v>
      </c>
      <c r="D1107" s="238">
        <v>2163</v>
      </c>
      <c r="E1107" s="239">
        <v>2153</v>
      </c>
      <c r="F1107" s="238">
        <v>2120.3029999999999</v>
      </c>
      <c r="G1107" s="237">
        <v>98.48132837900603</v>
      </c>
    </row>
    <row r="1108" spans="1:7" x14ac:dyDescent="0.2">
      <c r="A1108" s="242">
        <v>6113</v>
      </c>
      <c r="B1108" s="241">
        <v>5038</v>
      </c>
      <c r="C1108" s="240" t="s">
        <v>381</v>
      </c>
      <c r="D1108" s="238">
        <v>30</v>
      </c>
      <c r="E1108" s="239">
        <v>0</v>
      </c>
      <c r="F1108" s="238">
        <v>0</v>
      </c>
      <c r="G1108" s="260" t="s">
        <v>279</v>
      </c>
    </row>
    <row r="1109" spans="1:7" x14ac:dyDescent="0.2">
      <c r="A1109" s="242">
        <v>6113</v>
      </c>
      <c r="B1109" s="241">
        <v>5039</v>
      </c>
      <c r="C1109" s="240" t="s">
        <v>391</v>
      </c>
      <c r="D1109" s="238">
        <v>215</v>
      </c>
      <c r="E1109" s="239">
        <v>215</v>
      </c>
      <c r="F1109" s="238">
        <v>144.50514000000001</v>
      </c>
      <c r="G1109" s="237">
        <v>67.211693023255819</v>
      </c>
    </row>
    <row r="1110" spans="1:7" x14ac:dyDescent="0.2">
      <c r="A1110" s="242">
        <v>6113</v>
      </c>
      <c r="B1110" s="241">
        <v>5041</v>
      </c>
      <c r="C1110" s="240" t="s">
        <v>380</v>
      </c>
      <c r="D1110" s="238">
        <v>0</v>
      </c>
      <c r="E1110" s="239">
        <v>96.8</v>
      </c>
      <c r="F1110" s="238">
        <v>96.8</v>
      </c>
      <c r="G1110" s="237">
        <v>100</v>
      </c>
    </row>
    <row r="1111" spans="1:7" x14ac:dyDescent="0.2">
      <c r="A1111" s="242">
        <v>6113</v>
      </c>
      <c r="B1111" s="241">
        <v>5136</v>
      </c>
      <c r="C1111" s="240" t="s">
        <v>373</v>
      </c>
      <c r="D1111" s="238">
        <v>200</v>
      </c>
      <c r="E1111" s="239">
        <v>201.5</v>
      </c>
      <c r="F1111" s="238">
        <v>141.93600000000001</v>
      </c>
      <c r="G1111" s="237">
        <v>70.439702233250628</v>
      </c>
    </row>
    <row r="1112" spans="1:7" x14ac:dyDescent="0.2">
      <c r="A1112" s="242">
        <v>6113</v>
      </c>
      <c r="B1112" s="241">
        <v>5137</v>
      </c>
      <c r="C1112" s="240" t="s">
        <v>345</v>
      </c>
      <c r="D1112" s="238">
        <v>295</v>
      </c>
      <c r="E1112" s="239">
        <v>295</v>
      </c>
      <c r="F1112" s="238">
        <v>97.499179999999996</v>
      </c>
      <c r="G1112" s="237">
        <v>33.050569491525422</v>
      </c>
    </row>
    <row r="1113" spans="1:7" x14ac:dyDescent="0.2">
      <c r="A1113" s="242">
        <v>6113</v>
      </c>
      <c r="B1113" s="241">
        <v>5139</v>
      </c>
      <c r="C1113" s="240" t="s">
        <v>344</v>
      </c>
      <c r="D1113" s="238">
        <v>695</v>
      </c>
      <c r="E1113" s="239">
        <v>462.5</v>
      </c>
      <c r="F1113" s="238">
        <v>343.40561000000002</v>
      </c>
      <c r="G1113" s="237">
        <v>74.249861621621633</v>
      </c>
    </row>
    <row r="1114" spans="1:7" x14ac:dyDescent="0.2">
      <c r="A1114" s="242">
        <v>6113</v>
      </c>
      <c r="B1114" s="241">
        <v>5142</v>
      </c>
      <c r="C1114" s="240" t="s">
        <v>372</v>
      </c>
      <c r="D1114" s="238">
        <v>50</v>
      </c>
      <c r="E1114" s="239">
        <v>20</v>
      </c>
      <c r="F1114" s="238">
        <v>6.1749999999999999E-2</v>
      </c>
      <c r="G1114" s="237">
        <v>0.30874999999999997</v>
      </c>
    </row>
    <row r="1115" spans="1:7" x14ac:dyDescent="0.2">
      <c r="A1115" s="242">
        <v>6113</v>
      </c>
      <c r="B1115" s="241">
        <v>5156</v>
      </c>
      <c r="C1115" s="240" t="s">
        <v>368</v>
      </c>
      <c r="D1115" s="238">
        <v>950</v>
      </c>
      <c r="E1115" s="239">
        <v>950</v>
      </c>
      <c r="F1115" s="238">
        <v>586.97974999999997</v>
      </c>
      <c r="G1115" s="237">
        <v>61.787342105263157</v>
      </c>
    </row>
    <row r="1116" spans="1:7" x14ac:dyDescent="0.2">
      <c r="A1116" s="242">
        <v>6113</v>
      </c>
      <c r="B1116" s="241">
        <v>5162</v>
      </c>
      <c r="C1116" s="240" t="s">
        <v>366</v>
      </c>
      <c r="D1116" s="238">
        <v>320</v>
      </c>
      <c r="E1116" s="239">
        <v>320</v>
      </c>
      <c r="F1116" s="238">
        <v>153.38226</v>
      </c>
      <c r="G1116" s="237">
        <v>47.931956249999999</v>
      </c>
    </row>
    <row r="1117" spans="1:7" x14ac:dyDescent="0.2">
      <c r="A1117" s="242">
        <v>6113</v>
      </c>
      <c r="B1117" s="241">
        <v>5163</v>
      </c>
      <c r="C1117" s="240" t="s">
        <v>336</v>
      </c>
      <c r="D1117" s="238">
        <v>10</v>
      </c>
      <c r="E1117" s="239">
        <v>10</v>
      </c>
      <c r="F1117" s="238">
        <v>7.3949999999999996</v>
      </c>
      <c r="G1117" s="237">
        <v>73.949999999999989</v>
      </c>
    </row>
    <row r="1118" spans="1:7" x14ac:dyDescent="0.2">
      <c r="A1118" s="242">
        <v>6113</v>
      </c>
      <c r="B1118" s="241">
        <v>5164</v>
      </c>
      <c r="C1118" s="240" t="s">
        <v>343</v>
      </c>
      <c r="D1118" s="238">
        <v>170</v>
      </c>
      <c r="E1118" s="239">
        <v>170</v>
      </c>
      <c r="F1118" s="238">
        <v>66.84</v>
      </c>
      <c r="G1118" s="237">
        <v>39.317647058823532</v>
      </c>
    </row>
    <row r="1119" spans="1:7" x14ac:dyDescent="0.2">
      <c r="A1119" s="242">
        <v>6113</v>
      </c>
      <c r="B1119" s="241">
        <v>5166</v>
      </c>
      <c r="C1119" s="240" t="s">
        <v>342</v>
      </c>
      <c r="D1119" s="238">
        <v>429</v>
      </c>
      <c r="E1119" s="239">
        <v>0</v>
      </c>
      <c r="F1119" s="238">
        <v>0</v>
      </c>
      <c r="G1119" s="260" t="s">
        <v>279</v>
      </c>
    </row>
    <row r="1120" spans="1:7" x14ac:dyDescent="0.2">
      <c r="A1120" s="242">
        <v>6113</v>
      </c>
      <c r="B1120" s="241">
        <v>5167</v>
      </c>
      <c r="C1120" s="240" t="s">
        <v>365</v>
      </c>
      <c r="D1120" s="238">
        <v>158</v>
      </c>
      <c r="E1120" s="239">
        <v>158</v>
      </c>
      <c r="F1120" s="238">
        <v>35.183</v>
      </c>
      <c r="G1120" s="237">
        <v>22.26772151898734</v>
      </c>
    </row>
    <row r="1121" spans="1:7" x14ac:dyDescent="0.2">
      <c r="A1121" s="242">
        <v>6113</v>
      </c>
      <c r="B1121" s="241">
        <v>5168</v>
      </c>
      <c r="C1121" s="240" t="s">
        <v>364</v>
      </c>
      <c r="D1121" s="238">
        <v>221</v>
      </c>
      <c r="E1121" s="239">
        <v>160</v>
      </c>
      <c r="F1121" s="238">
        <v>156.25</v>
      </c>
      <c r="G1121" s="237">
        <v>97.65625</v>
      </c>
    </row>
    <row r="1122" spans="1:7" x14ac:dyDescent="0.2">
      <c r="A1122" s="242">
        <v>6113</v>
      </c>
      <c r="B1122" s="241">
        <v>5169</v>
      </c>
      <c r="C1122" s="240" t="s">
        <v>341</v>
      </c>
      <c r="D1122" s="238">
        <v>492</v>
      </c>
      <c r="E1122" s="239">
        <v>731.7</v>
      </c>
      <c r="F1122" s="238">
        <v>521.21173999999996</v>
      </c>
      <c r="G1122" s="237">
        <v>71.232983463167955</v>
      </c>
    </row>
    <row r="1123" spans="1:7" x14ac:dyDescent="0.2">
      <c r="A1123" s="242">
        <v>6113</v>
      </c>
      <c r="B1123" s="241">
        <v>5171</v>
      </c>
      <c r="C1123" s="240" t="s">
        <v>363</v>
      </c>
      <c r="D1123" s="238">
        <v>620</v>
      </c>
      <c r="E1123" s="239">
        <v>620</v>
      </c>
      <c r="F1123" s="238">
        <v>533.41801000000009</v>
      </c>
      <c r="G1123" s="237">
        <v>86.035162903225824</v>
      </c>
    </row>
    <row r="1124" spans="1:7" x14ac:dyDescent="0.2">
      <c r="A1124" s="242">
        <v>6113</v>
      </c>
      <c r="B1124" s="241">
        <v>5173</v>
      </c>
      <c r="C1124" s="240" t="s">
        <v>361</v>
      </c>
      <c r="D1124" s="238">
        <v>1150</v>
      </c>
      <c r="E1124" s="239">
        <v>1750</v>
      </c>
      <c r="F1124" s="238">
        <v>1277.1334999999999</v>
      </c>
      <c r="G1124" s="237">
        <v>72.979057142857144</v>
      </c>
    </row>
    <row r="1125" spans="1:7" x14ac:dyDescent="0.2">
      <c r="A1125" s="242">
        <v>6113</v>
      </c>
      <c r="B1125" s="241">
        <v>5175</v>
      </c>
      <c r="C1125" s="240" t="s">
        <v>340</v>
      </c>
      <c r="D1125" s="238">
        <v>1670</v>
      </c>
      <c r="E1125" s="239">
        <v>2171.7399999999998</v>
      </c>
      <c r="F1125" s="238">
        <v>1931.3692000000001</v>
      </c>
      <c r="G1125" s="237">
        <v>88.931879506754967</v>
      </c>
    </row>
    <row r="1126" spans="1:7" x14ac:dyDescent="0.2">
      <c r="A1126" s="242">
        <v>6113</v>
      </c>
      <c r="B1126" s="241">
        <v>5176</v>
      </c>
      <c r="C1126" s="240" t="s">
        <v>360</v>
      </c>
      <c r="D1126" s="238">
        <v>80</v>
      </c>
      <c r="E1126" s="239">
        <v>122.6</v>
      </c>
      <c r="F1126" s="238">
        <v>74.599999999999994</v>
      </c>
      <c r="G1126" s="237">
        <v>60.848287112561174</v>
      </c>
    </row>
    <row r="1127" spans="1:7" x14ac:dyDescent="0.2">
      <c r="A1127" s="242">
        <v>6113</v>
      </c>
      <c r="B1127" s="241">
        <v>5179</v>
      </c>
      <c r="C1127" s="240" t="s">
        <v>359</v>
      </c>
      <c r="D1127" s="238">
        <v>215</v>
      </c>
      <c r="E1127" s="239">
        <v>225</v>
      </c>
      <c r="F1127" s="238">
        <v>38.251239999999996</v>
      </c>
      <c r="G1127" s="237">
        <v>17.000551111111108</v>
      </c>
    </row>
    <row r="1128" spans="1:7" x14ac:dyDescent="0.2">
      <c r="A1128" s="242">
        <v>6113</v>
      </c>
      <c r="B1128" s="241">
        <v>5194</v>
      </c>
      <c r="C1128" s="240" t="s">
        <v>355</v>
      </c>
      <c r="D1128" s="238">
        <v>130</v>
      </c>
      <c r="E1128" s="239">
        <v>85.04</v>
      </c>
      <c r="F1128" s="238">
        <v>82.603000000000009</v>
      </c>
      <c r="G1128" s="237">
        <v>97.134289746001883</v>
      </c>
    </row>
    <row r="1129" spans="1:7" x14ac:dyDescent="0.2">
      <c r="A1129" s="242">
        <v>6113</v>
      </c>
      <c r="B1129" s="241">
        <v>5229</v>
      </c>
      <c r="C1129" s="240" t="s">
        <v>390</v>
      </c>
      <c r="D1129" s="238">
        <v>700</v>
      </c>
      <c r="E1129" s="239">
        <v>800</v>
      </c>
      <c r="F1129" s="238">
        <v>800</v>
      </c>
      <c r="G1129" s="237">
        <v>100</v>
      </c>
    </row>
    <row r="1130" spans="1:7" x14ac:dyDescent="0.2">
      <c r="A1130" s="242">
        <v>6113</v>
      </c>
      <c r="B1130" s="241">
        <v>5240</v>
      </c>
      <c r="C1130" s="240" t="s">
        <v>389</v>
      </c>
      <c r="D1130" s="238">
        <v>0</v>
      </c>
      <c r="E1130" s="239">
        <v>20</v>
      </c>
      <c r="F1130" s="238">
        <v>19.678000000000001</v>
      </c>
      <c r="G1130" s="237">
        <v>98.39</v>
      </c>
    </row>
    <row r="1131" spans="1:7" x14ac:dyDescent="0.2">
      <c r="A1131" s="242">
        <v>6113</v>
      </c>
      <c r="B1131" s="241">
        <v>5362</v>
      </c>
      <c r="C1131" s="240" t="s">
        <v>335</v>
      </c>
      <c r="D1131" s="238">
        <v>22</v>
      </c>
      <c r="E1131" s="239">
        <v>22</v>
      </c>
      <c r="F1131" s="238">
        <v>15</v>
      </c>
      <c r="G1131" s="237">
        <v>68.181818181818173</v>
      </c>
    </row>
    <row r="1132" spans="1:7" x14ac:dyDescent="0.2">
      <c r="A1132" s="242">
        <v>6113</v>
      </c>
      <c r="B1132" s="241">
        <v>5424</v>
      </c>
      <c r="C1132" s="240" t="s">
        <v>350</v>
      </c>
      <c r="D1132" s="238">
        <v>16</v>
      </c>
      <c r="E1132" s="239">
        <v>16</v>
      </c>
      <c r="F1132" s="238">
        <v>0</v>
      </c>
      <c r="G1132" s="237">
        <v>0</v>
      </c>
    </row>
    <row r="1133" spans="1:7" x14ac:dyDescent="0.2">
      <c r="A1133" s="242">
        <v>6113</v>
      </c>
      <c r="B1133" s="241">
        <v>5492</v>
      </c>
      <c r="C1133" s="240" t="s">
        <v>388</v>
      </c>
      <c r="D1133" s="238">
        <v>0</v>
      </c>
      <c r="E1133" s="239">
        <v>4.96</v>
      </c>
      <c r="F1133" s="238">
        <v>4.96</v>
      </c>
      <c r="G1133" s="237">
        <v>100</v>
      </c>
    </row>
    <row r="1134" spans="1:7" x14ac:dyDescent="0.2">
      <c r="A1134" s="242">
        <v>6113</v>
      </c>
      <c r="B1134" s="241">
        <v>5499</v>
      </c>
      <c r="C1134" s="240" t="s">
        <v>349</v>
      </c>
      <c r="D1134" s="238">
        <v>121</v>
      </c>
      <c r="E1134" s="239">
        <v>121</v>
      </c>
      <c r="F1134" s="238">
        <v>84.731999999999999</v>
      </c>
      <c r="G1134" s="237">
        <v>70.026446280991735</v>
      </c>
    </row>
    <row r="1135" spans="1:7" x14ac:dyDescent="0.2">
      <c r="A1135" s="242">
        <v>6113</v>
      </c>
      <c r="B1135" s="241">
        <v>5901</v>
      </c>
      <c r="C1135" s="240" t="s">
        <v>330</v>
      </c>
      <c r="D1135" s="238">
        <v>15000</v>
      </c>
      <c r="E1135" s="239">
        <v>8239.09</v>
      </c>
      <c r="F1135" s="238">
        <v>0</v>
      </c>
      <c r="G1135" s="237">
        <v>0</v>
      </c>
    </row>
    <row r="1136" spans="1:7" x14ac:dyDescent="0.2">
      <c r="A1136" s="236">
        <v>6113</v>
      </c>
      <c r="B1136" s="235"/>
      <c r="C1136" s="234" t="s">
        <v>174</v>
      </c>
      <c r="D1136" s="232">
        <v>52209</v>
      </c>
      <c r="E1136" s="233">
        <v>46117.929999999993</v>
      </c>
      <c r="F1136" s="232">
        <v>34789.2742</v>
      </c>
      <c r="G1136" s="231">
        <v>75.435463387016739</v>
      </c>
    </row>
    <row r="1137" spans="1:7" x14ac:dyDescent="0.2">
      <c r="A1137" s="242"/>
      <c r="B1137" s="250"/>
      <c r="C1137" s="240"/>
      <c r="D1137" s="249"/>
      <c r="E1137" s="249"/>
      <c r="F1137" s="249"/>
      <c r="G1137" s="237"/>
    </row>
    <row r="1138" spans="1:7" x14ac:dyDescent="0.2">
      <c r="A1138" s="248">
        <v>6115</v>
      </c>
      <c r="B1138" s="247">
        <v>5011</v>
      </c>
      <c r="C1138" s="246" t="s">
        <v>386</v>
      </c>
      <c r="D1138" s="244">
        <v>0</v>
      </c>
      <c r="E1138" s="245">
        <v>9.6999999999999993</v>
      </c>
      <c r="F1138" s="244">
        <v>5.4950000000000001</v>
      </c>
      <c r="G1138" s="243">
        <v>56.649484536082483</v>
      </c>
    </row>
    <row r="1139" spans="1:7" x14ac:dyDescent="0.2">
      <c r="A1139" s="242">
        <v>6115</v>
      </c>
      <c r="B1139" s="241">
        <v>5031</v>
      </c>
      <c r="C1139" s="240" t="s">
        <v>383</v>
      </c>
      <c r="D1139" s="238">
        <v>0</v>
      </c>
      <c r="E1139" s="239">
        <v>2.4</v>
      </c>
      <c r="F1139" s="238">
        <v>1.3740000000000001</v>
      </c>
      <c r="G1139" s="237">
        <v>57.250000000000014</v>
      </c>
    </row>
    <row r="1140" spans="1:7" x14ac:dyDescent="0.2">
      <c r="A1140" s="242">
        <v>6115</v>
      </c>
      <c r="B1140" s="241">
        <v>5032</v>
      </c>
      <c r="C1140" s="240" t="s">
        <v>382</v>
      </c>
      <c r="D1140" s="238">
        <v>0</v>
      </c>
      <c r="E1140" s="239">
        <v>0.9</v>
      </c>
      <c r="F1140" s="238">
        <v>0.495</v>
      </c>
      <c r="G1140" s="237">
        <v>54.999999999999993</v>
      </c>
    </row>
    <row r="1141" spans="1:7" x14ac:dyDescent="0.2">
      <c r="A1141" s="242">
        <v>6115</v>
      </c>
      <c r="B1141" s="241">
        <v>5156</v>
      </c>
      <c r="C1141" s="240" t="s">
        <v>368</v>
      </c>
      <c r="D1141" s="238">
        <v>0</v>
      </c>
      <c r="E1141" s="239">
        <v>1</v>
      </c>
      <c r="F1141" s="238">
        <v>0.1925</v>
      </c>
      <c r="G1141" s="237">
        <v>19.25</v>
      </c>
    </row>
    <row r="1142" spans="1:7" x14ac:dyDescent="0.2">
      <c r="A1142" s="242">
        <v>6115</v>
      </c>
      <c r="B1142" s="241">
        <v>5173</v>
      </c>
      <c r="C1142" s="240" t="s">
        <v>361</v>
      </c>
      <c r="D1142" s="238">
        <v>0</v>
      </c>
      <c r="E1142" s="239">
        <v>0.5</v>
      </c>
      <c r="F1142" s="238">
        <v>0</v>
      </c>
      <c r="G1142" s="237">
        <v>0</v>
      </c>
    </row>
    <row r="1143" spans="1:7" x14ac:dyDescent="0.2">
      <c r="A1143" s="242">
        <v>6115</v>
      </c>
      <c r="B1143" s="241">
        <v>5175</v>
      </c>
      <c r="C1143" s="240" t="s">
        <v>340</v>
      </c>
      <c r="D1143" s="238">
        <v>0</v>
      </c>
      <c r="E1143" s="239">
        <v>0.5</v>
      </c>
      <c r="F1143" s="238">
        <v>0</v>
      </c>
      <c r="G1143" s="237">
        <v>0</v>
      </c>
    </row>
    <row r="1144" spans="1:7" x14ac:dyDescent="0.2">
      <c r="A1144" s="236">
        <v>6115</v>
      </c>
      <c r="B1144" s="235"/>
      <c r="C1144" s="234" t="s">
        <v>387</v>
      </c>
      <c r="D1144" s="232">
        <v>0</v>
      </c>
      <c r="E1144" s="233">
        <v>15</v>
      </c>
      <c r="F1144" s="232">
        <v>7.5564999999999998</v>
      </c>
      <c r="G1144" s="231">
        <v>50.376666666666672</v>
      </c>
    </row>
    <row r="1145" spans="1:7" x14ac:dyDescent="0.2">
      <c r="A1145" s="242"/>
      <c r="B1145" s="250"/>
      <c r="C1145" s="240"/>
      <c r="D1145" s="249"/>
      <c r="E1145" s="249"/>
      <c r="F1145" s="249"/>
      <c r="G1145" s="237"/>
    </row>
    <row r="1146" spans="1:7" x14ac:dyDescent="0.2">
      <c r="A1146" s="248">
        <v>6172</v>
      </c>
      <c r="B1146" s="247">
        <v>5011</v>
      </c>
      <c r="C1146" s="246" t="s">
        <v>386</v>
      </c>
      <c r="D1146" s="244">
        <v>241905</v>
      </c>
      <c r="E1146" s="245">
        <v>244627.69</v>
      </c>
      <c r="F1146" s="244">
        <v>242773.07432000001</v>
      </c>
      <c r="G1146" s="243">
        <v>99.241861916776472</v>
      </c>
    </row>
    <row r="1147" spans="1:7" x14ac:dyDescent="0.2">
      <c r="A1147" s="242">
        <v>6172</v>
      </c>
      <c r="B1147" s="241">
        <v>5021</v>
      </c>
      <c r="C1147" s="240" t="s">
        <v>385</v>
      </c>
      <c r="D1147" s="238">
        <v>1300</v>
      </c>
      <c r="E1147" s="239">
        <v>2500</v>
      </c>
      <c r="F1147" s="238">
        <v>2300.9809999999998</v>
      </c>
      <c r="G1147" s="237">
        <v>92.039239999999992</v>
      </c>
    </row>
    <row r="1148" spans="1:7" x14ac:dyDescent="0.2">
      <c r="A1148" s="242">
        <v>6172</v>
      </c>
      <c r="B1148" s="241">
        <v>5024</v>
      </c>
      <c r="C1148" s="240" t="s">
        <v>384</v>
      </c>
      <c r="D1148" s="238">
        <v>0</v>
      </c>
      <c r="E1148" s="239">
        <v>1244.26</v>
      </c>
      <c r="F1148" s="238">
        <v>934.48500000000001</v>
      </c>
      <c r="G1148" s="237">
        <v>75.103676080561939</v>
      </c>
    </row>
    <row r="1149" spans="1:7" x14ac:dyDescent="0.2">
      <c r="A1149" s="242">
        <v>6172</v>
      </c>
      <c r="B1149" s="241">
        <v>5031</v>
      </c>
      <c r="C1149" s="240" t="s">
        <v>383</v>
      </c>
      <c r="D1149" s="238">
        <v>62836</v>
      </c>
      <c r="E1149" s="239">
        <v>63826.61</v>
      </c>
      <c r="F1149" s="238">
        <v>61953.63470000001</v>
      </c>
      <c r="G1149" s="237">
        <v>97.065525961663965</v>
      </c>
    </row>
    <row r="1150" spans="1:7" x14ac:dyDescent="0.2">
      <c r="A1150" s="242">
        <v>6172</v>
      </c>
      <c r="B1150" s="241">
        <v>5032</v>
      </c>
      <c r="C1150" s="240" t="s">
        <v>382</v>
      </c>
      <c r="D1150" s="238">
        <v>21772</v>
      </c>
      <c r="E1150" s="239">
        <v>22514.120000000003</v>
      </c>
      <c r="F1150" s="238">
        <v>22328.519250000001</v>
      </c>
      <c r="G1150" s="237">
        <v>99.17562511881431</v>
      </c>
    </row>
    <row r="1151" spans="1:7" x14ac:dyDescent="0.2">
      <c r="A1151" s="242">
        <v>6172</v>
      </c>
      <c r="B1151" s="241">
        <v>5038</v>
      </c>
      <c r="C1151" s="240" t="s">
        <v>381</v>
      </c>
      <c r="D1151" s="238">
        <v>1017</v>
      </c>
      <c r="E1151" s="239">
        <v>1049.55</v>
      </c>
      <c r="F1151" s="238">
        <v>1040.675</v>
      </c>
      <c r="G1151" s="237">
        <v>99.154399504549573</v>
      </c>
    </row>
    <row r="1152" spans="1:7" x14ac:dyDescent="0.2">
      <c r="A1152" s="242">
        <v>6172</v>
      </c>
      <c r="B1152" s="241">
        <v>5041</v>
      </c>
      <c r="C1152" s="240" t="s">
        <v>380</v>
      </c>
      <c r="D1152" s="238">
        <v>0</v>
      </c>
      <c r="E1152" s="239">
        <v>15</v>
      </c>
      <c r="F1152" s="238">
        <v>15</v>
      </c>
      <c r="G1152" s="237">
        <v>100</v>
      </c>
    </row>
    <row r="1153" spans="1:7" x14ac:dyDescent="0.2">
      <c r="A1153" s="242">
        <v>6172</v>
      </c>
      <c r="B1153" s="241">
        <v>5042</v>
      </c>
      <c r="C1153" s="240" t="s">
        <v>379</v>
      </c>
      <c r="D1153" s="238">
        <v>0</v>
      </c>
      <c r="E1153" s="239">
        <v>31</v>
      </c>
      <c r="F1153" s="238">
        <v>30.189499999999999</v>
      </c>
      <c r="G1153" s="237">
        <v>97.385483870967732</v>
      </c>
    </row>
    <row r="1154" spans="1:7" x14ac:dyDescent="0.2">
      <c r="A1154" s="242">
        <v>6172</v>
      </c>
      <c r="B1154" s="241">
        <v>5051</v>
      </c>
      <c r="C1154" s="240" t="s">
        <v>378</v>
      </c>
      <c r="D1154" s="238">
        <v>0</v>
      </c>
      <c r="E1154" s="239">
        <v>478</v>
      </c>
      <c r="F1154" s="238">
        <v>477.983</v>
      </c>
      <c r="G1154" s="237">
        <v>99.996443514644355</v>
      </c>
    </row>
    <row r="1155" spans="1:7" x14ac:dyDescent="0.2">
      <c r="A1155" s="242">
        <v>6172</v>
      </c>
      <c r="B1155" s="241">
        <v>5131</v>
      </c>
      <c r="C1155" s="240" t="s">
        <v>377</v>
      </c>
      <c r="D1155" s="238">
        <v>10</v>
      </c>
      <c r="E1155" s="239">
        <v>10</v>
      </c>
      <c r="F1155" s="238">
        <v>8.9909999999999997</v>
      </c>
      <c r="G1155" s="237">
        <v>89.91</v>
      </c>
    </row>
    <row r="1156" spans="1:7" x14ac:dyDescent="0.2">
      <c r="A1156" s="242">
        <v>6172</v>
      </c>
      <c r="B1156" s="241">
        <v>5132</v>
      </c>
      <c r="C1156" s="240" t="s">
        <v>376</v>
      </c>
      <c r="D1156" s="238">
        <v>120</v>
      </c>
      <c r="E1156" s="239">
        <v>120</v>
      </c>
      <c r="F1156" s="238">
        <v>21.399470000000001</v>
      </c>
      <c r="G1156" s="237">
        <v>17.832891666666669</v>
      </c>
    </row>
    <row r="1157" spans="1:7" x14ac:dyDescent="0.2">
      <c r="A1157" s="242">
        <v>6172</v>
      </c>
      <c r="B1157" s="241">
        <v>5133</v>
      </c>
      <c r="C1157" s="240" t="s">
        <v>375</v>
      </c>
      <c r="D1157" s="238">
        <v>40</v>
      </c>
      <c r="E1157" s="239">
        <v>40</v>
      </c>
      <c r="F1157" s="238">
        <v>23.331</v>
      </c>
      <c r="G1157" s="237">
        <v>58.327500000000001</v>
      </c>
    </row>
    <row r="1158" spans="1:7" x14ac:dyDescent="0.2">
      <c r="A1158" s="242">
        <v>6172</v>
      </c>
      <c r="B1158" s="241">
        <v>5134</v>
      </c>
      <c r="C1158" s="240" t="s">
        <v>374</v>
      </c>
      <c r="D1158" s="238">
        <v>138</v>
      </c>
      <c r="E1158" s="239">
        <v>182.99999999999997</v>
      </c>
      <c r="F1158" s="238">
        <v>165.26231000000001</v>
      </c>
      <c r="G1158" s="237">
        <v>90.30727322404374</v>
      </c>
    </row>
    <row r="1159" spans="1:7" x14ac:dyDescent="0.2">
      <c r="A1159" s="242">
        <v>6172</v>
      </c>
      <c r="B1159" s="241">
        <v>5136</v>
      </c>
      <c r="C1159" s="240" t="s">
        <v>373</v>
      </c>
      <c r="D1159" s="238">
        <v>660</v>
      </c>
      <c r="E1159" s="239">
        <v>499.28999999999996</v>
      </c>
      <c r="F1159" s="238">
        <v>310.89889999999997</v>
      </c>
      <c r="G1159" s="237">
        <v>62.268200845200184</v>
      </c>
    </row>
    <row r="1160" spans="1:7" x14ac:dyDescent="0.2">
      <c r="A1160" s="242">
        <v>6172</v>
      </c>
      <c r="B1160" s="241">
        <v>5137</v>
      </c>
      <c r="C1160" s="240" t="s">
        <v>345</v>
      </c>
      <c r="D1160" s="238">
        <v>3040</v>
      </c>
      <c r="E1160" s="239">
        <v>5453.25</v>
      </c>
      <c r="F1160" s="238">
        <v>5169.4847999999993</v>
      </c>
      <c r="G1160" s="237">
        <v>94.796402145509546</v>
      </c>
    </row>
    <row r="1161" spans="1:7" x14ac:dyDescent="0.2">
      <c r="A1161" s="242">
        <v>6172</v>
      </c>
      <c r="B1161" s="241">
        <v>5139</v>
      </c>
      <c r="C1161" s="240" t="s">
        <v>344</v>
      </c>
      <c r="D1161" s="238">
        <v>3746</v>
      </c>
      <c r="E1161" s="239">
        <v>4016.71</v>
      </c>
      <c r="F1161" s="238">
        <v>2975.8067999999998</v>
      </c>
      <c r="G1161" s="237">
        <v>74.085677083981665</v>
      </c>
    </row>
    <row r="1162" spans="1:7" x14ac:dyDescent="0.2">
      <c r="A1162" s="242">
        <v>6172</v>
      </c>
      <c r="B1162" s="241">
        <v>5142</v>
      </c>
      <c r="C1162" s="240" t="s">
        <v>372</v>
      </c>
      <c r="D1162" s="238">
        <v>50</v>
      </c>
      <c r="E1162" s="239">
        <v>20</v>
      </c>
      <c r="F1162" s="238">
        <v>3.6415600000000001</v>
      </c>
      <c r="G1162" s="237">
        <v>18.207800000000002</v>
      </c>
    </row>
    <row r="1163" spans="1:7" x14ac:dyDescent="0.2">
      <c r="A1163" s="242">
        <v>6172</v>
      </c>
      <c r="B1163" s="241">
        <v>5151</v>
      </c>
      <c r="C1163" s="240" t="s">
        <v>371</v>
      </c>
      <c r="D1163" s="238">
        <v>490</v>
      </c>
      <c r="E1163" s="239">
        <v>490</v>
      </c>
      <c r="F1163" s="238">
        <v>440.24124</v>
      </c>
      <c r="G1163" s="237">
        <v>89.845151020408167</v>
      </c>
    </row>
    <row r="1164" spans="1:7" x14ac:dyDescent="0.2">
      <c r="A1164" s="242">
        <v>6172</v>
      </c>
      <c r="B1164" s="241">
        <v>5152</v>
      </c>
      <c r="C1164" s="240" t="s">
        <v>370</v>
      </c>
      <c r="D1164" s="238">
        <v>3200</v>
      </c>
      <c r="E1164" s="239">
        <v>3200</v>
      </c>
      <c r="F1164" s="238">
        <v>1666.5229199999999</v>
      </c>
      <c r="G1164" s="237">
        <v>52.078841249999996</v>
      </c>
    </row>
    <row r="1165" spans="1:7" x14ac:dyDescent="0.2">
      <c r="A1165" s="242">
        <v>6172</v>
      </c>
      <c r="B1165" s="241">
        <v>5154</v>
      </c>
      <c r="C1165" s="240" t="s">
        <v>369</v>
      </c>
      <c r="D1165" s="238">
        <v>3930</v>
      </c>
      <c r="E1165" s="239">
        <v>3430</v>
      </c>
      <c r="F1165" s="238">
        <v>2782.5008199999997</v>
      </c>
      <c r="G1165" s="237">
        <v>81.122472886297373</v>
      </c>
    </row>
    <row r="1166" spans="1:7" x14ac:dyDescent="0.2">
      <c r="A1166" s="242">
        <v>6172</v>
      </c>
      <c r="B1166" s="241">
        <v>5156</v>
      </c>
      <c r="C1166" s="240" t="s">
        <v>368</v>
      </c>
      <c r="D1166" s="238">
        <v>1600</v>
      </c>
      <c r="E1166" s="239">
        <v>1600</v>
      </c>
      <c r="F1166" s="238">
        <v>1269.1775400000001</v>
      </c>
      <c r="G1166" s="237">
        <v>79.323596250000008</v>
      </c>
    </row>
    <row r="1167" spans="1:7" x14ac:dyDescent="0.2">
      <c r="A1167" s="242">
        <v>6172</v>
      </c>
      <c r="B1167" s="241">
        <v>5161</v>
      </c>
      <c r="C1167" s="240" t="s">
        <v>367</v>
      </c>
      <c r="D1167" s="238">
        <v>1505</v>
      </c>
      <c r="E1167" s="239">
        <v>1505</v>
      </c>
      <c r="F1167" s="238">
        <v>1482.6005</v>
      </c>
      <c r="G1167" s="237">
        <v>98.511661129568111</v>
      </c>
    </row>
    <row r="1168" spans="1:7" x14ac:dyDescent="0.2">
      <c r="A1168" s="242">
        <v>6172</v>
      </c>
      <c r="B1168" s="241">
        <v>5162</v>
      </c>
      <c r="C1168" s="240" t="s">
        <v>366</v>
      </c>
      <c r="D1168" s="238">
        <v>1132</v>
      </c>
      <c r="E1168" s="239">
        <v>785.26</v>
      </c>
      <c r="F1168" s="238">
        <v>620.37180999999987</v>
      </c>
      <c r="G1168" s="237">
        <v>79.002089753712141</v>
      </c>
    </row>
    <row r="1169" spans="1:7" x14ac:dyDescent="0.2">
      <c r="A1169" s="242">
        <v>6172</v>
      </c>
      <c r="B1169" s="241">
        <v>5163</v>
      </c>
      <c r="C1169" s="240" t="s">
        <v>336</v>
      </c>
      <c r="D1169" s="238">
        <v>60</v>
      </c>
      <c r="E1169" s="239">
        <v>60</v>
      </c>
      <c r="F1169" s="238">
        <v>44</v>
      </c>
      <c r="G1169" s="237">
        <v>73.333333333333329</v>
      </c>
    </row>
    <row r="1170" spans="1:7" x14ac:dyDescent="0.2">
      <c r="A1170" s="242">
        <v>6172</v>
      </c>
      <c r="B1170" s="241">
        <v>5164</v>
      </c>
      <c r="C1170" s="240" t="s">
        <v>343</v>
      </c>
      <c r="D1170" s="238">
        <v>316</v>
      </c>
      <c r="E1170" s="239">
        <v>381</v>
      </c>
      <c r="F1170" s="238">
        <v>259.92295000000001</v>
      </c>
      <c r="G1170" s="237">
        <v>68.221246719160106</v>
      </c>
    </row>
    <row r="1171" spans="1:7" x14ac:dyDescent="0.2">
      <c r="A1171" s="242">
        <v>6172</v>
      </c>
      <c r="B1171" s="241">
        <v>5166</v>
      </c>
      <c r="C1171" s="240" t="s">
        <v>342</v>
      </c>
      <c r="D1171" s="238">
        <v>2265</v>
      </c>
      <c r="E1171" s="239">
        <v>4972.51</v>
      </c>
      <c r="F1171" s="238">
        <v>3434.0017899999998</v>
      </c>
      <c r="G1171" s="237">
        <v>69.059726174507432</v>
      </c>
    </row>
    <row r="1172" spans="1:7" x14ac:dyDescent="0.2">
      <c r="A1172" s="242">
        <v>6172</v>
      </c>
      <c r="B1172" s="241">
        <v>5167</v>
      </c>
      <c r="C1172" s="240" t="s">
        <v>365</v>
      </c>
      <c r="D1172" s="238">
        <v>2506</v>
      </c>
      <c r="E1172" s="239">
        <v>3511.64</v>
      </c>
      <c r="F1172" s="238">
        <v>2513.4498199999998</v>
      </c>
      <c r="G1172" s="237">
        <v>71.57481461653245</v>
      </c>
    </row>
    <row r="1173" spans="1:7" x14ac:dyDescent="0.2">
      <c r="A1173" s="242">
        <v>6172</v>
      </c>
      <c r="B1173" s="241">
        <v>5168</v>
      </c>
      <c r="C1173" s="240" t="s">
        <v>364</v>
      </c>
      <c r="D1173" s="238">
        <v>15942</v>
      </c>
      <c r="E1173" s="239">
        <v>14315.170000000002</v>
      </c>
      <c r="F1173" s="238">
        <v>13402.34834</v>
      </c>
      <c r="G1173" s="237">
        <v>93.623396299170736</v>
      </c>
    </row>
    <row r="1174" spans="1:7" x14ac:dyDescent="0.2">
      <c r="A1174" s="242">
        <v>6172</v>
      </c>
      <c r="B1174" s="241">
        <v>5169</v>
      </c>
      <c r="C1174" s="240" t="s">
        <v>341</v>
      </c>
      <c r="D1174" s="238">
        <v>20190</v>
      </c>
      <c r="E1174" s="239">
        <v>23201.360000000001</v>
      </c>
      <c r="F1174" s="238">
        <v>17861.555270000001</v>
      </c>
      <c r="G1174" s="237">
        <v>76.984949459859251</v>
      </c>
    </row>
    <row r="1175" spans="1:7" x14ac:dyDescent="0.2">
      <c r="A1175" s="242">
        <v>6172</v>
      </c>
      <c r="B1175" s="241">
        <v>5171</v>
      </c>
      <c r="C1175" s="240" t="s">
        <v>363</v>
      </c>
      <c r="D1175" s="238">
        <v>5746</v>
      </c>
      <c r="E1175" s="239">
        <v>4014</v>
      </c>
      <c r="F1175" s="238">
        <v>3236.9052700000002</v>
      </c>
      <c r="G1175" s="237">
        <v>80.640390383657206</v>
      </c>
    </row>
    <row r="1176" spans="1:7" x14ac:dyDescent="0.2">
      <c r="A1176" s="242">
        <v>6172</v>
      </c>
      <c r="B1176" s="241">
        <v>5172</v>
      </c>
      <c r="C1176" s="240" t="s">
        <v>362</v>
      </c>
      <c r="D1176" s="238">
        <v>262</v>
      </c>
      <c r="E1176" s="239">
        <v>743.08</v>
      </c>
      <c r="F1176" s="238">
        <v>651.06915000000004</v>
      </c>
      <c r="G1176" s="237">
        <v>87.617638746837486</v>
      </c>
    </row>
    <row r="1177" spans="1:7" x14ac:dyDescent="0.2">
      <c r="A1177" s="242">
        <v>6172</v>
      </c>
      <c r="B1177" s="241">
        <v>5173</v>
      </c>
      <c r="C1177" s="240" t="s">
        <v>361</v>
      </c>
      <c r="D1177" s="238">
        <v>4855</v>
      </c>
      <c r="E1177" s="239">
        <v>5490.43</v>
      </c>
      <c r="F1177" s="238">
        <v>4409.7960199999943</v>
      </c>
      <c r="G1177" s="237">
        <v>80.317862535356866</v>
      </c>
    </row>
    <row r="1178" spans="1:7" x14ac:dyDescent="0.2">
      <c r="A1178" s="242">
        <v>6172</v>
      </c>
      <c r="B1178" s="241">
        <v>5175</v>
      </c>
      <c r="C1178" s="240" t="s">
        <v>340</v>
      </c>
      <c r="D1178" s="238">
        <v>520</v>
      </c>
      <c r="E1178" s="239">
        <v>1122.8599999999999</v>
      </c>
      <c r="F1178" s="238">
        <v>1030.01307</v>
      </c>
      <c r="G1178" s="237">
        <v>91.731210480380469</v>
      </c>
    </row>
    <row r="1179" spans="1:7" x14ac:dyDescent="0.2">
      <c r="A1179" s="242">
        <v>6172</v>
      </c>
      <c r="B1179" s="241">
        <v>5176</v>
      </c>
      <c r="C1179" s="240" t="s">
        <v>360</v>
      </c>
      <c r="D1179" s="238">
        <v>300</v>
      </c>
      <c r="E1179" s="239">
        <v>373.58000000000004</v>
      </c>
      <c r="F1179" s="238">
        <v>269.95690000000002</v>
      </c>
      <c r="G1179" s="237">
        <v>72.262139300819101</v>
      </c>
    </row>
    <row r="1180" spans="1:7" x14ac:dyDescent="0.2">
      <c r="A1180" s="242">
        <v>6172</v>
      </c>
      <c r="B1180" s="241">
        <v>5179</v>
      </c>
      <c r="C1180" s="240" t="s">
        <v>359</v>
      </c>
      <c r="D1180" s="238">
        <v>2665</v>
      </c>
      <c r="E1180" s="239">
        <v>2665.01</v>
      </c>
      <c r="F1180" s="238">
        <v>2395.8775300000002</v>
      </c>
      <c r="G1180" s="237">
        <v>89.901258531862922</v>
      </c>
    </row>
    <row r="1181" spans="1:7" x14ac:dyDescent="0.2">
      <c r="A1181" s="242">
        <v>6172</v>
      </c>
      <c r="B1181" s="241">
        <v>5189</v>
      </c>
      <c r="C1181" s="240" t="s">
        <v>358</v>
      </c>
      <c r="D1181" s="238">
        <v>4</v>
      </c>
      <c r="E1181" s="239">
        <v>4</v>
      </c>
      <c r="F1181" s="238">
        <v>0</v>
      </c>
      <c r="G1181" s="237">
        <v>0</v>
      </c>
    </row>
    <row r="1182" spans="1:7" x14ac:dyDescent="0.2">
      <c r="A1182" s="242">
        <v>6172</v>
      </c>
      <c r="B1182" s="241">
        <v>5191</v>
      </c>
      <c r="C1182" s="240" t="s">
        <v>357</v>
      </c>
      <c r="D1182" s="238">
        <v>0</v>
      </c>
      <c r="E1182" s="239">
        <v>3.3</v>
      </c>
      <c r="F1182" s="238">
        <v>3.2429999999999999</v>
      </c>
      <c r="G1182" s="237">
        <v>98.27272727272728</v>
      </c>
    </row>
    <row r="1183" spans="1:7" x14ac:dyDescent="0.2">
      <c r="A1183" s="242">
        <v>6172</v>
      </c>
      <c r="B1183" s="241">
        <v>5192</v>
      </c>
      <c r="C1183" s="240" t="s">
        <v>356</v>
      </c>
      <c r="D1183" s="238">
        <v>200</v>
      </c>
      <c r="E1183" s="239">
        <v>1612.51</v>
      </c>
      <c r="F1183" s="238">
        <v>1374.0954300000001</v>
      </c>
      <c r="G1183" s="237">
        <v>85.21469200191008</v>
      </c>
    </row>
    <row r="1184" spans="1:7" x14ac:dyDescent="0.2">
      <c r="A1184" s="242">
        <v>6172</v>
      </c>
      <c r="B1184" s="241">
        <v>5194</v>
      </c>
      <c r="C1184" s="240" t="s">
        <v>355</v>
      </c>
      <c r="D1184" s="238">
        <v>15</v>
      </c>
      <c r="E1184" s="239">
        <v>15</v>
      </c>
      <c r="F1184" s="238">
        <v>0</v>
      </c>
      <c r="G1184" s="237">
        <v>0</v>
      </c>
    </row>
    <row r="1185" spans="1:7" x14ac:dyDescent="0.2">
      <c r="A1185" s="242">
        <v>6172</v>
      </c>
      <c r="B1185" s="241">
        <v>5222</v>
      </c>
      <c r="C1185" s="240" t="s">
        <v>354</v>
      </c>
      <c r="D1185" s="238">
        <v>13</v>
      </c>
      <c r="E1185" s="239">
        <v>19</v>
      </c>
      <c r="F1185" s="238">
        <v>19</v>
      </c>
      <c r="G1185" s="237">
        <v>100</v>
      </c>
    </row>
    <row r="1186" spans="1:7" x14ac:dyDescent="0.2">
      <c r="A1186" s="242">
        <v>6172</v>
      </c>
      <c r="B1186" s="241">
        <v>5321</v>
      </c>
      <c r="C1186" s="240" t="s">
        <v>353</v>
      </c>
      <c r="D1186" s="238">
        <v>368</v>
      </c>
      <c r="E1186" s="239">
        <v>368</v>
      </c>
      <c r="F1186" s="238">
        <v>351.79899999999998</v>
      </c>
      <c r="G1186" s="237">
        <v>95.59755434782609</v>
      </c>
    </row>
    <row r="1187" spans="1:7" x14ac:dyDescent="0.2">
      <c r="A1187" s="242">
        <v>6172</v>
      </c>
      <c r="B1187" s="241">
        <v>5361</v>
      </c>
      <c r="C1187" s="240" t="s">
        <v>352</v>
      </c>
      <c r="D1187" s="238">
        <v>50</v>
      </c>
      <c r="E1187" s="239">
        <v>30</v>
      </c>
      <c r="F1187" s="238">
        <v>23</v>
      </c>
      <c r="G1187" s="237">
        <v>76.666666666666671</v>
      </c>
    </row>
    <row r="1188" spans="1:7" x14ac:dyDescent="0.2">
      <c r="A1188" s="242">
        <v>6172</v>
      </c>
      <c r="B1188" s="241">
        <v>5362</v>
      </c>
      <c r="C1188" s="240" t="s">
        <v>335</v>
      </c>
      <c r="D1188" s="238">
        <v>526</v>
      </c>
      <c r="E1188" s="239">
        <v>526</v>
      </c>
      <c r="F1188" s="238">
        <v>65</v>
      </c>
      <c r="G1188" s="237">
        <v>12.357414448669202</v>
      </c>
    </row>
    <row r="1189" spans="1:7" x14ac:dyDescent="0.2">
      <c r="A1189" s="242">
        <v>6172</v>
      </c>
      <c r="B1189" s="241">
        <v>5363</v>
      </c>
      <c r="C1189" s="240" t="s">
        <v>351</v>
      </c>
      <c r="D1189" s="238">
        <v>0</v>
      </c>
      <c r="E1189" s="239">
        <v>12.86</v>
      </c>
      <c r="F1189" s="238">
        <v>0</v>
      </c>
      <c r="G1189" s="237">
        <v>0</v>
      </c>
    </row>
    <row r="1190" spans="1:7" x14ac:dyDescent="0.2">
      <c r="A1190" s="242">
        <v>6172</v>
      </c>
      <c r="B1190" s="241">
        <v>5424</v>
      </c>
      <c r="C1190" s="240" t="s">
        <v>350</v>
      </c>
      <c r="D1190" s="238">
        <v>1400</v>
      </c>
      <c r="E1190" s="239">
        <v>996.7</v>
      </c>
      <c r="F1190" s="238">
        <v>915.75300000000004</v>
      </c>
      <c r="G1190" s="237">
        <v>91.878499046854628</v>
      </c>
    </row>
    <row r="1191" spans="1:7" x14ac:dyDescent="0.2">
      <c r="A1191" s="242">
        <v>6172</v>
      </c>
      <c r="B1191" s="241">
        <v>5499</v>
      </c>
      <c r="C1191" s="240" t="s">
        <v>349</v>
      </c>
      <c r="D1191" s="238">
        <v>5392</v>
      </c>
      <c r="E1191" s="239">
        <v>6703.43</v>
      </c>
      <c r="F1191" s="238">
        <v>6221.6320999999998</v>
      </c>
      <c r="G1191" s="237">
        <v>92.812666053050435</v>
      </c>
    </row>
    <row r="1192" spans="1:7" x14ac:dyDescent="0.2">
      <c r="A1192" s="242">
        <v>6172</v>
      </c>
      <c r="B1192" s="241">
        <v>5532</v>
      </c>
      <c r="C1192" s="240" t="s">
        <v>348</v>
      </c>
      <c r="D1192" s="238">
        <v>0</v>
      </c>
      <c r="E1192" s="239">
        <v>171.03</v>
      </c>
      <c r="F1192" s="238">
        <v>171.02776</v>
      </c>
      <c r="G1192" s="237">
        <v>99.998690288253528</v>
      </c>
    </row>
    <row r="1193" spans="1:7" x14ac:dyDescent="0.2">
      <c r="A1193" s="242">
        <v>6172</v>
      </c>
      <c r="B1193" s="241">
        <v>5909</v>
      </c>
      <c r="C1193" s="240" t="s">
        <v>329</v>
      </c>
      <c r="D1193" s="238">
        <v>0</v>
      </c>
      <c r="E1193" s="239">
        <v>364.94</v>
      </c>
      <c r="F1193" s="238">
        <v>364.92939999999999</v>
      </c>
      <c r="G1193" s="237">
        <v>99.997095412944589</v>
      </c>
    </row>
    <row r="1194" spans="1:7" x14ac:dyDescent="0.2">
      <c r="A1194" s="236">
        <v>6172</v>
      </c>
      <c r="B1194" s="235"/>
      <c r="C1194" s="234" t="s">
        <v>116</v>
      </c>
      <c r="D1194" s="232">
        <v>412086</v>
      </c>
      <c r="E1194" s="233">
        <v>429316.15</v>
      </c>
      <c r="F1194" s="232">
        <v>407813.14824000007</v>
      </c>
      <c r="G1194" s="231">
        <v>94.991336393937203</v>
      </c>
    </row>
    <row r="1195" spans="1:7" x14ac:dyDescent="0.2">
      <c r="A1195" s="242"/>
      <c r="B1195" s="250"/>
      <c r="C1195" s="240"/>
      <c r="D1195" s="249"/>
      <c r="E1195" s="249"/>
      <c r="F1195" s="249"/>
      <c r="G1195" s="237"/>
    </row>
    <row r="1196" spans="1:7" x14ac:dyDescent="0.2">
      <c r="A1196" s="248">
        <v>6174</v>
      </c>
      <c r="B1196" s="247">
        <v>5325</v>
      </c>
      <c r="C1196" s="246" t="s">
        <v>347</v>
      </c>
      <c r="D1196" s="244">
        <v>4500</v>
      </c>
      <c r="E1196" s="245">
        <v>4500</v>
      </c>
      <c r="F1196" s="244">
        <v>4500</v>
      </c>
      <c r="G1196" s="243">
        <v>100</v>
      </c>
    </row>
    <row r="1197" spans="1:7" x14ac:dyDescent="0.2">
      <c r="A1197" s="236">
        <v>6174</v>
      </c>
      <c r="B1197" s="235"/>
      <c r="C1197" s="234" t="s">
        <v>346</v>
      </c>
      <c r="D1197" s="232">
        <v>4500</v>
      </c>
      <c r="E1197" s="233">
        <v>4500</v>
      </c>
      <c r="F1197" s="232">
        <v>4500</v>
      </c>
      <c r="G1197" s="231">
        <v>100</v>
      </c>
    </row>
    <row r="1198" spans="1:7" x14ac:dyDescent="0.2">
      <c r="A1198" s="242"/>
      <c r="B1198" s="250"/>
      <c r="C1198" s="240"/>
      <c r="D1198" s="249"/>
      <c r="E1198" s="249"/>
      <c r="F1198" s="249"/>
      <c r="G1198" s="237"/>
    </row>
    <row r="1199" spans="1:7" x14ac:dyDescent="0.2">
      <c r="A1199" s="248">
        <v>6223</v>
      </c>
      <c r="B1199" s="247">
        <v>5137</v>
      </c>
      <c r="C1199" s="246" t="s">
        <v>345</v>
      </c>
      <c r="D1199" s="244">
        <v>35</v>
      </c>
      <c r="E1199" s="245">
        <v>25</v>
      </c>
      <c r="F1199" s="244">
        <v>0</v>
      </c>
      <c r="G1199" s="243">
        <v>0</v>
      </c>
    </row>
    <row r="1200" spans="1:7" x14ac:dyDescent="0.2">
      <c r="A1200" s="242">
        <v>6223</v>
      </c>
      <c r="B1200" s="241">
        <v>5139</v>
      </c>
      <c r="C1200" s="240" t="s">
        <v>344</v>
      </c>
      <c r="D1200" s="238">
        <v>15</v>
      </c>
      <c r="E1200" s="239">
        <v>15</v>
      </c>
      <c r="F1200" s="238">
        <v>0</v>
      </c>
      <c r="G1200" s="237">
        <v>0</v>
      </c>
    </row>
    <row r="1201" spans="1:7" x14ac:dyDescent="0.2">
      <c r="A1201" s="242">
        <v>6223</v>
      </c>
      <c r="B1201" s="241">
        <v>5164</v>
      </c>
      <c r="C1201" s="240" t="s">
        <v>343</v>
      </c>
      <c r="D1201" s="238">
        <v>110</v>
      </c>
      <c r="E1201" s="239">
        <v>10</v>
      </c>
      <c r="F1201" s="238">
        <v>0</v>
      </c>
      <c r="G1201" s="237">
        <v>0</v>
      </c>
    </row>
    <row r="1202" spans="1:7" x14ac:dyDescent="0.2">
      <c r="A1202" s="242">
        <v>6223</v>
      </c>
      <c r="B1202" s="241">
        <v>5166</v>
      </c>
      <c r="C1202" s="240" t="s">
        <v>342</v>
      </c>
      <c r="D1202" s="238">
        <v>1460</v>
      </c>
      <c r="E1202" s="239">
        <v>400</v>
      </c>
      <c r="F1202" s="238">
        <v>0</v>
      </c>
      <c r="G1202" s="237">
        <v>0</v>
      </c>
    </row>
    <row r="1203" spans="1:7" x14ac:dyDescent="0.2">
      <c r="A1203" s="242">
        <v>6223</v>
      </c>
      <c r="B1203" s="241">
        <v>5169</v>
      </c>
      <c r="C1203" s="240" t="s">
        <v>341</v>
      </c>
      <c r="D1203" s="238">
        <v>80</v>
      </c>
      <c r="E1203" s="239">
        <v>50</v>
      </c>
      <c r="F1203" s="238">
        <v>1.1200000000000001</v>
      </c>
      <c r="G1203" s="237">
        <v>2.2400000000000002</v>
      </c>
    </row>
    <row r="1204" spans="1:7" x14ac:dyDescent="0.2">
      <c r="A1204" s="242">
        <v>6223</v>
      </c>
      <c r="B1204" s="241">
        <v>5175</v>
      </c>
      <c r="C1204" s="240" t="s">
        <v>340</v>
      </c>
      <c r="D1204" s="238">
        <v>300</v>
      </c>
      <c r="E1204" s="239">
        <v>110</v>
      </c>
      <c r="F1204" s="238">
        <v>30.7</v>
      </c>
      <c r="G1204" s="237">
        <v>27.90909090909091</v>
      </c>
    </row>
    <row r="1205" spans="1:7" x14ac:dyDescent="0.2">
      <c r="A1205" s="236">
        <v>6223</v>
      </c>
      <c r="B1205" s="235"/>
      <c r="C1205" s="234" t="s">
        <v>339</v>
      </c>
      <c r="D1205" s="232">
        <v>2000</v>
      </c>
      <c r="E1205" s="233">
        <v>610</v>
      </c>
      <c r="F1205" s="232">
        <v>31.82</v>
      </c>
      <c r="G1205" s="231">
        <v>5.2163934426229508</v>
      </c>
    </row>
    <row r="1206" spans="1:7" x14ac:dyDescent="0.2">
      <c r="A1206" s="242"/>
      <c r="B1206" s="250"/>
      <c r="C1206" s="240"/>
      <c r="D1206" s="249"/>
      <c r="E1206" s="249"/>
      <c r="F1206" s="249"/>
      <c r="G1206" s="237"/>
    </row>
    <row r="1207" spans="1:7" x14ac:dyDescent="0.2">
      <c r="A1207" s="248">
        <v>6310</v>
      </c>
      <c r="B1207" s="247">
        <v>5141</v>
      </c>
      <c r="C1207" s="246" t="s">
        <v>338</v>
      </c>
      <c r="D1207" s="244">
        <v>49000</v>
      </c>
      <c r="E1207" s="245">
        <v>31306.400000000001</v>
      </c>
      <c r="F1207" s="244">
        <v>30192.683539999998</v>
      </c>
      <c r="G1207" s="243">
        <v>96.442527853729572</v>
      </c>
    </row>
    <row r="1208" spans="1:7" x14ac:dyDescent="0.2">
      <c r="A1208" s="242">
        <v>6310</v>
      </c>
      <c r="B1208" s="241">
        <v>5147</v>
      </c>
      <c r="C1208" s="240" t="s">
        <v>337</v>
      </c>
      <c r="D1208" s="238">
        <v>6000</v>
      </c>
      <c r="E1208" s="239">
        <v>6000</v>
      </c>
      <c r="F1208" s="238">
        <v>5810.9638800000002</v>
      </c>
      <c r="G1208" s="237">
        <v>96.849398000000008</v>
      </c>
    </row>
    <row r="1209" spans="1:7" x14ac:dyDescent="0.2">
      <c r="A1209" s="242">
        <v>6310</v>
      </c>
      <c r="B1209" s="241">
        <v>5163</v>
      </c>
      <c r="C1209" s="240" t="s">
        <v>336</v>
      </c>
      <c r="D1209" s="238">
        <v>400</v>
      </c>
      <c r="E1209" s="239">
        <v>300</v>
      </c>
      <c r="F1209" s="238">
        <v>218.29415</v>
      </c>
      <c r="G1209" s="237">
        <v>72.764716666666658</v>
      </c>
    </row>
    <row r="1210" spans="1:7" x14ac:dyDescent="0.2">
      <c r="A1210" s="242">
        <v>6310</v>
      </c>
      <c r="B1210" s="241">
        <v>5909</v>
      </c>
      <c r="C1210" s="240" t="s">
        <v>329</v>
      </c>
      <c r="D1210" s="238">
        <v>0</v>
      </c>
      <c r="E1210" s="239">
        <v>1.95</v>
      </c>
      <c r="F1210" s="238">
        <v>0</v>
      </c>
      <c r="G1210" s="237">
        <v>0</v>
      </c>
    </row>
    <row r="1211" spans="1:7" x14ac:dyDescent="0.2">
      <c r="A1211" s="236">
        <v>6310</v>
      </c>
      <c r="B1211" s="235"/>
      <c r="C1211" s="234" t="s">
        <v>153</v>
      </c>
      <c r="D1211" s="232">
        <v>55400</v>
      </c>
      <c r="E1211" s="233">
        <v>37608.35</v>
      </c>
      <c r="F1211" s="232">
        <v>36221.941570000003</v>
      </c>
      <c r="G1211" s="231">
        <v>96.313562200947416</v>
      </c>
    </row>
    <row r="1212" spans="1:7" x14ac:dyDescent="0.2">
      <c r="A1212" s="242"/>
      <c r="B1212" s="250"/>
      <c r="C1212" s="240"/>
      <c r="D1212" s="249"/>
      <c r="E1212" s="249"/>
      <c r="F1212" s="249"/>
      <c r="G1212" s="237"/>
    </row>
    <row r="1213" spans="1:7" x14ac:dyDescent="0.2">
      <c r="A1213" s="248">
        <v>6320</v>
      </c>
      <c r="B1213" s="247">
        <v>5163</v>
      </c>
      <c r="C1213" s="246" t="s">
        <v>336</v>
      </c>
      <c r="D1213" s="244">
        <v>34500</v>
      </c>
      <c r="E1213" s="245">
        <v>38412.9</v>
      </c>
      <c r="F1213" s="244">
        <v>36318.119500000001</v>
      </c>
      <c r="G1213" s="243">
        <v>94.546674424477189</v>
      </c>
    </row>
    <row r="1214" spans="1:7" x14ac:dyDescent="0.2">
      <c r="A1214" s="236">
        <v>6320</v>
      </c>
      <c r="B1214" s="235"/>
      <c r="C1214" s="234" t="s">
        <v>150</v>
      </c>
      <c r="D1214" s="232">
        <v>34500</v>
      </c>
      <c r="E1214" s="233">
        <v>38412.9</v>
      </c>
      <c r="F1214" s="232">
        <v>36318.119500000001</v>
      </c>
      <c r="G1214" s="231">
        <v>94.546674424477189</v>
      </c>
    </row>
    <row r="1215" spans="1:7" x14ac:dyDescent="0.2">
      <c r="A1215" s="242"/>
      <c r="B1215" s="250"/>
      <c r="C1215" s="240"/>
      <c r="D1215" s="249"/>
      <c r="E1215" s="249"/>
      <c r="F1215" s="249"/>
      <c r="G1215" s="237"/>
    </row>
    <row r="1216" spans="1:7" x14ac:dyDescent="0.2">
      <c r="A1216" s="248">
        <v>6399</v>
      </c>
      <c r="B1216" s="247">
        <v>5362</v>
      </c>
      <c r="C1216" s="246" t="s">
        <v>335</v>
      </c>
      <c r="D1216" s="244">
        <v>34000</v>
      </c>
      <c r="E1216" s="245">
        <v>34374.449999999997</v>
      </c>
      <c r="F1216" s="244">
        <v>-3557.4729899999979</v>
      </c>
      <c r="G1216" s="243">
        <v>-10.349177921392192</v>
      </c>
    </row>
    <row r="1217" spans="1:8" x14ac:dyDescent="0.2">
      <c r="A1217" s="236">
        <v>6399</v>
      </c>
      <c r="B1217" s="235"/>
      <c r="C1217" s="234" t="s">
        <v>334</v>
      </c>
      <c r="D1217" s="232">
        <v>34000</v>
      </c>
      <c r="E1217" s="233">
        <v>34374.449999999997</v>
      </c>
      <c r="F1217" s="232">
        <v>-3557.4729899999979</v>
      </c>
      <c r="G1217" s="231">
        <v>-10.349177921392192</v>
      </c>
    </row>
    <row r="1218" spans="1:8" x14ac:dyDescent="0.2">
      <c r="A1218" s="242"/>
      <c r="B1218" s="250"/>
      <c r="C1218" s="240"/>
      <c r="D1218" s="249"/>
      <c r="E1218" s="249"/>
      <c r="F1218" s="249"/>
      <c r="G1218" s="237"/>
    </row>
    <row r="1219" spans="1:8" ht="25.5" x14ac:dyDescent="0.2">
      <c r="A1219" s="248">
        <v>6402</v>
      </c>
      <c r="B1219" s="247">
        <v>5364</v>
      </c>
      <c r="C1219" s="246" t="s">
        <v>332</v>
      </c>
      <c r="D1219" s="244">
        <v>0</v>
      </c>
      <c r="E1219" s="245">
        <v>23748.240000000002</v>
      </c>
      <c r="F1219" s="244">
        <v>12385.746749999998</v>
      </c>
      <c r="G1219" s="243">
        <v>52.15437754545178</v>
      </c>
    </row>
    <row r="1220" spans="1:8" x14ac:dyDescent="0.2">
      <c r="A1220" s="242">
        <v>6402</v>
      </c>
      <c r="B1220" s="241">
        <v>5366</v>
      </c>
      <c r="C1220" s="240" t="s">
        <v>333</v>
      </c>
      <c r="D1220" s="238">
        <v>0</v>
      </c>
      <c r="E1220" s="239">
        <v>89.82999999999997</v>
      </c>
      <c r="F1220" s="238">
        <v>89.82999999999997</v>
      </c>
      <c r="G1220" s="237">
        <v>100</v>
      </c>
    </row>
    <row r="1221" spans="1:8" ht="25.5" x14ac:dyDescent="0.2">
      <c r="A1221" s="242">
        <v>6402</v>
      </c>
      <c r="B1221" s="241">
        <v>5368</v>
      </c>
      <c r="C1221" s="240" t="s">
        <v>331</v>
      </c>
      <c r="D1221" s="238">
        <v>0</v>
      </c>
      <c r="E1221" s="239">
        <v>250.10000000000002</v>
      </c>
      <c r="F1221" s="238">
        <v>18.29393</v>
      </c>
      <c r="G1221" s="237">
        <v>7.3146461415433821</v>
      </c>
    </row>
    <row r="1222" spans="1:8" x14ac:dyDescent="0.2">
      <c r="A1222" s="236">
        <v>6402</v>
      </c>
      <c r="B1222" s="235"/>
      <c r="C1222" s="234" t="s">
        <v>143</v>
      </c>
      <c r="D1222" s="232">
        <v>0</v>
      </c>
      <c r="E1222" s="233">
        <v>24088.170000000002</v>
      </c>
      <c r="F1222" s="232">
        <v>12493.870679999998</v>
      </c>
      <c r="G1222" s="231">
        <v>51.8672472005968</v>
      </c>
    </row>
    <row r="1223" spans="1:8" x14ac:dyDescent="0.2">
      <c r="A1223" s="242"/>
      <c r="B1223" s="250"/>
      <c r="C1223" s="240"/>
      <c r="D1223" s="249"/>
      <c r="E1223" s="249"/>
      <c r="F1223" s="249"/>
      <c r="G1223" s="237"/>
    </row>
    <row r="1224" spans="1:8" ht="25.5" x14ac:dyDescent="0.2">
      <c r="A1224" s="248">
        <v>6409</v>
      </c>
      <c r="B1224" s="247">
        <v>5364</v>
      </c>
      <c r="C1224" s="246" t="s">
        <v>332</v>
      </c>
      <c r="D1224" s="244">
        <v>0</v>
      </c>
      <c r="E1224" s="245">
        <v>74.3</v>
      </c>
      <c r="F1224" s="244">
        <v>0</v>
      </c>
      <c r="G1224" s="243">
        <v>0</v>
      </c>
    </row>
    <row r="1225" spans="1:8" ht="25.5" x14ac:dyDescent="0.2">
      <c r="A1225" s="242">
        <v>6409</v>
      </c>
      <c r="B1225" s="241">
        <v>5368</v>
      </c>
      <c r="C1225" s="240" t="s">
        <v>331</v>
      </c>
      <c r="D1225" s="238">
        <v>0</v>
      </c>
      <c r="E1225" s="239">
        <v>110494.1</v>
      </c>
      <c r="F1225" s="238">
        <v>104374.23549000001</v>
      </c>
      <c r="G1225" s="237">
        <v>94.461365348919074</v>
      </c>
    </row>
    <row r="1226" spans="1:8" x14ac:dyDescent="0.2">
      <c r="A1226" s="242">
        <v>6409</v>
      </c>
      <c r="B1226" s="241">
        <v>5901</v>
      </c>
      <c r="C1226" s="240" t="s">
        <v>330</v>
      </c>
      <c r="D1226" s="238">
        <v>80000</v>
      </c>
      <c r="E1226" s="239">
        <v>205826.61</v>
      </c>
      <c r="F1226" s="238">
        <v>0</v>
      </c>
      <c r="G1226" s="237">
        <v>0</v>
      </c>
    </row>
    <row r="1227" spans="1:8" x14ac:dyDescent="0.2">
      <c r="A1227" s="242">
        <v>6409</v>
      </c>
      <c r="B1227" s="241">
        <v>5909</v>
      </c>
      <c r="C1227" s="240" t="s">
        <v>329</v>
      </c>
      <c r="D1227" s="238">
        <v>0</v>
      </c>
      <c r="E1227" s="239">
        <v>201.42000000000002</v>
      </c>
      <c r="F1227" s="238">
        <v>163.77687000000003</v>
      </c>
      <c r="G1227" s="237">
        <v>81.311126005361942</v>
      </c>
    </row>
    <row r="1228" spans="1:8" x14ac:dyDescent="0.2">
      <c r="A1228" s="236">
        <v>6409</v>
      </c>
      <c r="B1228" s="235"/>
      <c r="C1228" s="234" t="s">
        <v>138</v>
      </c>
      <c r="D1228" s="232">
        <v>80000</v>
      </c>
      <c r="E1228" s="233">
        <v>316596.43</v>
      </c>
      <c r="F1228" s="232">
        <v>104538.01236000001</v>
      </c>
      <c r="G1228" s="231">
        <v>33.019327590017362</v>
      </c>
    </row>
    <row r="1229" spans="1:8" x14ac:dyDescent="0.2">
      <c r="A1229" s="230"/>
      <c r="B1229" s="228"/>
      <c r="C1229" s="229"/>
      <c r="D1229" s="228"/>
      <c r="E1229" s="228"/>
      <c r="F1229" s="228"/>
      <c r="G1229" s="227"/>
    </row>
    <row r="1230" spans="1:8" s="100" customFormat="1" x14ac:dyDescent="0.2">
      <c r="A1230" s="1317" t="s">
        <v>255</v>
      </c>
      <c r="B1230" s="1318"/>
      <c r="C1230" s="1318"/>
      <c r="D1230" s="257">
        <v>674695</v>
      </c>
      <c r="E1230" s="257">
        <v>931639.35</v>
      </c>
      <c r="F1230" s="257">
        <v>633156.27006000001</v>
      </c>
      <c r="G1230" s="256">
        <v>67.959999999999994</v>
      </c>
      <c r="H1230"/>
    </row>
    <row r="1231" spans="1:8" s="100" customFormat="1" x14ac:dyDescent="0.2">
      <c r="A1231" s="142"/>
      <c r="B1231" s="141"/>
      <c r="C1231" s="272"/>
      <c r="D1231" s="140"/>
      <c r="E1231" s="140"/>
      <c r="F1231" s="140"/>
      <c r="G1231" s="139"/>
      <c r="H1231"/>
    </row>
    <row r="1232" spans="1:8" s="100" customFormat="1" x14ac:dyDescent="0.2">
      <c r="A1232" s="138">
        <v>6330</v>
      </c>
      <c r="B1232" s="137" t="s">
        <v>328</v>
      </c>
      <c r="C1232" s="187" t="s">
        <v>327</v>
      </c>
      <c r="D1232" s="135">
        <v>0</v>
      </c>
      <c r="E1232" s="135">
        <v>0</v>
      </c>
      <c r="F1232" s="271">
        <v>9456</v>
      </c>
      <c r="G1232" s="134">
        <v>0</v>
      </c>
      <c r="H1232"/>
    </row>
    <row r="1233" spans="1:8" s="100" customFormat="1" x14ac:dyDescent="0.2">
      <c r="A1233" s="138">
        <v>6330</v>
      </c>
      <c r="B1233" s="137" t="s">
        <v>326</v>
      </c>
      <c r="C1233" s="187" t="s">
        <v>323</v>
      </c>
      <c r="D1233" s="135">
        <v>0</v>
      </c>
      <c r="E1233" s="135">
        <v>0</v>
      </c>
      <c r="F1233" s="271">
        <v>13930220.04073</v>
      </c>
      <c r="G1233" s="134">
        <v>0</v>
      </c>
      <c r="H1233"/>
    </row>
    <row r="1234" spans="1:8" s="100" customFormat="1" x14ac:dyDescent="0.2">
      <c r="A1234" s="138">
        <v>6330</v>
      </c>
      <c r="B1234" s="137" t="s">
        <v>325</v>
      </c>
      <c r="C1234" s="187" t="s">
        <v>324</v>
      </c>
      <c r="D1234" s="135">
        <v>0</v>
      </c>
      <c r="E1234" s="135">
        <v>0</v>
      </c>
      <c r="F1234" s="271">
        <v>700.25099999999998</v>
      </c>
      <c r="G1234" s="134">
        <v>0</v>
      </c>
      <c r="H1234"/>
    </row>
    <row r="1235" spans="1:8" s="100" customFormat="1" ht="13.5" thickBot="1" x14ac:dyDescent="0.25">
      <c r="A1235" s="1321" t="s">
        <v>323</v>
      </c>
      <c r="B1235" s="1322"/>
      <c r="C1235" s="1323"/>
      <c r="D1235" s="167">
        <v>0</v>
      </c>
      <c r="E1235" s="167">
        <v>0</v>
      </c>
      <c r="F1235" s="270">
        <v>13940376.29173</v>
      </c>
      <c r="G1235" s="166">
        <v>0</v>
      </c>
      <c r="H1235"/>
    </row>
    <row r="1238" spans="1:8" s="214" customFormat="1" ht="18" customHeight="1" x14ac:dyDescent="0.2">
      <c r="A1238" s="201" t="s">
        <v>3</v>
      </c>
      <c r="B1238" s="202"/>
      <c r="C1238" s="269"/>
      <c r="D1238" s="199"/>
      <c r="E1238" s="199"/>
      <c r="F1238" s="199"/>
      <c r="H1238" s="213"/>
    </row>
    <row r="1239" spans="1:8" s="214" customFormat="1" ht="12.75" customHeight="1" thickBot="1" x14ac:dyDescent="0.25">
      <c r="A1239" s="201"/>
      <c r="B1239" s="202"/>
      <c r="C1239" s="269"/>
      <c r="D1239" s="199"/>
      <c r="E1239" s="199"/>
      <c r="F1239" s="199"/>
      <c r="G1239" s="268" t="s">
        <v>2</v>
      </c>
      <c r="H1239" s="213"/>
    </row>
    <row r="1240" spans="1:8" s="100" customFormat="1" ht="39" customHeight="1" thickBot="1" x14ac:dyDescent="0.25">
      <c r="A1240" s="194" t="s">
        <v>114</v>
      </c>
      <c r="B1240" s="193" t="s">
        <v>113</v>
      </c>
      <c r="C1240" s="193" t="s">
        <v>112</v>
      </c>
      <c r="D1240" s="192" t="s">
        <v>111</v>
      </c>
      <c r="E1240" s="192" t="s">
        <v>110</v>
      </c>
      <c r="F1240" s="192" t="s">
        <v>1</v>
      </c>
      <c r="G1240" s="191" t="s">
        <v>109</v>
      </c>
      <c r="H1240" s="185"/>
    </row>
    <row r="1241" spans="1:8" x14ac:dyDescent="0.2">
      <c r="A1241" s="242">
        <v>1037</v>
      </c>
      <c r="B1241" s="241">
        <v>6319</v>
      </c>
      <c r="C1241" s="240" t="s">
        <v>288</v>
      </c>
      <c r="D1241" s="238">
        <v>0</v>
      </c>
      <c r="E1241" s="239">
        <v>3578.71</v>
      </c>
      <c r="F1241" s="238">
        <v>3578.7058900000002</v>
      </c>
      <c r="G1241" s="237">
        <v>99.999885154147734</v>
      </c>
    </row>
    <row r="1242" spans="1:8" x14ac:dyDescent="0.2">
      <c r="A1242" s="236">
        <v>1037</v>
      </c>
      <c r="B1242" s="235"/>
      <c r="C1242" s="234" t="s">
        <v>322</v>
      </c>
      <c r="D1242" s="232">
        <v>0</v>
      </c>
      <c r="E1242" s="233">
        <v>3578.71</v>
      </c>
      <c r="F1242" s="232">
        <v>3578.7058900000002</v>
      </c>
      <c r="G1242" s="231">
        <v>99.999885154147734</v>
      </c>
    </row>
    <row r="1243" spans="1:8" x14ac:dyDescent="0.2">
      <c r="A1243" s="242"/>
      <c r="B1243" s="250"/>
      <c r="C1243" s="240"/>
      <c r="D1243" s="249"/>
      <c r="E1243" s="249"/>
      <c r="F1243" s="249"/>
      <c r="G1243" s="237"/>
    </row>
    <row r="1244" spans="1:8" s="100" customFormat="1" x14ac:dyDescent="0.2">
      <c r="A1244" s="1317" t="s">
        <v>321</v>
      </c>
      <c r="B1244" s="1318"/>
      <c r="C1244" s="1318"/>
      <c r="D1244" s="266">
        <v>0</v>
      </c>
      <c r="E1244" s="267">
        <v>3578.71</v>
      </c>
      <c r="F1244" s="266">
        <v>3578.7058900000002</v>
      </c>
      <c r="G1244" s="265">
        <v>99.999885154147734</v>
      </c>
      <c r="H1244"/>
    </row>
    <row r="1245" spans="1:8" s="100" customFormat="1" x14ac:dyDescent="0.2">
      <c r="A1245" s="264"/>
      <c r="B1245" s="185"/>
      <c r="C1245" s="263"/>
      <c r="D1245" s="184"/>
      <c r="E1245" s="184"/>
      <c r="F1245" s="184"/>
      <c r="G1245" s="262"/>
      <c r="H1245"/>
    </row>
    <row r="1246" spans="1:8" x14ac:dyDescent="0.2">
      <c r="A1246" s="248">
        <v>2115</v>
      </c>
      <c r="B1246" s="247">
        <v>6351</v>
      </c>
      <c r="C1246" s="246" t="s">
        <v>276</v>
      </c>
      <c r="D1246" s="244">
        <v>0</v>
      </c>
      <c r="E1246" s="245">
        <v>325</v>
      </c>
      <c r="F1246" s="244">
        <v>325</v>
      </c>
      <c r="G1246" s="243">
        <v>100</v>
      </c>
    </row>
    <row r="1247" spans="1:8" x14ac:dyDescent="0.2">
      <c r="A1247" s="236">
        <v>2115</v>
      </c>
      <c r="B1247" s="235"/>
      <c r="C1247" s="234" t="s">
        <v>231</v>
      </c>
      <c r="D1247" s="232">
        <v>0</v>
      </c>
      <c r="E1247" s="233">
        <v>325</v>
      </c>
      <c r="F1247" s="232">
        <v>325</v>
      </c>
      <c r="G1247" s="231">
        <v>100</v>
      </c>
    </row>
    <row r="1248" spans="1:8" x14ac:dyDescent="0.2">
      <c r="A1248" s="242"/>
      <c r="B1248" s="250"/>
      <c r="C1248" s="240"/>
      <c r="D1248" s="249"/>
      <c r="E1248" s="249"/>
      <c r="F1248" s="249"/>
      <c r="G1248" s="237"/>
    </row>
    <row r="1249" spans="1:7" x14ac:dyDescent="0.2">
      <c r="A1249" s="248">
        <v>2143</v>
      </c>
      <c r="B1249" s="247">
        <v>6111</v>
      </c>
      <c r="C1249" s="246" t="s">
        <v>261</v>
      </c>
      <c r="D1249" s="244">
        <v>521</v>
      </c>
      <c r="E1249" s="245">
        <v>560</v>
      </c>
      <c r="F1249" s="244">
        <v>559.34670000000006</v>
      </c>
      <c r="G1249" s="243">
        <v>99.8833392857143</v>
      </c>
    </row>
    <row r="1250" spans="1:7" x14ac:dyDescent="0.2">
      <c r="A1250" s="242">
        <v>2143</v>
      </c>
      <c r="B1250" s="241">
        <v>6112</v>
      </c>
      <c r="C1250" s="240" t="s">
        <v>320</v>
      </c>
      <c r="D1250" s="238">
        <v>0</v>
      </c>
      <c r="E1250" s="239">
        <v>42.54</v>
      </c>
      <c r="F1250" s="238">
        <v>0</v>
      </c>
      <c r="G1250" s="237">
        <v>0</v>
      </c>
    </row>
    <row r="1251" spans="1:7" x14ac:dyDescent="0.2">
      <c r="A1251" s="242">
        <v>2143</v>
      </c>
      <c r="B1251" s="241">
        <v>6119</v>
      </c>
      <c r="C1251" s="240" t="s">
        <v>260</v>
      </c>
      <c r="D1251" s="238">
        <v>501</v>
      </c>
      <c r="E1251" s="239">
        <v>0</v>
      </c>
      <c r="F1251" s="238">
        <v>0</v>
      </c>
      <c r="G1251" s="260" t="s">
        <v>279</v>
      </c>
    </row>
    <row r="1252" spans="1:7" x14ac:dyDescent="0.2">
      <c r="A1252" s="242">
        <v>2143</v>
      </c>
      <c r="B1252" s="241">
        <v>6122</v>
      </c>
      <c r="C1252" s="240" t="s">
        <v>258</v>
      </c>
      <c r="D1252" s="238">
        <v>0</v>
      </c>
      <c r="E1252" s="239">
        <v>274.14</v>
      </c>
      <c r="F1252" s="238">
        <v>274.11340000000001</v>
      </c>
      <c r="G1252" s="237">
        <v>99.990296928576655</v>
      </c>
    </row>
    <row r="1253" spans="1:7" x14ac:dyDescent="0.2">
      <c r="A1253" s="242">
        <v>2143</v>
      </c>
      <c r="B1253" s="241">
        <v>6125</v>
      </c>
      <c r="C1253" s="240" t="s">
        <v>256</v>
      </c>
      <c r="D1253" s="238">
        <v>1479</v>
      </c>
      <c r="E1253" s="239">
        <v>1479</v>
      </c>
      <c r="F1253" s="238">
        <v>1478.7676199999999</v>
      </c>
      <c r="G1253" s="237">
        <v>99.984288032454344</v>
      </c>
    </row>
    <row r="1254" spans="1:7" x14ac:dyDescent="0.2">
      <c r="A1254" s="242">
        <v>2143</v>
      </c>
      <c r="B1254" s="241">
        <v>6129</v>
      </c>
      <c r="C1254" s="240" t="s">
        <v>295</v>
      </c>
      <c r="D1254" s="238">
        <v>0</v>
      </c>
      <c r="E1254" s="239">
        <v>706.8</v>
      </c>
      <c r="F1254" s="238">
        <v>701.8</v>
      </c>
      <c r="G1254" s="237">
        <v>99.292586304470859</v>
      </c>
    </row>
    <row r="1255" spans="1:7" x14ac:dyDescent="0.2">
      <c r="A1255" s="242">
        <v>2143</v>
      </c>
      <c r="B1255" s="241">
        <v>6202</v>
      </c>
      <c r="C1255" s="240" t="s">
        <v>319</v>
      </c>
      <c r="D1255" s="238">
        <v>0</v>
      </c>
      <c r="E1255" s="239">
        <v>6250</v>
      </c>
      <c r="F1255" s="238">
        <v>6250</v>
      </c>
      <c r="G1255" s="237">
        <v>100</v>
      </c>
    </row>
    <row r="1256" spans="1:7" x14ac:dyDescent="0.2">
      <c r="A1256" s="242">
        <v>2143</v>
      </c>
      <c r="B1256" s="241">
        <v>6312</v>
      </c>
      <c r="C1256" s="240" t="s">
        <v>318</v>
      </c>
      <c r="D1256" s="238">
        <v>0</v>
      </c>
      <c r="E1256" s="239">
        <v>913.75</v>
      </c>
      <c r="F1256" s="238">
        <v>598.93799999999999</v>
      </c>
      <c r="G1256" s="237">
        <v>65.54725034199727</v>
      </c>
    </row>
    <row r="1257" spans="1:7" x14ac:dyDescent="0.2">
      <c r="A1257" s="242">
        <v>2143</v>
      </c>
      <c r="B1257" s="241">
        <v>6313</v>
      </c>
      <c r="C1257" s="240" t="s">
        <v>294</v>
      </c>
      <c r="D1257" s="238">
        <v>0</v>
      </c>
      <c r="E1257" s="239">
        <v>446.40000000000003</v>
      </c>
      <c r="F1257" s="238">
        <v>283.93900000000002</v>
      </c>
      <c r="G1257" s="237">
        <v>63.606406810035843</v>
      </c>
    </row>
    <row r="1258" spans="1:7" x14ac:dyDescent="0.2">
      <c r="A1258" s="242">
        <v>2143</v>
      </c>
      <c r="B1258" s="241">
        <v>6319</v>
      </c>
      <c r="C1258" s="240" t="s">
        <v>288</v>
      </c>
      <c r="D1258" s="238">
        <v>0</v>
      </c>
      <c r="E1258" s="239">
        <v>56</v>
      </c>
      <c r="F1258" s="238">
        <v>56</v>
      </c>
      <c r="G1258" s="237">
        <v>100</v>
      </c>
    </row>
    <row r="1259" spans="1:7" x14ac:dyDescent="0.2">
      <c r="A1259" s="242">
        <v>2143</v>
      </c>
      <c r="B1259" s="241">
        <v>6321</v>
      </c>
      <c r="C1259" s="240" t="s">
        <v>274</v>
      </c>
      <c r="D1259" s="238">
        <v>0</v>
      </c>
      <c r="E1259" s="239">
        <v>230.14</v>
      </c>
      <c r="F1259" s="238">
        <v>230.14</v>
      </c>
      <c r="G1259" s="237">
        <v>100</v>
      </c>
    </row>
    <row r="1260" spans="1:7" x14ac:dyDescent="0.2">
      <c r="A1260" s="242">
        <v>2143</v>
      </c>
      <c r="B1260" s="241">
        <v>6322</v>
      </c>
      <c r="C1260" s="240" t="s">
        <v>267</v>
      </c>
      <c r="D1260" s="238">
        <v>0</v>
      </c>
      <c r="E1260" s="239">
        <v>961.85</v>
      </c>
      <c r="F1260" s="238">
        <v>611.77</v>
      </c>
      <c r="G1260" s="237">
        <v>63.603472474918121</v>
      </c>
    </row>
    <row r="1261" spans="1:7" x14ac:dyDescent="0.2">
      <c r="A1261" s="242">
        <v>2143</v>
      </c>
      <c r="B1261" s="241">
        <v>6329</v>
      </c>
      <c r="C1261" s="240" t="s">
        <v>262</v>
      </c>
      <c r="D1261" s="238">
        <v>0</v>
      </c>
      <c r="E1261" s="239">
        <v>3800</v>
      </c>
      <c r="F1261" s="238">
        <v>770.81410000000005</v>
      </c>
      <c r="G1261" s="237">
        <v>20.284581578947368</v>
      </c>
    </row>
    <row r="1262" spans="1:7" x14ac:dyDescent="0.2">
      <c r="A1262" s="242">
        <v>2143</v>
      </c>
      <c r="B1262" s="241">
        <v>6341</v>
      </c>
      <c r="C1262" s="240" t="s">
        <v>266</v>
      </c>
      <c r="D1262" s="238">
        <v>0</v>
      </c>
      <c r="E1262" s="239">
        <v>500</v>
      </c>
      <c r="F1262" s="238">
        <v>104.428</v>
      </c>
      <c r="G1262" s="237">
        <v>20.8856</v>
      </c>
    </row>
    <row r="1263" spans="1:7" x14ac:dyDescent="0.2">
      <c r="A1263" s="242">
        <v>2143</v>
      </c>
      <c r="B1263" s="241">
        <v>6359</v>
      </c>
      <c r="C1263" s="240" t="s">
        <v>296</v>
      </c>
      <c r="D1263" s="238">
        <v>0</v>
      </c>
      <c r="E1263" s="239">
        <v>215</v>
      </c>
      <c r="F1263" s="238">
        <v>205.09800000000001</v>
      </c>
      <c r="G1263" s="237">
        <v>95.394418604651165</v>
      </c>
    </row>
    <row r="1264" spans="1:7" x14ac:dyDescent="0.2">
      <c r="A1264" s="236">
        <v>2143</v>
      </c>
      <c r="B1264" s="235"/>
      <c r="C1264" s="234" t="s">
        <v>0</v>
      </c>
      <c r="D1264" s="232">
        <v>2501</v>
      </c>
      <c r="E1264" s="233">
        <v>16435.62</v>
      </c>
      <c r="F1264" s="232">
        <v>12125.15482</v>
      </c>
      <c r="G1264" s="231">
        <v>73.773638110396817</v>
      </c>
    </row>
    <row r="1265" spans="1:7" x14ac:dyDescent="0.2">
      <c r="A1265" s="242"/>
      <c r="B1265" s="250"/>
      <c r="C1265" s="240"/>
      <c r="D1265" s="249"/>
      <c r="E1265" s="249"/>
      <c r="F1265" s="249"/>
      <c r="G1265" s="237"/>
    </row>
    <row r="1266" spans="1:7" x14ac:dyDescent="0.2">
      <c r="A1266" s="248">
        <v>2212</v>
      </c>
      <c r="B1266" s="247">
        <v>6121</v>
      </c>
      <c r="C1266" s="246" t="s">
        <v>259</v>
      </c>
      <c r="D1266" s="244">
        <v>1260687</v>
      </c>
      <c r="E1266" s="245">
        <v>998269.01000000047</v>
      </c>
      <c r="F1266" s="244">
        <v>963357.98068000027</v>
      </c>
      <c r="G1266" s="243">
        <v>96.502843525113519</v>
      </c>
    </row>
    <row r="1267" spans="1:7" x14ac:dyDescent="0.2">
      <c r="A1267" s="242">
        <v>2212</v>
      </c>
      <c r="B1267" s="241">
        <v>6351</v>
      </c>
      <c r="C1267" s="240" t="s">
        <v>276</v>
      </c>
      <c r="D1267" s="238">
        <v>80000</v>
      </c>
      <c r="E1267" s="239">
        <v>62300</v>
      </c>
      <c r="F1267" s="238">
        <v>56927</v>
      </c>
      <c r="G1267" s="237">
        <v>91.375601926163725</v>
      </c>
    </row>
    <row r="1268" spans="1:7" x14ac:dyDescent="0.2">
      <c r="A1268" s="242">
        <v>2212</v>
      </c>
      <c r="B1268" s="241">
        <v>6356</v>
      </c>
      <c r="C1268" s="240" t="s">
        <v>301</v>
      </c>
      <c r="D1268" s="238">
        <v>0</v>
      </c>
      <c r="E1268" s="239">
        <v>441.61</v>
      </c>
      <c r="F1268" s="238">
        <v>441.60602</v>
      </c>
      <c r="G1268" s="237">
        <v>99.999098752292753</v>
      </c>
    </row>
    <row r="1269" spans="1:7" x14ac:dyDescent="0.2">
      <c r="A1269" s="236">
        <v>2212</v>
      </c>
      <c r="B1269" s="235"/>
      <c r="C1269" s="234" t="s">
        <v>230</v>
      </c>
      <c r="D1269" s="232">
        <v>1340687</v>
      </c>
      <c r="E1269" s="233">
        <v>1061010.6200000006</v>
      </c>
      <c r="F1269" s="232">
        <v>1020726.5867000002</v>
      </c>
      <c r="G1269" s="231">
        <v>96.203239388876199</v>
      </c>
    </row>
    <row r="1270" spans="1:7" x14ac:dyDescent="0.2">
      <c r="A1270" s="242"/>
      <c r="B1270" s="250"/>
      <c r="C1270" s="240"/>
      <c r="D1270" s="249"/>
      <c r="E1270" s="249"/>
      <c r="F1270" s="249"/>
      <c r="G1270" s="237"/>
    </row>
    <row r="1271" spans="1:7" x14ac:dyDescent="0.2">
      <c r="A1271" s="248">
        <v>2219</v>
      </c>
      <c r="B1271" s="247">
        <v>6341</v>
      </c>
      <c r="C1271" s="246" t="s">
        <v>266</v>
      </c>
      <c r="D1271" s="244">
        <v>4500</v>
      </c>
      <c r="E1271" s="245">
        <v>13500</v>
      </c>
      <c r="F1271" s="244">
        <v>12929.45888</v>
      </c>
      <c r="G1271" s="243">
        <v>95.77376948148148</v>
      </c>
    </row>
    <row r="1272" spans="1:7" x14ac:dyDescent="0.2">
      <c r="A1272" s="236">
        <v>2219</v>
      </c>
      <c r="B1272" s="235"/>
      <c r="C1272" s="234" t="s">
        <v>317</v>
      </c>
      <c r="D1272" s="232">
        <v>4500</v>
      </c>
      <c r="E1272" s="233">
        <v>13500</v>
      </c>
      <c r="F1272" s="232">
        <v>12929.45888</v>
      </c>
      <c r="G1272" s="231">
        <v>95.77376948148148</v>
      </c>
    </row>
    <row r="1273" spans="1:7" x14ac:dyDescent="0.2">
      <c r="A1273" s="242"/>
      <c r="B1273" s="250"/>
      <c r="C1273" s="240"/>
      <c r="D1273" s="249"/>
      <c r="E1273" s="249"/>
      <c r="F1273" s="249"/>
      <c r="G1273" s="237"/>
    </row>
    <row r="1274" spans="1:7" x14ac:dyDescent="0.2">
      <c r="A1274" s="248">
        <v>2251</v>
      </c>
      <c r="B1274" s="247">
        <v>6111</v>
      </c>
      <c r="C1274" s="246" t="s">
        <v>261</v>
      </c>
      <c r="D1274" s="244">
        <v>0</v>
      </c>
      <c r="E1274" s="245">
        <v>902</v>
      </c>
      <c r="F1274" s="244">
        <v>801.04300000000001</v>
      </c>
      <c r="G1274" s="243">
        <v>88.807427937915733</v>
      </c>
    </row>
    <row r="1275" spans="1:7" x14ac:dyDescent="0.2">
      <c r="A1275" s="242">
        <v>2251</v>
      </c>
      <c r="B1275" s="241">
        <v>6121</v>
      </c>
      <c r="C1275" s="240" t="s">
        <v>259</v>
      </c>
      <c r="D1275" s="238">
        <v>390740</v>
      </c>
      <c r="E1275" s="239">
        <v>401870.88</v>
      </c>
      <c r="F1275" s="238">
        <v>378197.10017999995</v>
      </c>
      <c r="G1275" s="237">
        <v>94.109107925411251</v>
      </c>
    </row>
    <row r="1276" spans="1:7" x14ac:dyDescent="0.2">
      <c r="A1276" s="242">
        <v>2251</v>
      </c>
      <c r="B1276" s="241">
        <v>6122</v>
      </c>
      <c r="C1276" s="240" t="s">
        <v>258</v>
      </c>
      <c r="D1276" s="238">
        <v>27000</v>
      </c>
      <c r="E1276" s="239">
        <v>41000</v>
      </c>
      <c r="F1276" s="238">
        <v>39726.315499999997</v>
      </c>
      <c r="G1276" s="237">
        <v>96.893452439024387</v>
      </c>
    </row>
    <row r="1277" spans="1:7" x14ac:dyDescent="0.2">
      <c r="A1277" s="242">
        <v>2251</v>
      </c>
      <c r="B1277" s="241">
        <v>6130</v>
      </c>
      <c r="C1277" s="240" t="s">
        <v>264</v>
      </c>
      <c r="D1277" s="238">
        <v>250</v>
      </c>
      <c r="E1277" s="239">
        <v>276.7</v>
      </c>
      <c r="F1277" s="238">
        <v>0</v>
      </c>
      <c r="G1277" s="237">
        <v>0</v>
      </c>
    </row>
    <row r="1278" spans="1:7" x14ac:dyDescent="0.2">
      <c r="A1278" s="242">
        <v>2251</v>
      </c>
      <c r="B1278" s="241">
        <v>6201</v>
      </c>
      <c r="C1278" s="240" t="s">
        <v>290</v>
      </c>
      <c r="D1278" s="238">
        <v>17258</v>
      </c>
      <c r="E1278" s="239">
        <v>17258</v>
      </c>
      <c r="F1278" s="238">
        <v>17258</v>
      </c>
      <c r="G1278" s="237">
        <v>100</v>
      </c>
    </row>
    <row r="1279" spans="1:7" x14ac:dyDescent="0.2">
      <c r="A1279" s="242">
        <v>2251</v>
      </c>
      <c r="B1279" s="241">
        <v>6313</v>
      </c>
      <c r="C1279" s="240" t="s">
        <v>294</v>
      </c>
      <c r="D1279" s="238">
        <v>4000</v>
      </c>
      <c r="E1279" s="239">
        <v>1500</v>
      </c>
      <c r="F1279" s="238">
        <v>1500</v>
      </c>
      <c r="G1279" s="237">
        <v>100</v>
      </c>
    </row>
    <row r="1280" spans="1:7" x14ac:dyDescent="0.2">
      <c r="A1280" s="236">
        <v>2251</v>
      </c>
      <c r="B1280" s="235"/>
      <c r="C1280" s="234" t="s">
        <v>226</v>
      </c>
      <c r="D1280" s="232">
        <v>439248</v>
      </c>
      <c r="E1280" s="233">
        <v>462807.58</v>
      </c>
      <c r="F1280" s="232">
        <v>437482.45867999992</v>
      </c>
      <c r="G1280" s="231">
        <v>94.527937221771495</v>
      </c>
    </row>
    <row r="1281" spans="1:15" x14ac:dyDescent="0.2">
      <c r="A1281" s="242"/>
      <c r="B1281" s="250"/>
      <c r="C1281" s="240"/>
      <c r="D1281" s="249"/>
      <c r="E1281" s="249"/>
      <c r="F1281" s="249"/>
      <c r="G1281" s="237"/>
    </row>
    <row r="1282" spans="1:15" x14ac:dyDescent="0.2">
      <c r="A1282" s="248">
        <v>2299</v>
      </c>
      <c r="B1282" s="247">
        <v>6313</v>
      </c>
      <c r="C1282" s="246" t="s">
        <v>294</v>
      </c>
      <c r="D1282" s="244">
        <v>0</v>
      </c>
      <c r="E1282" s="245">
        <v>3010.61</v>
      </c>
      <c r="F1282" s="244">
        <v>2854.6872899999998</v>
      </c>
      <c r="G1282" s="243">
        <v>94.820893108041219</v>
      </c>
    </row>
    <row r="1283" spans="1:15" x14ac:dyDescent="0.2">
      <c r="A1283" s="242">
        <v>2299</v>
      </c>
      <c r="B1283" s="241">
        <v>6329</v>
      </c>
      <c r="C1283" s="240" t="s">
        <v>262</v>
      </c>
      <c r="D1283" s="238">
        <v>0</v>
      </c>
      <c r="E1283" s="239">
        <v>173</v>
      </c>
      <c r="F1283" s="238">
        <v>173</v>
      </c>
      <c r="G1283" s="237">
        <v>100</v>
      </c>
    </row>
    <row r="1284" spans="1:15" x14ac:dyDescent="0.2">
      <c r="A1284" s="242">
        <v>2299</v>
      </c>
      <c r="B1284" s="241">
        <v>6413</v>
      </c>
      <c r="C1284" s="240" t="s">
        <v>316</v>
      </c>
      <c r="D1284" s="238">
        <v>0</v>
      </c>
      <c r="E1284" s="239">
        <v>2297.25</v>
      </c>
      <c r="F1284" s="238">
        <v>2231.0835099999999</v>
      </c>
      <c r="G1284" s="237">
        <v>97.119752312547618</v>
      </c>
    </row>
    <row r="1285" spans="1:15" x14ac:dyDescent="0.2">
      <c r="A1285" s="236">
        <v>2299</v>
      </c>
      <c r="B1285" s="235"/>
      <c r="C1285" s="234" t="s">
        <v>315</v>
      </c>
      <c r="D1285" s="232">
        <v>0</v>
      </c>
      <c r="E1285" s="233">
        <v>5480.8600000000006</v>
      </c>
      <c r="F1285" s="232">
        <v>5258.7708000000002</v>
      </c>
      <c r="G1285" s="231">
        <v>95.947913283681757</v>
      </c>
    </row>
    <row r="1286" spans="1:15" x14ac:dyDescent="0.2">
      <c r="A1286" s="242"/>
      <c r="B1286" s="250"/>
      <c r="C1286" s="240"/>
      <c r="D1286" s="249"/>
      <c r="E1286" s="249"/>
      <c r="F1286" s="249"/>
      <c r="G1286" s="237"/>
    </row>
    <row r="1287" spans="1:15" x14ac:dyDescent="0.2">
      <c r="A1287" s="248">
        <v>2369</v>
      </c>
      <c r="B1287" s="247">
        <v>6119</v>
      </c>
      <c r="C1287" s="246" t="s">
        <v>260</v>
      </c>
      <c r="D1287" s="244">
        <v>1000</v>
      </c>
      <c r="E1287" s="245">
        <v>0</v>
      </c>
      <c r="F1287" s="244">
        <v>0</v>
      </c>
      <c r="G1287" s="261" t="s">
        <v>279</v>
      </c>
    </row>
    <row r="1288" spans="1:15" x14ac:dyDescent="0.2">
      <c r="A1288" s="236">
        <v>2369</v>
      </c>
      <c r="B1288" s="235"/>
      <c r="C1288" s="234" t="s">
        <v>314</v>
      </c>
      <c r="D1288" s="232">
        <v>1000</v>
      </c>
      <c r="E1288" s="233">
        <v>0</v>
      </c>
      <c r="F1288" s="232">
        <v>0</v>
      </c>
      <c r="G1288" s="258" t="s">
        <v>279</v>
      </c>
    </row>
    <row r="1289" spans="1:15" x14ac:dyDescent="0.2">
      <c r="A1289" s="242"/>
      <c r="B1289" s="250"/>
      <c r="C1289" s="240"/>
      <c r="D1289" s="249"/>
      <c r="E1289" s="249"/>
      <c r="F1289" s="249"/>
      <c r="G1289" s="237"/>
    </row>
    <row r="1290" spans="1:15" x14ac:dyDescent="0.2">
      <c r="A1290" s="248">
        <v>2399</v>
      </c>
      <c r="B1290" s="247">
        <v>6341</v>
      </c>
      <c r="C1290" s="246" t="s">
        <v>266</v>
      </c>
      <c r="D1290" s="244">
        <v>15000</v>
      </c>
      <c r="E1290" s="245">
        <v>33154.619999999995</v>
      </c>
      <c r="F1290" s="244">
        <v>16407.037810000002</v>
      </c>
      <c r="G1290" s="243">
        <v>49.486429975671577</v>
      </c>
    </row>
    <row r="1291" spans="1:15" x14ac:dyDescent="0.2">
      <c r="A1291" s="236">
        <v>2399</v>
      </c>
      <c r="B1291" s="235"/>
      <c r="C1291" s="234" t="s">
        <v>223</v>
      </c>
      <c r="D1291" s="232">
        <v>15000</v>
      </c>
      <c r="E1291" s="233">
        <v>33154.619999999995</v>
      </c>
      <c r="F1291" s="232">
        <v>16407.037810000002</v>
      </c>
      <c r="G1291" s="231">
        <v>49.486429975671577</v>
      </c>
    </row>
    <row r="1292" spans="1:15" x14ac:dyDescent="0.2">
      <c r="A1292" s="242"/>
      <c r="B1292" s="250"/>
      <c r="C1292" s="240"/>
      <c r="D1292" s="249"/>
      <c r="E1292" s="249"/>
      <c r="F1292" s="249"/>
      <c r="G1292" s="237"/>
    </row>
    <row r="1293" spans="1:15" customFormat="1" x14ac:dyDescent="0.2">
      <c r="A1293" s="1317" t="s">
        <v>313</v>
      </c>
      <c r="B1293" s="1318"/>
      <c r="C1293" s="1318"/>
      <c r="D1293" s="257">
        <v>1802936</v>
      </c>
      <c r="E1293" s="257">
        <v>1592714.3</v>
      </c>
      <c r="F1293" s="257">
        <v>1505254.76569</v>
      </c>
      <c r="G1293" s="256">
        <v>94.51</v>
      </c>
      <c r="I1293" s="100"/>
      <c r="J1293" s="100"/>
      <c r="K1293" s="100"/>
      <c r="L1293" s="100"/>
      <c r="M1293" s="100"/>
      <c r="N1293" s="100"/>
      <c r="O1293" s="100"/>
    </row>
    <row r="1294" spans="1:15" customFormat="1" x14ac:dyDescent="0.2">
      <c r="A1294" s="255"/>
      <c r="B1294" s="254"/>
      <c r="C1294" s="253"/>
      <c r="D1294" s="252"/>
      <c r="E1294" s="252"/>
      <c r="F1294" s="252"/>
      <c r="G1294" s="251"/>
      <c r="I1294" s="100"/>
      <c r="J1294" s="100"/>
      <c r="K1294" s="100"/>
      <c r="L1294" s="100"/>
      <c r="M1294" s="100"/>
      <c r="N1294" s="100"/>
      <c r="O1294" s="100"/>
    </row>
    <row r="1295" spans="1:15" x14ac:dyDescent="0.2">
      <c r="A1295" s="248">
        <v>3112</v>
      </c>
      <c r="B1295" s="247">
        <v>6351</v>
      </c>
      <c r="C1295" s="246" t="s">
        <v>276</v>
      </c>
      <c r="D1295" s="244">
        <v>0</v>
      </c>
      <c r="E1295" s="245">
        <v>500</v>
      </c>
      <c r="F1295" s="244">
        <v>500</v>
      </c>
      <c r="G1295" s="243">
        <v>100</v>
      </c>
    </row>
    <row r="1296" spans="1:15" x14ac:dyDescent="0.2">
      <c r="A1296" s="236">
        <v>3112</v>
      </c>
      <c r="B1296" s="235"/>
      <c r="C1296" s="234" t="s">
        <v>312</v>
      </c>
      <c r="D1296" s="232">
        <v>0</v>
      </c>
      <c r="E1296" s="233">
        <v>500</v>
      </c>
      <c r="F1296" s="232">
        <v>500</v>
      </c>
      <c r="G1296" s="231">
        <v>100</v>
      </c>
    </row>
    <row r="1297" spans="1:7" x14ac:dyDescent="0.2">
      <c r="A1297" s="242"/>
      <c r="B1297" s="250"/>
      <c r="C1297" s="240"/>
      <c r="D1297" s="249"/>
      <c r="E1297" s="249"/>
      <c r="F1297" s="249"/>
      <c r="G1297" s="237"/>
    </row>
    <row r="1298" spans="1:7" x14ac:dyDescent="0.2">
      <c r="A1298" s="248">
        <v>3114</v>
      </c>
      <c r="B1298" s="247">
        <v>6121</v>
      </c>
      <c r="C1298" s="246" t="s">
        <v>259</v>
      </c>
      <c r="D1298" s="244">
        <v>12508</v>
      </c>
      <c r="E1298" s="245">
        <v>18024.399999999998</v>
      </c>
      <c r="F1298" s="244">
        <v>17319.164390000002</v>
      </c>
      <c r="G1298" s="243">
        <v>96.087328232839951</v>
      </c>
    </row>
    <row r="1299" spans="1:7" x14ac:dyDescent="0.2">
      <c r="A1299" s="242">
        <v>3114</v>
      </c>
      <c r="B1299" s="241">
        <v>6351</v>
      </c>
      <c r="C1299" s="240" t="s">
        <v>276</v>
      </c>
      <c r="D1299" s="238">
        <v>1000</v>
      </c>
      <c r="E1299" s="239">
        <v>4507</v>
      </c>
      <c r="F1299" s="238">
        <v>3112.3961899999995</v>
      </c>
      <c r="G1299" s="237">
        <v>69.056937874417557</v>
      </c>
    </row>
    <row r="1300" spans="1:7" x14ac:dyDescent="0.2">
      <c r="A1300" s="236">
        <v>3114</v>
      </c>
      <c r="B1300" s="235"/>
      <c r="C1300" s="234" t="s">
        <v>221</v>
      </c>
      <c r="D1300" s="232">
        <v>13508</v>
      </c>
      <c r="E1300" s="233">
        <v>22531.399999999998</v>
      </c>
      <c r="F1300" s="232">
        <v>20431.560580000001</v>
      </c>
      <c r="G1300" s="231">
        <v>90.680386394098917</v>
      </c>
    </row>
    <row r="1301" spans="1:7" x14ac:dyDescent="0.2">
      <c r="A1301" s="242"/>
      <c r="B1301" s="250"/>
      <c r="C1301" s="240"/>
      <c r="D1301" s="249"/>
      <c r="E1301" s="249"/>
      <c r="F1301" s="249"/>
      <c r="G1301" s="237"/>
    </row>
    <row r="1302" spans="1:7" x14ac:dyDescent="0.2">
      <c r="A1302" s="248">
        <v>3121</v>
      </c>
      <c r="B1302" s="247">
        <v>6111</v>
      </c>
      <c r="C1302" s="246" t="s">
        <v>261</v>
      </c>
      <c r="D1302" s="244">
        <v>0</v>
      </c>
      <c r="E1302" s="245">
        <v>2440.0299999999997</v>
      </c>
      <c r="F1302" s="244">
        <v>2440.0128</v>
      </c>
      <c r="G1302" s="243">
        <v>99.999295090634149</v>
      </c>
    </row>
    <row r="1303" spans="1:7" x14ac:dyDescent="0.2">
      <c r="A1303" s="242">
        <v>3121</v>
      </c>
      <c r="B1303" s="241">
        <v>6121</v>
      </c>
      <c r="C1303" s="240" t="s">
        <v>259</v>
      </c>
      <c r="D1303" s="238">
        <v>221562</v>
      </c>
      <c r="E1303" s="239">
        <v>255291.75</v>
      </c>
      <c r="F1303" s="238">
        <v>243810.99346999996</v>
      </c>
      <c r="G1303" s="237">
        <v>95.502887762726345</v>
      </c>
    </row>
    <row r="1304" spans="1:7" x14ac:dyDescent="0.2">
      <c r="A1304" s="242">
        <v>3121</v>
      </c>
      <c r="B1304" s="241">
        <v>6122</v>
      </c>
      <c r="C1304" s="240" t="s">
        <v>258</v>
      </c>
      <c r="D1304" s="238">
        <v>3566</v>
      </c>
      <c r="E1304" s="239">
        <v>4488.84</v>
      </c>
      <c r="F1304" s="238">
        <v>4295.9438599999985</v>
      </c>
      <c r="G1304" s="237">
        <v>95.702761960773799</v>
      </c>
    </row>
    <row r="1305" spans="1:7" x14ac:dyDescent="0.2">
      <c r="A1305" s="242">
        <v>3121</v>
      </c>
      <c r="B1305" s="241">
        <v>6351</v>
      </c>
      <c r="C1305" s="240" t="s">
        <v>276</v>
      </c>
      <c r="D1305" s="238">
        <v>6838</v>
      </c>
      <c r="E1305" s="239">
        <v>9275</v>
      </c>
      <c r="F1305" s="238">
        <v>7862.9845800000003</v>
      </c>
      <c r="G1305" s="237">
        <v>84.776114070080865</v>
      </c>
    </row>
    <row r="1306" spans="1:7" x14ac:dyDescent="0.2">
      <c r="A1306" s="236">
        <v>3121</v>
      </c>
      <c r="B1306" s="235"/>
      <c r="C1306" s="234" t="s">
        <v>220</v>
      </c>
      <c r="D1306" s="232">
        <v>231966</v>
      </c>
      <c r="E1306" s="233">
        <v>271495.62</v>
      </c>
      <c r="F1306" s="232">
        <v>258409.93470999994</v>
      </c>
      <c r="G1306" s="231">
        <v>95.180148655805183</v>
      </c>
    </row>
    <row r="1307" spans="1:7" x14ac:dyDescent="0.2">
      <c r="A1307" s="242"/>
      <c r="B1307" s="250"/>
      <c r="C1307" s="240"/>
      <c r="D1307" s="249"/>
      <c r="E1307" s="249"/>
      <c r="F1307" s="249"/>
      <c r="G1307" s="237"/>
    </row>
    <row r="1308" spans="1:7" x14ac:dyDescent="0.2">
      <c r="A1308" s="248">
        <v>3122</v>
      </c>
      <c r="B1308" s="247">
        <v>6111</v>
      </c>
      <c r="C1308" s="246" t="s">
        <v>261</v>
      </c>
      <c r="D1308" s="244">
        <v>2205</v>
      </c>
      <c r="E1308" s="245">
        <v>2995.05</v>
      </c>
      <c r="F1308" s="244">
        <v>2752.31016</v>
      </c>
      <c r="G1308" s="243">
        <v>91.895299243752177</v>
      </c>
    </row>
    <row r="1309" spans="1:7" x14ac:dyDescent="0.2">
      <c r="A1309" s="242">
        <v>3122</v>
      </c>
      <c r="B1309" s="241">
        <v>6119</v>
      </c>
      <c r="C1309" s="240" t="s">
        <v>260</v>
      </c>
      <c r="D1309" s="238">
        <v>0</v>
      </c>
      <c r="E1309" s="239">
        <v>39</v>
      </c>
      <c r="F1309" s="238">
        <v>0</v>
      </c>
      <c r="G1309" s="237">
        <v>0</v>
      </c>
    </row>
    <row r="1310" spans="1:7" x14ac:dyDescent="0.2">
      <c r="A1310" s="242">
        <v>3122</v>
      </c>
      <c r="B1310" s="241">
        <v>6121</v>
      </c>
      <c r="C1310" s="240" t="s">
        <v>259</v>
      </c>
      <c r="D1310" s="238">
        <v>132259</v>
      </c>
      <c r="E1310" s="239">
        <v>152906.61000000002</v>
      </c>
      <c r="F1310" s="238">
        <v>150966.62067999999</v>
      </c>
      <c r="G1310" s="237">
        <v>98.731258694440996</v>
      </c>
    </row>
    <row r="1311" spans="1:7" x14ac:dyDescent="0.2">
      <c r="A1311" s="242">
        <v>3122</v>
      </c>
      <c r="B1311" s="241">
        <v>6122</v>
      </c>
      <c r="C1311" s="240" t="s">
        <v>258</v>
      </c>
      <c r="D1311" s="238">
        <v>5700</v>
      </c>
      <c r="E1311" s="239">
        <v>4860.5599999999995</v>
      </c>
      <c r="F1311" s="238">
        <v>4801.6093199999996</v>
      </c>
      <c r="G1311" s="237">
        <v>98.787162796056421</v>
      </c>
    </row>
    <row r="1312" spans="1:7" x14ac:dyDescent="0.2">
      <c r="A1312" s="242">
        <v>3122</v>
      </c>
      <c r="B1312" s="241">
        <v>6351</v>
      </c>
      <c r="C1312" s="240" t="s">
        <v>276</v>
      </c>
      <c r="D1312" s="238">
        <v>2700</v>
      </c>
      <c r="E1312" s="239">
        <v>13400.99</v>
      </c>
      <c r="F1312" s="238">
        <v>10248.155429999999</v>
      </c>
      <c r="G1312" s="237">
        <v>76.47312198576374</v>
      </c>
    </row>
    <row r="1313" spans="1:7" x14ac:dyDescent="0.2">
      <c r="A1313" s="236">
        <v>3122</v>
      </c>
      <c r="B1313" s="235"/>
      <c r="C1313" s="234" t="s">
        <v>219</v>
      </c>
      <c r="D1313" s="232">
        <v>142864</v>
      </c>
      <c r="E1313" s="233">
        <v>174202.21</v>
      </c>
      <c r="F1313" s="232">
        <v>168768.69558999996</v>
      </c>
      <c r="G1313" s="231">
        <v>96.880915339707784</v>
      </c>
    </row>
    <row r="1314" spans="1:7" x14ac:dyDescent="0.2">
      <c r="A1314" s="242"/>
      <c r="B1314" s="250"/>
      <c r="C1314" s="240"/>
      <c r="D1314" s="249"/>
      <c r="E1314" s="249"/>
      <c r="F1314" s="249"/>
      <c r="G1314" s="237"/>
    </row>
    <row r="1315" spans="1:7" x14ac:dyDescent="0.2">
      <c r="A1315" s="248">
        <v>3123</v>
      </c>
      <c r="B1315" s="247">
        <v>6121</v>
      </c>
      <c r="C1315" s="246" t="s">
        <v>259</v>
      </c>
      <c r="D1315" s="244">
        <v>136341</v>
      </c>
      <c r="E1315" s="245">
        <v>161178.31</v>
      </c>
      <c r="F1315" s="244">
        <v>153090.99626999992</v>
      </c>
      <c r="G1315" s="243">
        <v>94.982380861295752</v>
      </c>
    </row>
    <row r="1316" spans="1:7" x14ac:dyDescent="0.2">
      <c r="A1316" s="242">
        <v>3123</v>
      </c>
      <c r="B1316" s="241">
        <v>6122</v>
      </c>
      <c r="C1316" s="240" t="s">
        <v>258</v>
      </c>
      <c r="D1316" s="238">
        <v>1000</v>
      </c>
      <c r="E1316" s="239">
        <v>6573.54</v>
      </c>
      <c r="F1316" s="238">
        <v>4496.3599999999997</v>
      </c>
      <c r="G1316" s="237">
        <v>68.400892061202939</v>
      </c>
    </row>
    <row r="1317" spans="1:7" x14ac:dyDescent="0.2">
      <c r="A1317" s="242">
        <v>3123</v>
      </c>
      <c r="B1317" s="241">
        <v>6351</v>
      </c>
      <c r="C1317" s="240" t="s">
        <v>276</v>
      </c>
      <c r="D1317" s="238">
        <v>0</v>
      </c>
      <c r="E1317" s="239">
        <v>9350.26</v>
      </c>
      <c r="F1317" s="238">
        <v>9350.26</v>
      </c>
      <c r="G1317" s="237">
        <v>100</v>
      </c>
    </row>
    <row r="1318" spans="1:7" x14ac:dyDescent="0.2">
      <c r="A1318" s="236">
        <v>3123</v>
      </c>
      <c r="B1318" s="235"/>
      <c r="C1318" s="234" t="s">
        <v>218</v>
      </c>
      <c r="D1318" s="232">
        <v>137341</v>
      </c>
      <c r="E1318" s="233">
        <v>177102.11000000002</v>
      </c>
      <c r="F1318" s="232">
        <v>166937.61626999991</v>
      </c>
      <c r="G1318" s="231">
        <v>94.260659158719179</v>
      </c>
    </row>
    <row r="1319" spans="1:7" x14ac:dyDescent="0.2">
      <c r="A1319" s="242"/>
      <c r="B1319" s="250"/>
      <c r="C1319" s="240"/>
      <c r="D1319" s="249"/>
      <c r="E1319" s="249"/>
      <c r="F1319" s="249"/>
      <c r="G1319" s="237"/>
    </row>
    <row r="1320" spans="1:7" x14ac:dyDescent="0.2">
      <c r="A1320" s="248">
        <v>3124</v>
      </c>
      <c r="B1320" s="247">
        <v>6121</v>
      </c>
      <c r="C1320" s="246" t="s">
        <v>259</v>
      </c>
      <c r="D1320" s="244">
        <v>13095</v>
      </c>
      <c r="E1320" s="245">
        <v>19621.119999999995</v>
      </c>
      <c r="F1320" s="244">
        <v>17052.069590000003</v>
      </c>
      <c r="G1320" s="243">
        <v>86.906708638446773</v>
      </c>
    </row>
    <row r="1321" spans="1:7" x14ac:dyDescent="0.2">
      <c r="A1321" s="242">
        <v>3124</v>
      </c>
      <c r="B1321" s="241">
        <v>6351</v>
      </c>
      <c r="C1321" s="240" t="s">
        <v>276</v>
      </c>
      <c r="D1321" s="238">
        <v>3600</v>
      </c>
      <c r="E1321" s="239">
        <v>3785.13</v>
      </c>
      <c r="F1321" s="238">
        <v>3785.13</v>
      </c>
      <c r="G1321" s="237">
        <v>100</v>
      </c>
    </row>
    <row r="1322" spans="1:7" x14ac:dyDescent="0.2">
      <c r="A1322" s="236">
        <v>3124</v>
      </c>
      <c r="B1322" s="235"/>
      <c r="C1322" s="234" t="s">
        <v>311</v>
      </c>
      <c r="D1322" s="232">
        <v>16695</v>
      </c>
      <c r="E1322" s="233">
        <v>23406.249999999996</v>
      </c>
      <c r="F1322" s="232">
        <v>20837.199590000004</v>
      </c>
      <c r="G1322" s="231">
        <v>89.024083695594157</v>
      </c>
    </row>
    <row r="1323" spans="1:7" x14ac:dyDescent="0.2">
      <c r="A1323" s="242"/>
      <c r="B1323" s="250"/>
      <c r="C1323" s="240"/>
      <c r="D1323" s="249"/>
      <c r="E1323" s="249"/>
      <c r="F1323" s="249"/>
      <c r="G1323" s="237"/>
    </row>
    <row r="1324" spans="1:7" x14ac:dyDescent="0.2">
      <c r="A1324" s="248">
        <v>3125</v>
      </c>
      <c r="B1324" s="247">
        <v>6121</v>
      </c>
      <c r="C1324" s="246" t="s">
        <v>259</v>
      </c>
      <c r="D1324" s="244">
        <v>0</v>
      </c>
      <c r="E1324" s="245">
        <v>157.29999999999998</v>
      </c>
      <c r="F1324" s="244">
        <v>0</v>
      </c>
      <c r="G1324" s="243">
        <v>0</v>
      </c>
    </row>
    <row r="1325" spans="1:7" x14ac:dyDescent="0.2">
      <c r="A1325" s="242">
        <v>3125</v>
      </c>
      <c r="B1325" s="241">
        <v>6351</v>
      </c>
      <c r="C1325" s="240" t="s">
        <v>276</v>
      </c>
      <c r="D1325" s="238">
        <v>0</v>
      </c>
      <c r="E1325" s="239">
        <v>500</v>
      </c>
      <c r="F1325" s="238">
        <v>500</v>
      </c>
      <c r="G1325" s="237">
        <v>100</v>
      </c>
    </row>
    <row r="1326" spans="1:7" x14ac:dyDescent="0.2">
      <c r="A1326" s="236">
        <v>3125</v>
      </c>
      <c r="B1326" s="235"/>
      <c r="C1326" s="234" t="s">
        <v>310</v>
      </c>
      <c r="D1326" s="232">
        <v>0</v>
      </c>
      <c r="E1326" s="233">
        <v>657.3</v>
      </c>
      <c r="F1326" s="232">
        <v>500</v>
      </c>
      <c r="G1326" s="231">
        <v>76.068766164612811</v>
      </c>
    </row>
    <row r="1327" spans="1:7" x14ac:dyDescent="0.2">
      <c r="A1327" s="242"/>
      <c r="B1327" s="250"/>
      <c r="C1327" s="240"/>
      <c r="D1327" s="249"/>
      <c r="E1327" s="249"/>
      <c r="F1327" s="249"/>
      <c r="G1327" s="237"/>
    </row>
    <row r="1328" spans="1:7" x14ac:dyDescent="0.2">
      <c r="A1328" s="248">
        <v>3133</v>
      </c>
      <c r="B1328" s="247">
        <v>6121</v>
      </c>
      <c r="C1328" s="246" t="s">
        <v>259</v>
      </c>
      <c r="D1328" s="244">
        <v>0</v>
      </c>
      <c r="E1328" s="245">
        <v>4496.2199999999993</v>
      </c>
      <c r="F1328" s="244">
        <v>3246.1930400000001</v>
      </c>
      <c r="G1328" s="243">
        <v>72.198269657623527</v>
      </c>
    </row>
    <row r="1329" spans="1:7" x14ac:dyDescent="0.2">
      <c r="A1329" s="242">
        <v>3133</v>
      </c>
      <c r="B1329" s="241">
        <v>6351</v>
      </c>
      <c r="C1329" s="240" t="s">
        <v>276</v>
      </c>
      <c r="D1329" s="238">
        <v>0</v>
      </c>
      <c r="E1329" s="239">
        <v>2310</v>
      </c>
      <c r="F1329" s="238">
        <v>2310</v>
      </c>
      <c r="G1329" s="237">
        <v>100</v>
      </c>
    </row>
    <row r="1330" spans="1:7" x14ac:dyDescent="0.2">
      <c r="A1330" s="236">
        <v>3133</v>
      </c>
      <c r="B1330" s="235"/>
      <c r="C1330" s="259" t="s">
        <v>309</v>
      </c>
      <c r="D1330" s="232">
        <v>0</v>
      </c>
      <c r="E1330" s="233">
        <v>6806.2199999999993</v>
      </c>
      <c r="F1330" s="232">
        <v>5556.1930400000001</v>
      </c>
      <c r="G1330" s="231">
        <v>81.634050030707215</v>
      </c>
    </row>
    <row r="1331" spans="1:7" x14ac:dyDescent="0.2">
      <c r="A1331" s="242"/>
      <c r="B1331" s="250"/>
      <c r="C1331" s="240"/>
      <c r="D1331" s="249"/>
      <c r="E1331" s="249"/>
      <c r="F1331" s="249"/>
      <c r="G1331" s="237"/>
    </row>
    <row r="1332" spans="1:7" x14ac:dyDescent="0.2">
      <c r="A1332" s="248">
        <v>3141</v>
      </c>
      <c r="B1332" s="247">
        <v>6351</v>
      </c>
      <c r="C1332" s="246" t="s">
        <v>276</v>
      </c>
      <c r="D1332" s="244">
        <v>0</v>
      </c>
      <c r="E1332" s="245">
        <v>628</v>
      </c>
      <c r="F1332" s="244">
        <v>628</v>
      </c>
      <c r="G1332" s="243">
        <v>100</v>
      </c>
    </row>
    <row r="1333" spans="1:7" x14ac:dyDescent="0.2">
      <c r="A1333" s="236">
        <v>3141</v>
      </c>
      <c r="B1333" s="235"/>
      <c r="C1333" s="234" t="s">
        <v>308</v>
      </c>
      <c r="D1333" s="232">
        <v>0</v>
      </c>
      <c r="E1333" s="233">
        <v>628</v>
      </c>
      <c r="F1333" s="232">
        <v>628</v>
      </c>
      <c r="G1333" s="231">
        <v>100</v>
      </c>
    </row>
    <row r="1334" spans="1:7" x14ac:dyDescent="0.2">
      <c r="A1334" s="242"/>
      <c r="B1334" s="250"/>
      <c r="C1334" s="240"/>
      <c r="D1334" s="249"/>
      <c r="E1334" s="249"/>
      <c r="F1334" s="249"/>
      <c r="G1334" s="237"/>
    </row>
    <row r="1335" spans="1:7" x14ac:dyDescent="0.2">
      <c r="A1335" s="248">
        <v>3146</v>
      </c>
      <c r="B1335" s="247">
        <v>6122</v>
      </c>
      <c r="C1335" s="246" t="s">
        <v>258</v>
      </c>
      <c r="D1335" s="244">
        <v>0</v>
      </c>
      <c r="E1335" s="245">
        <v>459.46000000000004</v>
      </c>
      <c r="F1335" s="244">
        <v>459.44809000000004</v>
      </c>
      <c r="G1335" s="243">
        <v>99.997407826579035</v>
      </c>
    </row>
    <row r="1336" spans="1:7" x14ac:dyDescent="0.2">
      <c r="A1336" s="236">
        <v>3146</v>
      </c>
      <c r="B1336" s="235"/>
      <c r="C1336" s="234" t="s">
        <v>307</v>
      </c>
      <c r="D1336" s="232">
        <v>0</v>
      </c>
      <c r="E1336" s="233">
        <v>459.46000000000004</v>
      </c>
      <c r="F1336" s="232">
        <v>459.44809000000004</v>
      </c>
      <c r="G1336" s="231">
        <v>99.997407826579035</v>
      </c>
    </row>
    <row r="1337" spans="1:7" x14ac:dyDescent="0.2">
      <c r="A1337" s="242"/>
      <c r="B1337" s="250"/>
      <c r="C1337" s="240"/>
      <c r="D1337" s="249"/>
      <c r="E1337" s="249"/>
      <c r="F1337" s="249"/>
      <c r="G1337" s="237"/>
    </row>
    <row r="1338" spans="1:7" x14ac:dyDescent="0.2">
      <c r="A1338" s="248">
        <v>3231</v>
      </c>
      <c r="B1338" s="247">
        <v>6121</v>
      </c>
      <c r="C1338" s="246" t="s">
        <v>259</v>
      </c>
      <c r="D1338" s="244">
        <v>3397</v>
      </c>
      <c r="E1338" s="245">
        <v>8441.0499999999993</v>
      </c>
      <c r="F1338" s="244">
        <v>7940.990310000001</v>
      </c>
      <c r="G1338" s="243">
        <v>94.075859164440473</v>
      </c>
    </row>
    <row r="1339" spans="1:7" x14ac:dyDescent="0.2">
      <c r="A1339" s="242">
        <v>3231</v>
      </c>
      <c r="B1339" s="241">
        <v>6122</v>
      </c>
      <c r="C1339" s="240" t="s">
        <v>258</v>
      </c>
      <c r="D1339" s="238">
        <v>6500</v>
      </c>
      <c r="E1339" s="239">
        <v>6179.05</v>
      </c>
      <c r="F1339" s="238">
        <v>6170.8172000000013</v>
      </c>
      <c r="G1339" s="237">
        <v>99.866762690057556</v>
      </c>
    </row>
    <row r="1340" spans="1:7" x14ac:dyDescent="0.2">
      <c r="A1340" s="242">
        <v>3231</v>
      </c>
      <c r="B1340" s="241">
        <v>6351</v>
      </c>
      <c r="C1340" s="240" t="s">
        <v>276</v>
      </c>
      <c r="D1340" s="238">
        <v>0</v>
      </c>
      <c r="E1340" s="239">
        <v>2150</v>
      </c>
      <c r="F1340" s="238">
        <v>2148.404</v>
      </c>
      <c r="G1340" s="237">
        <v>99.925767441860472</v>
      </c>
    </row>
    <row r="1341" spans="1:7" x14ac:dyDescent="0.2">
      <c r="A1341" s="236">
        <v>3231</v>
      </c>
      <c r="B1341" s="235"/>
      <c r="C1341" s="234" t="s">
        <v>217</v>
      </c>
      <c r="D1341" s="232">
        <v>9897</v>
      </c>
      <c r="E1341" s="233">
        <v>16770.099999999999</v>
      </c>
      <c r="F1341" s="232">
        <v>16260.211510000003</v>
      </c>
      <c r="G1341" s="231">
        <v>96.959538166140959</v>
      </c>
    </row>
    <row r="1342" spans="1:7" x14ac:dyDescent="0.2">
      <c r="A1342" s="242"/>
      <c r="B1342" s="250"/>
      <c r="C1342" s="240"/>
      <c r="D1342" s="249"/>
      <c r="E1342" s="249"/>
      <c r="F1342" s="249"/>
      <c r="G1342" s="237"/>
    </row>
    <row r="1343" spans="1:7" x14ac:dyDescent="0.2">
      <c r="A1343" s="248">
        <v>3299</v>
      </c>
      <c r="B1343" s="247">
        <v>6121</v>
      </c>
      <c r="C1343" s="246" t="s">
        <v>259</v>
      </c>
      <c r="D1343" s="244">
        <v>0</v>
      </c>
      <c r="E1343" s="245">
        <v>971.34</v>
      </c>
      <c r="F1343" s="244">
        <v>0</v>
      </c>
      <c r="G1343" s="243">
        <v>0</v>
      </c>
    </row>
    <row r="1344" spans="1:7" x14ac:dyDescent="0.2">
      <c r="A1344" s="242">
        <v>3299</v>
      </c>
      <c r="B1344" s="241">
        <v>6122</v>
      </c>
      <c r="C1344" s="240" t="s">
        <v>258</v>
      </c>
      <c r="D1344" s="238">
        <v>38885</v>
      </c>
      <c r="E1344" s="239">
        <v>47398.819999999992</v>
      </c>
      <c r="F1344" s="238">
        <v>47107.247150000003</v>
      </c>
      <c r="G1344" s="237">
        <v>99.384852091254615</v>
      </c>
    </row>
    <row r="1345" spans="1:7" x14ac:dyDescent="0.2">
      <c r="A1345" s="242">
        <v>3299</v>
      </c>
      <c r="B1345" s="241">
        <v>6125</v>
      </c>
      <c r="C1345" s="240" t="s">
        <v>256</v>
      </c>
      <c r="D1345" s="238">
        <v>0</v>
      </c>
      <c r="E1345" s="239">
        <v>90.74</v>
      </c>
      <c r="F1345" s="238">
        <v>90.736999999999995</v>
      </c>
      <c r="G1345" s="237">
        <v>99.996693850562053</v>
      </c>
    </row>
    <row r="1346" spans="1:7" x14ac:dyDescent="0.2">
      <c r="A1346" s="242">
        <v>3299</v>
      </c>
      <c r="B1346" s="241">
        <v>6313</v>
      </c>
      <c r="C1346" s="240" t="s">
        <v>294</v>
      </c>
      <c r="D1346" s="238">
        <v>0</v>
      </c>
      <c r="E1346" s="239">
        <v>2081.8900000000003</v>
      </c>
      <c r="F1346" s="238">
        <v>1265.2022300000001</v>
      </c>
      <c r="G1346" s="237">
        <v>60.771809749794649</v>
      </c>
    </row>
    <row r="1347" spans="1:7" x14ac:dyDescent="0.2">
      <c r="A1347" s="242">
        <v>3299</v>
      </c>
      <c r="B1347" s="241">
        <v>6322</v>
      </c>
      <c r="C1347" s="240" t="s">
        <v>267</v>
      </c>
      <c r="D1347" s="238">
        <v>0</v>
      </c>
      <c r="E1347" s="239">
        <v>887.99999999999989</v>
      </c>
      <c r="F1347" s="238">
        <v>708.02199999999993</v>
      </c>
      <c r="G1347" s="237">
        <v>79.73220720720721</v>
      </c>
    </row>
    <row r="1348" spans="1:7" x14ac:dyDescent="0.2">
      <c r="A1348" s="242">
        <v>3299</v>
      </c>
      <c r="B1348" s="241">
        <v>6323</v>
      </c>
      <c r="C1348" s="240" t="s">
        <v>273</v>
      </c>
      <c r="D1348" s="238">
        <v>0</v>
      </c>
      <c r="E1348" s="239">
        <v>200</v>
      </c>
      <c r="F1348" s="238">
        <v>122.999</v>
      </c>
      <c r="G1348" s="237">
        <v>61.499499999999998</v>
      </c>
    </row>
    <row r="1349" spans="1:7" x14ac:dyDescent="0.2">
      <c r="A1349" s="242">
        <v>3299</v>
      </c>
      <c r="B1349" s="241">
        <v>6329</v>
      </c>
      <c r="C1349" s="240" t="s">
        <v>262</v>
      </c>
      <c r="D1349" s="238">
        <v>0</v>
      </c>
      <c r="E1349" s="239">
        <v>266</v>
      </c>
      <c r="F1349" s="238">
        <v>94.53125</v>
      </c>
      <c r="G1349" s="237">
        <v>35.538063909774436</v>
      </c>
    </row>
    <row r="1350" spans="1:7" x14ac:dyDescent="0.2">
      <c r="A1350" s="242">
        <v>3299</v>
      </c>
      <c r="B1350" s="241">
        <v>6341</v>
      </c>
      <c r="C1350" s="240" t="s">
        <v>266</v>
      </c>
      <c r="D1350" s="238">
        <v>0</v>
      </c>
      <c r="E1350" s="239">
        <v>1855.94</v>
      </c>
      <c r="F1350" s="238">
        <v>713.15821999999991</v>
      </c>
      <c r="G1350" s="237">
        <v>38.425715270967807</v>
      </c>
    </row>
    <row r="1351" spans="1:7" x14ac:dyDescent="0.2">
      <c r="A1351" s="242">
        <v>3299</v>
      </c>
      <c r="B1351" s="241">
        <v>6352</v>
      </c>
      <c r="C1351" s="240" t="s">
        <v>293</v>
      </c>
      <c r="D1351" s="238">
        <v>0</v>
      </c>
      <c r="E1351" s="239">
        <v>181</v>
      </c>
      <c r="F1351" s="238">
        <v>180</v>
      </c>
      <c r="G1351" s="237">
        <v>99.447513812154696</v>
      </c>
    </row>
    <row r="1352" spans="1:7" x14ac:dyDescent="0.2">
      <c r="A1352" s="242">
        <v>3299</v>
      </c>
      <c r="B1352" s="241">
        <v>6356</v>
      </c>
      <c r="C1352" s="240" t="s">
        <v>301</v>
      </c>
      <c r="D1352" s="238">
        <v>0</v>
      </c>
      <c r="E1352" s="239">
        <v>15103.370000000003</v>
      </c>
      <c r="F1352" s="238">
        <v>11327.75021</v>
      </c>
      <c r="G1352" s="237">
        <v>75.001474571569119</v>
      </c>
    </row>
    <row r="1353" spans="1:7" x14ac:dyDescent="0.2">
      <c r="A1353" s="242">
        <v>3299</v>
      </c>
      <c r="B1353" s="241">
        <v>6359</v>
      </c>
      <c r="C1353" s="240" t="s">
        <v>296</v>
      </c>
      <c r="D1353" s="238">
        <v>0</v>
      </c>
      <c r="E1353" s="239">
        <v>200</v>
      </c>
      <c r="F1353" s="238">
        <v>114.3659</v>
      </c>
      <c r="G1353" s="237">
        <v>57.182949999999998</v>
      </c>
    </row>
    <row r="1354" spans="1:7" x14ac:dyDescent="0.2">
      <c r="A1354" s="242">
        <v>3299</v>
      </c>
      <c r="B1354" s="241">
        <v>6451</v>
      </c>
      <c r="C1354" s="240" t="s">
        <v>306</v>
      </c>
      <c r="D1354" s="238">
        <v>0</v>
      </c>
      <c r="E1354" s="239">
        <v>4252</v>
      </c>
      <c r="F1354" s="238">
        <v>4252</v>
      </c>
      <c r="G1354" s="237">
        <v>100</v>
      </c>
    </row>
    <row r="1355" spans="1:7" x14ac:dyDescent="0.2">
      <c r="A1355" s="236">
        <v>3299</v>
      </c>
      <c r="B1355" s="235"/>
      <c r="C1355" s="234" t="s">
        <v>214</v>
      </c>
      <c r="D1355" s="232">
        <v>38885</v>
      </c>
      <c r="E1355" s="233">
        <v>73489.099999999991</v>
      </c>
      <c r="F1355" s="232">
        <v>65976.012959999993</v>
      </c>
      <c r="G1355" s="231">
        <v>89.776596747000582</v>
      </c>
    </row>
    <row r="1356" spans="1:7" x14ac:dyDescent="0.2">
      <c r="A1356" s="242"/>
      <c r="B1356" s="250"/>
      <c r="C1356" s="240"/>
      <c r="D1356" s="249"/>
      <c r="E1356" s="249"/>
      <c r="F1356" s="249"/>
      <c r="G1356" s="237"/>
    </row>
    <row r="1357" spans="1:7" x14ac:dyDescent="0.2">
      <c r="A1357" s="248">
        <v>3311</v>
      </c>
      <c r="B1357" s="247">
        <v>6121</v>
      </c>
      <c r="C1357" s="246" t="s">
        <v>259</v>
      </c>
      <c r="D1357" s="244">
        <v>0</v>
      </c>
      <c r="E1357" s="245">
        <v>22868.09</v>
      </c>
      <c r="F1357" s="244">
        <v>32</v>
      </c>
      <c r="G1357" s="243">
        <v>0.13993298084798511</v>
      </c>
    </row>
    <row r="1358" spans="1:7" x14ac:dyDescent="0.2">
      <c r="A1358" s="242">
        <v>3311</v>
      </c>
      <c r="B1358" s="241">
        <v>6351</v>
      </c>
      <c r="C1358" s="240" t="s">
        <v>276</v>
      </c>
      <c r="D1358" s="238">
        <v>0</v>
      </c>
      <c r="E1358" s="239">
        <v>50</v>
      </c>
      <c r="F1358" s="238">
        <v>0</v>
      </c>
      <c r="G1358" s="237">
        <v>0</v>
      </c>
    </row>
    <row r="1359" spans="1:7" x14ac:dyDescent="0.2">
      <c r="A1359" s="236">
        <v>3311</v>
      </c>
      <c r="B1359" s="235"/>
      <c r="C1359" s="234" t="s">
        <v>305</v>
      </c>
      <c r="D1359" s="232">
        <v>0</v>
      </c>
      <c r="E1359" s="233">
        <v>22918.09</v>
      </c>
      <c r="F1359" s="232">
        <v>32</v>
      </c>
      <c r="G1359" s="231">
        <v>0.13962769148737961</v>
      </c>
    </row>
    <row r="1360" spans="1:7" x14ac:dyDescent="0.2">
      <c r="A1360" s="242"/>
      <c r="B1360" s="250"/>
      <c r="C1360" s="240"/>
      <c r="D1360" s="249"/>
      <c r="E1360" s="249"/>
      <c r="F1360" s="249"/>
      <c r="G1360" s="237"/>
    </row>
    <row r="1361" spans="1:7" x14ac:dyDescent="0.2">
      <c r="A1361" s="248">
        <v>3315</v>
      </c>
      <c r="B1361" s="247">
        <v>6121</v>
      </c>
      <c r="C1361" s="246" t="s">
        <v>259</v>
      </c>
      <c r="D1361" s="244">
        <v>500</v>
      </c>
      <c r="E1361" s="245">
        <v>6990.91</v>
      </c>
      <c r="F1361" s="244">
        <v>2734.1800000000003</v>
      </c>
      <c r="G1361" s="243">
        <v>39.110502066254618</v>
      </c>
    </row>
    <row r="1362" spans="1:7" x14ac:dyDescent="0.2">
      <c r="A1362" s="242">
        <v>3315</v>
      </c>
      <c r="B1362" s="241">
        <v>6130</v>
      </c>
      <c r="C1362" s="240" t="s">
        <v>264</v>
      </c>
      <c r="D1362" s="238">
        <v>0</v>
      </c>
      <c r="E1362" s="239">
        <v>81.819999999999993</v>
      </c>
      <c r="F1362" s="238">
        <v>81.819999999999993</v>
      </c>
      <c r="G1362" s="237">
        <v>100</v>
      </c>
    </row>
    <row r="1363" spans="1:7" x14ac:dyDescent="0.2">
      <c r="A1363" s="242">
        <v>3315</v>
      </c>
      <c r="B1363" s="241">
        <v>6351</v>
      </c>
      <c r="C1363" s="240" t="s">
        <v>276</v>
      </c>
      <c r="D1363" s="238">
        <v>0</v>
      </c>
      <c r="E1363" s="239">
        <v>282.7</v>
      </c>
      <c r="F1363" s="238">
        <v>282.7</v>
      </c>
      <c r="G1363" s="237">
        <v>100</v>
      </c>
    </row>
    <row r="1364" spans="1:7" x14ac:dyDescent="0.2">
      <c r="A1364" s="242">
        <v>3315</v>
      </c>
      <c r="B1364" s="241">
        <v>6356</v>
      </c>
      <c r="C1364" s="240" t="s">
        <v>301</v>
      </c>
      <c r="D1364" s="238">
        <v>0</v>
      </c>
      <c r="E1364" s="239">
        <v>140</v>
      </c>
      <c r="F1364" s="238">
        <v>140</v>
      </c>
      <c r="G1364" s="237">
        <v>100</v>
      </c>
    </row>
    <row r="1365" spans="1:7" x14ac:dyDescent="0.2">
      <c r="A1365" s="236">
        <v>3315</v>
      </c>
      <c r="B1365" s="235"/>
      <c r="C1365" s="234" t="s">
        <v>304</v>
      </c>
      <c r="D1365" s="232">
        <v>500</v>
      </c>
      <c r="E1365" s="233">
        <v>7495.4299999999994</v>
      </c>
      <c r="F1365" s="232">
        <v>3238.7000000000003</v>
      </c>
      <c r="G1365" s="231">
        <v>43.208995347831952</v>
      </c>
    </row>
    <row r="1366" spans="1:7" x14ac:dyDescent="0.2">
      <c r="A1366" s="242"/>
      <c r="B1366" s="250"/>
      <c r="C1366" s="240"/>
      <c r="D1366" s="249"/>
      <c r="E1366" s="249"/>
      <c r="F1366" s="249"/>
      <c r="G1366" s="237"/>
    </row>
    <row r="1367" spans="1:7" x14ac:dyDescent="0.2">
      <c r="A1367" s="248">
        <v>3326</v>
      </c>
      <c r="B1367" s="247">
        <v>6121</v>
      </c>
      <c r="C1367" s="246" t="s">
        <v>259</v>
      </c>
      <c r="D1367" s="244">
        <v>36950</v>
      </c>
      <c r="E1367" s="245">
        <v>42306.330000000009</v>
      </c>
      <c r="F1367" s="244">
        <v>42041.460800000008</v>
      </c>
      <c r="G1367" s="243">
        <v>99.373925367669571</v>
      </c>
    </row>
    <row r="1368" spans="1:7" x14ac:dyDescent="0.2">
      <c r="A1368" s="242">
        <v>3326</v>
      </c>
      <c r="B1368" s="241">
        <v>6122</v>
      </c>
      <c r="C1368" s="240" t="s">
        <v>258</v>
      </c>
      <c r="D1368" s="238">
        <v>0</v>
      </c>
      <c r="E1368" s="239">
        <v>1698</v>
      </c>
      <c r="F1368" s="238">
        <v>1608.1462399999998</v>
      </c>
      <c r="G1368" s="237">
        <v>94.708259128386331</v>
      </c>
    </row>
    <row r="1369" spans="1:7" x14ac:dyDescent="0.2">
      <c r="A1369" s="236">
        <v>3326</v>
      </c>
      <c r="B1369" s="235"/>
      <c r="C1369" s="234" t="s">
        <v>303</v>
      </c>
      <c r="D1369" s="232">
        <v>36950</v>
      </c>
      <c r="E1369" s="233">
        <v>44004.330000000009</v>
      </c>
      <c r="F1369" s="232">
        <v>43649.60704000001</v>
      </c>
      <c r="G1369" s="231">
        <v>99.193890783020677</v>
      </c>
    </row>
    <row r="1370" spans="1:7" x14ac:dyDescent="0.2">
      <c r="A1370" s="242"/>
      <c r="B1370" s="250"/>
      <c r="C1370" s="240"/>
      <c r="D1370" s="249"/>
      <c r="E1370" s="249"/>
      <c r="F1370" s="249"/>
      <c r="G1370" s="237"/>
    </row>
    <row r="1371" spans="1:7" x14ac:dyDescent="0.2">
      <c r="A1371" s="248">
        <v>3329</v>
      </c>
      <c r="B1371" s="247">
        <v>6351</v>
      </c>
      <c r="C1371" s="246" t="s">
        <v>276</v>
      </c>
      <c r="D1371" s="244">
        <v>0</v>
      </c>
      <c r="E1371" s="245">
        <v>700</v>
      </c>
      <c r="F1371" s="244">
        <v>700</v>
      </c>
      <c r="G1371" s="243">
        <v>100</v>
      </c>
    </row>
    <row r="1372" spans="1:7" x14ac:dyDescent="0.2">
      <c r="A1372" s="236">
        <v>3329</v>
      </c>
      <c r="B1372" s="235"/>
      <c r="C1372" s="234" t="s">
        <v>302</v>
      </c>
      <c r="D1372" s="232">
        <v>0</v>
      </c>
      <c r="E1372" s="233">
        <v>700</v>
      </c>
      <c r="F1372" s="232">
        <v>700</v>
      </c>
      <c r="G1372" s="231">
        <v>100</v>
      </c>
    </row>
    <row r="1373" spans="1:7" x14ac:dyDescent="0.2">
      <c r="A1373" s="242"/>
      <c r="B1373" s="250"/>
      <c r="C1373" s="240"/>
      <c r="D1373" s="249"/>
      <c r="E1373" s="249"/>
      <c r="F1373" s="249"/>
      <c r="G1373" s="237"/>
    </row>
    <row r="1374" spans="1:7" x14ac:dyDescent="0.2">
      <c r="A1374" s="248">
        <v>3419</v>
      </c>
      <c r="B1374" s="247">
        <v>6322</v>
      </c>
      <c r="C1374" s="246" t="s">
        <v>267</v>
      </c>
      <c r="D1374" s="244">
        <v>0</v>
      </c>
      <c r="E1374" s="245">
        <v>190</v>
      </c>
      <c r="F1374" s="244">
        <v>190</v>
      </c>
      <c r="G1374" s="243">
        <v>100</v>
      </c>
    </row>
    <row r="1375" spans="1:7" x14ac:dyDescent="0.2">
      <c r="A1375" s="242">
        <v>3419</v>
      </c>
      <c r="B1375" s="241">
        <v>6351</v>
      </c>
      <c r="C1375" s="240" t="s">
        <v>276</v>
      </c>
      <c r="D1375" s="238">
        <v>0</v>
      </c>
      <c r="E1375" s="239">
        <v>60</v>
      </c>
      <c r="F1375" s="238">
        <v>60</v>
      </c>
      <c r="G1375" s="237">
        <v>100</v>
      </c>
    </row>
    <row r="1376" spans="1:7" x14ac:dyDescent="0.2">
      <c r="A1376" s="236">
        <v>3419</v>
      </c>
      <c r="B1376" s="235"/>
      <c r="C1376" s="234" t="s">
        <v>205</v>
      </c>
      <c r="D1376" s="232">
        <v>0</v>
      </c>
      <c r="E1376" s="233">
        <v>250</v>
      </c>
      <c r="F1376" s="232">
        <v>250</v>
      </c>
      <c r="G1376" s="231">
        <v>100</v>
      </c>
    </row>
    <row r="1377" spans="1:7" x14ac:dyDescent="0.2">
      <c r="A1377" s="242"/>
      <c r="B1377" s="250"/>
      <c r="C1377" s="240"/>
      <c r="D1377" s="249"/>
      <c r="E1377" s="249"/>
      <c r="F1377" s="249"/>
      <c r="G1377" s="237"/>
    </row>
    <row r="1378" spans="1:7" x14ac:dyDescent="0.2">
      <c r="A1378" s="248">
        <v>3522</v>
      </c>
      <c r="B1378" s="247">
        <v>6111</v>
      </c>
      <c r="C1378" s="246" t="s">
        <v>261</v>
      </c>
      <c r="D1378" s="244">
        <v>11000</v>
      </c>
      <c r="E1378" s="245">
        <v>10616.780000000002</v>
      </c>
      <c r="F1378" s="244">
        <v>10615.85457</v>
      </c>
      <c r="G1378" s="243">
        <v>99.991283326959746</v>
      </c>
    </row>
    <row r="1379" spans="1:7" x14ac:dyDescent="0.2">
      <c r="A1379" s="242">
        <v>3522</v>
      </c>
      <c r="B1379" s="241">
        <v>6121</v>
      </c>
      <c r="C1379" s="240" t="s">
        <v>259</v>
      </c>
      <c r="D1379" s="238">
        <v>212540</v>
      </c>
      <c r="E1379" s="239">
        <v>210321.09</v>
      </c>
      <c r="F1379" s="238">
        <v>200025.92996999997</v>
      </c>
      <c r="G1379" s="237">
        <v>95.105027256182424</v>
      </c>
    </row>
    <row r="1380" spans="1:7" x14ac:dyDescent="0.2">
      <c r="A1380" s="242">
        <v>3522</v>
      </c>
      <c r="B1380" s="241">
        <v>6122</v>
      </c>
      <c r="C1380" s="240" t="s">
        <v>258</v>
      </c>
      <c r="D1380" s="238">
        <v>229200</v>
      </c>
      <c r="E1380" s="239">
        <v>266426.96999999997</v>
      </c>
      <c r="F1380" s="238">
        <v>254864.62440999999</v>
      </c>
      <c r="G1380" s="237">
        <v>95.660219537834337</v>
      </c>
    </row>
    <row r="1381" spans="1:7" x14ac:dyDescent="0.2">
      <c r="A1381" s="242">
        <v>3522</v>
      </c>
      <c r="B1381" s="241">
        <v>6125</v>
      </c>
      <c r="C1381" s="240" t="s">
        <v>256</v>
      </c>
      <c r="D1381" s="238">
        <v>6050</v>
      </c>
      <c r="E1381" s="239">
        <v>11496.550000000001</v>
      </c>
      <c r="F1381" s="238">
        <v>10825.194230000001</v>
      </c>
      <c r="G1381" s="237">
        <v>94.160371850685635</v>
      </c>
    </row>
    <row r="1382" spans="1:7" x14ac:dyDescent="0.2">
      <c r="A1382" s="242">
        <v>3522</v>
      </c>
      <c r="B1382" s="241">
        <v>6351</v>
      </c>
      <c r="C1382" s="240" t="s">
        <v>276</v>
      </c>
      <c r="D1382" s="238">
        <v>12100</v>
      </c>
      <c r="E1382" s="239">
        <v>89520.22</v>
      </c>
      <c r="F1382" s="238">
        <v>50129.202810000003</v>
      </c>
      <c r="G1382" s="237">
        <v>55.997631384283906</v>
      </c>
    </row>
    <row r="1383" spans="1:7" x14ac:dyDescent="0.2">
      <c r="A1383" s="242">
        <v>3522</v>
      </c>
      <c r="B1383" s="241">
        <v>6356</v>
      </c>
      <c r="C1383" s="240" t="s">
        <v>301</v>
      </c>
      <c r="D1383" s="238">
        <v>0</v>
      </c>
      <c r="E1383" s="239">
        <v>580.63</v>
      </c>
      <c r="F1383" s="238">
        <v>580.63036999999997</v>
      </c>
      <c r="G1383" s="237">
        <v>100.00006372388613</v>
      </c>
    </row>
    <row r="1384" spans="1:7" x14ac:dyDescent="0.2">
      <c r="A1384" s="236">
        <v>3522</v>
      </c>
      <c r="B1384" s="235"/>
      <c r="C1384" s="234" t="s">
        <v>201</v>
      </c>
      <c r="D1384" s="232">
        <v>470890</v>
      </c>
      <c r="E1384" s="233">
        <v>588962.24</v>
      </c>
      <c r="F1384" s="232">
        <v>527041.43636000005</v>
      </c>
      <c r="G1384" s="231">
        <v>89.486456102856451</v>
      </c>
    </row>
    <row r="1385" spans="1:7" x14ac:dyDescent="0.2">
      <c r="A1385" s="242"/>
      <c r="B1385" s="250"/>
      <c r="C1385" s="240"/>
      <c r="D1385" s="249"/>
      <c r="E1385" s="249"/>
      <c r="F1385" s="249"/>
      <c r="G1385" s="237"/>
    </row>
    <row r="1386" spans="1:7" x14ac:dyDescent="0.2">
      <c r="A1386" s="248">
        <v>3523</v>
      </c>
      <c r="B1386" s="247">
        <v>6313</v>
      </c>
      <c r="C1386" s="246" t="s">
        <v>294</v>
      </c>
      <c r="D1386" s="244">
        <v>1100</v>
      </c>
      <c r="E1386" s="245">
        <v>1093.31</v>
      </c>
      <c r="F1386" s="244">
        <v>1093.2349999999999</v>
      </c>
      <c r="G1386" s="243">
        <v>99.993140097502078</v>
      </c>
    </row>
    <row r="1387" spans="1:7" x14ac:dyDescent="0.2">
      <c r="A1387" s="242">
        <v>3523</v>
      </c>
      <c r="B1387" s="241">
        <v>6351</v>
      </c>
      <c r="C1387" s="240" t="s">
        <v>276</v>
      </c>
      <c r="D1387" s="238">
        <v>2000</v>
      </c>
      <c r="E1387" s="239">
        <v>3810</v>
      </c>
      <c r="F1387" s="238">
        <v>3810</v>
      </c>
      <c r="G1387" s="237">
        <v>100</v>
      </c>
    </row>
    <row r="1388" spans="1:7" x14ac:dyDescent="0.2">
      <c r="A1388" s="236">
        <v>3523</v>
      </c>
      <c r="B1388" s="235"/>
      <c r="C1388" s="234" t="s">
        <v>300</v>
      </c>
      <c r="D1388" s="232">
        <v>3100</v>
      </c>
      <c r="E1388" s="233">
        <v>4903.3099999999995</v>
      </c>
      <c r="F1388" s="232">
        <v>4903.2349999999997</v>
      </c>
      <c r="G1388" s="231">
        <v>99.998470421001329</v>
      </c>
    </row>
    <row r="1389" spans="1:7" x14ac:dyDescent="0.2">
      <c r="A1389" s="242"/>
      <c r="B1389" s="250"/>
      <c r="C1389" s="240"/>
      <c r="D1389" s="249"/>
      <c r="E1389" s="249"/>
      <c r="F1389" s="249"/>
      <c r="G1389" s="237"/>
    </row>
    <row r="1390" spans="1:7" x14ac:dyDescent="0.2">
      <c r="A1390" s="248">
        <v>3533</v>
      </c>
      <c r="B1390" s="247">
        <v>6111</v>
      </c>
      <c r="C1390" s="246" t="s">
        <v>261</v>
      </c>
      <c r="D1390" s="244">
        <v>20900</v>
      </c>
      <c r="E1390" s="245">
        <v>18358.54</v>
      </c>
      <c r="F1390" s="244">
        <v>13940.66555</v>
      </c>
      <c r="G1390" s="243">
        <v>75.935589376933024</v>
      </c>
    </row>
    <row r="1391" spans="1:7" x14ac:dyDescent="0.2">
      <c r="A1391" s="242">
        <v>3533</v>
      </c>
      <c r="B1391" s="241">
        <v>6121</v>
      </c>
      <c r="C1391" s="240" t="s">
        <v>259</v>
      </c>
      <c r="D1391" s="238">
        <v>0</v>
      </c>
      <c r="E1391" s="239">
        <v>120</v>
      </c>
      <c r="F1391" s="238">
        <v>111.804</v>
      </c>
      <c r="G1391" s="237">
        <v>93.17</v>
      </c>
    </row>
    <row r="1392" spans="1:7" x14ac:dyDescent="0.2">
      <c r="A1392" s="242">
        <v>3533</v>
      </c>
      <c r="B1392" s="241">
        <v>6122</v>
      </c>
      <c r="C1392" s="240" t="s">
        <v>258</v>
      </c>
      <c r="D1392" s="238">
        <v>22755</v>
      </c>
      <c r="E1392" s="239">
        <v>5420</v>
      </c>
      <c r="F1392" s="238">
        <v>3949.8045200000001</v>
      </c>
      <c r="G1392" s="237">
        <v>72.874622140221405</v>
      </c>
    </row>
    <row r="1393" spans="1:7" x14ac:dyDescent="0.2">
      <c r="A1393" s="242">
        <v>3533</v>
      </c>
      <c r="B1393" s="241">
        <v>6123</v>
      </c>
      <c r="C1393" s="240" t="s">
        <v>257</v>
      </c>
      <c r="D1393" s="238">
        <v>63786</v>
      </c>
      <c r="E1393" s="239">
        <v>75222</v>
      </c>
      <c r="F1393" s="238">
        <v>75211.071100000001</v>
      </c>
      <c r="G1393" s="237">
        <v>99.985471138762591</v>
      </c>
    </row>
    <row r="1394" spans="1:7" x14ac:dyDescent="0.2">
      <c r="A1394" s="242">
        <v>3533</v>
      </c>
      <c r="B1394" s="241">
        <v>6125</v>
      </c>
      <c r="C1394" s="240" t="s">
        <v>256</v>
      </c>
      <c r="D1394" s="238">
        <v>2700</v>
      </c>
      <c r="E1394" s="239">
        <v>3056.8900000000003</v>
      </c>
      <c r="F1394" s="238">
        <v>2752.6410999999994</v>
      </c>
      <c r="G1394" s="237">
        <v>90.047109971245249</v>
      </c>
    </row>
    <row r="1395" spans="1:7" x14ac:dyDescent="0.2">
      <c r="A1395" s="236">
        <v>3533</v>
      </c>
      <c r="B1395" s="235"/>
      <c r="C1395" s="234" t="s">
        <v>200</v>
      </c>
      <c r="D1395" s="232">
        <v>110141</v>
      </c>
      <c r="E1395" s="233">
        <v>102177.43000000001</v>
      </c>
      <c r="F1395" s="232">
        <v>95965.986269999994</v>
      </c>
      <c r="G1395" s="231">
        <v>93.920923896794022</v>
      </c>
    </row>
    <row r="1396" spans="1:7" x14ac:dyDescent="0.2">
      <c r="A1396" s="242"/>
      <c r="B1396" s="250"/>
      <c r="C1396" s="240"/>
      <c r="D1396" s="249"/>
      <c r="E1396" s="249"/>
      <c r="F1396" s="249"/>
      <c r="G1396" s="237"/>
    </row>
    <row r="1397" spans="1:7" x14ac:dyDescent="0.2">
      <c r="A1397" s="248">
        <v>3599</v>
      </c>
      <c r="B1397" s="247">
        <v>6119</v>
      </c>
      <c r="C1397" s="246" t="s">
        <v>260</v>
      </c>
      <c r="D1397" s="244">
        <v>0</v>
      </c>
      <c r="E1397" s="245">
        <v>181.5</v>
      </c>
      <c r="F1397" s="244">
        <v>181.5</v>
      </c>
      <c r="G1397" s="243">
        <v>100</v>
      </c>
    </row>
    <row r="1398" spans="1:7" x14ac:dyDescent="0.2">
      <c r="A1398" s="236">
        <v>3599</v>
      </c>
      <c r="B1398" s="235"/>
      <c r="C1398" s="234" t="s">
        <v>199</v>
      </c>
      <c r="D1398" s="232">
        <v>0</v>
      </c>
      <c r="E1398" s="233">
        <v>181.5</v>
      </c>
      <c r="F1398" s="232">
        <v>181.5</v>
      </c>
      <c r="G1398" s="231">
        <v>100</v>
      </c>
    </row>
    <row r="1399" spans="1:7" x14ac:dyDescent="0.2">
      <c r="A1399" s="242"/>
      <c r="B1399" s="250"/>
      <c r="C1399" s="240"/>
      <c r="D1399" s="249"/>
      <c r="E1399" s="249"/>
      <c r="F1399" s="249"/>
      <c r="G1399" s="237"/>
    </row>
    <row r="1400" spans="1:7" x14ac:dyDescent="0.2">
      <c r="A1400" s="248">
        <v>3635</v>
      </c>
      <c r="B1400" s="247">
        <v>6119</v>
      </c>
      <c r="C1400" s="246" t="s">
        <v>260</v>
      </c>
      <c r="D1400" s="244">
        <v>2000</v>
      </c>
      <c r="E1400" s="245">
        <v>0</v>
      </c>
      <c r="F1400" s="244">
        <v>0</v>
      </c>
      <c r="G1400" s="261" t="s">
        <v>279</v>
      </c>
    </row>
    <row r="1401" spans="1:7" x14ac:dyDescent="0.2">
      <c r="A1401" s="236">
        <v>3635</v>
      </c>
      <c r="B1401" s="235"/>
      <c r="C1401" s="234" t="s">
        <v>299</v>
      </c>
      <c r="D1401" s="232">
        <v>2000</v>
      </c>
      <c r="E1401" s="233">
        <v>0</v>
      </c>
      <c r="F1401" s="232">
        <v>0</v>
      </c>
      <c r="G1401" s="258" t="s">
        <v>279</v>
      </c>
    </row>
    <row r="1402" spans="1:7" x14ac:dyDescent="0.2">
      <c r="A1402" s="242"/>
      <c r="B1402" s="250"/>
      <c r="C1402" s="240"/>
      <c r="D1402" s="249"/>
      <c r="E1402" s="249"/>
      <c r="F1402" s="249"/>
      <c r="G1402" s="237"/>
    </row>
    <row r="1403" spans="1:7" x14ac:dyDescent="0.2">
      <c r="A1403" s="248">
        <v>3636</v>
      </c>
      <c r="B1403" s="247">
        <v>6313</v>
      </c>
      <c r="C1403" s="246" t="s">
        <v>294</v>
      </c>
      <c r="D1403" s="244">
        <v>0</v>
      </c>
      <c r="E1403" s="245">
        <v>6095</v>
      </c>
      <c r="F1403" s="244">
        <v>79.998999999999995</v>
      </c>
      <c r="G1403" s="243">
        <v>1.3125348646431501</v>
      </c>
    </row>
    <row r="1404" spans="1:7" x14ac:dyDescent="0.2">
      <c r="A1404" s="242">
        <v>3636</v>
      </c>
      <c r="B1404" s="241">
        <v>6321</v>
      </c>
      <c r="C1404" s="240" t="s">
        <v>274</v>
      </c>
      <c r="D1404" s="238">
        <v>0</v>
      </c>
      <c r="E1404" s="239">
        <v>60.5</v>
      </c>
      <c r="F1404" s="238">
        <v>60.5</v>
      </c>
      <c r="G1404" s="237">
        <v>100</v>
      </c>
    </row>
    <row r="1405" spans="1:7" x14ac:dyDescent="0.2">
      <c r="A1405" s="242">
        <v>3636</v>
      </c>
      <c r="B1405" s="241">
        <v>6322</v>
      </c>
      <c r="C1405" s="240" t="s">
        <v>267</v>
      </c>
      <c r="D1405" s="238">
        <v>0</v>
      </c>
      <c r="E1405" s="239">
        <v>45</v>
      </c>
      <c r="F1405" s="238">
        <v>44.139000000000003</v>
      </c>
      <c r="G1405" s="237">
        <v>98.086666666666673</v>
      </c>
    </row>
    <row r="1406" spans="1:7" x14ac:dyDescent="0.2">
      <c r="A1406" s="242">
        <v>3636</v>
      </c>
      <c r="B1406" s="241">
        <v>6341</v>
      </c>
      <c r="C1406" s="240" t="s">
        <v>266</v>
      </c>
      <c r="D1406" s="238">
        <v>36000</v>
      </c>
      <c r="E1406" s="239">
        <v>41461.149999999994</v>
      </c>
      <c r="F1406" s="238">
        <v>7980.8510799999995</v>
      </c>
      <c r="G1406" s="237">
        <v>19.248986291986597</v>
      </c>
    </row>
    <row r="1407" spans="1:7" x14ac:dyDescent="0.2">
      <c r="A1407" s="242">
        <v>3636</v>
      </c>
      <c r="B1407" s="241">
        <v>6349</v>
      </c>
      <c r="C1407" s="240" t="s">
        <v>298</v>
      </c>
      <c r="D1407" s="238">
        <v>0</v>
      </c>
      <c r="E1407" s="239">
        <v>500</v>
      </c>
      <c r="F1407" s="238">
        <v>0</v>
      </c>
      <c r="G1407" s="237">
        <v>0</v>
      </c>
    </row>
    <row r="1408" spans="1:7" x14ac:dyDescent="0.2">
      <c r="A1408" s="242">
        <v>3636</v>
      </c>
      <c r="B1408" s="241">
        <v>6352</v>
      </c>
      <c r="C1408" s="240" t="s">
        <v>293</v>
      </c>
      <c r="D1408" s="238">
        <v>0</v>
      </c>
      <c r="E1408" s="239">
        <v>542.55000000000007</v>
      </c>
      <c r="F1408" s="238">
        <v>509.50300000000004</v>
      </c>
      <c r="G1408" s="237">
        <v>93.908948484010693</v>
      </c>
    </row>
    <row r="1409" spans="1:7" x14ac:dyDescent="0.2">
      <c r="A1409" s="242">
        <v>3636</v>
      </c>
      <c r="B1409" s="241">
        <v>6354</v>
      </c>
      <c r="C1409" s="240" t="s">
        <v>297</v>
      </c>
      <c r="D1409" s="238">
        <v>0</v>
      </c>
      <c r="E1409" s="239">
        <v>185</v>
      </c>
      <c r="F1409" s="238">
        <v>185</v>
      </c>
      <c r="G1409" s="237">
        <v>100</v>
      </c>
    </row>
    <row r="1410" spans="1:7" x14ac:dyDescent="0.2">
      <c r="A1410" s="242">
        <v>3636</v>
      </c>
      <c r="B1410" s="241">
        <v>6359</v>
      </c>
      <c r="C1410" s="240" t="s">
        <v>296</v>
      </c>
      <c r="D1410" s="238">
        <v>0</v>
      </c>
      <c r="E1410" s="239">
        <v>555</v>
      </c>
      <c r="F1410" s="238">
        <v>275</v>
      </c>
      <c r="G1410" s="237">
        <v>49.549549549549546</v>
      </c>
    </row>
    <row r="1411" spans="1:7" x14ac:dyDescent="0.2">
      <c r="A1411" s="236">
        <v>3636</v>
      </c>
      <c r="B1411" s="235"/>
      <c r="C1411" s="234" t="s">
        <v>198</v>
      </c>
      <c r="D1411" s="232">
        <v>36000</v>
      </c>
      <c r="E1411" s="233">
        <v>49444.2</v>
      </c>
      <c r="F1411" s="232">
        <v>9134.99208</v>
      </c>
      <c r="G1411" s="231">
        <v>18.475356219738615</v>
      </c>
    </row>
    <row r="1412" spans="1:7" x14ac:dyDescent="0.2">
      <c r="A1412" s="242"/>
      <c r="B1412" s="250"/>
      <c r="C1412" s="240"/>
      <c r="D1412" s="249"/>
      <c r="E1412" s="249"/>
      <c r="F1412" s="249"/>
      <c r="G1412" s="237"/>
    </row>
    <row r="1413" spans="1:7" x14ac:dyDescent="0.2">
      <c r="A1413" s="248">
        <v>3639</v>
      </c>
      <c r="B1413" s="247">
        <v>6111</v>
      </c>
      <c r="C1413" s="246" t="s">
        <v>261</v>
      </c>
      <c r="D1413" s="244">
        <v>0</v>
      </c>
      <c r="E1413" s="245">
        <v>2390.1</v>
      </c>
      <c r="F1413" s="244">
        <v>2157.1880000000001</v>
      </c>
      <c r="G1413" s="243">
        <v>90.255135768377897</v>
      </c>
    </row>
    <row r="1414" spans="1:7" x14ac:dyDescent="0.2">
      <c r="A1414" s="242">
        <v>3639</v>
      </c>
      <c r="B1414" s="241">
        <v>6119</v>
      </c>
      <c r="C1414" s="240" t="s">
        <v>260</v>
      </c>
      <c r="D1414" s="238">
        <v>0</v>
      </c>
      <c r="E1414" s="239">
        <v>199.65</v>
      </c>
      <c r="F1414" s="238">
        <v>199.65</v>
      </c>
      <c r="G1414" s="237">
        <v>100</v>
      </c>
    </row>
    <row r="1415" spans="1:7" x14ac:dyDescent="0.2">
      <c r="A1415" s="242">
        <v>3639</v>
      </c>
      <c r="B1415" s="241">
        <v>6121</v>
      </c>
      <c r="C1415" s="240" t="s">
        <v>259</v>
      </c>
      <c r="D1415" s="238">
        <v>43326</v>
      </c>
      <c r="E1415" s="239">
        <v>39607</v>
      </c>
      <c r="F1415" s="238">
        <v>10255.87544</v>
      </c>
      <c r="G1415" s="237">
        <v>25.894098113969754</v>
      </c>
    </row>
    <row r="1416" spans="1:7" x14ac:dyDescent="0.2">
      <c r="A1416" s="242">
        <v>3639</v>
      </c>
      <c r="B1416" s="241">
        <v>6122</v>
      </c>
      <c r="C1416" s="240" t="s">
        <v>258</v>
      </c>
      <c r="D1416" s="238">
        <v>827</v>
      </c>
      <c r="E1416" s="239">
        <v>1111.08</v>
      </c>
      <c r="F1416" s="238">
        <v>1110.54719</v>
      </c>
      <c r="G1416" s="237">
        <v>99.952045757281212</v>
      </c>
    </row>
    <row r="1417" spans="1:7" x14ac:dyDescent="0.2">
      <c r="A1417" s="242">
        <v>3639</v>
      </c>
      <c r="B1417" s="241">
        <v>6129</v>
      </c>
      <c r="C1417" s="240" t="s">
        <v>295</v>
      </c>
      <c r="D1417" s="238">
        <v>0</v>
      </c>
      <c r="E1417" s="239">
        <v>2000</v>
      </c>
      <c r="F1417" s="238">
        <v>545.6123</v>
      </c>
      <c r="G1417" s="237">
        <v>27.280615000000001</v>
      </c>
    </row>
    <row r="1418" spans="1:7" x14ac:dyDescent="0.2">
      <c r="A1418" s="242">
        <v>3639</v>
      </c>
      <c r="B1418" s="241">
        <v>6130</v>
      </c>
      <c r="C1418" s="240" t="s">
        <v>264</v>
      </c>
      <c r="D1418" s="238">
        <v>217000</v>
      </c>
      <c r="E1418" s="239">
        <v>220209.6</v>
      </c>
      <c r="F1418" s="238">
        <v>17215.150999999998</v>
      </c>
      <c r="G1418" s="237">
        <v>7.8176205760330149</v>
      </c>
    </row>
    <row r="1419" spans="1:7" x14ac:dyDescent="0.2">
      <c r="A1419" s="242">
        <v>3639</v>
      </c>
      <c r="B1419" s="241">
        <v>6313</v>
      </c>
      <c r="C1419" s="240" t="s">
        <v>294</v>
      </c>
      <c r="D1419" s="238">
        <v>0</v>
      </c>
      <c r="E1419" s="239">
        <v>310</v>
      </c>
      <c r="F1419" s="238">
        <v>310</v>
      </c>
      <c r="G1419" s="237">
        <v>100</v>
      </c>
    </row>
    <row r="1420" spans="1:7" x14ac:dyDescent="0.2">
      <c r="A1420" s="242">
        <v>3639</v>
      </c>
      <c r="B1420" s="241">
        <v>6322</v>
      </c>
      <c r="C1420" s="240" t="s">
        <v>267</v>
      </c>
      <c r="D1420" s="238">
        <v>0</v>
      </c>
      <c r="E1420" s="239">
        <v>3000</v>
      </c>
      <c r="F1420" s="238">
        <v>3000</v>
      </c>
      <c r="G1420" s="237">
        <v>100</v>
      </c>
    </row>
    <row r="1421" spans="1:7" x14ac:dyDescent="0.2">
      <c r="A1421" s="242">
        <v>3639</v>
      </c>
      <c r="B1421" s="241">
        <v>6323</v>
      </c>
      <c r="C1421" s="240" t="s">
        <v>273</v>
      </c>
      <c r="D1421" s="238">
        <v>1500</v>
      </c>
      <c r="E1421" s="239">
        <v>3650</v>
      </c>
      <c r="F1421" s="238">
        <v>3650</v>
      </c>
      <c r="G1421" s="237">
        <v>100</v>
      </c>
    </row>
    <row r="1422" spans="1:7" x14ac:dyDescent="0.2">
      <c r="A1422" s="242">
        <v>3639</v>
      </c>
      <c r="B1422" s="241">
        <v>6341</v>
      </c>
      <c r="C1422" s="240" t="s">
        <v>266</v>
      </c>
      <c r="D1422" s="238">
        <v>3000</v>
      </c>
      <c r="E1422" s="239">
        <v>12746.480000000001</v>
      </c>
      <c r="F1422" s="238">
        <v>2725.5675000000001</v>
      </c>
      <c r="G1422" s="237">
        <v>21.382903358417384</v>
      </c>
    </row>
    <row r="1423" spans="1:7" x14ac:dyDescent="0.2">
      <c r="A1423" s="242">
        <v>3639</v>
      </c>
      <c r="B1423" s="241">
        <v>6352</v>
      </c>
      <c r="C1423" s="240" t="s">
        <v>293</v>
      </c>
      <c r="D1423" s="238">
        <v>0</v>
      </c>
      <c r="E1423" s="239">
        <v>100</v>
      </c>
      <c r="F1423" s="238">
        <v>0</v>
      </c>
      <c r="G1423" s="237">
        <v>0</v>
      </c>
    </row>
    <row r="1424" spans="1:7" x14ac:dyDescent="0.2">
      <c r="A1424" s="236">
        <v>3639</v>
      </c>
      <c r="B1424" s="235"/>
      <c r="C1424" s="234" t="s">
        <v>125</v>
      </c>
      <c r="D1424" s="232">
        <v>265653</v>
      </c>
      <c r="E1424" s="233">
        <v>285323.90999999997</v>
      </c>
      <c r="F1424" s="232">
        <v>41169.591429999993</v>
      </c>
      <c r="G1424" s="231">
        <v>14.429071657541773</v>
      </c>
    </row>
    <row r="1425" spans="1:7" x14ac:dyDescent="0.2">
      <c r="A1425" s="242"/>
      <c r="B1425" s="250"/>
      <c r="C1425" s="240"/>
      <c r="D1425" s="249"/>
      <c r="E1425" s="249"/>
      <c r="F1425" s="249"/>
      <c r="G1425" s="237"/>
    </row>
    <row r="1426" spans="1:7" x14ac:dyDescent="0.2">
      <c r="A1426" s="248">
        <v>3719</v>
      </c>
      <c r="B1426" s="247">
        <v>6371</v>
      </c>
      <c r="C1426" s="246" t="s">
        <v>292</v>
      </c>
      <c r="D1426" s="244">
        <v>0</v>
      </c>
      <c r="E1426" s="245">
        <v>39915</v>
      </c>
      <c r="F1426" s="244">
        <v>39915</v>
      </c>
      <c r="G1426" s="243">
        <v>100</v>
      </c>
    </row>
    <row r="1427" spans="1:7" x14ac:dyDescent="0.2">
      <c r="A1427" s="236">
        <v>3719</v>
      </c>
      <c r="B1427" s="235"/>
      <c r="C1427" s="234" t="s">
        <v>291</v>
      </c>
      <c r="D1427" s="232">
        <v>0</v>
      </c>
      <c r="E1427" s="233">
        <v>39915</v>
      </c>
      <c r="F1427" s="232">
        <v>39915</v>
      </c>
      <c r="G1427" s="231">
        <v>100</v>
      </c>
    </row>
    <row r="1428" spans="1:7" x14ac:dyDescent="0.2">
      <c r="A1428" s="242"/>
      <c r="B1428" s="250"/>
      <c r="C1428" s="240"/>
      <c r="D1428" s="249"/>
      <c r="E1428" s="249"/>
      <c r="F1428" s="249"/>
      <c r="G1428" s="237"/>
    </row>
    <row r="1429" spans="1:7" x14ac:dyDescent="0.2">
      <c r="A1429" s="248">
        <v>3729</v>
      </c>
      <c r="B1429" s="247">
        <v>6201</v>
      </c>
      <c r="C1429" s="246" t="s">
        <v>290</v>
      </c>
      <c r="D1429" s="244">
        <v>3300</v>
      </c>
      <c r="E1429" s="245">
        <v>0</v>
      </c>
      <c r="F1429" s="244">
        <v>0</v>
      </c>
      <c r="G1429" s="261" t="s">
        <v>279</v>
      </c>
    </row>
    <row r="1430" spans="1:7" x14ac:dyDescent="0.2">
      <c r="A1430" s="236">
        <v>3729</v>
      </c>
      <c r="B1430" s="235"/>
      <c r="C1430" s="234" t="s">
        <v>289</v>
      </c>
      <c r="D1430" s="232">
        <v>3300</v>
      </c>
      <c r="E1430" s="233">
        <v>0</v>
      </c>
      <c r="F1430" s="232">
        <v>0</v>
      </c>
      <c r="G1430" s="258" t="s">
        <v>279</v>
      </c>
    </row>
    <row r="1431" spans="1:7" x14ac:dyDescent="0.2">
      <c r="A1431" s="242"/>
      <c r="B1431" s="250"/>
      <c r="C1431" s="240"/>
      <c r="D1431" s="249"/>
      <c r="E1431" s="249"/>
      <c r="F1431" s="249"/>
      <c r="G1431" s="237"/>
    </row>
    <row r="1432" spans="1:7" x14ac:dyDescent="0.2">
      <c r="A1432" s="248">
        <v>3744</v>
      </c>
      <c r="B1432" s="247">
        <v>6319</v>
      </c>
      <c r="C1432" s="246" t="s">
        <v>288</v>
      </c>
      <c r="D1432" s="244">
        <v>3750</v>
      </c>
      <c r="E1432" s="245">
        <v>3750</v>
      </c>
      <c r="F1432" s="244">
        <v>0</v>
      </c>
      <c r="G1432" s="243">
        <v>0</v>
      </c>
    </row>
    <row r="1433" spans="1:7" x14ac:dyDescent="0.2">
      <c r="A1433" s="236">
        <v>3744</v>
      </c>
      <c r="B1433" s="235"/>
      <c r="C1433" s="234" t="s">
        <v>287</v>
      </c>
      <c r="D1433" s="232">
        <v>3750</v>
      </c>
      <c r="E1433" s="233">
        <v>3750</v>
      </c>
      <c r="F1433" s="232">
        <v>0</v>
      </c>
      <c r="G1433" s="231">
        <v>0</v>
      </c>
    </row>
    <row r="1434" spans="1:7" x14ac:dyDescent="0.2">
      <c r="A1434" s="242"/>
      <c r="B1434" s="250"/>
      <c r="C1434" s="240"/>
      <c r="D1434" s="249"/>
      <c r="E1434" s="249"/>
      <c r="F1434" s="249"/>
      <c r="G1434" s="237"/>
    </row>
    <row r="1435" spans="1:7" x14ac:dyDescent="0.2">
      <c r="A1435" s="248">
        <v>3745</v>
      </c>
      <c r="B1435" s="247">
        <v>6121</v>
      </c>
      <c r="C1435" s="246" t="s">
        <v>259</v>
      </c>
      <c r="D1435" s="244">
        <v>0</v>
      </c>
      <c r="E1435" s="245">
        <v>106.38</v>
      </c>
      <c r="F1435" s="244">
        <v>106.37322</v>
      </c>
      <c r="G1435" s="243">
        <v>99.993626621545403</v>
      </c>
    </row>
    <row r="1436" spans="1:7" x14ac:dyDescent="0.2">
      <c r="A1436" s="236">
        <v>3745</v>
      </c>
      <c r="B1436" s="235"/>
      <c r="C1436" s="234" t="s">
        <v>286</v>
      </c>
      <c r="D1436" s="232">
        <v>0</v>
      </c>
      <c r="E1436" s="233">
        <v>106.38</v>
      </c>
      <c r="F1436" s="232">
        <v>106.37322</v>
      </c>
      <c r="G1436" s="231">
        <v>99.993626621545403</v>
      </c>
    </row>
    <row r="1437" spans="1:7" x14ac:dyDescent="0.2">
      <c r="A1437" s="242"/>
      <c r="B1437" s="250"/>
      <c r="C1437" s="240"/>
      <c r="D1437" s="249"/>
      <c r="E1437" s="249"/>
      <c r="F1437" s="249"/>
      <c r="G1437" s="237"/>
    </row>
    <row r="1438" spans="1:7" x14ac:dyDescent="0.2">
      <c r="A1438" s="248">
        <v>3792</v>
      </c>
      <c r="B1438" s="247">
        <v>6322</v>
      </c>
      <c r="C1438" s="246" t="s">
        <v>267</v>
      </c>
      <c r="D1438" s="244">
        <v>0</v>
      </c>
      <c r="E1438" s="245">
        <v>82.3</v>
      </c>
      <c r="F1438" s="244">
        <v>82.3</v>
      </c>
      <c r="G1438" s="243">
        <v>100</v>
      </c>
    </row>
    <row r="1439" spans="1:7" x14ac:dyDescent="0.2">
      <c r="A1439" s="242">
        <v>3792</v>
      </c>
      <c r="B1439" s="241">
        <v>6341</v>
      </c>
      <c r="C1439" s="240" t="s">
        <v>266</v>
      </c>
      <c r="D1439" s="238">
        <v>0</v>
      </c>
      <c r="E1439" s="239">
        <v>150</v>
      </c>
      <c r="F1439" s="238">
        <v>150</v>
      </c>
      <c r="G1439" s="237">
        <v>100</v>
      </c>
    </row>
    <row r="1440" spans="1:7" x14ac:dyDescent="0.2">
      <c r="A1440" s="236">
        <v>3792</v>
      </c>
      <c r="B1440" s="235"/>
      <c r="C1440" s="234" t="s">
        <v>285</v>
      </c>
      <c r="D1440" s="232">
        <v>0</v>
      </c>
      <c r="E1440" s="233">
        <v>232.3</v>
      </c>
      <c r="F1440" s="232">
        <v>232.3</v>
      </c>
      <c r="G1440" s="231">
        <v>100</v>
      </c>
    </row>
    <row r="1441" spans="1:15" x14ac:dyDescent="0.2">
      <c r="A1441" s="242"/>
      <c r="B1441" s="250"/>
      <c r="C1441" s="240"/>
      <c r="D1441" s="249"/>
      <c r="E1441" s="249"/>
      <c r="F1441" s="249"/>
      <c r="G1441" s="237"/>
    </row>
    <row r="1442" spans="1:15" x14ac:dyDescent="0.2">
      <c r="A1442" s="248">
        <v>3799</v>
      </c>
      <c r="B1442" s="247">
        <v>6341</v>
      </c>
      <c r="C1442" s="246" t="s">
        <v>266</v>
      </c>
      <c r="D1442" s="244">
        <v>0</v>
      </c>
      <c r="E1442" s="245">
        <v>300</v>
      </c>
      <c r="F1442" s="244">
        <v>300</v>
      </c>
      <c r="G1442" s="243">
        <v>100</v>
      </c>
    </row>
    <row r="1443" spans="1:15" x14ac:dyDescent="0.2">
      <c r="A1443" s="236">
        <v>3799</v>
      </c>
      <c r="B1443" s="235"/>
      <c r="C1443" s="234" t="s">
        <v>284</v>
      </c>
      <c r="D1443" s="232">
        <v>0</v>
      </c>
      <c r="E1443" s="233">
        <v>300</v>
      </c>
      <c r="F1443" s="232">
        <v>300</v>
      </c>
      <c r="G1443" s="231">
        <v>100</v>
      </c>
    </row>
    <row r="1444" spans="1:15" x14ac:dyDescent="0.2">
      <c r="A1444" s="242"/>
      <c r="B1444" s="250"/>
      <c r="C1444" s="240"/>
      <c r="D1444" s="249"/>
      <c r="E1444" s="249"/>
      <c r="F1444" s="249"/>
      <c r="G1444" s="237"/>
    </row>
    <row r="1445" spans="1:15" customFormat="1" x14ac:dyDescent="0.2">
      <c r="A1445" s="1317" t="s">
        <v>283</v>
      </c>
      <c r="B1445" s="1318"/>
      <c r="C1445" s="1318"/>
      <c r="D1445" s="257">
        <v>1523440</v>
      </c>
      <c r="E1445" s="257">
        <v>1918711.81</v>
      </c>
      <c r="F1445" s="257">
        <v>1492085.5937399999</v>
      </c>
      <c r="G1445" s="256">
        <v>77.760000000000005</v>
      </c>
      <c r="I1445" s="100"/>
      <c r="J1445" s="100"/>
      <c r="K1445" s="100"/>
      <c r="L1445" s="100"/>
      <c r="M1445" s="100"/>
      <c r="N1445" s="100"/>
      <c r="O1445" s="100"/>
    </row>
    <row r="1446" spans="1:15" customFormat="1" x14ac:dyDescent="0.2">
      <c r="A1446" s="255"/>
      <c r="B1446" s="254"/>
      <c r="C1446" s="253"/>
      <c r="D1446" s="252"/>
      <c r="E1446" s="252"/>
      <c r="F1446" s="252"/>
      <c r="G1446" s="251"/>
      <c r="I1446" s="100"/>
      <c r="J1446" s="100"/>
      <c r="K1446" s="100"/>
      <c r="L1446" s="100"/>
      <c r="M1446" s="100"/>
      <c r="N1446" s="100"/>
      <c r="O1446" s="100"/>
    </row>
    <row r="1447" spans="1:15" x14ac:dyDescent="0.2">
      <c r="A1447" s="248">
        <v>4312</v>
      </c>
      <c r="B1447" s="247">
        <v>6351</v>
      </c>
      <c r="C1447" s="246" t="s">
        <v>276</v>
      </c>
      <c r="D1447" s="244">
        <v>2700</v>
      </c>
      <c r="E1447" s="245">
        <v>3050</v>
      </c>
      <c r="F1447" s="244">
        <v>1026.15417</v>
      </c>
      <c r="G1447" s="243">
        <v>33.644399016393443</v>
      </c>
    </row>
    <row r="1448" spans="1:15" x14ac:dyDescent="0.2">
      <c r="A1448" s="236">
        <v>4312</v>
      </c>
      <c r="B1448" s="235"/>
      <c r="C1448" s="234" t="s">
        <v>282</v>
      </c>
      <c r="D1448" s="232">
        <v>2700</v>
      </c>
      <c r="E1448" s="233">
        <v>3050</v>
      </c>
      <c r="F1448" s="232">
        <v>1026.15417</v>
      </c>
      <c r="G1448" s="231">
        <v>33.644399016393443</v>
      </c>
    </row>
    <row r="1449" spans="1:15" x14ac:dyDescent="0.2">
      <c r="A1449" s="242"/>
      <c r="B1449" s="250"/>
      <c r="C1449" s="240"/>
      <c r="D1449" s="249"/>
      <c r="E1449" s="249"/>
      <c r="F1449" s="249"/>
      <c r="G1449" s="237"/>
    </row>
    <row r="1450" spans="1:15" x14ac:dyDescent="0.2">
      <c r="A1450" s="248">
        <v>4319</v>
      </c>
      <c r="B1450" s="247">
        <v>6121</v>
      </c>
      <c r="C1450" s="246" t="s">
        <v>259</v>
      </c>
      <c r="D1450" s="244">
        <v>0</v>
      </c>
      <c r="E1450" s="245">
        <v>31605.82</v>
      </c>
      <c r="F1450" s="244">
        <v>31030.739749999997</v>
      </c>
      <c r="G1450" s="243">
        <v>98.180460908781981</v>
      </c>
    </row>
    <row r="1451" spans="1:15" x14ac:dyDescent="0.2">
      <c r="A1451" s="242">
        <v>4319</v>
      </c>
      <c r="B1451" s="241">
        <v>6122</v>
      </c>
      <c r="C1451" s="240" t="s">
        <v>258</v>
      </c>
      <c r="D1451" s="238">
        <v>0</v>
      </c>
      <c r="E1451" s="239">
        <v>251.08999999999997</v>
      </c>
      <c r="F1451" s="238">
        <v>241.637</v>
      </c>
      <c r="G1451" s="237">
        <v>96.235214464932909</v>
      </c>
    </row>
    <row r="1452" spans="1:15" x14ac:dyDescent="0.2">
      <c r="A1452" s="236">
        <v>4319</v>
      </c>
      <c r="B1452" s="235"/>
      <c r="C1452" s="234" t="s">
        <v>281</v>
      </c>
      <c r="D1452" s="232">
        <v>0</v>
      </c>
      <c r="E1452" s="233">
        <v>31856.91</v>
      </c>
      <c r="F1452" s="232">
        <v>31272.376749999996</v>
      </c>
      <c r="G1452" s="231">
        <v>98.165128852735549</v>
      </c>
    </row>
    <row r="1453" spans="1:15" x14ac:dyDescent="0.2">
      <c r="A1453" s="242"/>
      <c r="B1453" s="250"/>
      <c r="C1453" s="240"/>
      <c r="D1453" s="249"/>
      <c r="E1453" s="249"/>
      <c r="F1453" s="249"/>
      <c r="G1453" s="237"/>
    </row>
    <row r="1454" spans="1:15" x14ac:dyDescent="0.2">
      <c r="A1454" s="248">
        <v>4332</v>
      </c>
      <c r="B1454" s="247">
        <v>6121</v>
      </c>
      <c r="C1454" s="246" t="s">
        <v>259</v>
      </c>
      <c r="D1454" s="244">
        <v>16498</v>
      </c>
      <c r="E1454" s="245">
        <v>0</v>
      </c>
      <c r="F1454" s="244">
        <v>0</v>
      </c>
      <c r="G1454" s="261" t="s">
        <v>279</v>
      </c>
    </row>
    <row r="1455" spans="1:15" x14ac:dyDescent="0.2">
      <c r="A1455" s="242">
        <v>4332</v>
      </c>
      <c r="B1455" s="241">
        <v>6122</v>
      </c>
      <c r="C1455" s="240" t="s">
        <v>258</v>
      </c>
      <c r="D1455" s="238">
        <v>257</v>
      </c>
      <c r="E1455" s="239">
        <v>0</v>
      </c>
      <c r="F1455" s="238">
        <v>0</v>
      </c>
      <c r="G1455" s="260" t="s">
        <v>279</v>
      </c>
    </row>
    <row r="1456" spans="1:15" x14ac:dyDescent="0.2">
      <c r="A1456" s="236">
        <v>4332</v>
      </c>
      <c r="B1456" s="235"/>
      <c r="C1456" s="259" t="s">
        <v>280</v>
      </c>
      <c r="D1456" s="232">
        <v>16755</v>
      </c>
      <c r="E1456" s="233">
        <v>0</v>
      </c>
      <c r="F1456" s="232">
        <v>0</v>
      </c>
      <c r="G1456" s="258" t="s">
        <v>279</v>
      </c>
    </row>
    <row r="1457" spans="1:7" x14ac:dyDescent="0.2">
      <c r="A1457" s="242"/>
      <c r="B1457" s="250"/>
      <c r="C1457" s="240"/>
      <c r="D1457" s="249"/>
      <c r="E1457" s="249"/>
      <c r="F1457" s="249"/>
      <c r="G1457" s="237"/>
    </row>
    <row r="1458" spans="1:7" x14ac:dyDescent="0.2">
      <c r="A1458" s="248">
        <v>4339</v>
      </c>
      <c r="B1458" s="247">
        <v>6322</v>
      </c>
      <c r="C1458" s="246" t="s">
        <v>267</v>
      </c>
      <c r="D1458" s="244">
        <v>0</v>
      </c>
      <c r="E1458" s="245">
        <v>113</v>
      </c>
      <c r="F1458" s="244">
        <v>113</v>
      </c>
      <c r="G1458" s="243">
        <v>100</v>
      </c>
    </row>
    <row r="1459" spans="1:7" x14ac:dyDescent="0.2">
      <c r="A1459" s="236">
        <v>4339</v>
      </c>
      <c r="B1459" s="235"/>
      <c r="C1459" s="234" t="s">
        <v>278</v>
      </c>
      <c r="D1459" s="232">
        <v>0</v>
      </c>
      <c r="E1459" s="233">
        <v>113</v>
      </c>
      <c r="F1459" s="232">
        <v>113</v>
      </c>
      <c r="G1459" s="231">
        <v>100</v>
      </c>
    </row>
    <row r="1460" spans="1:7" x14ac:dyDescent="0.2">
      <c r="A1460" s="242"/>
      <c r="B1460" s="250"/>
      <c r="C1460" s="240"/>
      <c r="D1460" s="249"/>
      <c r="E1460" s="249"/>
      <c r="F1460" s="249"/>
      <c r="G1460" s="237"/>
    </row>
    <row r="1461" spans="1:7" x14ac:dyDescent="0.2">
      <c r="A1461" s="248">
        <v>4350</v>
      </c>
      <c r="B1461" s="247">
        <v>6121</v>
      </c>
      <c r="C1461" s="246" t="s">
        <v>259</v>
      </c>
      <c r="D1461" s="244">
        <v>39851</v>
      </c>
      <c r="E1461" s="245">
        <v>74807.570000000007</v>
      </c>
      <c r="F1461" s="244">
        <v>30960.108529999994</v>
      </c>
      <c r="G1461" s="243">
        <v>41.386330995646553</v>
      </c>
    </row>
    <row r="1462" spans="1:7" x14ac:dyDescent="0.2">
      <c r="A1462" s="242">
        <v>4350</v>
      </c>
      <c r="B1462" s="241">
        <v>6122</v>
      </c>
      <c r="C1462" s="240" t="s">
        <v>258</v>
      </c>
      <c r="D1462" s="238">
        <v>2500</v>
      </c>
      <c r="E1462" s="239">
        <v>6000</v>
      </c>
      <c r="F1462" s="238">
        <v>3696.4150300000001</v>
      </c>
      <c r="G1462" s="237">
        <v>61.606917166666662</v>
      </c>
    </row>
    <row r="1463" spans="1:7" x14ac:dyDescent="0.2">
      <c r="A1463" s="242">
        <v>4350</v>
      </c>
      <c r="B1463" s="241">
        <v>6351</v>
      </c>
      <c r="C1463" s="240" t="s">
        <v>276</v>
      </c>
      <c r="D1463" s="238">
        <v>4500</v>
      </c>
      <c r="E1463" s="239">
        <v>6000</v>
      </c>
      <c r="F1463" s="238">
        <v>2634.7514799999999</v>
      </c>
      <c r="G1463" s="237">
        <v>43.912524666666663</v>
      </c>
    </row>
    <row r="1464" spans="1:7" x14ac:dyDescent="0.2">
      <c r="A1464" s="236">
        <v>4350</v>
      </c>
      <c r="B1464" s="235"/>
      <c r="C1464" s="234" t="s">
        <v>185</v>
      </c>
      <c r="D1464" s="232">
        <v>46851</v>
      </c>
      <c r="E1464" s="233">
        <v>86807.57</v>
      </c>
      <c r="F1464" s="232">
        <v>37291.275039999993</v>
      </c>
      <c r="G1464" s="231">
        <v>42.95855193274042</v>
      </c>
    </row>
    <row r="1465" spans="1:7" x14ac:dyDescent="0.2">
      <c r="A1465" s="242"/>
      <c r="B1465" s="250"/>
      <c r="C1465" s="240"/>
      <c r="D1465" s="249"/>
      <c r="E1465" s="249"/>
      <c r="F1465" s="249"/>
      <c r="G1465" s="237"/>
    </row>
    <row r="1466" spans="1:7" x14ac:dyDescent="0.2">
      <c r="A1466" s="248">
        <v>4354</v>
      </c>
      <c r="B1466" s="247">
        <v>6121</v>
      </c>
      <c r="C1466" s="246" t="s">
        <v>259</v>
      </c>
      <c r="D1466" s="244">
        <v>3600</v>
      </c>
      <c r="E1466" s="245">
        <v>10389.780000000001</v>
      </c>
      <c r="F1466" s="244">
        <v>9823.5824499999981</v>
      </c>
      <c r="G1466" s="243">
        <v>94.550437545357042</v>
      </c>
    </row>
    <row r="1467" spans="1:7" x14ac:dyDescent="0.2">
      <c r="A1467" s="242">
        <v>4354</v>
      </c>
      <c r="B1467" s="241">
        <v>6122</v>
      </c>
      <c r="C1467" s="240" t="s">
        <v>258</v>
      </c>
      <c r="D1467" s="238">
        <v>0</v>
      </c>
      <c r="E1467" s="239">
        <v>211</v>
      </c>
      <c r="F1467" s="238">
        <v>210.065</v>
      </c>
      <c r="G1467" s="237">
        <v>99.556872037914687</v>
      </c>
    </row>
    <row r="1468" spans="1:7" x14ac:dyDescent="0.2">
      <c r="A1468" s="242">
        <v>4354</v>
      </c>
      <c r="B1468" s="241">
        <v>6351</v>
      </c>
      <c r="C1468" s="240" t="s">
        <v>276</v>
      </c>
      <c r="D1468" s="238">
        <v>0</v>
      </c>
      <c r="E1468" s="239">
        <v>800</v>
      </c>
      <c r="F1468" s="238">
        <v>600</v>
      </c>
      <c r="G1468" s="237">
        <v>75</v>
      </c>
    </row>
    <row r="1469" spans="1:7" x14ac:dyDescent="0.2">
      <c r="A1469" s="236">
        <v>4354</v>
      </c>
      <c r="B1469" s="235"/>
      <c r="C1469" s="234" t="s">
        <v>277</v>
      </c>
      <c r="D1469" s="232">
        <v>3600</v>
      </c>
      <c r="E1469" s="233">
        <v>11400.78</v>
      </c>
      <c r="F1469" s="232">
        <v>10633.647449999999</v>
      </c>
      <c r="G1469" s="231">
        <v>93.271227494960854</v>
      </c>
    </row>
    <row r="1470" spans="1:7" x14ac:dyDescent="0.2">
      <c r="A1470" s="242"/>
      <c r="B1470" s="250"/>
      <c r="C1470" s="240"/>
      <c r="D1470" s="249"/>
      <c r="E1470" s="249"/>
      <c r="F1470" s="249"/>
      <c r="G1470" s="237"/>
    </row>
    <row r="1471" spans="1:7" x14ac:dyDescent="0.2">
      <c r="A1471" s="248">
        <v>4357</v>
      </c>
      <c r="B1471" s="247">
        <v>6121</v>
      </c>
      <c r="C1471" s="246" t="s">
        <v>259</v>
      </c>
      <c r="D1471" s="244">
        <v>137062</v>
      </c>
      <c r="E1471" s="245">
        <v>177217.99999999997</v>
      </c>
      <c r="F1471" s="244">
        <v>166156.18085999996</v>
      </c>
      <c r="G1471" s="243">
        <v>93.758072464422355</v>
      </c>
    </row>
    <row r="1472" spans="1:7" x14ac:dyDescent="0.2">
      <c r="A1472" s="242">
        <v>4357</v>
      </c>
      <c r="B1472" s="241">
        <v>6122</v>
      </c>
      <c r="C1472" s="240" t="s">
        <v>258</v>
      </c>
      <c r="D1472" s="238">
        <v>12875</v>
      </c>
      <c r="E1472" s="239">
        <v>11945.569999999998</v>
      </c>
      <c r="F1472" s="238">
        <v>10296.982099999997</v>
      </c>
      <c r="G1472" s="237">
        <v>86.19916923177378</v>
      </c>
    </row>
    <row r="1473" spans="1:15" x14ac:dyDescent="0.2">
      <c r="A1473" s="242">
        <v>4357</v>
      </c>
      <c r="B1473" s="241">
        <v>6123</v>
      </c>
      <c r="C1473" s="240" t="s">
        <v>257</v>
      </c>
      <c r="D1473" s="238">
        <v>0</v>
      </c>
      <c r="E1473" s="239">
        <v>9800</v>
      </c>
      <c r="F1473" s="238">
        <v>7534.3645000000006</v>
      </c>
      <c r="G1473" s="237">
        <v>76.881270408163275</v>
      </c>
    </row>
    <row r="1474" spans="1:15" x14ac:dyDescent="0.2">
      <c r="A1474" s="242">
        <v>4357</v>
      </c>
      <c r="B1474" s="241">
        <v>6351</v>
      </c>
      <c r="C1474" s="240" t="s">
        <v>276</v>
      </c>
      <c r="D1474" s="238">
        <v>6700</v>
      </c>
      <c r="E1474" s="239">
        <v>8550</v>
      </c>
      <c r="F1474" s="238">
        <v>4623.7879999999996</v>
      </c>
      <c r="G1474" s="237">
        <v>54.079391812865495</v>
      </c>
    </row>
    <row r="1475" spans="1:15" x14ac:dyDescent="0.2">
      <c r="A1475" s="236">
        <v>4357</v>
      </c>
      <c r="B1475" s="235"/>
      <c r="C1475" s="234" t="s">
        <v>182</v>
      </c>
      <c r="D1475" s="232">
        <v>156637</v>
      </c>
      <c r="E1475" s="233">
        <v>207513.56999999998</v>
      </c>
      <c r="F1475" s="232">
        <v>188611.31545999995</v>
      </c>
      <c r="G1475" s="231">
        <v>90.891075441475934</v>
      </c>
    </row>
    <row r="1476" spans="1:15" x14ac:dyDescent="0.2">
      <c r="A1476" s="242"/>
      <c r="B1476" s="250"/>
      <c r="C1476" s="240"/>
      <c r="D1476" s="249"/>
      <c r="E1476" s="249"/>
      <c r="F1476" s="249"/>
      <c r="G1476" s="237"/>
    </row>
    <row r="1477" spans="1:15" x14ac:dyDescent="0.2">
      <c r="A1477" s="248">
        <v>4377</v>
      </c>
      <c r="B1477" s="247">
        <v>6121</v>
      </c>
      <c r="C1477" s="246" t="s">
        <v>259</v>
      </c>
      <c r="D1477" s="244">
        <v>0</v>
      </c>
      <c r="E1477" s="245">
        <v>750</v>
      </c>
      <c r="F1477" s="244">
        <v>0</v>
      </c>
      <c r="G1477" s="243">
        <v>0</v>
      </c>
    </row>
    <row r="1478" spans="1:15" x14ac:dyDescent="0.2">
      <c r="A1478" s="242">
        <v>4377</v>
      </c>
      <c r="B1478" s="241">
        <v>6351</v>
      </c>
      <c r="C1478" s="240" t="s">
        <v>276</v>
      </c>
      <c r="D1478" s="238">
        <v>0</v>
      </c>
      <c r="E1478" s="239">
        <v>300</v>
      </c>
      <c r="F1478" s="238">
        <v>0</v>
      </c>
      <c r="G1478" s="237">
        <v>0</v>
      </c>
    </row>
    <row r="1479" spans="1:15" x14ac:dyDescent="0.2">
      <c r="A1479" s="236">
        <v>4377</v>
      </c>
      <c r="B1479" s="235"/>
      <c r="C1479" s="234" t="s">
        <v>275</v>
      </c>
      <c r="D1479" s="232">
        <v>0</v>
      </c>
      <c r="E1479" s="233">
        <v>1050</v>
      </c>
      <c r="F1479" s="232">
        <v>0</v>
      </c>
      <c r="G1479" s="231">
        <v>0</v>
      </c>
    </row>
    <row r="1480" spans="1:15" x14ac:dyDescent="0.2">
      <c r="A1480" s="242"/>
      <c r="B1480" s="250"/>
      <c r="C1480" s="240"/>
      <c r="D1480" s="249"/>
      <c r="E1480" s="249"/>
      <c r="F1480" s="249"/>
      <c r="G1480" s="237"/>
    </row>
    <row r="1481" spans="1:15" x14ac:dyDescent="0.2">
      <c r="A1481" s="248">
        <v>4399</v>
      </c>
      <c r="B1481" s="247">
        <v>6321</v>
      </c>
      <c r="C1481" s="246" t="s">
        <v>274</v>
      </c>
      <c r="D1481" s="244">
        <v>0</v>
      </c>
      <c r="E1481" s="245">
        <v>614.29999999999995</v>
      </c>
      <c r="F1481" s="244">
        <v>614.29999999999995</v>
      </c>
      <c r="G1481" s="243">
        <v>100</v>
      </c>
    </row>
    <row r="1482" spans="1:15" x14ac:dyDescent="0.2">
      <c r="A1482" s="242">
        <v>4399</v>
      </c>
      <c r="B1482" s="241">
        <v>6322</v>
      </c>
      <c r="C1482" s="240" t="s">
        <v>267</v>
      </c>
      <c r="D1482" s="238">
        <v>0</v>
      </c>
      <c r="E1482" s="239">
        <v>200</v>
      </c>
      <c r="F1482" s="238">
        <v>0</v>
      </c>
      <c r="G1482" s="237">
        <v>0</v>
      </c>
    </row>
    <row r="1483" spans="1:15" x14ac:dyDescent="0.2">
      <c r="A1483" s="242">
        <v>4399</v>
      </c>
      <c r="B1483" s="241">
        <v>6323</v>
      </c>
      <c r="C1483" s="240" t="s">
        <v>273</v>
      </c>
      <c r="D1483" s="238">
        <v>0</v>
      </c>
      <c r="E1483" s="239">
        <v>3199.5</v>
      </c>
      <c r="F1483" s="238">
        <v>3197.69148</v>
      </c>
      <c r="G1483" s="237">
        <v>99.943474917955939</v>
      </c>
    </row>
    <row r="1484" spans="1:15" x14ac:dyDescent="0.2">
      <c r="A1484" s="236">
        <v>4399</v>
      </c>
      <c r="B1484" s="235"/>
      <c r="C1484" s="234" t="s">
        <v>179</v>
      </c>
      <c r="D1484" s="232">
        <v>0</v>
      </c>
      <c r="E1484" s="233">
        <v>4013.8</v>
      </c>
      <c r="F1484" s="232">
        <v>3811.9914799999997</v>
      </c>
      <c r="G1484" s="231">
        <v>94.972133140664695</v>
      </c>
    </row>
    <row r="1485" spans="1:15" x14ac:dyDescent="0.2">
      <c r="A1485" s="242"/>
      <c r="B1485" s="250"/>
      <c r="C1485" s="240"/>
      <c r="D1485" s="249"/>
      <c r="E1485" s="249"/>
      <c r="F1485" s="249"/>
      <c r="G1485" s="237"/>
    </row>
    <row r="1486" spans="1:15" customFormat="1" x14ac:dyDescent="0.2">
      <c r="A1486" s="1317" t="s">
        <v>272</v>
      </c>
      <c r="B1486" s="1318"/>
      <c r="C1486" s="1318"/>
      <c r="D1486" s="257">
        <v>226543</v>
      </c>
      <c r="E1486" s="257">
        <v>345805.63</v>
      </c>
      <c r="F1486" s="257">
        <v>272759.76035</v>
      </c>
      <c r="G1486" s="256">
        <v>78.88</v>
      </c>
      <c r="I1486" s="100"/>
      <c r="J1486" s="100"/>
      <c r="K1486" s="100"/>
      <c r="L1486" s="100"/>
      <c r="M1486" s="100"/>
      <c r="N1486" s="100"/>
      <c r="O1486" s="100"/>
    </row>
    <row r="1487" spans="1:15" customFormat="1" x14ac:dyDescent="0.2">
      <c r="A1487" s="255"/>
      <c r="B1487" s="254"/>
      <c r="C1487" s="253"/>
      <c r="D1487" s="252"/>
      <c r="E1487" s="252"/>
      <c r="F1487" s="252"/>
      <c r="G1487" s="251"/>
      <c r="I1487" s="100"/>
      <c r="J1487" s="100"/>
      <c r="K1487" s="100"/>
      <c r="L1487" s="100"/>
      <c r="M1487" s="100"/>
      <c r="N1487" s="100"/>
      <c r="O1487" s="100"/>
    </row>
    <row r="1488" spans="1:15" x14ac:dyDescent="0.2">
      <c r="A1488" s="248">
        <v>5212</v>
      </c>
      <c r="B1488" s="247">
        <v>6122</v>
      </c>
      <c r="C1488" s="246" t="s">
        <v>258</v>
      </c>
      <c r="D1488" s="244">
        <v>5550</v>
      </c>
      <c r="E1488" s="245">
        <v>7326.38</v>
      </c>
      <c r="F1488" s="244">
        <v>7023.4629999999997</v>
      </c>
      <c r="G1488" s="243">
        <v>95.865393277443971</v>
      </c>
    </row>
    <row r="1489" spans="1:7" x14ac:dyDescent="0.2">
      <c r="A1489" s="242">
        <v>5212</v>
      </c>
      <c r="B1489" s="241">
        <v>6123</v>
      </c>
      <c r="C1489" s="240" t="s">
        <v>257</v>
      </c>
      <c r="D1489" s="238">
        <v>0</v>
      </c>
      <c r="E1489" s="239">
        <v>4032.93</v>
      </c>
      <c r="F1489" s="238">
        <v>3925.5419999999999</v>
      </c>
      <c r="G1489" s="237">
        <v>97.337221325438321</v>
      </c>
    </row>
    <row r="1490" spans="1:7" x14ac:dyDescent="0.2">
      <c r="A1490" s="236">
        <v>5212</v>
      </c>
      <c r="B1490" s="235"/>
      <c r="C1490" s="234" t="s">
        <v>271</v>
      </c>
      <c r="D1490" s="232">
        <v>5550</v>
      </c>
      <c r="E1490" s="233">
        <v>11359.31</v>
      </c>
      <c r="F1490" s="232">
        <v>10949.004999999999</v>
      </c>
      <c r="G1490" s="231">
        <v>96.387940816827779</v>
      </c>
    </row>
    <row r="1491" spans="1:7" x14ac:dyDescent="0.2">
      <c r="A1491" s="242"/>
      <c r="B1491" s="250"/>
      <c r="C1491" s="240"/>
      <c r="D1491" s="249"/>
      <c r="E1491" s="249"/>
      <c r="F1491" s="249"/>
      <c r="G1491" s="237"/>
    </row>
    <row r="1492" spans="1:7" x14ac:dyDescent="0.2">
      <c r="A1492" s="248">
        <v>5279</v>
      </c>
      <c r="B1492" s="247">
        <v>6122</v>
      </c>
      <c r="C1492" s="246" t="s">
        <v>258</v>
      </c>
      <c r="D1492" s="244">
        <v>0</v>
      </c>
      <c r="E1492" s="245">
        <v>2423.79</v>
      </c>
      <c r="F1492" s="244">
        <v>0</v>
      </c>
      <c r="G1492" s="243">
        <v>0</v>
      </c>
    </row>
    <row r="1493" spans="1:7" x14ac:dyDescent="0.2">
      <c r="A1493" s="242">
        <v>5279</v>
      </c>
      <c r="B1493" s="241">
        <v>6341</v>
      </c>
      <c r="C1493" s="240" t="s">
        <v>266</v>
      </c>
      <c r="D1493" s="238">
        <v>5000</v>
      </c>
      <c r="E1493" s="239">
        <v>5175</v>
      </c>
      <c r="F1493" s="238">
        <v>1975</v>
      </c>
      <c r="G1493" s="237">
        <v>38.164251207729464</v>
      </c>
    </row>
    <row r="1494" spans="1:7" x14ac:dyDescent="0.2">
      <c r="A1494" s="236">
        <v>5279</v>
      </c>
      <c r="B1494" s="235"/>
      <c r="C1494" s="234" t="s">
        <v>270</v>
      </c>
      <c r="D1494" s="232">
        <v>5000</v>
      </c>
      <c r="E1494" s="233">
        <v>7598.79</v>
      </c>
      <c r="F1494" s="232">
        <v>1975</v>
      </c>
      <c r="G1494" s="231">
        <v>25.990980142891175</v>
      </c>
    </row>
    <row r="1495" spans="1:7" x14ac:dyDescent="0.2">
      <c r="A1495" s="242"/>
      <c r="B1495" s="250"/>
      <c r="C1495" s="240"/>
      <c r="D1495" s="249"/>
      <c r="E1495" s="249"/>
      <c r="F1495" s="249"/>
      <c r="G1495" s="237"/>
    </row>
    <row r="1496" spans="1:7" x14ac:dyDescent="0.2">
      <c r="A1496" s="248">
        <v>5311</v>
      </c>
      <c r="B1496" s="247">
        <v>6122</v>
      </c>
      <c r="C1496" s="246" t="s">
        <v>258</v>
      </c>
      <c r="D1496" s="244">
        <v>500</v>
      </c>
      <c r="E1496" s="245">
        <v>500</v>
      </c>
      <c r="F1496" s="244">
        <v>0</v>
      </c>
      <c r="G1496" s="243">
        <v>0</v>
      </c>
    </row>
    <row r="1497" spans="1:7" x14ac:dyDescent="0.2">
      <c r="A1497" s="242">
        <v>5311</v>
      </c>
      <c r="B1497" s="241">
        <v>6339</v>
      </c>
      <c r="C1497" s="240" t="s">
        <v>268</v>
      </c>
      <c r="D1497" s="238">
        <v>5000</v>
      </c>
      <c r="E1497" s="239">
        <v>6350</v>
      </c>
      <c r="F1497" s="238">
        <v>6316.3593500000006</v>
      </c>
      <c r="G1497" s="237">
        <v>99.470225984251982</v>
      </c>
    </row>
    <row r="1498" spans="1:7" x14ac:dyDescent="0.2">
      <c r="A1498" s="236">
        <v>5311</v>
      </c>
      <c r="B1498" s="235"/>
      <c r="C1498" s="234" t="s">
        <v>269</v>
      </c>
      <c r="D1498" s="232">
        <v>5500</v>
      </c>
      <c r="E1498" s="233">
        <v>6850</v>
      </c>
      <c r="F1498" s="232">
        <v>6316.3593500000006</v>
      </c>
      <c r="G1498" s="231">
        <v>92.209625547445256</v>
      </c>
    </row>
    <row r="1499" spans="1:7" x14ac:dyDescent="0.2">
      <c r="A1499" s="242"/>
      <c r="B1499" s="250"/>
      <c r="C1499" s="240"/>
      <c r="D1499" s="249"/>
      <c r="E1499" s="249"/>
      <c r="F1499" s="249"/>
      <c r="G1499" s="237"/>
    </row>
    <row r="1500" spans="1:7" x14ac:dyDescent="0.2">
      <c r="A1500" s="248">
        <v>5511</v>
      </c>
      <c r="B1500" s="247">
        <v>6122</v>
      </c>
      <c r="C1500" s="246" t="s">
        <v>258</v>
      </c>
      <c r="D1500" s="244">
        <v>26450</v>
      </c>
      <c r="E1500" s="245">
        <v>1062.05</v>
      </c>
      <c r="F1500" s="244">
        <v>956.69859999999994</v>
      </c>
      <c r="G1500" s="243">
        <v>90.080372863801145</v>
      </c>
    </row>
    <row r="1501" spans="1:7" x14ac:dyDescent="0.2">
      <c r="A1501" s="242">
        <v>5511</v>
      </c>
      <c r="B1501" s="241">
        <v>6123</v>
      </c>
      <c r="C1501" s="240" t="s">
        <v>257</v>
      </c>
      <c r="D1501" s="238">
        <v>350713</v>
      </c>
      <c r="E1501" s="239">
        <v>346951.24999999994</v>
      </c>
      <c r="F1501" s="238">
        <v>341606.924</v>
      </c>
      <c r="G1501" s="237">
        <v>98.459632008819696</v>
      </c>
    </row>
    <row r="1502" spans="1:7" x14ac:dyDescent="0.2">
      <c r="A1502" s="242">
        <v>5511</v>
      </c>
      <c r="B1502" s="241">
        <v>6125</v>
      </c>
      <c r="C1502" s="240" t="s">
        <v>256</v>
      </c>
      <c r="D1502" s="238">
        <v>0</v>
      </c>
      <c r="E1502" s="239">
        <v>92.21</v>
      </c>
      <c r="F1502" s="238">
        <v>0</v>
      </c>
      <c r="G1502" s="237">
        <v>0</v>
      </c>
    </row>
    <row r="1503" spans="1:7" x14ac:dyDescent="0.2">
      <c r="A1503" s="242">
        <v>5511</v>
      </c>
      <c r="B1503" s="241">
        <v>6339</v>
      </c>
      <c r="C1503" s="240" t="s">
        <v>268</v>
      </c>
      <c r="D1503" s="238">
        <v>21980</v>
      </c>
      <c r="E1503" s="239">
        <v>31974</v>
      </c>
      <c r="F1503" s="238">
        <v>1090.96903</v>
      </c>
      <c r="G1503" s="237">
        <v>3.4120505097892035</v>
      </c>
    </row>
    <row r="1504" spans="1:7" x14ac:dyDescent="0.2">
      <c r="A1504" s="236">
        <v>5511</v>
      </c>
      <c r="B1504" s="235"/>
      <c r="C1504" s="234" t="s">
        <v>122</v>
      </c>
      <c r="D1504" s="232">
        <v>399143</v>
      </c>
      <c r="E1504" s="233">
        <v>380079.50999999995</v>
      </c>
      <c r="F1504" s="232">
        <v>343654.59162999998</v>
      </c>
      <c r="G1504" s="231">
        <v>90.416500386984822</v>
      </c>
    </row>
    <row r="1505" spans="1:7" x14ac:dyDescent="0.2">
      <c r="A1505" s="242"/>
      <c r="B1505" s="250"/>
      <c r="C1505" s="240"/>
      <c r="D1505" s="249"/>
      <c r="E1505" s="249"/>
      <c r="F1505" s="249"/>
      <c r="G1505" s="237"/>
    </row>
    <row r="1506" spans="1:7" x14ac:dyDescent="0.2">
      <c r="A1506" s="248">
        <v>5512</v>
      </c>
      <c r="B1506" s="247">
        <v>6122</v>
      </c>
      <c r="C1506" s="246" t="s">
        <v>258</v>
      </c>
      <c r="D1506" s="244">
        <v>7000</v>
      </c>
      <c r="E1506" s="245">
        <v>6371.62</v>
      </c>
      <c r="F1506" s="244">
        <v>5875.7297500000004</v>
      </c>
      <c r="G1506" s="243">
        <v>92.217203003317849</v>
      </c>
    </row>
    <row r="1507" spans="1:7" x14ac:dyDescent="0.2">
      <c r="A1507" s="242">
        <v>5512</v>
      </c>
      <c r="B1507" s="241">
        <v>6123</v>
      </c>
      <c r="C1507" s="240" t="s">
        <v>257</v>
      </c>
      <c r="D1507" s="238">
        <v>0</v>
      </c>
      <c r="E1507" s="239">
        <v>195026.81</v>
      </c>
      <c r="F1507" s="238">
        <v>194147.52499999999</v>
      </c>
      <c r="G1507" s="237">
        <v>99.549146601946674</v>
      </c>
    </row>
    <row r="1508" spans="1:7" x14ac:dyDescent="0.2">
      <c r="A1508" s="242">
        <v>5512</v>
      </c>
      <c r="B1508" s="241">
        <v>6322</v>
      </c>
      <c r="C1508" s="240" t="s">
        <v>267</v>
      </c>
      <c r="D1508" s="238">
        <v>0</v>
      </c>
      <c r="E1508" s="239">
        <v>70</v>
      </c>
      <c r="F1508" s="238">
        <v>70</v>
      </c>
      <c r="G1508" s="237">
        <v>100</v>
      </c>
    </row>
    <row r="1509" spans="1:7" x14ac:dyDescent="0.2">
      <c r="A1509" s="242">
        <v>5512</v>
      </c>
      <c r="B1509" s="241">
        <v>6341</v>
      </c>
      <c r="C1509" s="240" t="s">
        <v>266</v>
      </c>
      <c r="D1509" s="238">
        <v>5000</v>
      </c>
      <c r="E1509" s="239">
        <v>4900</v>
      </c>
      <c r="F1509" s="238">
        <v>4500</v>
      </c>
      <c r="G1509" s="237">
        <v>91.83673469387756</v>
      </c>
    </row>
    <row r="1510" spans="1:7" x14ac:dyDescent="0.2">
      <c r="A1510" s="236">
        <v>5512</v>
      </c>
      <c r="B1510" s="235"/>
      <c r="C1510" s="234" t="s">
        <v>265</v>
      </c>
      <c r="D1510" s="232">
        <v>12000</v>
      </c>
      <c r="E1510" s="233">
        <v>206368.43</v>
      </c>
      <c r="F1510" s="232">
        <v>204593.25474999999</v>
      </c>
      <c r="G1510" s="231">
        <v>99.139802900085058</v>
      </c>
    </row>
    <row r="1511" spans="1:7" x14ac:dyDescent="0.2">
      <c r="A1511" s="242"/>
      <c r="B1511" s="250"/>
      <c r="C1511" s="240"/>
      <c r="D1511" s="249"/>
      <c r="E1511" s="249"/>
      <c r="F1511" s="249"/>
      <c r="G1511" s="237"/>
    </row>
    <row r="1512" spans="1:7" x14ac:dyDescent="0.2">
      <c r="A1512" s="248">
        <v>5521</v>
      </c>
      <c r="B1512" s="247">
        <v>6121</v>
      </c>
      <c r="C1512" s="246" t="s">
        <v>259</v>
      </c>
      <c r="D1512" s="244">
        <v>421000</v>
      </c>
      <c r="E1512" s="245">
        <v>486349.08000000007</v>
      </c>
      <c r="F1512" s="244">
        <v>480994.09559999994</v>
      </c>
      <c r="G1512" s="243">
        <v>98.898942216565899</v>
      </c>
    </row>
    <row r="1513" spans="1:7" x14ac:dyDescent="0.2">
      <c r="A1513" s="242">
        <v>5521</v>
      </c>
      <c r="B1513" s="241">
        <v>6122</v>
      </c>
      <c r="C1513" s="240" t="s">
        <v>258</v>
      </c>
      <c r="D1513" s="238">
        <v>20000</v>
      </c>
      <c r="E1513" s="239">
        <v>31935.25</v>
      </c>
      <c r="F1513" s="238">
        <v>28577.712260000004</v>
      </c>
      <c r="G1513" s="237">
        <v>89.48642099247698</v>
      </c>
    </row>
    <row r="1514" spans="1:7" x14ac:dyDescent="0.2">
      <c r="A1514" s="242">
        <v>5521</v>
      </c>
      <c r="B1514" s="241">
        <v>6130</v>
      </c>
      <c r="C1514" s="240" t="s">
        <v>264</v>
      </c>
      <c r="D1514" s="238">
        <v>0</v>
      </c>
      <c r="E1514" s="239">
        <v>1476.6</v>
      </c>
      <c r="F1514" s="238">
        <v>1476.6</v>
      </c>
      <c r="G1514" s="237">
        <v>100</v>
      </c>
    </row>
    <row r="1515" spans="1:7" x14ac:dyDescent="0.2">
      <c r="A1515" s="236">
        <v>5521</v>
      </c>
      <c r="B1515" s="235"/>
      <c r="C1515" s="234" t="s">
        <v>177</v>
      </c>
      <c r="D1515" s="232">
        <v>441000</v>
      </c>
      <c r="E1515" s="233">
        <v>519760.93000000005</v>
      </c>
      <c r="F1515" s="232">
        <v>511048.40785999992</v>
      </c>
      <c r="G1515" s="231">
        <v>98.323744314525499</v>
      </c>
    </row>
    <row r="1516" spans="1:7" x14ac:dyDescent="0.2">
      <c r="A1516" s="242"/>
      <c r="B1516" s="250"/>
      <c r="C1516" s="240"/>
      <c r="D1516" s="249"/>
      <c r="E1516" s="249"/>
      <c r="F1516" s="249"/>
      <c r="G1516" s="237"/>
    </row>
    <row r="1517" spans="1:7" x14ac:dyDescent="0.2">
      <c r="A1517" s="248">
        <v>5599</v>
      </c>
      <c r="B1517" s="247">
        <v>6111</v>
      </c>
      <c r="C1517" s="246" t="s">
        <v>261</v>
      </c>
      <c r="D1517" s="244">
        <v>0</v>
      </c>
      <c r="E1517" s="245">
        <v>677.51</v>
      </c>
      <c r="F1517" s="244">
        <v>677.48721999999998</v>
      </c>
      <c r="G1517" s="243">
        <v>99.996637688004611</v>
      </c>
    </row>
    <row r="1518" spans="1:7" x14ac:dyDescent="0.2">
      <c r="A1518" s="242">
        <v>5599</v>
      </c>
      <c r="B1518" s="241">
        <v>6122</v>
      </c>
      <c r="C1518" s="240" t="s">
        <v>258</v>
      </c>
      <c r="D1518" s="238">
        <v>0</v>
      </c>
      <c r="E1518" s="239">
        <v>7592.45</v>
      </c>
      <c r="F1518" s="238">
        <v>7592.4344399999991</v>
      </c>
      <c r="G1518" s="237">
        <v>99.999795059565741</v>
      </c>
    </row>
    <row r="1519" spans="1:7" x14ac:dyDescent="0.2">
      <c r="A1519" s="236">
        <v>5599</v>
      </c>
      <c r="B1519" s="235"/>
      <c r="C1519" s="234" t="s">
        <v>119</v>
      </c>
      <c r="D1519" s="232">
        <v>0</v>
      </c>
      <c r="E1519" s="233">
        <v>8269.9599999999991</v>
      </c>
      <c r="F1519" s="232">
        <v>8269.92166</v>
      </c>
      <c r="G1519" s="231">
        <v>99.99953639437193</v>
      </c>
    </row>
    <row r="1520" spans="1:7" x14ac:dyDescent="0.2">
      <c r="A1520" s="242"/>
      <c r="B1520" s="250"/>
      <c r="C1520" s="240"/>
      <c r="D1520" s="249"/>
      <c r="E1520" s="249"/>
      <c r="F1520" s="249"/>
      <c r="G1520" s="237"/>
    </row>
    <row r="1521" spans="1:15" customFormat="1" x14ac:dyDescent="0.2">
      <c r="A1521" s="1317" t="s">
        <v>263</v>
      </c>
      <c r="B1521" s="1318"/>
      <c r="C1521" s="1318"/>
      <c r="D1521" s="257">
        <v>868193</v>
      </c>
      <c r="E1521" s="257">
        <v>1140286.8999999999</v>
      </c>
      <c r="F1521" s="257">
        <v>1086806.5402500001</v>
      </c>
      <c r="G1521" s="256">
        <v>95.31</v>
      </c>
      <c r="I1521" s="100"/>
      <c r="J1521" s="100"/>
      <c r="K1521" s="100"/>
      <c r="L1521" s="100"/>
      <c r="M1521" s="100"/>
      <c r="N1521" s="100"/>
      <c r="O1521" s="100"/>
    </row>
    <row r="1522" spans="1:15" customFormat="1" x14ac:dyDescent="0.2">
      <c r="A1522" s="255"/>
      <c r="B1522" s="254"/>
      <c r="C1522" s="253"/>
      <c r="D1522" s="252"/>
      <c r="E1522" s="252"/>
      <c r="F1522" s="252"/>
      <c r="G1522" s="251"/>
      <c r="I1522" s="100"/>
      <c r="J1522" s="100"/>
      <c r="K1522" s="100"/>
      <c r="L1522" s="100"/>
      <c r="M1522" s="100"/>
      <c r="N1522" s="100"/>
      <c r="O1522" s="100"/>
    </row>
    <row r="1523" spans="1:15" x14ac:dyDescent="0.2">
      <c r="A1523" s="248">
        <v>6113</v>
      </c>
      <c r="B1523" s="247">
        <v>6111</v>
      </c>
      <c r="C1523" s="246" t="s">
        <v>261</v>
      </c>
      <c r="D1523" s="244">
        <v>800</v>
      </c>
      <c r="E1523" s="245">
        <v>527</v>
      </c>
      <c r="F1523" s="244">
        <v>0</v>
      </c>
      <c r="G1523" s="243">
        <v>0</v>
      </c>
    </row>
    <row r="1524" spans="1:15" x14ac:dyDescent="0.2">
      <c r="A1524" s="242">
        <v>6113</v>
      </c>
      <c r="B1524" s="241">
        <v>6123</v>
      </c>
      <c r="C1524" s="240" t="s">
        <v>257</v>
      </c>
      <c r="D1524" s="238">
        <v>850</v>
      </c>
      <c r="E1524" s="239">
        <v>863.6</v>
      </c>
      <c r="F1524" s="238">
        <v>863.6</v>
      </c>
      <c r="G1524" s="237">
        <v>100</v>
      </c>
    </row>
    <row r="1525" spans="1:15" x14ac:dyDescent="0.2">
      <c r="A1525" s="242">
        <v>6113</v>
      </c>
      <c r="B1525" s="241">
        <v>6125</v>
      </c>
      <c r="C1525" s="240" t="s">
        <v>256</v>
      </c>
      <c r="D1525" s="238">
        <v>2700</v>
      </c>
      <c r="E1525" s="239">
        <v>731.63</v>
      </c>
      <c r="F1525" s="238">
        <v>101.2</v>
      </c>
      <c r="G1525" s="237">
        <v>13.83212826155297</v>
      </c>
    </row>
    <row r="1526" spans="1:15" x14ac:dyDescent="0.2">
      <c r="A1526" s="242">
        <v>6113</v>
      </c>
      <c r="B1526" s="241">
        <v>6329</v>
      </c>
      <c r="C1526" s="240" t="s">
        <v>262</v>
      </c>
      <c r="D1526" s="238">
        <v>0</v>
      </c>
      <c r="E1526" s="239">
        <v>260</v>
      </c>
      <c r="F1526" s="238">
        <v>260</v>
      </c>
      <c r="G1526" s="237">
        <v>100</v>
      </c>
    </row>
    <row r="1527" spans="1:15" x14ac:dyDescent="0.2">
      <c r="A1527" s="236">
        <v>6113</v>
      </c>
      <c r="B1527" s="235"/>
      <c r="C1527" s="234" t="s">
        <v>174</v>
      </c>
      <c r="D1527" s="232">
        <v>4350</v>
      </c>
      <c r="E1527" s="233">
        <v>2382.23</v>
      </c>
      <c r="F1527" s="232">
        <v>1224.8000000000002</v>
      </c>
      <c r="G1527" s="231">
        <v>51.414011241567778</v>
      </c>
    </row>
    <row r="1528" spans="1:15" x14ac:dyDescent="0.2">
      <c r="A1528" s="242"/>
      <c r="B1528" s="250"/>
      <c r="C1528" s="240"/>
      <c r="D1528" s="249"/>
      <c r="E1528" s="249"/>
      <c r="F1528" s="249"/>
      <c r="G1528" s="237"/>
    </row>
    <row r="1529" spans="1:15" x14ac:dyDescent="0.2">
      <c r="A1529" s="248">
        <v>6172</v>
      </c>
      <c r="B1529" s="247">
        <v>6111</v>
      </c>
      <c r="C1529" s="246" t="s">
        <v>261</v>
      </c>
      <c r="D1529" s="244">
        <v>19370</v>
      </c>
      <c r="E1529" s="245">
        <v>11565.820000000002</v>
      </c>
      <c r="F1529" s="244">
        <v>9713.6717400000016</v>
      </c>
      <c r="G1529" s="243">
        <v>83.986018630758565</v>
      </c>
    </row>
    <row r="1530" spans="1:15" x14ac:dyDescent="0.2">
      <c r="A1530" s="242">
        <v>6172</v>
      </c>
      <c r="B1530" s="241">
        <v>6119</v>
      </c>
      <c r="C1530" s="240" t="s">
        <v>260</v>
      </c>
      <c r="D1530" s="238">
        <v>380</v>
      </c>
      <c r="E1530" s="239">
        <v>380</v>
      </c>
      <c r="F1530" s="238">
        <v>65.16</v>
      </c>
      <c r="G1530" s="237">
        <v>17.147368421052629</v>
      </c>
    </row>
    <row r="1531" spans="1:15" x14ac:dyDescent="0.2">
      <c r="A1531" s="242">
        <v>6172</v>
      </c>
      <c r="B1531" s="241">
        <v>6121</v>
      </c>
      <c r="C1531" s="240" t="s">
        <v>259</v>
      </c>
      <c r="D1531" s="238">
        <v>10650</v>
      </c>
      <c r="E1531" s="239">
        <v>15723.1</v>
      </c>
      <c r="F1531" s="238">
        <v>9682.4503400000012</v>
      </c>
      <c r="G1531" s="237">
        <v>61.581051701000447</v>
      </c>
    </row>
    <row r="1532" spans="1:15" x14ac:dyDescent="0.2">
      <c r="A1532" s="242">
        <v>6172</v>
      </c>
      <c r="B1532" s="241">
        <v>6122</v>
      </c>
      <c r="C1532" s="240" t="s">
        <v>258</v>
      </c>
      <c r="D1532" s="238">
        <v>180</v>
      </c>
      <c r="E1532" s="239">
        <v>4430.0200000000004</v>
      </c>
      <c r="F1532" s="238">
        <v>3043.1872300000005</v>
      </c>
      <c r="G1532" s="237">
        <v>68.694661197917853</v>
      </c>
    </row>
    <row r="1533" spans="1:15" x14ac:dyDescent="0.2">
      <c r="A1533" s="242">
        <v>6172</v>
      </c>
      <c r="B1533" s="241">
        <v>6123</v>
      </c>
      <c r="C1533" s="240" t="s">
        <v>257</v>
      </c>
      <c r="D1533" s="238">
        <v>3880</v>
      </c>
      <c r="E1533" s="239">
        <v>5861.4</v>
      </c>
      <c r="F1533" s="238">
        <v>4688.7</v>
      </c>
      <c r="G1533" s="237">
        <v>79.992834476404965</v>
      </c>
    </row>
    <row r="1534" spans="1:15" x14ac:dyDescent="0.2">
      <c r="A1534" s="242">
        <v>6172</v>
      </c>
      <c r="B1534" s="241">
        <v>6125</v>
      </c>
      <c r="C1534" s="240" t="s">
        <v>256</v>
      </c>
      <c r="D1534" s="238">
        <v>11040</v>
      </c>
      <c r="E1534" s="239">
        <v>21883.37</v>
      </c>
      <c r="F1534" s="238">
        <v>21088.422500000001</v>
      </c>
      <c r="G1534" s="237">
        <v>96.367344243596847</v>
      </c>
    </row>
    <row r="1535" spans="1:15" x14ac:dyDescent="0.2">
      <c r="A1535" s="236">
        <v>6172</v>
      </c>
      <c r="B1535" s="235"/>
      <c r="C1535" s="234" t="s">
        <v>116</v>
      </c>
      <c r="D1535" s="232">
        <v>45500</v>
      </c>
      <c r="E1535" s="233">
        <v>59843.710000000006</v>
      </c>
      <c r="F1535" s="232">
        <v>48281.591810000005</v>
      </c>
      <c r="G1535" s="231">
        <v>80.679476272443679</v>
      </c>
    </row>
    <row r="1536" spans="1:15" x14ac:dyDescent="0.2">
      <c r="A1536" s="230"/>
      <c r="B1536" s="228"/>
      <c r="C1536" s="229"/>
      <c r="D1536" s="228"/>
      <c r="E1536" s="228"/>
      <c r="F1536" s="228"/>
      <c r="G1536" s="227"/>
    </row>
    <row r="1537" spans="1:15" s="100" customFormat="1" ht="13.5" thickBot="1" x14ac:dyDescent="0.25">
      <c r="A1537" s="1319" t="s">
        <v>255</v>
      </c>
      <c r="B1537" s="1320"/>
      <c r="C1537" s="1320"/>
      <c r="D1537" s="226">
        <v>49850</v>
      </c>
      <c r="E1537" s="226">
        <v>62225.94</v>
      </c>
      <c r="F1537" s="226">
        <v>49506.391810000001</v>
      </c>
      <c r="G1537" s="225">
        <v>79.56</v>
      </c>
      <c r="H1537"/>
    </row>
    <row r="1538" spans="1:15" ht="15" customHeight="1" x14ac:dyDescent="0.2">
      <c r="D1538" s="224"/>
      <c r="E1538" s="224"/>
      <c r="F1538" s="224"/>
      <c r="G1538" s="224"/>
    </row>
    <row r="1539" spans="1:15" ht="15" customHeight="1" thickBot="1" x14ac:dyDescent="0.25">
      <c r="D1539" s="224"/>
      <c r="E1539" s="224"/>
      <c r="F1539" s="224"/>
      <c r="G1539" s="224"/>
    </row>
    <row r="1540" spans="1:15" s="213" customFormat="1" ht="15" customHeight="1" x14ac:dyDescent="0.2">
      <c r="A1540" s="223"/>
      <c r="B1540" s="223"/>
      <c r="C1540" s="222" t="s">
        <v>254</v>
      </c>
      <c r="D1540" s="119">
        <v>5225653</v>
      </c>
      <c r="E1540" s="119">
        <v>17168531.965</v>
      </c>
      <c r="F1540" s="119">
        <v>16356738.10832</v>
      </c>
      <c r="G1540" s="118">
        <v>95.27</v>
      </c>
      <c r="I1540" s="221"/>
      <c r="J1540" s="214"/>
      <c r="K1540" s="214"/>
      <c r="L1540" s="214"/>
      <c r="M1540" s="214"/>
      <c r="N1540" s="214"/>
      <c r="O1540" s="214"/>
    </row>
    <row r="1541" spans="1:15" s="213" customFormat="1" ht="15" customHeight="1" x14ac:dyDescent="0.2">
      <c r="A1541" s="220"/>
      <c r="B1541" s="220"/>
      <c r="C1541" s="219" t="s">
        <v>253</v>
      </c>
      <c r="D1541" s="112">
        <v>4470962</v>
      </c>
      <c r="E1541" s="112">
        <v>5063323.2869999995</v>
      </c>
      <c r="F1541" s="112">
        <v>4409991.4597300002</v>
      </c>
      <c r="G1541" s="111">
        <v>87.1</v>
      </c>
      <c r="I1541" s="214"/>
      <c r="J1541" s="214"/>
      <c r="K1541" s="214"/>
      <c r="L1541" s="214"/>
      <c r="M1541" s="214"/>
      <c r="N1541" s="214"/>
      <c r="O1541" s="214"/>
    </row>
    <row r="1542" spans="1:15" s="213" customFormat="1" ht="15" customHeight="1" x14ac:dyDescent="0.2">
      <c r="A1542" s="220"/>
      <c r="B1542" s="220"/>
      <c r="C1542" s="219" t="s">
        <v>252</v>
      </c>
      <c r="D1542" s="112">
        <v>0</v>
      </c>
      <c r="E1542" s="112">
        <v>0</v>
      </c>
      <c r="F1542" s="112">
        <v>13940376.29173</v>
      </c>
      <c r="G1542" s="111">
        <v>0</v>
      </c>
      <c r="I1542" s="214"/>
      <c r="J1542" s="214"/>
      <c r="K1542" s="214"/>
      <c r="L1542" s="214"/>
      <c r="M1542" s="214"/>
      <c r="N1542" s="214"/>
      <c r="O1542" s="214"/>
    </row>
    <row r="1543" spans="1:15" s="213" customFormat="1" ht="15" customHeight="1" thickBot="1" x14ac:dyDescent="0.25">
      <c r="A1543" s="220"/>
      <c r="B1543" s="220"/>
      <c r="C1543" s="219" t="s">
        <v>251</v>
      </c>
      <c r="D1543" s="112">
        <v>9696615</v>
      </c>
      <c r="E1543" s="112">
        <v>22231855.252</v>
      </c>
      <c r="F1543" s="112">
        <v>34707105.859779999</v>
      </c>
      <c r="G1543" s="111">
        <v>156.11000000000001</v>
      </c>
      <c r="I1543" s="214"/>
      <c r="J1543" s="214"/>
      <c r="K1543" s="214"/>
      <c r="L1543" s="214"/>
      <c r="M1543" s="214"/>
      <c r="N1543" s="214"/>
      <c r="O1543" s="214"/>
    </row>
    <row r="1544" spans="1:15" s="213" customFormat="1" ht="15.75" customHeight="1" thickBot="1" x14ac:dyDescent="0.25">
      <c r="A1544" s="218"/>
      <c r="B1544" s="218"/>
      <c r="C1544" s="217" t="s">
        <v>250</v>
      </c>
      <c r="D1544" s="216">
        <v>9696615</v>
      </c>
      <c r="E1544" s="216">
        <v>22231855.252</v>
      </c>
      <c r="F1544" s="216">
        <v>20766729.568050001</v>
      </c>
      <c r="G1544" s="215">
        <v>93.41</v>
      </c>
      <c r="I1544" s="214"/>
      <c r="J1544" s="214"/>
      <c r="K1544" s="214"/>
      <c r="L1544" s="214"/>
      <c r="M1544" s="214"/>
      <c r="N1544" s="214"/>
      <c r="O1544" s="214"/>
    </row>
  </sheetData>
  <mergeCells count="15">
    <mergeCell ref="A732:C732"/>
    <mergeCell ref="A1028:C1028"/>
    <mergeCell ref="A1100:C1100"/>
    <mergeCell ref="A2:G2"/>
    <mergeCell ref="A4:G4"/>
    <mergeCell ref="A30:C30"/>
    <mergeCell ref="A169:C169"/>
    <mergeCell ref="A1486:C1486"/>
    <mergeCell ref="A1521:C1521"/>
    <mergeCell ref="A1537:C1537"/>
    <mergeCell ref="A1230:C1230"/>
    <mergeCell ref="A1235:C1235"/>
    <mergeCell ref="A1244:C1244"/>
    <mergeCell ref="A1293:C1293"/>
    <mergeCell ref="A1445:C1445"/>
  </mergeCells>
  <pageMargins left="0.39370078740157483" right="0.39370078740157483" top="0.59055118110236227" bottom="0.39370078740157483" header="0.31496062992125984" footer="0.11811023622047245"/>
  <pageSetup paperSize="9" scale="91" firstPageNumber="175" fitToHeight="0" orientation="landscape" useFirstPageNumber="1" r:id="rId1"/>
  <headerFooter>
    <oddHeader>&amp;L&amp;"Tahoma,Kurzíva"Závěrečný účet za rok 2015&amp;R&amp;"Tahoma,Kurzíva"Tabulka č. 2</oddHeader>
    <oddFooter>&amp;C&amp;"Tahoma,Obyčejné"&amp;P</oddFooter>
  </headerFooter>
  <rowBreaks count="1" manualBreakCount="1">
    <brk id="1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52</vt:i4>
      </vt:variant>
      <vt:variant>
        <vt:lpstr>Pojmenované oblasti</vt:lpstr>
      </vt:variant>
      <vt:variant>
        <vt:i4>77</vt:i4>
      </vt:variant>
    </vt:vector>
  </HeadingPairs>
  <TitlesOfParts>
    <vt:vector size="129" baseType="lpstr">
      <vt:lpstr>graf 1</vt:lpstr>
      <vt:lpstr>graf 2</vt:lpstr>
      <vt:lpstr>graf 3</vt:lpstr>
      <vt:lpstr>graf 4</vt:lpstr>
      <vt:lpstr>graf 5</vt:lpstr>
      <vt:lpstr>Data-grafy</vt:lpstr>
      <vt:lpstr>Titul</vt:lpstr>
      <vt:lpstr>tab 1</vt:lpstr>
      <vt:lpstr>tab 2</vt:lpstr>
      <vt:lpstr>tab 3</vt:lpstr>
      <vt:lpstr>tab 4</vt:lpstr>
      <vt:lpstr>tab 5</vt:lpstr>
      <vt:lpstr>tab 6</vt:lpstr>
      <vt:lpstr>tab 7</vt:lpstr>
      <vt:lpstr>tab 8</vt:lpstr>
      <vt:lpstr>tab 9</vt:lpstr>
      <vt:lpstr>tab 10</vt:lpstr>
      <vt:lpstr>tab 11</vt:lpstr>
      <vt:lpstr>tab 12</vt:lpstr>
      <vt:lpstr>tab 13</vt:lpstr>
      <vt:lpstr>tab 14</vt:lpstr>
      <vt:lpstr>tab 15</vt:lpstr>
      <vt:lpstr>tab 16</vt:lpstr>
      <vt:lpstr>tab 17</vt:lpstr>
      <vt:lpstr>tab 18</vt:lpstr>
      <vt:lpstr>tab 19</vt:lpstr>
      <vt:lpstr>tab 20</vt:lpstr>
      <vt:lpstr>tab 21</vt:lpstr>
      <vt:lpstr>tab 22</vt:lpstr>
      <vt:lpstr>tab 23</vt:lpstr>
      <vt:lpstr>tab 24</vt:lpstr>
      <vt:lpstr>tab 25</vt:lpstr>
      <vt:lpstr>tab 26</vt:lpstr>
      <vt:lpstr>tab 27</vt:lpstr>
      <vt:lpstr>tab 28</vt:lpstr>
      <vt:lpstr>tab 29</vt:lpstr>
      <vt:lpstr>tab 30</vt:lpstr>
      <vt:lpstr>tab 31</vt:lpstr>
      <vt:lpstr>tab 32</vt:lpstr>
      <vt:lpstr>tab 33</vt:lpstr>
      <vt:lpstr>tab 34</vt:lpstr>
      <vt:lpstr>tab 35</vt:lpstr>
      <vt:lpstr>tab 36</vt:lpstr>
      <vt:lpstr>tab 37</vt:lpstr>
      <vt:lpstr>tab 38</vt:lpstr>
      <vt:lpstr>tab 39</vt:lpstr>
      <vt:lpstr>tab 40</vt:lpstr>
      <vt:lpstr>tab 41</vt:lpstr>
      <vt:lpstr>tab 42</vt:lpstr>
      <vt:lpstr>tab 43</vt:lpstr>
      <vt:lpstr>tab 44</vt:lpstr>
      <vt:lpstr>tab 45</vt:lpstr>
      <vt:lpstr>'tab 1'!Názvy_tisku</vt:lpstr>
      <vt:lpstr>'tab 10'!Názvy_tisku</vt:lpstr>
      <vt:lpstr>'tab 11'!Názvy_tisku</vt:lpstr>
      <vt:lpstr>'tab 12'!Názvy_tisku</vt:lpstr>
      <vt:lpstr>'tab 13'!Názvy_tisku</vt:lpstr>
      <vt:lpstr>'tab 14'!Názvy_tisku</vt:lpstr>
      <vt:lpstr>'tab 15'!Názvy_tisku</vt:lpstr>
      <vt:lpstr>'tab 16'!Názvy_tisku</vt:lpstr>
      <vt:lpstr>'tab 17'!Názvy_tisku</vt:lpstr>
      <vt:lpstr>'tab 18'!Názvy_tisku</vt:lpstr>
      <vt:lpstr>'tab 19'!Názvy_tisku</vt:lpstr>
      <vt:lpstr>'tab 2'!Názvy_tisku</vt:lpstr>
      <vt:lpstr>'tab 23'!Názvy_tisku</vt:lpstr>
      <vt:lpstr>'tab 26'!Názvy_tisku</vt:lpstr>
      <vt:lpstr>'tab 27'!Názvy_tisku</vt:lpstr>
      <vt:lpstr>'tab 28'!Názvy_tisku</vt:lpstr>
      <vt:lpstr>'tab 29'!Názvy_tisku</vt:lpstr>
      <vt:lpstr>'tab 3'!Názvy_tisku</vt:lpstr>
      <vt:lpstr>'tab 30'!Názvy_tisku</vt:lpstr>
      <vt:lpstr>'tab 31'!Názvy_tisku</vt:lpstr>
      <vt:lpstr>'tab 32'!Názvy_tisku</vt:lpstr>
      <vt:lpstr>'tab 34'!Názvy_tisku</vt:lpstr>
      <vt:lpstr>'tab 36'!Názvy_tisku</vt:lpstr>
      <vt:lpstr>'tab 38'!Názvy_tisku</vt:lpstr>
      <vt:lpstr>'tab 4'!Názvy_tisku</vt:lpstr>
      <vt:lpstr>'tab 40'!Názvy_tisku</vt:lpstr>
      <vt:lpstr>'tab 42'!Názvy_tisku</vt:lpstr>
      <vt:lpstr>'tab 44'!Názvy_tisku</vt:lpstr>
      <vt:lpstr>'tab 5'!Názvy_tisku</vt:lpstr>
      <vt:lpstr>'tab 6'!Názvy_tisku</vt:lpstr>
      <vt:lpstr>'tab 7'!Názvy_tisku</vt:lpstr>
      <vt:lpstr>'tab 8'!Názvy_tisku</vt:lpstr>
      <vt:lpstr>'tab 9'!Názvy_tisku</vt:lpstr>
      <vt:lpstr>'graf 3'!Oblast_tisku</vt:lpstr>
      <vt:lpstr>'graf 4'!Oblast_tisku</vt:lpstr>
      <vt:lpstr>'graf 5'!Oblast_tisku</vt:lpstr>
      <vt:lpstr>'tab 1'!Oblast_tisku</vt:lpstr>
      <vt:lpstr>'tab 10'!Oblast_tisku</vt:lpstr>
      <vt:lpstr>'tab 11'!Oblast_tisku</vt:lpstr>
      <vt:lpstr>'tab 12'!Oblast_tisku</vt:lpstr>
      <vt:lpstr>'tab 13'!Oblast_tisku</vt:lpstr>
      <vt:lpstr>'tab 14'!Oblast_tisku</vt:lpstr>
      <vt:lpstr>'tab 15'!Oblast_tisku</vt:lpstr>
      <vt:lpstr>'tab 16'!Oblast_tisku</vt:lpstr>
      <vt:lpstr>'tab 17'!Oblast_tisku</vt:lpstr>
      <vt:lpstr>'tab 18'!Oblast_tisku</vt:lpstr>
      <vt:lpstr>'tab 19'!Oblast_tisku</vt:lpstr>
      <vt:lpstr>'tab 20'!Oblast_tisku</vt:lpstr>
      <vt:lpstr>'tab 21'!Oblast_tisku</vt:lpstr>
      <vt:lpstr>'tab 22'!Oblast_tisku</vt:lpstr>
      <vt:lpstr>'tab 23'!Oblast_tisku</vt:lpstr>
      <vt:lpstr>'tab 24'!Oblast_tisku</vt:lpstr>
      <vt:lpstr>'tab 25'!Oblast_tisku</vt:lpstr>
      <vt:lpstr>'tab 28'!Oblast_tisku</vt:lpstr>
      <vt:lpstr>'tab 3'!Oblast_tisku</vt:lpstr>
      <vt:lpstr>'tab 30'!Oblast_tisku</vt:lpstr>
      <vt:lpstr>'tab 31'!Oblast_tisku</vt:lpstr>
      <vt:lpstr>'tab 32'!Oblast_tisku</vt:lpstr>
      <vt:lpstr>'tab 33'!Oblast_tisku</vt:lpstr>
      <vt:lpstr>'tab 34'!Oblast_tisku</vt:lpstr>
      <vt:lpstr>'tab 35'!Oblast_tisku</vt:lpstr>
      <vt:lpstr>'tab 36'!Oblast_tisku</vt:lpstr>
      <vt:lpstr>'tab 38'!Oblast_tisku</vt:lpstr>
      <vt:lpstr>'tab 39'!Oblast_tisku</vt:lpstr>
      <vt:lpstr>'tab 4'!Oblast_tisku</vt:lpstr>
      <vt:lpstr>'tab 40'!Oblast_tisku</vt:lpstr>
      <vt:lpstr>'tab 41'!Oblast_tisku</vt:lpstr>
      <vt:lpstr>'tab 42'!Oblast_tisku</vt:lpstr>
      <vt:lpstr>'tab 43'!Oblast_tisku</vt:lpstr>
      <vt:lpstr>'tab 44'!Oblast_tisku</vt:lpstr>
      <vt:lpstr>'tab 45'!Oblast_tisku</vt:lpstr>
      <vt:lpstr>'tab 5'!Oblast_tisku</vt:lpstr>
      <vt:lpstr>'tab 6'!Oblast_tisku</vt:lpstr>
      <vt:lpstr>'tab 7'!Oblast_tisku</vt:lpstr>
      <vt:lpstr>'tab 8'!Oblast_tisku</vt:lpstr>
      <vt:lpstr>'tab 9'!Oblast_tisku</vt:lpstr>
      <vt:lpstr>Titul!Oblast_tisku</vt:lpstr>
    </vt:vector>
  </TitlesOfParts>
  <Company>KUMSK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Metelka Tomáš</dc:creator>
  <cp:lastModifiedBy>Metelka Tomáš</cp:lastModifiedBy>
  <cp:lastPrinted>2016-05-23T07:18:23Z</cp:lastPrinted>
  <dcterms:created xsi:type="dcterms:W3CDTF">2015-03-17T14:02:48Z</dcterms:created>
  <dcterms:modified xsi:type="dcterms:W3CDTF">2016-06-06T14:21:30Z</dcterms:modified>
</cp:coreProperties>
</file>