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M161" i="1" l="1"/>
  <c r="L161" i="1"/>
  <c r="K161" i="1"/>
  <c r="J161" i="1"/>
  <c r="H161" i="1"/>
  <c r="G161" i="1"/>
  <c r="I161" i="1" s="1"/>
  <c r="F161" i="1"/>
  <c r="E161" i="1"/>
  <c r="I160" i="1"/>
  <c r="D160" i="1"/>
  <c r="I159" i="1"/>
  <c r="D159" i="1"/>
  <c r="I158" i="1"/>
  <c r="D158" i="1"/>
  <c r="I157" i="1"/>
  <c r="D157" i="1"/>
  <c r="I156" i="1"/>
  <c r="D156" i="1"/>
  <c r="I155" i="1"/>
  <c r="D155" i="1"/>
  <c r="I154" i="1"/>
  <c r="D154" i="1"/>
  <c r="D161" i="1" s="1"/>
  <c r="M152" i="1"/>
  <c r="L152" i="1"/>
  <c r="K152" i="1"/>
  <c r="J152" i="1"/>
  <c r="H152" i="1"/>
  <c r="I152" i="1" s="1"/>
  <c r="G152" i="1"/>
  <c r="F152" i="1"/>
  <c r="E152" i="1"/>
  <c r="I151" i="1"/>
  <c r="D151" i="1"/>
  <c r="I150" i="1"/>
  <c r="D150" i="1"/>
  <c r="D152" i="1" s="1"/>
  <c r="M148" i="1"/>
  <c r="L148" i="1"/>
  <c r="K148" i="1"/>
  <c r="J148" i="1"/>
  <c r="H148" i="1"/>
  <c r="I148" i="1" s="1"/>
  <c r="G148" i="1"/>
  <c r="F148" i="1"/>
  <c r="I147" i="1"/>
  <c r="D147" i="1"/>
  <c r="I146" i="1"/>
  <c r="D146" i="1"/>
  <c r="I145" i="1"/>
  <c r="D145" i="1"/>
  <c r="I144" i="1"/>
  <c r="D144" i="1"/>
  <c r="I143" i="1"/>
  <c r="D143" i="1"/>
  <c r="I142" i="1"/>
  <c r="D142" i="1"/>
  <c r="I141" i="1"/>
  <c r="D141" i="1"/>
  <c r="I140" i="1"/>
  <c r="D140" i="1"/>
  <c r="I139" i="1"/>
  <c r="D139" i="1"/>
  <c r="I138" i="1"/>
  <c r="D138" i="1"/>
  <c r="I137" i="1"/>
  <c r="D137" i="1"/>
  <c r="I136" i="1"/>
  <c r="D136" i="1"/>
  <c r="I135" i="1"/>
  <c r="D135" i="1"/>
  <c r="I134" i="1"/>
  <c r="D134" i="1"/>
  <c r="I133" i="1"/>
  <c r="D133" i="1"/>
  <c r="I132" i="1"/>
  <c r="D132" i="1"/>
  <c r="I131" i="1"/>
  <c r="D131" i="1"/>
  <c r="I130" i="1"/>
  <c r="D130" i="1"/>
  <c r="I129" i="1"/>
  <c r="D129" i="1"/>
  <c r="I128" i="1"/>
  <c r="D128" i="1"/>
  <c r="I127" i="1"/>
  <c r="D127" i="1"/>
  <c r="I126" i="1"/>
  <c r="D126" i="1"/>
  <c r="I125" i="1"/>
  <c r="D125" i="1"/>
  <c r="I124" i="1"/>
  <c r="E124" i="1"/>
  <c r="E148" i="1" s="1"/>
  <c r="M122" i="1"/>
  <c r="L122" i="1"/>
  <c r="K122" i="1"/>
  <c r="J122" i="1"/>
  <c r="H122" i="1"/>
  <c r="G122" i="1"/>
  <c r="I122" i="1" s="1"/>
  <c r="F122" i="1"/>
  <c r="E122" i="1"/>
  <c r="I121" i="1"/>
  <c r="E121" i="1"/>
  <c r="D121" i="1"/>
  <c r="D122" i="1" s="1"/>
  <c r="M119" i="1"/>
  <c r="L119" i="1"/>
  <c r="K119" i="1"/>
  <c r="J119" i="1"/>
  <c r="H119" i="1"/>
  <c r="I119" i="1" s="1"/>
  <c r="G119" i="1"/>
  <c r="F119" i="1"/>
  <c r="I118" i="1"/>
  <c r="D118" i="1"/>
  <c r="I117" i="1"/>
  <c r="D117" i="1"/>
  <c r="I116" i="1"/>
  <c r="D116" i="1"/>
  <c r="I115" i="1"/>
  <c r="D115" i="1"/>
  <c r="I114" i="1"/>
  <c r="D114" i="1"/>
  <c r="I113" i="1"/>
  <c r="D113" i="1"/>
  <c r="I112" i="1"/>
  <c r="D112" i="1"/>
  <c r="I111" i="1"/>
  <c r="D111" i="1"/>
  <c r="I110" i="1"/>
  <c r="D110" i="1"/>
  <c r="I109" i="1"/>
  <c r="D109" i="1"/>
  <c r="I108" i="1"/>
  <c r="D108" i="1"/>
  <c r="I107" i="1"/>
  <c r="D107" i="1"/>
  <c r="I106" i="1"/>
  <c r="D106" i="1"/>
  <c r="I105" i="1"/>
  <c r="D105" i="1"/>
  <c r="I104" i="1"/>
  <c r="D104" i="1"/>
  <c r="I103" i="1"/>
  <c r="D103" i="1"/>
  <c r="I102" i="1"/>
  <c r="D102" i="1"/>
  <c r="I101" i="1"/>
  <c r="D101" i="1"/>
  <c r="I100" i="1"/>
  <c r="D100" i="1"/>
  <c r="I99" i="1"/>
  <c r="D99" i="1"/>
  <c r="I98" i="1"/>
  <c r="D98" i="1"/>
  <c r="I97" i="1"/>
  <c r="D97" i="1"/>
  <c r="I96" i="1"/>
  <c r="D96" i="1"/>
  <c r="I95" i="1"/>
  <c r="D95" i="1"/>
  <c r="I94" i="1"/>
  <c r="D94" i="1"/>
  <c r="I93" i="1"/>
  <c r="D93" i="1"/>
  <c r="I92" i="1"/>
  <c r="D92" i="1"/>
  <c r="I91" i="1"/>
  <c r="D91" i="1"/>
  <c r="I90" i="1"/>
  <c r="D90" i="1"/>
  <c r="I89" i="1"/>
  <c r="D89" i="1"/>
  <c r="I88" i="1"/>
  <c r="D88" i="1"/>
  <c r="I87" i="1"/>
  <c r="D87" i="1"/>
  <c r="I86" i="1"/>
  <c r="D86" i="1"/>
  <c r="I85" i="1"/>
  <c r="D85" i="1"/>
  <c r="I84" i="1"/>
  <c r="D84" i="1"/>
  <c r="I83" i="1"/>
  <c r="D83" i="1"/>
  <c r="I82" i="1"/>
  <c r="D82" i="1"/>
  <c r="I81" i="1"/>
  <c r="D81" i="1"/>
  <c r="I80" i="1"/>
  <c r="D80" i="1"/>
  <c r="I79" i="1"/>
  <c r="D79" i="1"/>
  <c r="I78" i="1"/>
  <c r="D78" i="1"/>
  <c r="I77" i="1"/>
  <c r="D77" i="1"/>
  <c r="I76" i="1"/>
  <c r="D76" i="1"/>
  <c r="I75" i="1"/>
  <c r="D75" i="1"/>
  <c r="I74" i="1"/>
  <c r="D74" i="1"/>
  <c r="I73" i="1"/>
  <c r="D73" i="1"/>
  <c r="I72" i="1"/>
  <c r="D72" i="1"/>
  <c r="I71" i="1"/>
  <c r="D71" i="1"/>
  <c r="I70" i="1"/>
  <c r="D70" i="1"/>
  <c r="I69" i="1"/>
  <c r="D69" i="1"/>
  <c r="I68" i="1"/>
  <c r="D68" i="1"/>
  <c r="I67" i="1"/>
  <c r="D67" i="1"/>
  <c r="I66" i="1"/>
  <c r="D66" i="1"/>
  <c r="I65" i="1"/>
  <c r="D65" i="1"/>
  <c r="I64" i="1"/>
  <c r="D64" i="1"/>
  <c r="I63" i="1"/>
  <c r="D63" i="1"/>
  <c r="I62" i="1"/>
  <c r="D62" i="1"/>
  <c r="I61" i="1"/>
  <c r="D61" i="1"/>
  <c r="I60" i="1"/>
  <c r="D60" i="1"/>
  <c r="I59" i="1"/>
  <c r="D59" i="1"/>
  <c r="I58" i="1"/>
  <c r="D58" i="1"/>
  <c r="I57" i="1"/>
  <c r="D57" i="1"/>
  <c r="I56" i="1"/>
  <c r="D56" i="1"/>
  <c r="I55" i="1"/>
  <c r="D55" i="1"/>
  <c r="I54" i="1"/>
  <c r="D54" i="1"/>
  <c r="I53" i="1"/>
  <c r="D53" i="1"/>
  <c r="I52" i="1"/>
  <c r="D52" i="1"/>
  <c r="I51" i="1"/>
  <c r="D51" i="1"/>
  <c r="I50" i="1"/>
  <c r="D50" i="1"/>
  <c r="I49" i="1"/>
  <c r="E49" i="1"/>
  <c r="E119" i="1" s="1"/>
  <c r="M47" i="1"/>
  <c r="L47" i="1"/>
  <c r="K47" i="1"/>
  <c r="J47" i="1"/>
  <c r="H47" i="1"/>
  <c r="G47" i="1"/>
  <c r="I47" i="1" s="1"/>
  <c r="F47" i="1"/>
  <c r="I46" i="1"/>
  <c r="D46" i="1"/>
  <c r="I45" i="1"/>
  <c r="D45" i="1"/>
  <c r="I44" i="1"/>
  <c r="D44" i="1"/>
  <c r="I43" i="1"/>
  <c r="D43" i="1"/>
  <c r="I42" i="1"/>
  <c r="D42" i="1"/>
  <c r="I41" i="1"/>
  <c r="D41" i="1"/>
  <c r="I40" i="1"/>
  <c r="D40" i="1"/>
  <c r="I39" i="1"/>
  <c r="D39" i="1"/>
  <c r="I38" i="1"/>
  <c r="D38" i="1"/>
  <c r="I37" i="1"/>
  <c r="G37" i="1"/>
  <c r="D37" i="1"/>
  <c r="I36" i="1"/>
  <c r="D36" i="1"/>
  <c r="I35" i="1"/>
  <c r="E35" i="1"/>
  <c r="D35" i="1" s="1"/>
  <c r="D47" i="1" s="1"/>
  <c r="M33" i="1"/>
  <c r="L33" i="1"/>
  <c r="K33" i="1"/>
  <c r="J33" i="1"/>
  <c r="H33" i="1"/>
  <c r="G33" i="1"/>
  <c r="I33" i="1" s="1"/>
  <c r="F33" i="1"/>
  <c r="E33" i="1"/>
  <c r="I32" i="1"/>
  <c r="D32" i="1"/>
  <c r="D33" i="1" s="1"/>
  <c r="M29" i="1"/>
  <c r="L29" i="1"/>
  <c r="K29" i="1"/>
  <c r="J29" i="1"/>
  <c r="H29" i="1"/>
  <c r="G29" i="1"/>
  <c r="I29" i="1" s="1"/>
  <c r="E29" i="1"/>
  <c r="I28" i="1"/>
  <c r="F28" i="1"/>
  <c r="D28" i="1"/>
  <c r="I27" i="1"/>
  <c r="D27" i="1"/>
  <c r="I26" i="1"/>
  <c r="D26" i="1"/>
  <c r="I25" i="1"/>
  <c r="D25" i="1"/>
  <c r="I24" i="1"/>
  <c r="D24" i="1"/>
  <c r="I23" i="1"/>
  <c r="D23" i="1"/>
  <c r="I22" i="1"/>
  <c r="F22" i="1"/>
  <c r="F29" i="1" s="1"/>
  <c r="E22" i="1"/>
  <c r="D22" i="1"/>
  <c r="D29" i="1" s="1"/>
  <c r="M20" i="1"/>
  <c r="L20" i="1"/>
  <c r="K20" i="1"/>
  <c r="J20" i="1"/>
  <c r="H20" i="1"/>
  <c r="F20" i="1"/>
  <c r="E20" i="1"/>
  <c r="I19" i="1"/>
  <c r="D19" i="1"/>
  <c r="G18" i="1"/>
  <c r="G20" i="1" s="1"/>
  <c r="M16" i="1"/>
  <c r="M163" i="1" s="1"/>
  <c r="L16" i="1"/>
  <c r="L163" i="1" s="1"/>
  <c r="K16" i="1"/>
  <c r="K163" i="1" s="1"/>
  <c r="J16" i="1"/>
  <c r="J163" i="1" s="1"/>
  <c r="H16" i="1"/>
  <c r="H163" i="1" s="1"/>
  <c r="G16" i="1"/>
  <c r="G163" i="1" s="1"/>
  <c r="F16" i="1"/>
  <c r="E16" i="1"/>
  <c r="I15" i="1"/>
  <c r="D15" i="1"/>
  <c r="I14" i="1"/>
  <c r="D14" i="1"/>
  <c r="I13" i="1"/>
  <c r="E13" i="1"/>
  <c r="D13" i="1"/>
  <c r="I12" i="1"/>
  <c r="D12" i="1"/>
  <c r="I11" i="1"/>
  <c r="D11" i="1"/>
  <c r="D16" i="1" s="1"/>
  <c r="M9" i="1"/>
  <c r="L9" i="1"/>
  <c r="K9" i="1"/>
  <c r="J9" i="1"/>
  <c r="H9" i="1"/>
  <c r="I9" i="1" s="1"/>
  <c r="G9" i="1"/>
  <c r="F9" i="1"/>
  <c r="D9" i="1" s="1"/>
  <c r="E9" i="1"/>
  <c r="I8" i="1"/>
  <c r="D8" i="1"/>
  <c r="F163" i="1" l="1"/>
  <c r="I163" i="1"/>
  <c r="I20" i="1"/>
  <c r="E163" i="1"/>
  <c r="E47" i="1"/>
  <c r="I16" i="1"/>
  <c r="D18" i="1"/>
  <c r="D20" i="1" s="1"/>
  <c r="I18" i="1"/>
  <c r="D49" i="1"/>
  <c r="D119" i="1" s="1"/>
  <c r="D124" i="1"/>
  <c r="D148" i="1" s="1"/>
  <c r="D163" i="1" s="1"/>
</calcChain>
</file>

<file path=xl/sharedStrings.xml><?xml version="1.0" encoding="utf-8"?>
<sst xmlns="http://schemas.openxmlformats.org/spreadsheetml/2006/main" count="296" uniqueCount="180">
  <si>
    <t>Příloha č. 4  k materiálu č. 4/2</t>
  </si>
  <si>
    <t>Počet stran přílohy: 4</t>
  </si>
  <si>
    <t>Přehled akcí reprodukce majetku kraje včetně ISPROFIN v roce 2014 (v tis. Kč)</t>
  </si>
  <si>
    <t>Název akce</t>
  </si>
  <si>
    <t>ORJ</t>
  </si>
  <si>
    <t>ORG</t>
  </si>
  <si>
    <t>VÝDAJE NA AKCI CELKEM</t>
  </si>
  <si>
    <t>VÝDAJE V PŘEDCHOZÍCH LETECH</t>
  </si>
  <si>
    <t>ROZPOČET</t>
  </si>
  <si>
    <t>SKUTEČNOST</t>
  </si>
  <si>
    <t>% PLNĚNÍ</t>
  </si>
  <si>
    <t xml:space="preserve">PLÁN. VÝDAJE V LETECH </t>
  </si>
  <si>
    <t>Poznámka</t>
  </si>
  <si>
    <t>před r. 2013</t>
  </si>
  <si>
    <t>2013</t>
  </si>
  <si>
    <t>2015</t>
  </si>
  <si>
    <t>2016</t>
  </si>
  <si>
    <t>2017</t>
  </si>
  <si>
    <t>po r. 2017</t>
  </si>
  <si>
    <t>SingleTrails Bílá</t>
  </si>
  <si>
    <t xml:space="preserve"> - </t>
  </si>
  <si>
    <t>ODVĚTVÍ CESTOVNÍHO RUCHU CELKEM</t>
  </si>
  <si>
    <t>Protihluková opatření na silnicích II. a III. tříd (Správa silnic Moravskoslezského kraje, příspěvková organizace)</t>
  </si>
  <si>
    <t>x</t>
  </si>
  <si>
    <t xml:space="preserve">Jedná se o opakující se akci. Objem ročního rozpočtu je stanoven v závislosti na možnosti rozpočtu daného roku. </t>
  </si>
  <si>
    <t>Souvislé opravy silnic II. a III. tříd (Správa silnic Moravskoslezského kraje, příspěvková organizace)</t>
  </si>
  <si>
    <t>Nákup pozemků v areálu Letiště Ostrava, a.s.</t>
  </si>
  <si>
    <t>Rekonstrukce mostů 480-001 a 480-002 včetně ramp, Kopřivnice (Správa silnic Moravskoslezského kraje, příspěvková organizace, Ostrava)</t>
  </si>
  <si>
    <t>Letiště Leoše Janáčka Ostrava, bezpečnostní centrum - l. etapa</t>
  </si>
  <si>
    <t>ODVĚTVÍ DOPRAVY CELKEM</t>
  </si>
  <si>
    <t>Integrované bezpečnostní centrum Moravskoslezského kraje - dovybavení</t>
  </si>
  <si>
    <t xml:space="preserve">Opravy majetku realizované z pojistných náhrad v odvětví krizovém </t>
  </si>
  <si>
    <t>ODVĚTVÍ KRIZOVÉ CELKEM</t>
  </si>
  <si>
    <t>Těšínské divadlo - Malá scéna (Těšínské divadlo Český Těšín, příspěvková organizace)</t>
  </si>
  <si>
    <t xml:space="preserve">Rozdíl do výše celkových výdajů na akci bude dokryt z vlastních zdrojů příspěvkové organizace. Jedná se o úhradu autorského dozoru, který bude uhrazen až po dokončení stavby. </t>
  </si>
  <si>
    <t>Přístavba Domu umění – Galerie 21. století (Galerie výtvarného umění v Ostravě, příspěvková organizace, Ostrava)</t>
  </si>
  <si>
    <t xml:space="preserve"> -</t>
  </si>
  <si>
    <t>Program rozvoje muzejnictví v Moravskoslezském kraji - příspěvkové organizace MSK</t>
  </si>
  <si>
    <t>Reprodukce majetku v odvětví kultury realizované ze státního rozpočtu</t>
  </si>
  <si>
    <t>Stavební úpravy související se stěhováním do budovy na ul. Masarykovy sady č. p. 103 v Českém Těšíně (Muzeum Těšínska, příspěvková organizace)</t>
  </si>
  <si>
    <t xml:space="preserve">Rozdíl do výše celkových výdajů na akci bude dokryt z vlastních zdrojů příspěvkové organizace. </t>
  </si>
  <si>
    <t>Optimalizace vytápění obřadní síně frýdeckého zámku (Muzeum Beskyd Frýdek-Místek, příspěvková organizace)</t>
  </si>
  <si>
    <t>Zámek Bruntál - oprava fasád a střech v nádvoří zámku (Muzeum v Bruntále, příspěvková organizace)</t>
  </si>
  <si>
    <t>ODVĚTVÍ KULTURY CELKEM</t>
  </si>
  <si>
    <t>Reprodukce majetku v odvětví regionálního rozvoje</t>
  </si>
  <si>
    <t>ODVĚTVÍ REGIONÁLNÍHO ROZVOJE CELKEM</t>
  </si>
  <si>
    <t>Rekonstrukce objektu Domov Vítkov (Domov Vítkov, příspěvková organizace, Vítkov)</t>
  </si>
  <si>
    <t>Sanace střech (Náš svět, příspěvková organizace, Pržno)</t>
  </si>
  <si>
    <t xml:space="preserve">Projektovou dokumentaci zajistila a uhradila příspěvková organizace ve výši 180 tis. Kč. </t>
  </si>
  <si>
    <t>Humanizace zařízení - 1. a 2. etapa pavilonu A (Nový domov, příspěvková organizace, Karviná)</t>
  </si>
  <si>
    <t>Nákup bytu ve Vítkově (Domov Vítkov, příspěvková organizace)</t>
  </si>
  <si>
    <t>Vybudování evakuačního výtahu domova pro seniory Šunychelská (Domov Jistoty, příspěvková organizace, Bohumín)</t>
  </si>
  <si>
    <t>Vybudování konferenčních prostor (Domov Odry, příspěvková organizace)</t>
  </si>
  <si>
    <t>Zateplení budovy č.p. 410 (Domov Odry, příspěvková organizace)</t>
  </si>
  <si>
    <t>Rekonstrukce kotelny – výměna kotlů (Zámek Dolní Životice, příspěvková organizace, Dolní Životice)</t>
  </si>
  <si>
    <t>Oprava západní fasády, včetně výměny oken a zpevnění odpočinkové plochy (Domov Na zámku, příspěvková organizace, Kyjovice)</t>
  </si>
  <si>
    <t>Výměna stávajícího výtahu za výtah evakuační (Domov Vítkov, příspěvková organizace)</t>
  </si>
  <si>
    <t>Stavební úpravy a modernizace prádelny (Domov Duha, příspěvková organizace, Nový Jičín)</t>
  </si>
  <si>
    <t>Vybudování čističky odpadních vod (Domov Na zámku, příspěvková organizace, Kyjovice)</t>
  </si>
  <si>
    <t>ODVĚTVÍ SOCIÁLNÍCH VĚCÍ CELKEM</t>
  </si>
  <si>
    <t>Rekonstrukce rozvodů elektroinstalace (Hotelová škola, Frenštát pod Radhoštěm, příspěvková organizace)</t>
  </si>
  <si>
    <t>Posílení kapacity elektrických rozvodů v souvislosti s rozšířením vybavenosti školy (Střední škola gastronomie a služeb, Frýdek-Místek, tř. T. G. Masaryka 451, příspěvková organizace, Frýdek - Místek)</t>
  </si>
  <si>
    <t>Výměna střešní krytiny a hromosvodů (Dětský domov a Školní jídelna, Čeladná 87, příspěvková organizace)</t>
  </si>
  <si>
    <t>Rekonstrukce zdravotechniky (Gymnázium, Ostrava-Hrabůvka, příspěvková organizace)</t>
  </si>
  <si>
    <t>Rekonstrukce elektroinstalace objektů školy (Masarykova střední škola zemědělská a Vyšší odborná škola, Opava, příspěvková organizace)</t>
  </si>
  <si>
    <t>Výměna výplní otvorů, zateplení střechy a obvodového pláště (Střední škola, Základní škola a Mateřská škola, Frýdek-Místek, příspěvková organizace)</t>
  </si>
  <si>
    <t>Rekonstrukce střechy spojovacího koridoru (Střední zdravotnická škola a Vyšší odborná škola zdravotnická, Ostrava, příspěvková organizace)</t>
  </si>
  <si>
    <t>Rekonstrukce elektroinstalace (Střední škola, Havířov-Prostřední Suchá, příspěvková organizace)</t>
  </si>
  <si>
    <t>Výdaje spojené s optimalizací škol - PO v odvětví školství</t>
  </si>
  <si>
    <t>Odstranění havarijního stavu dešťové kanalizace (Střední škola, Havířov-Šumbark, Sýkorova 1/613, příspěvková organizace)</t>
  </si>
  <si>
    <t>Úpravy krytého bazénu (Střední škola a Základní škola, Havířov-Šumbark, příspěvková organizace)</t>
  </si>
  <si>
    <t>Sanace opěrné zdi (Základní umělecká škola J. A. Komenského, Studénka, příspěvková organizace)</t>
  </si>
  <si>
    <t>Rekonstrukce plynové kotelny (Střední průmyslová škola, Ostrava-Vítkovice, příspěvková organizace)</t>
  </si>
  <si>
    <t>Rekonstrukce elektrických rozvodů a osvětlení (Střední zdravotnická škola, Karviná, příspěvková organizace)</t>
  </si>
  <si>
    <t>Výměna oken (Základní škola a Mateřská škola, Ostrava - Poruba, Ukrajinská 19, příspěvková organizace)</t>
  </si>
  <si>
    <t>Rekonstrukce střechy objektu Husova  (Střední škola, Bohumín, příspěvková organizace)</t>
  </si>
  <si>
    <t>Výměna střešní krytiny (Gymnázium, Karviná, příspěvková organizace)</t>
  </si>
  <si>
    <t>Oprava střechy objektu Žižkova 620 (Základní umělecká škola, Bohumín - Nový Bohumín, Žižkova 620, příspěvková organizace)</t>
  </si>
  <si>
    <t>Výměna oken v budově školy (Gymnázium, Krnov, příspěvková organizace)</t>
  </si>
  <si>
    <t>Oprava střechy budovy školy (Odborné učiliště a Praktická škola, Nový Jičín, příspěvková organizace)</t>
  </si>
  <si>
    <t>Rekonstrukce hydroizolace budovy (Střední průmyslová škola elektrotechnická, Havířov, příspěvková organizace)</t>
  </si>
  <si>
    <t>Výměna oken (Základní umělecká škola Leoše Janáčka, Havířov, příspěvková organizace)</t>
  </si>
  <si>
    <t>Rekonstrukce rozvodů vody a odpadů (Matiční gymnázium, Ostrava, příspěvková organizace)</t>
  </si>
  <si>
    <t>Rekonstrukce elektrických rozvodů v hlavní budově (Střední škola společného stravování, Ostrava - Hrabůvka, příspěvková organizace)</t>
  </si>
  <si>
    <t>Výměna oken v hlavní budově včetně přístavby (Střední škola technická a zemědělská, Nový Jičín, příspěvková organizace)</t>
  </si>
  <si>
    <t>Nákup konvektomatu, děličky těsta a pečící trouby (Základní škola, Ostrava-Poruba, Čkalovova 942, příspěvková organizace)</t>
  </si>
  <si>
    <t>Nákup konvektomatu (Gymnázium Mikuláše Koperníka, Bílovec, příspěvková organizace)</t>
  </si>
  <si>
    <t>Rekonstrukce stropu v objektu dílen (Střední škola elektrotechnická, Ostrava, Na Jízdárně 30, příspěvková organizace)</t>
  </si>
  <si>
    <t>Rekonstrukce střechy a oprava fasády na budově tělocvičny (Gymnázium, Havířov-Město, Komenského 2, příspěvková organizace)</t>
  </si>
  <si>
    <t>Rekonstrukce plynové kotelny (Základní škola, Ostrava-Zábřeh, Kpt. Vajdy 1a, příspěvková organizace)</t>
  </si>
  <si>
    <t>Odstranění havárie a oprava venkovní kanalizace (Gymnázium a Střední průmyslová škola elektrotechniky a informatiky, Frenštát pod Radhoštěm, příspěvková organizace)</t>
  </si>
  <si>
    <t>Výměna střešní krytiny (Základní umělecká škola Leoše Janáčka, Frýdlant nad Ostravicí, příspěvková organizace)</t>
  </si>
  <si>
    <t>Výměna oken - I. etapa (Všeobecné a sportovní gymnázium, Bruntál, příspěvková organizace)</t>
  </si>
  <si>
    <t>Rekonstrukce sociálního zařízení v budově školy - I. etapa (Střední škola automobilní, mechanizace a podnikání, Krnov, příspěvková organizace)</t>
  </si>
  <si>
    <t>Výměna rozvodů vody (Gymnázium a Střední odborná škola, Nový Jičín, příspěvková organizace)</t>
  </si>
  <si>
    <t>Rekonstrukce vytápění (Odborné učiliště a Praktická škola, Hlučín, příspěvková organizace)</t>
  </si>
  <si>
    <t>Rekonstrukce plotu (Gymnázium Františka Živného, Bohumín, Jana Palacha 794, příspěvková organizace)</t>
  </si>
  <si>
    <t>Výměna výplní otvorů (Základní škola, Opava, Dvořákovy sady 4, příspěvková organizace)</t>
  </si>
  <si>
    <t>Výstavba plynové kotelny (Mendelovo gymnázium, Opava, příspěvková organizace)</t>
  </si>
  <si>
    <t>Výměna oken (Mendelova střední škola, Nový Jičín, příspěvková organizace)</t>
  </si>
  <si>
    <t>Vybavení stávajících rozvodů VZT jednotkou (Sportovní gymnázium Dany a Emila Zátopkových, Ostrava, příspěvková organizace)</t>
  </si>
  <si>
    <t>Sanace vlhkého zdiva objektu školy (Střední zdravotnická škola a Vyšší odborná škola zdravotnická, Ostrava, příspěvková organizace)</t>
  </si>
  <si>
    <t>Oprava teras budovy mateřské školky (Mateřská škola logopedická, Ostrava - Poruba, U Školky 1621, příspěvková organizace)</t>
  </si>
  <si>
    <t>Stavební úpravy na ul.Polská 1542/8 (Střední škola služeb a podnikání, Ostrava-Poruba, příspěvková organizace)</t>
  </si>
  <si>
    <t>Odvodnění a hydroizolace objektu bazénu(Střední škola prof. Zdeňka Matějčka, Ostrava-Poruba, 17. listopadu 1123, příspěvková organizace)</t>
  </si>
  <si>
    <t>Oprava teplovodu (Základní škola, Ostrava-Poruba, Čkalovova 942, příspěvková organizace)</t>
  </si>
  <si>
    <t>Vodovodní přípojka (Střední škola společného stravování, Ostrava-Hrabůvka, příspěvková organizace)</t>
  </si>
  <si>
    <t>Rekonstrukce školní kuchyně (Gymnázium  Olgy Havlové, Ostrava-Poruba, příspěvková organizace)</t>
  </si>
  <si>
    <t>Odstranění havarijního stavu sociálních zařízení (Střední škola, Základní škola a Mateřská škola, Karviná, příspěvková organizace)</t>
  </si>
  <si>
    <t>Kanalizační přípojka (Základní umělecká škola Eduarda Marhuly, Ostrava - Mariánské Hory, Hudební 6, příspěvková organizace)</t>
  </si>
  <si>
    <t>Rekonstrukce oplocení (Mateřská škola logopedická, Ostrava-Poruba, Na Robinsonce 1646, příspěvková organizace)</t>
  </si>
  <si>
    <t>Rekonstrukce podlahy a výměna obložení stěn v budově tělocvičny (Gymnázium, Havířov-Město, Komenského 2, příspěvková organizace)</t>
  </si>
  <si>
    <t>Rekonstrukce oplocení a zídek areálu příspěvkové organizace (Dětský domov a Školní jídelna, Ostrava-Slezská Ostrava, Na Vizině 28, příspěvková organizace)</t>
  </si>
  <si>
    <t>Rekonstrukce odvodnění levého křídla (Dětský domov Loreta a Školní jídelna, Fulnek, příspěvková organizace)</t>
  </si>
  <si>
    <t>Výměna jednotné kanalizace (Odborné učiliště a Praktická škola, Nový Jičín, příspěvková organizace)</t>
  </si>
  <si>
    <t>Oprava páteřního rozvodu vody a ÚT (Střední průmyslová škola a Obchodní akademie, Bruntál, příspěvková organizace)</t>
  </si>
  <si>
    <t>Oprava podlahy třídy (Gymnázium, Český Těšín, příspěvková organizace)</t>
  </si>
  <si>
    <t>Nákup 9-ti místného automobilu (Dětský domov a Školní jídelna, Nový Jičín, Revoluční 56, příspěvková organizace)</t>
  </si>
  <si>
    <t>Nákup konvektomatu včetně příslušenství a zapojení (Gymnázium, Český Těšín, příspěvková organizace)</t>
  </si>
  <si>
    <t>Repase, oprava a výměna stávajících dveřních prvků (Dětský domov a Školní jídelna, Nový Jičín, Revoluční 56, příspěvková organizace)</t>
  </si>
  <si>
    <t>Oprava sociálních zařízení (Základní škola, Ostrava-Zábřeh, Kpt. Vajdy 1a, příspěvková organizace)</t>
  </si>
  <si>
    <t>Oprava chodníku (Střední zdravotnická škola, Karviná, příspěvková organizace)</t>
  </si>
  <si>
    <t>Oprava fasády budovy (Pedagogicko-psychologická poradna, Nový Jičín, příspěvková organizace)</t>
  </si>
  <si>
    <t>Oprava střechy (Dětský domov a Školní jídelna, Ostrava-Slezská Ostrava, Bukovanského 25, příspěvková organizace)</t>
  </si>
  <si>
    <t>Oprava vnitřních rozvodů zdravotechniky a sociálních zařízení v hlavní budově školy (Střední škola, Havířov-Šumbark, Sýkorova 1/613, příspěvková organizace)</t>
  </si>
  <si>
    <t>Rekonstrukce sociálního zařízení v budově školy - 2. etapa (Střední škola automobilní, mechanizace a podnikání, Krnov, příspěvková organizace)</t>
  </si>
  <si>
    <t>Rekonstrukce odvodnění části historické budovy "A" (Gymnázium Mikuláše Koperníka, Bílovec, příspěvková organizace)</t>
  </si>
  <si>
    <t>Oprava elektroinstalace ve sklepních prostorách a opravy sociálních zařízení v tělocvičně (Střední zdravotnická škola a Vyšší odborná škola zdravotnická, Ostrava, příspěvková organizace)</t>
  </si>
  <si>
    <t>Oprava rozvodů a úprava sociálního zařízení (Základní umělecká škola, Ostrava - Poruba, J. Valčíka 4413, příspěvková organizace)</t>
  </si>
  <si>
    <t xml:space="preserve">Řešení dopadů institucionální a oborové optimalizace sítě škol a školských zařízení </t>
  </si>
  <si>
    <t>ODVĚTVÍ ŠKOLSTVÍ CELKEM</t>
  </si>
  <si>
    <t>Studie k aktualizaci a vyplývající ze Zásad územního rozvoje Moravskoslezského kraje</t>
  </si>
  <si>
    <t>ODVĚTVÍ ÚZEM. PLÁNOVÁNÍ A STAVEB. ŘÁDU CELKEM</t>
  </si>
  <si>
    <t>Pavilon chirurgických oborů včetně projektové dokumentace (Nemocnice ve Frýdku-Místku, příspěvková organizace, Frýdek - Místek)</t>
  </si>
  <si>
    <t>Rekonstrukce stravovacího provozu (Sdružené zdravotnické zařízení Krnov, příspěvková organizace)</t>
  </si>
  <si>
    <t>Vybavení Iktového centra (Nemocnice Třinec, příspěvková organizace)</t>
  </si>
  <si>
    <t>Rekonstrukce výtahů - pracoviště Orlová (Nemocnice s poliklinikou Karviná-Ráj, příspěvková organizace)</t>
  </si>
  <si>
    <t>Optimalizace logistiky ve zdravotnických zařízeních Moravskoslezského kraje</t>
  </si>
  <si>
    <t>Nemocnice s poliklinikou v Novém Jičíně - reinvestiční část nájemného a opravy</t>
  </si>
  <si>
    <t xml:space="preserve">Na základě uzavřené smlouvy o nájmu podniku vznikl kraji závazek reinvestovat část nájemného zpět do pořízení movitého majetku a do pronajatého nemovitého majetku. Jedná o závazek od roku 2013 do roku 2032. </t>
  </si>
  <si>
    <t>Rekonstrukce rozvodny vysokého napětí Karviná (Nemocnice s poliklinikou Karviná-Ráj, příspěvková organizace)</t>
  </si>
  <si>
    <t>Rozdíl do výše celkových výdajů na akci bude dokryt z vlastních zdrojů příspěvkové organizace.</t>
  </si>
  <si>
    <t>Rekonstrukce výtahů (Nemocnice s poliklinikou Havířov, příspěvková organizace)</t>
  </si>
  <si>
    <t>Úpravy rozvodů mediplynů  Karviná (Nemocnice s poliklinikou Karviná-Ráj, příspěvková organizace)</t>
  </si>
  <si>
    <t>Elektronická preskripce ve zdravotnických zařízeních (příspěvkové organizace v odvětví zdravotnictví)</t>
  </si>
  <si>
    <t>Sanace zdiva budovy patologie (Nemocnice s poliklinikou Havířov, příspěvková organizace)</t>
  </si>
  <si>
    <t>Výměna podlahových krytin (Nemocnice s poliklinikou Havířov, příspěvková organizace)</t>
  </si>
  <si>
    <t>Pavilon chirurgických oborů – technická infrastruktura  (Nemocnice ve Frýdku – Místku, příspěvková organizace</t>
  </si>
  <si>
    <t>Rekonstrukce výtahů v blocích C , D , E (Nemocnice ve Frýdku – Místku, příspěvková organizace)</t>
  </si>
  <si>
    <t>Rekonstrukce elektroinstalace (Nemocnice s poliklinikou Karviná - Ráj, příspěvková organizace)</t>
  </si>
  <si>
    <t>Optimalizace laboratorního informačního systému nemocnic zřizovaných Moravskoslezským krajem</t>
  </si>
  <si>
    <t>Pojistné plnění v odvětví zdravotnictví</t>
  </si>
  <si>
    <t>Úprava kanalizace areálu Karviná (Nemocnice s poliklinikou Karviná – Ráj, příspěvková organizace)</t>
  </si>
  <si>
    <t>Přístroje pro Beskydské oční centrum (Nemocnice ve Frýdku – Místku, příspěvková organizace)</t>
  </si>
  <si>
    <t>Rekonstrukce plynové kotelny a modernizace rehabilitace (Odborný léčebný ústav Metylovice – Moravskoslezské sanatorium, příspěvková organizace)</t>
  </si>
  <si>
    <t>Modernizace a rekonstrukce výtahů Karviná (Nemocnice s poliklinikou Karviná-Ráj, příspěvková organizace)</t>
  </si>
  <si>
    <t>Rekonstrukce sociálních zařízení lůžkových oddělení (Nemocnice s poliklinikou Havířov, příspěvková organizace)</t>
  </si>
  <si>
    <t>Rekonstrukce výtahů č. 7 a č. 17 (Nemocnice s poliklinikou Havířov, příspěvková organizace)</t>
  </si>
  <si>
    <t>Modernizace operačních sálů Orlová (Nemocnice s poliklinikou Karviná-Ráj, příspěvková organizace)</t>
  </si>
  <si>
    <t>ODVĚTVÍ ZDRAVOTNICTVÍ CELKEM</t>
  </si>
  <si>
    <t>Realizace energetických úspor metodou EPC ve vybraných objektech Moravskoslezského kraje</t>
  </si>
  <si>
    <t>Financování akce je schváleno usnesením zastupitelstva kraje č. 23/1964 ze dne 29.2.2012 na období let 2013-2023. Jedná se o celkové náklady na realizaci investičních opatření, včetně úhrady úroků a služeb za energetický management.</t>
  </si>
  <si>
    <t>Výdaje související se sdílenými službami - investiční</t>
  </si>
  <si>
    <t>ODVĚTVÍ FINANCE A SPRÁVA MAJETKU CELKEM</t>
  </si>
  <si>
    <t>Rekonstrukce budovy krajského úřadu - Parkoviště u budov krajského úřadu</t>
  </si>
  <si>
    <t>V v uplynulém období byly realizovány přípravné práce, včetně zpracování projektové dokumentace. Realizace stavební části je plánována v roce 2015.</t>
  </si>
  <si>
    <t>Výpočetní technika</t>
  </si>
  <si>
    <t>Nákup HW vybavení - výměna zastarané výpočetní techniky, serverů, datových rozvaděčů a tiskáren.</t>
  </si>
  <si>
    <t>Nákup dlouhodobého nehmotného majetku</t>
  </si>
  <si>
    <t xml:space="preserve">Pořízení dat a mapových podkladů od Českého úřadu zeměměřičského a katastrálního. </t>
  </si>
  <si>
    <t>Programové vybavení</t>
  </si>
  <si>
    <t xml:space="preserve">Nákup software vybavení a licencí. </t>
  </si>
  <si>
    <t>Budovy, haly a stavby</t>
  </si>
  <si>
    <t xml:space="preserve">Technické zhodnocení budovy. </t>
  </si>
  <si>
    <t>Stroje, přístroje a zařízení</t>
  </si>
  <si>
    <t>Pořízení nové klimatizační jednotky, dataprojektoru.</t>
  </si>
  <si>
    <t>Dopravní prostředky</t>
  </si>
  <si>
    <t>Pořízení osobních vozidel náhradou za stávající vozidla.</t>
  </si>
  <si>
    <t>VLASTNÍ SPRÁVNÍ ČINNOST KRAJE A ČINNOST ZASTUPITELSTVA KRAJE CELKEM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</si>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</sst>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color rgb="FF000000"/>
      <name val="Arial"/>
      <family val="2"/>
      <charset val="238"/>
    </font>
    <font>
      <sz val="9"/>
      <color rgb="FFFF0000"/>
      <name val="Tahoma"/>
      <family val="2"/>
      <charset val="238"/>
    </font>
    <font>
      <sz val="10"/>
      <color rgb="FF000000"/>
      <name val="Arial CE"/>
      <charset val="238"/>
    </font>
    <font>
      <i/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</fills>
  <borders count="7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6" fillId="0" borderId="0" applyNumberFormat="0" applyFont="0" applyBorder="0" applyProtection="0"/>
    <xf numFmtId="0" fontId="8" fillId="0" borderId="0" applyNumberFormat="0" applyBorder="0" applyProtection="0"/>
  </cellStyleXfs>
  <cellXfs count="29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5" fillId="2" borderId="9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16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5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2" borderId="33" xfId="0" applyNumberFormat="1" applyFont="1" applyFill="1" applyBorder="1" applyAlignment="1">
      <alignment vertical="center"/>
    </xf>
    <xf numFmtId="3" fontId="5" fillId="2" borderId="28" xfId="0" applyNumberFormat="1" applyFont="1" applyFill="1" applyBorder="1" applyAlignment="1">
      <alignment vertical="center"/>
    </xf>
    <xf numFmtId="3" fontId="5" fillId="2" borderId="34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horizontal="justify" vertical="center" wrapText="1"/>
    </xf>
    <xf numFmtId="0" fontId="5" fillId="0" borderId="33" xfId="1" applyFont="1" applyFill="1" applyBorder="1" applyAlignment="1" applyProtection="1">
      <alignment horizontal="justify" vertical="center" wrapText="1"/>
      <protection locked="0"/>
    </xf>
    <xf numFmtId="0" fontId="5" fillId="3" borderId="32" xfId="0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0" fontId="5" fillId="0" borderId="36" xfId="1" applyFont="1" applyFill="1" applyBorder="1" applyAlignment="1" applyProtection="1">
      <alignment horizontal="justify" vertical="center" wrapText="1"/>
      <protection locked="0"/>
    </xf>
    <xf numFmtId="0" fontId="5" fillId="0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5" fillId="2" borderId="36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41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vertical="center"/>
    </xf>
    <xf numFmtId="3" fontId="3" fillId="2" borderId="4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24" xfId="0" applyFont="1" applyFill="1" applyBorder="1" applyAlignment="1">
      <alignment horizontal="justify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vertical="center" wrapText="1"/>
    </xf>
    <xf numFmtId="3" fontId="5" fillId="2" borderId="26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justify" vertical="center" wrapText="1"/>
    </xf>
    <xf numFmtId="3" fontId="5" fillId="0" borderId="36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5" fillId="2" borderId="42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5" fillId="3" borderId="26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justify" vertical="center" wrapText="1"/>
    </xf>
    <xf numFmtId="0" fontId="5" fillId="3" borderId="35" xfId="0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vertical="center" wrapText="1"/>
    </xf>
    <xf numFmtId="3" fontId="5" fillId="0" borderId="32" xfId="0" applyNumberFormat="1" applyFont="1" applyFill="1" applyBorder="1" applyAlignment="1">
      <alignment vertical="center" wrapText="1"/>
    </xf>
    <xf numFmtId="3" fontId="5" fillId="2" borderId="35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vertical="center"/>
    </xf>
    <xf numFmtId="164" fontId="5" fillId="3" borderId="49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justify" vertical="center" wrapText="1"/>
    </xf>
    <xf numFmtId="3" fontId="5" fillId="0" borderId="34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justify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3" fontId="5" fillId="0" borderId="37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3" fontId="3" fillId="2" borderId="52" xfId="0" applyNumberFormat="1" applyFont="1" applyFill="1" applyBorder="1" applyAlignment="1">
      <alignment vertical="center"/>
    </xf>
    <xf numFmtId="3" fontId="3" fillId="2" borderId="14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5" fillId="4" borderId="53" xfId="0" applyFont="1" applyFill="1" applyBorder="1" applyAlignment="1">
      <alignment horizontal="justify" vertical="center" wrapText="1"/>
    </xf>
    <xf numFmtId="0" fontId="5" fillId="3" borderId="48" xfId="0" applyFont="1" applyFill="1" applyBorder="1" applyAlignment="1">
      <alignment horizontal="center" vertical="center" wrapText="1"/>
    </xf>
    <xf numFmtId="3" fontId="5" fillId="0" borderId="54" xfId="0" applyNumberFormat="1" applyFont="1" applyFill="1" applyBorder="1" applyAlignment="1">
      <alignment vertical="center"/>
    </xf>
    <xf numFmtId="0" fontId="5" fillId="0" borderId="53" xfId="0" applyFont="1" applyFill="1" applyBorder="1" applyAlignment="1">
      <alignment vertical="center" wrapText="1"/>
    </xf>
    <xf numFmtId="3" fontId="5" fillId="0" borderId="46" xfId="0" applyNumberFormat="1" applyFont="1" applyFill="1" applyBorder="1" applyAlignment="1">
      <alignment vertical="center" wrapText="1"/>
    </xf>
    <xf numFmtId="3" fontId="5" fillId="2" borderId="10" xfId="0" applyNumberFormat="1" applyFont="1" applyFill="1" applyBorder="1" applyAlignment="1">
      <alignment vertical="center"/>
    </xf>
    <xf numFmtId="3" fontId="5" fillId="2" borderId="48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horizontal="center" vertical="center"/>
    </xf>
    <xf numFmtId="3" fontId="5" fillId="2" borderId="26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justify" vertical="center" wrapText="1"/>
    </xf>
    <xf numFmtId="0" fontId="5" fillId="3" borderId="32" xfId="0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justify" vertical="center" wrapText="1"/>
    </xf>
    <xf numFmtId="0" fontId="5" fillId="0" borderId="57" xfId="0" applyFont="1" applyFill="1" applyBorder="1" applyAlignment="1">
      <alignment horizontal="justify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>
      <alignment vertical="center"/>
    </xf>
    <xf numFmtId="3" fontId="5" fillId="0" borderId="57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horizontal="center" vertical="center" wrapText="1"/>
    </xf>
    <xf numFmtId="3" fontId="5" fillId="0" borderId="50" xfId="0" applyNumberFormat="1" applyFont="1" applyFill="1" applyBorder="1" applyAlignment="1">
      <alignment vertical="center"/>
    </xf>
    <xf numFmtId="3" fontId="5" fillId="0" borderId="58" xfId="0" applyNumberFormat="1" applyFont="1" applyFill="1" applyBorder="1" applyAlignment="1">
      <alignment vertical="center"/>
    </xf>
    <xf numFmtId="0" fontId="5" fillId="0" borderId="58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3" fontId="5" fillId="0" borderId="60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3" fontId="5" fillId="2" borderId="57" xfId="0" applyNumberFormat="1" applyFont="1" applyFill="1" applyBorder="1" applyAlignment="1">
      <alignment vertical="center"/>
    </xf>
    <xf numFmtId="3" fontId="5" fillId="2" borderId="58" xfId="0" applyNumberFormat="1" applyFont="1" applyFill="1" applyBorder="1" applyAlignment="1">
      <alignment vertical="center"/>
    </xf>
    <xf numFmtId="3" fontId="5" fillId="2" borderId="62" xfId="0" applyNumberFormat="1" applyFont="1" applyFill="1" applyBorder="1" applyAlignment="1">
      <alignment horizontal="center" vertical="center" wrapText="1"/>
    </xf>
    <xf numFmtId="3" fontId="5" fillId="0" borderId="51" xfId="0" applyNumberFormat="1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5" fillId="3" borderId="23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1" xfId="0" applyNumberFormat="1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left" vertical="center" wrapText="1"/>
    </xf>
    <xf numFmtId="0" fontId="5" fillId="0" borderId="63" xfId="0" applyFont="1" applyFill="1" applyBorder="1" applyAlignment="1">
      <alignment horizontal="justify" vertical="center" wrapText="1"/>
    </xf>
    <xf numFmtId="0" fontId="5" fillId="0" borderId="64" xfId="0" applyFont="1" applyFill="1" applyBorder="1" applyAlignment="1">
      <alignment horizontal="center" vertical="center" wrapText="1"/>
    </xf>
    <xf numFmtId="164" fontId="5" fillId="3" borderId="65" xfId="0" applyNumberFormat="1" applyFont="1" applyFill="1" applyBorder="1" applyAlignment="1">
      <alignment horizontal="center" vertical="center"/>
    </xf>
    <xf numFmtId="3" fontId="5" fillId="0" borderId="66" xfId="0" applyNumberFormat="1" applyFont="1" applyFill="1" applyBorder="1" applyAlignment="1">
      <alignment vertical="center"/>
    </xf>
    <xf numFmtId="3" fontId="5" fillId="0" borderId="67" xfId="0" applyNumberFormat="1" applyFont="1" applyFill="1" applyBorder="1" applyAlignment="1">
      <alignment horizontal="right" vertical="center"/>
    </xf>
    <xf numFmtId="3" fontId="5" fillId="0" borderId="65" xfId="0" applyNumberFormat="1" applyFont="1" applyFill="1" applyBorder="1" applyAlignment="1">
      <alignment horizontal="right" vertical="center"/>
    </xf>
    <xf numFmtId="3" fontId="5" fillId="2" borderId="63" xfId="0" applyNumberFormat="1" applyFont="1" applyFill="1" applyBorder="1" applyAlignment="1">
      <alignment vertical="center"/>
    </xf>
    <xf numFmtId="3" fontId="5" fillId="2" borderId="64" xfId="0" applyNumberFormat="1" applyFont="1" applyFill="1" applyBorder="1" applyAlignment="1">
      <alignment vertical="center"/>
    </xf>
    <xf numFmtId="3" fontId="5" fillId="2" borderId="68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vertical="center"/>
    </xf>
    <xf numFmtId="3" fontId="5" fillId="0" borderId="64" xfId="0" applyNumberFormat="1" applyFont="1" applyFill="1" applyBorder="1" applyAlignment="1">
      <alignment horizontal="right" vertical="center"/>
    </xf>
    <xf numFmtId="3" fontId="5" fillId="0" borderId="69" xfId="0" applyNumberFormat="1" applyFont="1" applyFill="1" applyBorder="1" applyAlignment="1">
      <alignment horizontal="right" vertical="center"/>
    </xf>
    <xf numFmtId="3" fontId="5" fillId="0" borderId="66" xfId="0" applyNumberFormat="1" applyFont="1" applyFill="1" applyBorder="1" applyAlignment="1">
      <alignment horizontal="justify" vertical="center" wrapText="1"/>
    </xf>
    <xf numFmtId="3" fontId="5" fillId="2" borderId="62" xfId="0" applyNumberFormat="1" applyFont="1" applyFill="1" applyBorder="1" applyAlignment="1">
      <alignment horizontal="center" vertical="center"/>
    </xf>
    <xf numFmtId="3" fontId="5" fillId="0" borderId="58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164" fontId="5" fillId="3" borderId="32" xfId="0" applyNumberFormat="1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5" fillId="0" borderId="53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5" fillId="0" borderId="66" xfId="0" applyFont="1" applyFill="1" applyBorder="1" applyAlignment="1">
      <alignment horizontal="justify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3" fontId="5" fillId="2" borderId="69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justify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5" fillId="0" borderId="59" xfId="0" applyFont="1" applyFill="1" applyBorder="1" applyAlignment="1">
      <alignment horizontal="justify" vertical="center" wrapText="1"/>
    </xf>
    <xf numFmtId="0" fontId="5" fillId="0" borderId="50" xfId="0" applyFont="1" applyFill="1" applyBorder="1" applyAlignment="1">
      <alignment horizontal="center" vertical="center" wrapText="1"/>
    </xf>
    <xf numFmtId="3" fontId="5" fillId="0" borderId="5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right" vertical="center"/>
    </xf>
    <xf numFmtId="3" fontId="3" fillId="2" borderId="14" xfId="0" applyNumberFormat="1" applyFont="1" applyFill="1" applyBorder="1" applyAlignment="1">
      <alignment horizontal="right" vertical="center"/>
    </xf>
    <xf numFmtId="3" fontId="3" fillId="2" borderId="43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5" fillId="0" borderId="22" xfId="0" applyFont="1" applyFill="1" applyBorder="1" applyAlignment="1">
      <alignment vertical="center" wrapText="1"/>
    </xf>
    <xf numFmtId="3" fontId="5" fillId="2" borderId="23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1" fillId="0" borderId="70" xfId="0" applyFont="1" applyFill="1" applyBorder="1" applyAlignment="1">
      <alignment vertical="center"/>
    </xf>
    <xf numFmtId="3" fontId="1" fillId="0" borderId="70" xfId="0" applyNumberFormat="1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5" fillId="0" borderId="7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2" borderId="38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3" fillId="2" borderId="7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0" fontId="5" fillId="0" borderId="27" xfId="2" applyFont="1" applyFill="1" applyBorder="1" applyAlignment="1">
      <alignment horizontal="justify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5" fillId="3" borderId="28" xfId="2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right" vertical="center"/>
    </xf>
    <xf numFmtId="3" fontId="5" fillId="0" borderId="34" xfId="0" applyNumberFormat="1" applyFont="1" applyBorder="1" applyAlignment="1">
      <alignment horizontal="right" vertical="center"/>
    </xf>
    <xf numFmtId="0" fontId="5" fillId="0" borderId="30" xfId="2" applyFont="1" applyFill="1" applyBorder="1" applyAlignment="1">
      <alignment horizontal="justify" vertical="center" wrapText="1"/>
    </xf>
    <xf numFmtId="0" fontId="5" fillId="0" borderId="72" xfId="2" applyFont="1" applyFill="1" applyBorder="1" applyAlignment="1">
      <alignment horizontal="justify" vertical="center" wrapText="1"/>
    </xf>
    <xf numFmtId="0" fontId="5" fillId="0" borderId="37" xfId="2" applyFont="1" applyFill="1" applyBorder="1" applyAlignment="1">
      <alignment horizontal="center" vertical="center" wrapText="1"/>
    </xf>
    <xf numFmtId="0" fontId="5" fillId="3" borderId="37" xfId="2" applyFont="1" applyFill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0" fontId="5" fillId="0" borderId="39" xfId="2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3" fontId="3" fillId="2" borderId="17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ill="1"/>
    <xf numFmtId="0" fontId="10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</cellXfs>
  <cellStyles count="3">
    <cellStyle name="Normální" xfId="0" builtinId="0"/>
    <cellStyle name="normální_List1" xfId="2"/>
    <cellStyle name="normální_Souvislé 06-22.2.0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4"/>
  <sheetViews>
    <sheetView tabSelected="1" zoomScaleNormal="100" workbookViewId="0">
      <selection activeCell="I26" sqref="I26"/>
    </sheetView>
  </sheetViews>
  <sheetFormatPr defaultRowHeight="11.25" outlineLevelCol="1" x14ac:dyDescent="0.25"/>
  <cols>
    <col min="1" max="1" width="76.42578125" style="1" customWidth="1"/>
    <col min="2" max="2" width="6.140625" style="2" hidden="1" customWidth="1"/>
    <col min="3" max="3" width="9.28515625" style="2" hidden="1" customWidth="1"/>
    <col min="4" max="4" width="12.7109375" style="1" customWidth="1"/>
    <col min="5" max="5" width="10.7109375" style="1" bestFit="1" customWidth="1" outlineLevel="1"/>
    <col min="6" max="6" width="9.85546875" style="1" customWidth="1" outlineLevel="1"/>
    <col min="7" max="7" width="13.28515625" style="3" customWidth="1"/>
    <col min="8" max="8" width="12.42578125" style="1" customWidth="1"/>
    <col min="9" max="9" width="9.85546875" style="4" bestFit="1" customWidth="1"/>
    <col min="10" max="10" width="10.5703125" style="5" customWidth="1"/>
    <col min="11" max="11" width="9.5703125" style="1" customWidth="1"/>
    <col min="12" max="12" width="9.140625" style="1" customWidth="1"/>
    <col min="13" max="13" width="10.85546875" style="1" bestFit="1" customWidth="1"/>
    <col min="14" max="14" width="64.7109375" style="1" customWidth="1"/>
    <col min="15" max="15" width="0.42578125" style="1" customWidth="1"/>
    <col min="16" max="16" width="9.140625" style="1" hidden="1" customWidth="1"/>
    <col min="17" max="17" width="14.7109375" style="1" hidden="1" customWidth="1"/>
    <col min="18" max="18" width="9.140625" style="1" customWidth="1"/>
    <col min="19" max="16384" width="9.140625" style="1"/>
  </cols>
  <sheetData>
    <row r="1" spans="1:25" customFormat="1" ht="15" x14ac:dyDescent="0.25">
      <c r="A1" s="1" t="s">
        <v>0</v>
      </c>
      <c r="B1" s="2"/>
      <c r="C1" s="2"/>
      <c r="D1" s="1"/>
      <c r="E1" s="1"/>
      <c r="F1" s="1"/>
      <c r="G1" s="3"/>
      <c r="H1" s="1"/>
      <c r="I1" s="4"/>
      <c r="J1" s="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customFormat="1" ht="15" x14ac:dyDescent="0.25">
      <c r="A2" s="1" t="s">
        <v>1</v>
      </c>
      <c r="B2" s="2"/>
      <c r="C2" s="2"/>
      <c r="D2" s="1"/>
      <c r="E2" s="1"/>
      <c r="F2" s="1"/>
      <c r="G2" s="3"/>
      <c r="H2" s="1"/>
      <c r="I2" s="4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5" customFormat="1" ht="39.75" customHeight="1" thickBot="1" x14ac:dyDescent="0.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T3" s="7"/>
      <c r="U3" s="7"/>
      <c r="V3" s="7"/>
      <c r="W3" s="7"/>
      <c r="X3" s="7"/>
      <c r="Y3" s="7"/>
    </row>
    <row r="4" spans="1:25" s="5" customFormat="1" ht="15" customHeight="1" thickBot="1" x14ac:dyDescent="0.3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/>
      <c r="G4" s="10" t="s">
        <v>8</v>
      </c>
      <c r="H4" s="10" t="s">
        <v>9</v>
      </c>
      <c r="I4" s="10" t="s">
        <v>10</v>
      </c>
      <c r="J4" s="11" t="s">
        <v>11</v>
      </c>
      <c r="K4" s="11"/>
      <c r="L4" s="11"/>
      <c r="M4" s="11"/>
      <c r="N4" s="8" t="s">
        <v>12</v>
      </c>
    </row>
    <row r="5" spans="1:25" s="5" customFormat="1" ht="24" customHeight="1" thickBot="1" x14ac:dyDescent="0.3">
      <c r="A5" s="8"/>
      <c r="B5" s="8"/>
      <c r="C5" s="8"/>
      <c r="D5" s="9"/>
      <c r="E5" s="9"/>
      <c r="F5" s="9"/>
      <c r="G5" s="10"/>
      <c r="H5" s="10"/>
      <c r="I5" s="10"/>
      <c r="J5" s="11"/>
      <c r="K5" s="11"/>
      <c r="L5" s="11"/>
      <c r="M5" s="11"/>
      <c r="N5" s="8"/>
    </row>
    <row r="6" spans="1:25" s="5" customFormat="1" ht="12" thickBot="1" x14ac:dyDescent="0.3">
      <c r="A6" s="8"/>
      <c r="B6" s="8"/>
      <c r="C6" s="8"/>
      <c r="D6" s="9"/>
      <c r="E6" s="12" t="s">
        <v>13</v>
      </c>
      <c r="F6" s="13" t="s">
        <v>14</v>
      </c>
      <c r="G6" s="10">
        <v>2014</v>
      </c>
      <c r="H6" s="10"/>
      <c r="I6" s="10"/>
      <c r="J6" s="14" t="s">
        <v>15</v>
      </c>
      <c r="K6" s="14" t="s">
        <v>16</v>
      </c>
      <c r="L6" s="15" t="s">
        <v>17</v>
      </c>
      <c r="M6" s="16" t="s">
        <v>18</v>
      </c>
      <c r="N6" s="8"/>
      <c r="Q6" s="17"/>
    </row>
    <row r="7" spans="1:25" s="5" customFormat="1" ht="15.75" customHeight="1" thickBot="1" x14ac:dyDescent="0.3">
      <c r="A7" s="18"/>
      <c r="B7" s="4"/>
      <c r="C7" s="4"/>
      <c r="D7" s="19"/>
      <c r="E7" s="20"/>
      <c r="F7" s="20"/>
      <c r="G7" s="21"/>
      <c r="H7" s="22"/>
      <c r="I7" s="22"/>
      <c r="J7" s="22"/>
      <c r="K7" s="22"/>
      <c r="L7" s="22"/>
      <c r="M7" s="22"/>
      <c r="N7" s="23"/>
      <c r="Q7" s="17"/>
    </row>
    <row r="8" spans="1:25" s="5" customFormat="1" ht="12" thickBot="1" x14ac:dyDescent="0.3">
      <c r="A8" s="24" t="s">
        <v>19</v>
      </c>
      <c r="B8" s="25">
        <v>11</v>
      </c>
      <c r="C8" s="26">
        <v>5182</v>
      </c>
      <c r="D8" s="27">
        <f>E8+F8+G8+J8+K8+L8+M8</f>
        <v>3416.83</v>
      </c>
      <c r="E8" s="28">
        <v>261</v>
      </c>
      <c r="F8" s="29">
        <v>2550.83</v>
      </c>
      <c r="G8" s="30">
        <v>605</v>
      </c>
      <c r="H8" s="31">
        <v>44.75</v>
      </c>
      <c r="I8" s="32">
        <f>H8/G8*100</f>
        <v>7.3966942148760335</v>
      </c>
      <c r="J8" s="33">
        <v>0</v>
      </c>
      <c r="K8" s="34">
        <v>0</v>
      </c>
      <c r="L8" s="34">
        <v>0</v>
      </c>
      <c r="M8" s="35">
        <v>0</v>
      </c>
      <c r="N8" s="36" t="s">
        <v>20</v>
      </c>
      <c r="Q8" s="3"/>
    </row>
    <row r="9" spans="1:25" customFormat="1" ht="18" customHeight="1" thickBot="1" x14ac:dyDescent="0.3">
      <c r="A9" s="37" t="s">
        <v>21</v>
      </c>
      <c r="B9" s="38"/>
      <c r="C9" s="39"/>
      <c r="D9" s="40">
        <f>E9+F9+G9+J9+K9+L9+M9</f>
        <v>3416.83</v>
      </c>
      <c r="E9" s="40">
        <f>E8</f>
        <v>261</v>
      </c>
      <c r="F9" s="41">
        <f>SUM(F8)</f>
        <v>2550.83</v>
      </c>
      <c r="G9" s="42">
        <f>SUM(G8)</f>
        <v>605</v>
      </c>
      <c r="H9" s="43">
        <f>SUM(H8)</f>
        <v>44.75</v>
      </c>
      <c r="I9" s="44">
        <f>H9/G9*100</f>
        <v>7.3966942148760335</v>
      </c>
      <c r="J9" s="42">
        <f>SUM(J8)</f>
        <v>0</v>
      </c>
      <c r="K9" s="42">
        <f>SUM(K8)</f>
        <v>0</v>
      </c>
      <c r="L9" s="42">
        <f>SUM(L8)</f>
        <v>0</v>
      </c>
      <c r="M9" s="45">
        <f>SUM(M8)</f>
        <v>0</v>
      </c>
      <c r="N9" s="42"/>
      <c r="O9" s="1"/>
      <c r="P9" s="1"/>
      <c r="Q9" s="3"/>
      <c r="R9" s="1"/>
      <c r="S9" s="1"/>
      <c r="T9" s="1"/>
      <c r="U9" s="1"/>
      <c r="V9" s="1"/>
      <c r="W9" s="1"/>
      <c r="X9" s="1"/>
      <c r="Y9" s="1"/>
    </row>
    <row r="10" spans="1:25" s="5" customFormat="1" ht="15.75" customHeight="1" thickBot="1" x14ac:dyDescent="0.3">
      <c r="A10" s="18"/>
      <c r="B10" s="4"/>
      <c r="C10" s="4"/>
      <c r="D10" s="19"/>
      <c r="E10" s="20"/>
      <c r="F10" s="20"/>
      <c r="G10" s="21"/>
      <c r="H10" s="22"/>
      <c r="I10" s="22"/>
      <c r="J10" s="22"/>
      <c r="K10" s="22"/>
      <c r="L10" s="22"/>
      <c r="M10" s="22"/>
      <c r="N10" s="23"/>
      <c r="Q10" s="17"/>
    </row>
    <row r="11" spans="1:25" customFormat="1" ht="22.5" customHeight="1" x14ac:dyDescent="0.25">
      <c r="A11" s="46" t="s">
        <v>22</v>
      </c>
      <c r="B11" s="47">
        <v>16</v>
      </c>
      <c r="C11" s="48">
        <v>4450</v>
      </c>
      <c r="D11" s="49">
        <f>G11+J11+K11+L11+M11</f>
        <v>5000</v>
      </c>
      <c r="E11" s="50" t="s">
        <v>23</v>
      </c>
      <c r="F11" s="51" t="s">
        <v>23</v>
      </c>
      <c r="G11" s="52">
        <v>5000</v>
      </c>
      <c r="H11" s="53">
        <v>4000</v>
      </c>
      <c r="I11" s="54">
        <f t="shared" ref="I11:I16" si="0">H11/G11*100</f>
        <v>80</v>
      </c>
      <c r="J11" s="55">
        <v>0</v>
      </c>
      <c r="K11" s="56">
        <v>0</v>
      </c>
      <c r="L11" s="57">
        <v>0</v>
      </c>
      <c r="M11" s="58">
        <v>0</v>
      </c>
      <c r="N11" s="59" t="s">
        <v>24</v>
      </c>
      <c r="O11" s="1"/>
      <c r="P11" s="1"/>
      <c r="Q11" s="3"/>
      <c r="R11" s="1"/>
      <c r="S11" s="1"/>
      <c r="T11" s="1"/>
      <c r="U11" s="1"/>
      <c r="V11" s="1"/>
      <c r="W11" s="1"/>
      <c r="X11" s="1"/>
      <c r="Y11" s="1"/>
    </row>
    <row r="12" spans="1:25" customFormat="1" ht="23.25" customHeight="1" x14ac:dyDescent="0.25">
      <c r="A12" s="60" t="s">
        <v>25</v>
      </c>
      <c r="B12" s="61">
        <v>16</v>
      </c>
      <c r="C12" s="62">
        <v>4355</v>
      </c>
      <c r="D12" s="63">
        <f>G12+J12+K12+L12+M12</f>
        <v>50000</v>
      </c>
      <c r="E12" s="64" t="s">
        <v>23</v>
      </c>
      <c r="F12" s="65" t="s">
        <v>23</v>
      </c>
      <c r="G12" s="66">
        <v>50000</v>
      </c>
      <c r="H12" s="67">
        <v>36000</v>
      </c>
      <c r="I12" s="68">
        <f t="shared" si="0"/>
        <v>72</v>
      </c>
      <c r="J12" s="69">
        <v>0</v>
      </c>
      <c r="K12" s="70">
        <v>0</v>
      </c>
      <c r="L12" s="71">
        <v>0</v>
      </c>
      <c r="M12" s="72">
        <v>0</v>
      </c>
      <c r="N12" s="73" t="s">
        <v>24</v>
      </c>
      <c r="O12" s="1"/>
      <c r="P12" s="1"/>
      <c r="Q12" s="3"/>
      <c r="R12" s="1"/>
      <c r="S12" s="1"/>
      <c r="T12" s="1"/>
      <c r="U12" s="1"/>
      <c r="V12" s="1"/>
      <c r="W12" s="1"/>
      <c r="X12" s="1"/>
      <c r="Y12" s="1"/>
    </row>
    <row r="13" spans="1:25" s="5" customFormat="1" ht="12.75" customHeight="1" x14ac:dyDescent="0.25">
      <c r="A13" s="60" t="s">
        <v>26</v>
      </c>
      <c r="B13" s="61">
        <v>7</v>
      </c>
      <c r="C13" s="62">
        <v>4434</v>
      </c>
      <c r="D13" s="63">
        <f>E13+F13+G13+J13+K13+L13+M13</f>
        <v>4059.1</v>
      </c>
      <c r="E13" s="69">
        <f>854+26+3152</f>
        <v>4032</v>
      </c>
      <c r="F13" s="71">
        <v>0</v>
      </c>
      <c r="G13" s="66">
        <v>27.1</v>
      </c>
      <c r="H13" s="67">
        <v>0</v>
      </c>
      <c r="I13" s="68">
        <f t="shared" si="0"/>
        <v>0</v>
      </c>
      <c r="J13" s="69">
        <v>0</v>
      </c>
      <c r="K13" s="70">
        <v>0</v>
      </c>
      <c r="L13" s="71">
        <v>0</v>
      </c>
      <c r="M13" s="72">
        <v>0</v>
      </c>
      <c r="N13" s="73" t="s">
        <v>20</v>
      </c>
      <c r="Q13" s="7"/>
    </row>
    <row r="14" spans="1:25" customFormat="1" ht="21" x14ac:dyDescent="0.25">
      <c r="A14" s="74" t="s">
        <v>27</v>
      </c>
      <c r="B14" s="61">
        <v>16</v>
      </c>
      <c r="C14" s="75">
        <v>4976</v>
      </c>
      <c r="D14" s="63">
        <f>E14+F14+G14+J14+K14+L14+M14</f>
        <v>114000</v>
      </c>
      <c r="E14" s="69">
        <v>13577</v>
      </c>
      <c r="F14" s="71">
        <v>92898</v>
      </c>
      <c r="G14" s="66">
        <v>7525</v>
      </c>
      <c r="H14" s="67">
        <v>7525</v>
      </c>
      <c r="I14" s="68">
        <f t="shared" si="0"/>
        <v>100</v>
      </c>
      <c r="J14" s="69">
        <v>0</v>
      </c>
      <c r="K14" s="76">
        <v>0</v>
      </c>
      <c r="L14" s="65">
        <v>0</v>
      </c>
      <c r="M14" s="77">
        <v>0</v>
      </c>
      <c r="N14" s="73" t="s">
        <v>20</v>
      </c>
      <c r="O14" s="1"/>
      <c r="P14" s="1"/>
      <c r="Q14" s="3"/>
      <c r="R14" s="1"/>
      <c r="S14" s="1"/>
      <c r="T14" s="1"/>
      <c r="U14" s="1"/>
      <c r="V14" s="1"/>
      <c r="W14" s="1"/>
      <c r="X14" s="1"/>
      <c r="Y14" s="1"/>
    </row>
    <row r="15" spans="1:25" customFormat="1" ht="15.75" thickBot="1" x14ac:dyDescent="0.3">
      <c r="A15" s="78" t="s">
        <v>28</v>
      </c>
      <c r="B15" s="79">
        <v>7</v>
      </c>
      <c r="C15" s="80">
        <v>4982</v>
      </c>
      <c r="D15" s="81">
        <f>E15+F15+G15+J15+K15+L15+M15</f>
        <v>20000</v>
      </c>
      <c r="E15" s="82">
        <v>0</v>
      </c>
      <c r="F15" s="83">
        <v>0</v>
      </c>
      <c r="G15" s="84">
        <v>20000</v>
      </c>
      <c r="H15" s="85">
        <v>0</v>
      </c>
      <c r="I15" s="86">
        <f t="shared" si="0"/>
        <v>0</v>
      </c>
      <c r="J15" s="82">
        <v>0</v>
      </c>
      <c r="K15" s="87">
        <v>0</v>
      </c>
      <c r="L15" s="88">
        <v>0</v>
      </c>
      <c r="M15" s="89">
        <v>0</v>
      </c>
      <c r="N15" s="90" t="s">
        <v>20</v>
      </c>
      <c r="O15" s="1"/>
      <c r="P15" s="1"/>
      <c r="Q15" s="3"/>
      <c r="R15" s="1"/>
      <c r="S15" s="1"/>
      <c r="T15" s="1"/>
      <c r="U15" s="1"/>
      <c r="V15" s="1"/>
      <c r="W15" s="1"/>
      <c r="X15" s="1"/>
      <c r="Y15" s="1"/>
    </row>
    <row r="16" spans="1:25" s="99" customFormat="1" ht="15.75" customHeight="1" thickBot="1" x14ac:dyDescent="0.3">
      <c r="A16" s="91" t="s">
        <v>29</v>
      </c>
      <c r="B16" s="92"/>
      <c r="C16" s="92"/>
      <c r="D16" s="93">
        <f>SUM(D11:D15)</f>
        <v>193059.1</v>
      </c>
      <c r="E16" s="94">
        <f>SUM(E11:E15)</f>
        <v>17609</v>
      </c>
      <c r="F16" s="95">
        <f>SUM(F11:F15)</f>
        <v>92898</v>
      </c>
      <c r="G16" s="93">
        <f>SUM(G11:G15)</f>
        <v>82552.100000000006</v>
      </c>
      <c r="H16" s="93">
        <f>SUM(H11:H15)</f>
        <v>47525</v>
      </c>
      <c r="I16" s="96">
        <f t="shared" si="0"/>
        <v>57.569704465422433</v>
      </c>
      <c r="J16" s="94">
        <f>SUM(J11:J15)</f>
        <v>0</v>
      </c>
      <c r="K16" s="97">
        <f>SUM(K11:K15)</f>
        <v>0</v>
      </c>
      <c r="L16" s="98">
        <f>SUM(L11:L15)</f>
        <v>0</v>
      </c>
      <c r="M16" s="93">
        <f>SUM(M11:M15)</f>
        <v>0</v>
      </c>
      <c r="N16" s="93"/>
      <c r="Q16" s="3"/>
    </row>
    <row r="17" spans="1:17" s="105" customFormat="1" ht="12" thickBot="1" x14ac:dyDescent="0.3">
      <c r="A17" s="100"/>
      <c r="B17" s="101"/>
      <c r="C17" s="101"/>
      <c r="D17" s="102"/>
      <c r="E17" s="102"/>
      <c r="F17" s="102"/>
      <c r="G17" s="102"/>
      <c r="H17" s="102"/>
      <c r="I17" s="103"/>
      <c r="J17" s="102"/>
      <c r="K17" s="102"/>
      <c r="L17" s="102"/>
      <c r="M17" s="102"/>
      <c r="N17" s="104"/>
      <c r="Q17" s="7"/>
    </row>
    <row r="18" spans="1:17" s="5" customFormat="1" ht="12" thickBot="1" x14ac:dyDescent="0.3">
      <c r="A18" s="106" t="s">
        <v>30</v>
      </c>
      <c r="B18" s="107">
        <v>7</v>
      </c>
      <c r="C18" s="108">
        <v>4984</v>
      </c>
      <c r="D18" s="109">
        <f>E18+F18+G18+J18+K18+L18+M18</f>
        <v>7281</v>
      </c>
      <c r="E18" s="110">
        <v>3978</v>
      </c>
      <c r="F18" s="111">
        <v>1683</v>
      </c>
      <c r="G18" s="52">
        <f>990+630</f>
        <v>1620</v>
      </c>
      <c r="H18" s="53">
        <v>0</v>
      </c>
      <c r="I18" s="112">
        <f>H18/G18*100</f>
        <v>0</v>
      </c>
      <c r="J18" s="113">
        <v>0</v>
      </c>
      <c r="K18" s="114">
        <v>0</v>
      </c>
      <c r="L18" s="115">
        <v>0</v>
      </c>
      <c r="M18" s="116">
        <v>0</v>
      </c>
      <c r="N18" s="117" t="s">
        <v>20</v>
      </c>
      <c r="Q18" s="3"/>
    </row>
    <row r="19" spans="1:17" s="5" customFormat="1" ht="12" thickBot="1" x14ac:dyDescent="0.3">
      <c r="A19" s="118" t="s">
        <v>31</v>
      </c>
      <c r="B19" s="25">
        <v>7</v>
      </c>
      <c r="C19" s="80">
        <v>5179</v>
      </c>
      <c r="D19" s="119">
        <f>E19+F19+G19+J19+K19+L19+M19</f>
        <v>188.4</v>
      </c>
      <c r="E19" s="120">
        <v>0</v>
      </c>
      <c r="F19" s="121">
        <v>0</v>
      </c>
      <c r="G19" s="84">
        <v>188.4</v>
      </c>
      <c r="H19" s="85">
        <v>185.81</v>
      </c>
      <c r="I19" s="122">
        <f>H19/G19*100</f>
        <v>98.625265392781316</v>
      </c>
      <c r="J19" s="82">
        <v>0</v>
      </c>
      <c r="K19" s="120">
        <v>0</v>
      </c>
      <c r="L19" s="120">
        <v>0</v>
      </c>
      <c r="M19" s="123">
        <v>0</v>
      </c>
      <c r="N19" s="36" t="s">
        <v>20</v>
      </c>
      <c r="Q19" s="3"/>
    </row>
    <row r="20" spans="1:17" customFormat="1" ht="15.75" thickBot="1" x14ac:dyDescent="0.3">
      <c r="A20" s="37" t="s">
        <v>32</v>
      </c>
      <c r="B20" s="38"/>
      <c r="C20" s="39"/>
      <c r="D20" s="40">
        <f>SUM(D18:D19)</f>
        <v>7469.4</v>
      </c>
      <c r="E20" s="40">
        <f>SUM(E18:E19)</f>
        <v>3978</v>
      </c>
      <c r="F20" s="43">
        <f>SUM(F18:F19)</f>
        <v>1683</v>
      </c>
      <c r="G20" s="42">
        <f>SUM(G18:G19)</f>
        <v>1808.4</v>
      </c>
      <c r="H20" s="42">
        <f>SUM(H18:H19)</f>
        <v>185.81</v>
      </c>
      <c r="I20" s="44">
        <f>H20/G20*100</f>
        <v>10.274828577748284</v>
      </c>
      <c r="J20" s="45">
        <f>SUM(J18:J19)</f>
        <v>0</v>
      </c>
      <c r="K20" s="45">
        <f>SUM(K18:K19)</f>
        <v>0</v>
      </c>
      <c r="L20" s="45">
        <f>SUM(L18:L19)</f>
        <v>0</v>
      </c>
      <c r="M20" s="45">
        <f>SUM(M18:M19)</f>
        <v>0</v>
      </c>
      <c r="N20" s="45"/>
      <c r="O20" s="1"/>
      <c r="P20" s="1"/>
      <c r="Q20" s="3"/>
    </row>
    <row r="21" spans="1:17" customFormat="1" ht="15.75" thickBot="1" x14ac:dyDescent="0.3">
      <c r="A21" s="124"/>
      <c r="B21" s="2"/>
      <c r="C21" s="2"/>
      <c r="D21" s="1"/>
      <c r="E21" s="1"/>
      <c r="F21" s="1"/>
      <c r="G21" s="3"/>
      <c r="H21" s="1"/>
      <c r="I21" s="4"/>
      <c r="J21" s="5"/>
      <c r="K21" s="1"/>
      <c r="L21" s="1"/>
      <c r="M21" s="1"/>
      <c r="N21" s="125"/>
      <c r="O21" s="1"/>
      <c r="P21" s="1"/>
      <c r="Q21" s="1"/>
    </row>
    <row r="22" spans="1:17" s="5" customFormat="1" ht="31.5" x14ac:dyDescent="0.25">
      <c r="A22" s="106" t="s">
        <v>33</v>
      </c>
      <c r="B22" s="47">
        <v>7</v>
      </c>
      <c r="C22" s="126">
        <v>4854</v>
      </c>
      <c r="D22" s="49">
        <f>SUM(E22+F22+G22+J22+K22+L22+M22)+50</f>
        <v>47948.01</v>
      </c>
      <c r="E22" s="127">
        <f>758+300+780+10</f>
        <v>1848</v>
      </c>
      <c r="F22" s="111">
        <f>23307.06</f>
        <v>23307.06</v>
      </c>
      <c r="G22" s="52">
        <v>22742.95</v>
      </c>
      <c r="H22" s="53">
        <v>1003.87</v>
      </c>
      <c r="I22" s="112">
        <f t="shared" ref="I22:I29" si="1">H22/G22*100</f>
        <v>4.4139832343649346</v>
      </c>
      <c r="J22" s="55">
        <v>0</v>
      </c>
      <c r="K22" s="110">
        <v>0</v>
      </c>
      <c r="L22" s="110">
        <v>0</v>
      </c>
      <c r="M22" s="128">
        <v>0</v>
      </c>
      <c r="N22" s="59" t="s">
        <v>34</v>
      </c>
      <c r="Q22" s="3"/>
    </row>
    <row r="23" spans="1:17" s="5" customFormat="1" ht="21" x14ac:dyDescent="0.25">
      <c r="A23" s="129" t="s">
        <v>35</v>
      </c>
      <c r="B23" s="61">
        <v>7</v>
      </c>
      <c r="C23" s="130">
        <v>4724</v>
      </c>
      <c r="D23" s="63">
        <f>E23+F23+G23+J23+K23+L23+M23</f>
        <v>502280</v>
      </c>
      <c r="E23" s="131">
        <v>2280</v>
      </c>
      <c r="F23" s="132">
        <v>878</v>
      </c>
      <c r="G23" s="66">
        <v>6122</v>
      </c>
      <c r="H23" s="67">
        <v>2122.8200000000002</v>
      </c>
      <c r="I23" s="133">
        <f t="shared" si="1"/>
        <v>34.675269519764782</v>
      </c>
      <c r="J23" s="69">
        <v>500</v>
      </c>
      <c r="K23" s="69">
        <v>200000</v>
      </c>
      <c r="L23" s="70">
        <v>202500</v>
      </c>
      <c r="M23" s="134">
        <v>90000</v>
      </c>
      <c r="N23" s="73" t="s">
        <v>36</v>
      </c>
      <c r="Q23" s="3"/>
    </row>
    <row r="24" spans="1:17" customFormat="1" ht="15" x14ac:dyDescent="0.25">
      <c r="A24" s="129" t="s">
        <v>37</v>
      </c>
      <c r="B24" s="61">
        <v>10</v>
      </c>
      <c r="C24" s="135">
        <v>5254</v>
      </c>
      <c r="D24" s="63">
        <f>E24+F24+G24+J24+K24+L24+M24</f>
        <v>182</v>
      </c>
      <c r="E24" s="136">
        <v>0</v>
      </c>
      <c r="F24" s="137">
        <v>0</v>
      </c>
      <c r="G24" s="66">
        <v>182</v>
      </c>
      <c r="H24" s="67">
        <v>182</v>
      </c>
      <c r="I24" s="138">
        <f t="shared" si="1"/>
        <v>100</v>
      </c>
      <c r="J24" s="69">
        <v>0</v>
      </c>
      <c r="K24" s="76">
        <v>0</v>
      </c>
      <c r="L24" s="76">
        <v>0</v>
      </c>
      <c r="M24" s="77">
        <v>0</v>
      </c>
      <c r="N24" s="139" t="s">
        <v>20</v>
      </c>
      <c r="O24" s="1"/>
      <c r="P24" s="1"/>
      <c r="Q24" s="3"/>
    </row>
    <row r="25" spans="1:17" customFormat="1" ht="15" x14ac:dyDescent="0.25">
      <c r="A25" s="129" t="s">
        <v>38</v>
      </c>
      <c r="B25" s="61">
        <v>10</v>
      </c>
      <c r="C25" s="135">
        <v>5250</v>
      </c>
      <c r="D25" s="63">
        <f>E25+F25+G25+J25+K25+L25+M25</f>
        <v>603</v>
      </c>
      <c r="E25" s="136">
        <v>0</v>
      </c>
      <c r="F25" s="137">
        <v>0</v>
      </c>
      <c r="G25" s="66">
        <v>603</v>
      </c>
      <c r="H25" s="67">
        <v>550</v>
      </c>
      <c r="I25" s="138">
        <f t="shared" si="1"/>
        <v>91.210613598673291</v>
      </c>
      <c r="J25" s="69">
        <v>0</v>
      </c>
      <c r="K25" s="64">
        <v>0</v>
      </c>
      <c r="L25" s="76">
        <v>0</v>
      </c>
      <c r="M25" s="140">
        <v>0</v>
      </c>
      <c r="N25" s="139" t="s">
        <v>20</v>
      </c>
      <c r="O25" s="1"/>
      <c r="P25" s="1"/>
      <c r="Q25" s="3"/>
    </row>
    <row r="26" spans="1:17" customFormat="1" ht="21" x14ac:dyDescent="0.25">
      <c r="A26" s="129" t="s">
        <v>39</v>
      </c>
      <c r="B26" s="61">
        <v>7</v>
      </c>
      <c r="C26" s="135">
        <v>5257</v>
      </c>
      <c r="D26" s="63">
        <f>SUM(E26+F26+G26+J26+K26+L26+M26)+4518</f>
        <v>7018</v>
      </c>
      <c r="E26" s="136">
        <v>0</v>
      </c>
      <c r="F26" s="137">
        <v>0</v>
      </c>
      <c r="G26" s="66">
        <v>2500</v>
      </c>
      <c r="H26" s="67">
        <v>2500</v>
      </c>
      <c r="I26" s="138">
        <f t="shared" si="1"/>
        <v>100</v>
      </c>
      <c r="J26" s="69">
        <v>0</v>
      </c>
      <c r="K26" s="64">
        <v>0</v>
      </c>
      <c r="L26" s="76">
        <v>0</v>
      </c>
      <c r="M26" s="140">
        <v>0</v>
      </c>
      <c r="N26" s="139" t="s">
        <v>40</v>
      </c>
      <c r="O26" s="1"/>
      <c r="P26" s="1"/>
      <c r="Q26" s="3"/>
    </row>
    <row r="27" spans="1:17" customFormat="1" ht="21" x14ac:dyDescent="0.25">
      <c r="A27" s="129" t="s">
        <v>41</v>
      </c>
      <c r="B27" s="61">
        <v>7</v>
      </c>
      <c r="C27" s="135">
        <v>5258</v>
      </c>
      <c r="D27" s="63">
        <f>SUM(E27+F27+G27+J27+K27+L27+M27)+25</f>
        <v>449.24</v>
      </c>
      <c r="E27" s="136">
        <v>0</v>
      </c>
      <c r="F27" s="137">
        <v>0</v>
      </c>
      <c r="G27" s="66">
        <v>424.24</v>
      </c>
      <c r="H27" s="67">
        <v>424.24</v>
      </c>
      <c r="I27" s="138">
        <f t="shared" si="1"/>
        <v>100</v>
      </c>
      <c r="J27" s="69">
        <v>0</v>
      </c>
      <c r="K27" s="64">
        <v>0</v>
      </c>
      <c r="L27" s="76">
        <v>0</v>
      </c>
      <c r="M27" s="140">
        <v>0</v>
      </c>
      <c r="N27" s="139" t="s">
        <v>40</v>
      </c>
      <c r="O27" s="1"/>
      <c r="P27" s="1"/>
      <c r="Q27" s="3"/>
    </row>
    <row r="28" spans="1:17" s="5" customFormat="1" ht="12" thickBot="1" x14ac:dyDescent="0.3">
      <c r="A28" s="141" t="s">
        <v>42</v>
      </c>
      <c r="B28" s="79">
        <v>7</v>
      </c>
      <c r="C28" s="142">
        <v>4985</v>
      </c>
      <c r="D28" s="81">
        <f>E28+F28+G28+J28+K28+L28+M28</f>
        <v>15670.54</v>
      </c>
      <c r="E28" s="143">
        <v>198</v>
      </c>
      <c r="F28" s="121">
        <f>5573+584</f>
        <v>6157</v>
      </c>
      <c r="G28" s="84">
        <v>9315.5400000000009</v>
      </c>
      <c r="H28" s="85">
        <v>7262.38</v>
      </c>
      <c r="I28" s="122">
        <f t="shared" si="1"/>
        <v>77.959839150494759</v>
      </c>
      <c r="J28" s="82">
        <v>0</v>
      </c>
      <c r="K28" s="82">
        <v>0</v>
      </c>
      <c r="L28" s="144">
        <v>0</v>
      </c>
      <c r="M28" s="145">
        <v>0</v>
      </c>
      <c r="N28" s="90" t="s">
        <v>36</v>
      </c>
      <c r="Q28" s="3"/>
    </row>
    <row r="29" spans="1:17" customFormat="1" ht="15.75" thickBot="1" x14ac:dyDescent="0.3">
      <c r="A29" s="91" t="s">
        <v>43</v>
      </c>
      <c r="B29" s="92"/>
      <c r="C29" s="146"/>
      <c r="D29" s="97">
        <f>SUM(D22:D28)</f>
        <v>574150.79</v>
      </c>
      <c r="E29" s="97">
        <f>SUM(E22:E28)</f>
        <v>4326</v>
      </c>
      <c r="F29" s="147">
        <f>SUM(F22:F28)</f>
        <v>30342.06</v>
      </c>
      <c r="G29" s="93">
        <f>SUM(G22:G28)</f>
        <v>41889.730000000003</v>
      </c>
      <c r="H29" s="93">
        <f>SUM(H22:H28)</f>
        <v>14045.310000000001</v>
      </c>
      <c r="I29" s="96">
        <f t="shared" si="1"/>
        <v>33.529244518883267</v>
      </c>
      <c r="J29" s="148">
        <f>SUM(J22:J28)</f>
        <v>500</v>
      </c>
      <c r="K29" s="147">
        <f>SUM(K22:K28)</f>
        <v>200000</v>
      </c>
      <c r="L29" s="93">
        <f>SUM(L22:L28)</f>
        <v>202500</v>
      </c>
      <c r="M29" s="148">
        <f>SUM(M22:M28)</f>
        <v>90000</v>
      </c>
      <c r="N29" s="93"/>
      <c r="O29" s="1"/>
      <c r="P29" s="1"/>
      <c r="Q29" s="3"/>
    </row>
    <row r="30" spans="1:17" s="5" customFormat="1" ht="12" thickBot="1" x14ac:dyDescent="0.3">
      <c r="A30" s="149"/>
      <c r="B30" s="17"/>
      <c r="C30" s="17"/>
      <c r="D30" s="150"/>
      <c r="E30" s="150"/>
      <c r="F30" s="150"/>
      <c r="G30" s="151"/>
      <c r="H30" s="19"/>
      <c r="I30" s="17"/>
      <c r="J30" s="150"/>
      <c r="K30" s="150"/>
      <c r="L30" s="150"/>
      <c r="M30" s="150"/>
      <c r="N30" s="152"/>
      <c r="Q30" s="3"/>
    </row>
    <row r="31" spans="1:17" s="5" customFormat="1" ht="12" thickBot="1" x14ac:dyDescent="0.3">
      <c r="A31" s="149"/>
      <c r="B31" s="17"/>
      <c r="C31" s="17"/>
      <c r="D31" s="150"/>
      <c r="E31" s="150"/>
      <c r="F31" s="150"/>
      <c r="G31" s="151"/>
      <c r="H31" s="19"/>
      <c r="I31" s="17"/>
      <c r="J31" s="150"/>
      <c r="K31" s="150"/>
      <c r="L31" s="150"/>
      <c r="M31" s="150"/>
      <c r="N31" s="152"/>
      <c r="Q31" s="3"/>
    </row>
    <row r="32" spans="1:17" s="5" customFormat="1" ht="12" thickBot="1" x14ac:dyDescent="0.3">
      <c r="A32" s="153" t="s">
        <v>44</v>
      </c>
      <c r="B32" s="107">
        <v>11</v>
      </c>
      <c r="C32" s="154">
        <v>5306</v>
      </c>
      <c r="D32" s="155">
        <f>E32+F32+G32+J32+K32+L32+M32</f>
        <v>450</v>
      </c>
      <c r="E32" s="156">
        <v>0</v>
      </c>
      <c r="F32" s="157">
        <v>0</v>
      </c>
      <c r="G32" s="30">
        <v>450</v>
      </c>
      <c r="H32" s="158">
        <v>0</v>
      </c>
      <c r="I32" s="159">
        <f>H32/G32*100</f>
        <v>0</v>
      </c>
      <c r="J32" s="113">
        <v>0</v>
      </c>
      <c r="K32" s="114">
        <v>0</v>
      </c>
      <c r="L32" s="115">
        <v>0</v>
      </c>
      <c r="M32" s="35">
        <v>0</v>
      </c>
      <c r="N32" s="117" t="s">
        <v>20</v>
      </c>
      <c r="Q32" s="3"/>
    </row>
    <row r="33" spans="1:17" customFormat="1" ht="15.75" thickBot="1" x14ac:dyDescent="0.3">
      <c r="A33" s="91" t="s">
        <v>45</v>
      </c>
      <c r="B33" s="92"/>
      <c r="C33" s="146"/>
      <c r="D33" s="97">
        <f>SUM(D32:D32)</f>
        <v>450</v>
      </c>
      <c r="E33" s="97">
        <f>SUM(E32:E32)</f>
        <v>0</v>
      </c>
      <c r="F33" s="98">
        <f>SUM(F32:F32)</f>
        <v>0</v>
      </c>
      <c r="G33" s="93">
        <f>SUM(G32:G32)</f>
        <v>450</v>
      </c>
      <c r="H33" s="93">
        <f>SUM(H32:H32)</f>
        <v>0</v>
      </c>
      <c r="I33" s="160">
        <f>H33/G33*100</f>
        <v>0</v>
      </c>
      <c r="J33" s="148">
        <f>SUM(J32:J32)</f>
        <v>0</v>
      </c>
      <c r="K33" s="93">
        <f>SUM(K32:K32)</f>
        <v>0</v>
      </c>
      <c r="L33" s="98">
        <f>SUM(L32:L32)</f>
        <v>0</v>
      </c>
      <c r="M33" s="93">
        <f>SUM(M32:M32)</f>
        <v>0</v>
      </c>
      <c r="N33" s="93"/>
      <c r="O33" s="1"/>
      <c r="P33" s="1"/>
      <c r="Q33" s="3"/>
    </row>
    <row r="34" spans="1:17" s="5" customFormat="1" ht="12" thickBot="1" x14ac:dyDescent="0.3">
      <c r="A34" s="161"/>
      <c r="B34" s="162"/>
      <c r="C34" s="162"/>
      <c r="D34" s="163"/>
      <c r="E34" s="163"/>
      <c r="F34" s="163"/>
      <c r="G34" s="151"/>
      <c r="H34" s="19"/>
      <c r="I34" s="17"/>
      <c r="J34" s="163"/>
      <c r="K34" s="163"/>
      <c r="L34" s="163"/>
      <c r="M34" s="163"/>
      <c r="N34" s="152"/>
      <c r="Q34" s="3"/>
    </row>
    <row r="35" spans="1:17" s="5" customFormat="1" x14ac:dyDescent="0.25">
      <c r="A35" s="106" t="s">
        <v>46</v>
      </c>
      <c r="B35" s="47">
        <v>7</v>
      </c>
      <c r="C35" s="164">
        <v>4855</v>
      </c>
      <c r="D35" s="49">
        <f>E35+F35+G35+J35+K35+L35+M35</f>
        <v>40607.449999999997</v>
      </c>
      <c r="E35" s="109">
        <f>84+624</f>
        <v>708</v>
      </c>
      <c r="F35" s="57">
        <v>76</v>
      </c>
      <c r="G35" s="52">
        <v>39823.449999999997</v>
      </c>
      <c r="H35" s="53">
        <v>0</v>
      </c>
      <c r="I35" s="165">
        <f t="shared" ref="I35:I47" si="2">H35/G35*100</f>
        <v>0</v>
      </c>
      <c r="J35" s="55">
        <v>0</v>
      </c>
      <c r="K35" s="56">
        <v>0</v>
      </c>
      <c r="L35" s="110">
        <v>0</v>
      </c>
      <c r="M35" s="128">
        <v>0</v>
      </c>
      <c r="N35" s="166" t="s">
        <v>20</v>
      </c>
      <c r="Q35" s="7"/>
    </row>
    <row r="36" spans="1:17" s="5" customFormat="1" x14ac:dyDescent="0.25">
      <c r="A36" s="129" t="s">
        <v>47</v>
      </c>
      <c r="B36" s="61">
        <v>7</v>
      </c>
      <c r="C36" s="167">
        <v>5121</v>
      </c>
      <c r="D36" s="63">
        <f>SUM(E36+F36+G36+J36+K36+L36+M36)+180</f>
        <v>11644.82</v>
      </c>
      <c r="E36" s="168">
        <v>0</v>
      </c>
      <c r="F36" s="71">
        <v>10199.39</v>
      </c>
      <c r="G36" s="66">
        <v>1265.43</v>
      </c>
      <c r="H36" s="67">
        <v>527.32000000000005</v>
      </c>
      <c r="I36" s="169">
        <f t="shared" si="2"/>
        <v>41.671210576641933</v>
      </c>
      <c r="J36" s="69">
        <v>0</v>
      </c>
      <c r="K36" s="70">
        <v>0</v>
      </c>
      <c r="L36" s="170">
        <v>0</v>
      </c>
      <c r="M36" s="171">
        <v>0</v>
      </c>
      <c r="N36" s="172" t="s">
        <v>48</v>
      </c>
      <c r="Q36" s="7"/>
    </row>
    <row r="37" spans="1:17" s="5" customFormat="1" x14ac:dyDescent="0.25">
      <c r="A37" s="173" t="s">
        <v>49</v>
      </c>
      <c r="B37" s="174">
        <v>7</v>
      </c>
      <c r="C37" s="175">
        <v>5122</v>
      </c>
      <c r="D37" s="176">
        <f>E37+F37+G37+J37+K37+L37+M37</f>
        <v>14300</v>
      </c>
      <c r="E37" s="177">
        <v>0</v>
      </c>
      <c r="F37" s="178">
        <v>0</v>
      </c>
      <c r="G37" s="66">
        <f>11935+2365</f>
        <v>14300</v>
      </c>
      <c r="H37" s="67">
        <v>0</v>
      </c>
      <c r="I37" s="179">
        <f t="shared" si="2"/>
        <v>0</v>
      </c>
      <c r="J37" s="180">
        <v>0</v>
      </c>
      <c r="K37" s="181">
        <v>0</v>
      </c>
      <c r="L37" s="182">
        <v>0</v>
      </c>
      <c r="M37" s="183">
        <v>0</v>
      </c>
      <c r="N37" s="139" t="s">
        <v>20</v>
      </c>
      <c r="Q37" s="7"/>
    </row>
    <row r="38" spans="1:17" s="5" customFormat="1" x14ac:dyDescent="0.25">
      <c r="A38" s="129" t="s">
        <v>50</v>
      </c>
      <c r="B38" s="61">
        <v>7</v>
      </c>
      <c r="C38" s="167">
        <v>5212</v>
      </c>
      <c r="D38" s="63">
        <f>E38+F38+G38+J38+K38+L38+M38</f>
        <v>600</v>
      </c>
      <c r="E38" s="168">
        <v>0</v>
      </c>
      <c r="F38" s="71">
        <v>300</v>
      </c>
      <c r="G38" s="66">
        <v>300</v>
      </c>
      <c r="H38" s="67">
        <v>300</v>
      </c>
      <c r="I38" s="169">
        <f t="shared" si="2"/>
        <v>100</v>
      </c>
      <c r="J38" s="69">
        <v>0</v>
      </c>
      <c r="K38" s="70">
        <v>0</v>
      </c>
      <c r="L38" s="170">
        <v>0</v>
      </c>
      <c r="M38" s="171">
        <v>0</v>
      </c>
      <c r="N38" s="139" t="s">
        <v>20</v>
      </c>
      <c r="Q38" s="7"/>
    </row>
    <row r="39" spans="1:17" s="5" customFormat="1" ht="21" x14ac:dyDescent="0.25">
      <c r="A39" s="173" t="s">
        <v>51</v>
      </c>
      <c r="B39" s="174">
        <v>15</v>
      </c>
      <c r="C39" s="175">
        <v>5243</v>
      </c>
      <c r="D39" s="63">
        <f>SUM(E39+F39+G39+J39+K39+L39+M39)+2000</f>
        <v>2500</v>
      </c>
      <c r="E39" s="177">
        <v>0</v>
      </c>
      <c r="F39" s="178">
        <v>0</v>
      </c>
      <c r="G39" s="66">
        <v>500</v>
      </c>
      <c r="H39" s="67">
        <v>0</v>
      </c>
      <c r="I39" s="179">
        <f t="shared" si="2"/>
        <v>0</v>
      </c>
      <c r="J39" s="180">
        <v>0</v>
      </c>
      <c r="K39" s="181">
        <v>0</v>
      </c>
      <c r="L39" s="182">
        <v>0</v>
      </c>
      <c r="M39" s="183">
        <v>0</v>
      </c>
      <c r="N39" s="139" t="s">
        <v>40</v>
      </c>
      <c r="Q39" s="7"/>
    </row>
    <row r="40" spans="1:17" s="5" customFormat="1" ht="21" x14ac:dyDescent="0.25">
      <c r="A40" s="173" t="s">
        <v>52</v>
      </c>
      <c r="B40" s="174">
        <v>15</v>
      </c>
      <c r="C40" s="175">
        <v>5244</v>
      </c>
      <c r="D40" s="63">
        <f>SUM(E40+F40+G40+J40+K40+L40+M40)+800</f>
        <v>1700</v>
      </c>
      <c r="E40" s="177">
        <v>0</v>
      </c>
      <c r="F40" s="178">
        <v>0</v>
      </c>
      <c r="G40" s="66">
        <v>900</v>
      </c>
      <c r="H40" s="67">
        <v>0</v>
      </c>
      <c r="I40" s="179">
        <f t="shared" si="2"/>
        <v>0</v>
      </c>
      <c r="J40" s="69">
        <v>0</v>
      </c>
      <c r="K40" s="70">
        <v>0</v>
      </c>
      <c r="L40" s="170">
        <v>0</v>
      </c>
      <c r="M40" s="171">
        <v>0</v>
      </c>
      <c r="N40" s="139" t="s">
        <v>40</v>
      </c>
      <c r="Q40" s="7"/>
    </row>
    <row r="41" spans="1:17" s="5" customFormat="1" ht="21" x14ac:dyDescent="0.25">
      <c r="A41" s="173" t="s">
        <v>53</v>
      </c>
      <c r="B41" s="174">
        <v>15</v>
      </c>
      <c r="C41" s="175">
        <v>5245</v>
      </c>
      <c r="D41" s="63">
        <f>SUM(E41+F41+G41+J41+K41+L41+M41)+752</f>
        <v>1452</v>
      </c>
      <c r="E41" s="177">
        <v>0</v>
      </c>
      <c r="F41" s="178">
        <v>0</v>
      </c>
      <c r="G41" s="66">
        <v>700</v>
      </c>
      <c r="H41" s="67">
        <v>0</v>
      </c>
      <c r="I41" s="179">
        <f t="shared" si="2"/>
        <v>0</v>
      </c>
      <c r="J41" s="180">
        <v>0</v>
      </c>
      <c r="K41" s="181">
        <v>0</v>
      </c>
      <c r="L41" s="182">
        <v>0</v>
      </c>
      <c r="M41" s="183">
        <v>0</v>
      </c>
      <c r="N41" s="139" t="s">
        <v>40</v>
      </c>
      <c r="Q41" s="7"/>
    </row>
    <row r="42" spans="1:17" s="184" customFormat="1" ht="21" x14ac:dyDescent="0.25">
      <c r="A42" s="173" t="s">
        <v>54</v>
      </c>
      <c r="B42" s="174">
        <v>15</v>
      </c>
      <c r="C42" s="175">
        <v>5246</v>
      </c>
      <c r="D42" s="63">
        <f>SUM(E42+F42+G42+J42+K42+L42+M42)+1100</f>
        <v>2200</v>
      </c>
      <c r="E42" s="177">
        <v>0</v>
      </c>
      <c r="F42" s="178">
        <v>0</v>
      </c>
      <c r="G42" s="66">
        <v>1100</v>
      </c>
      <c r="H42" s="67">
        <v>1100</v>
      </c>
      <c r="I42" s="179">
        <f t="shared" si="2"/>
        <v>100</v>
      </c>
      <c r="J42" s="69">
        <v>0</v>
      </c>
      <c r="K42" s="70">
        <v>0</v>
      </c>
      <c r="L42" s="170">
        <v>0</v>
      </c>
      <c r="M42" s="171">
        <v>0</v>
      </c>
      <c r="N42" s="139" t="s">
        <v>40</v>
      </c>
      <c r="O42" s="5"/>
      <c r="P42" s="5"/>
      <c r="Q42" s="7"/>
    </row>
    <row r="43" spans="1:17" s="5" customFormat="1" ht="21" x14ac:dyDescent="0.25">
      <c r="A43" s="173" t="s">
        <v>55</v>
      </c>
      <c r="B43" s="174">
        <v>15</v>
      </c>
      <c r="C43" s="175">
        <v>5247</v>
      </c>
      <c r="D43" s="63">
        <f>SUM(E43+F43+G43+J43+K43+L43+M43)+1150</f>
        <v>2950</v>
      </c>
      <c r="E43" s="177">
        <v>0</v>
      </c>
      <c r="F43" s="178">
        <v>0</v>
      </c>
      <c r="G43" s="66">
        <v>1800</v>
      </c>
      <c r="H43" s="67">
        <v>0</v>
      </c>
      <c r="I43" s="179">
        <f t="shared" si="2"/>
        <v>0</v>
      </c>
      <c r="J43" s="180">
        <v>0</v>
      </c>
      <c r="K43" s="181">
        <v>0</v>
      </c>
      <c r="L43" s="182">
        <v>0</v>
      </c>
      <c r="M43" s="183">
        <v>0</v>
      </c>
      <c r="N43" s="139" t="s">
        <v>40</v>
      </c>
      <c r="Q43" s="7"/>
    </row>
    <row r="44" spans="1:17" s="5" customFormat="1" ht="21" x14ac:dyDescent="0.25">
      <c r="A44" s="173" t="s">
        <v>56</v>
      </c>
      <c r="B44" s="174">
        <v>15</v>
      </c>
      <c r="C44" s="175">
        <v>5248</v>
      </c>
      <c r="D44" s="63">
        <f>SUM(E44+F44+G44+J44+K44+L44+M44)+1000</f>
        <v>1500</v>
      </c>
      <c r="E44" s="177">
        <v>0</v>
      </c>
      <c r="F44" s="178">
        <v>0</v>
      </c>
      <c r="G44" s="66">
        <v>500</v>
      </c>
      <c r="H44" s="67">
        <v>500</v>
      </c>
      <c r="I44" s="179">
        <f t="shared" si="2"/>
        <v>100</v>
      </c>
      <c r="J44" s="69">
        <v>0</v>
      </c>
      <c r="K44" s="70">
        <v>0</v>
      </c>
      <c r="L44" s="170">
        <v>0</v>
      </c>
      <c r="M44" s="171">
        <v>0</v>
      </c>
      <c r="N44" s="139" t="s">
        <v>40</v>
      </c>
      <c r="Q44" s="7"/>
    </row>
    <row r="45" spans="1:17" s="5" customFormat="1" ht="21" x14ac:dyDescent="0.25">
      <c r="A45" s="129" t="s">
        <v>57</v>
      </c>
      <c r="B45" s="61">
        <v>15</v>
      </c>
      <c r="C45" s="167">
        <v>5253</v>
      </c>
      <c r="D45" s="63">
        <f>SUM(E45+F45+G45+J45+K45+L45+M45)+1433</f>
        <v>4767.7</v>
      </c>
      <c r="E45" s="168">
        <v>0</v>
      </c>
      <c r="F45" s="71">
        <v>0</v>
      </c>
      <c r="G45" s="66">
        <v>3334.7</v>
      </c>
      <c r="H45" s="67">
        <v>1270.1199999999999</v>
      </c>
      <c r="I45" s="169">
        <f t="shared" si="2"/>
        <v>38.087983926590098</v>
      </c>
      <c r="J45" s="69">
        <v>0</v>
      </c>
      <c r="K45" s="70">
        <v>0</v>
      </c>
      <c r="L45" s="170">
        <v>0</v>
      </c>
      <c r="M45" s="171">
        <v>0</v>
      </c>
      <c r="N45" s="139" t="s">
        <v>40</v>
      </c>
      <c r="Q45" s="7"/>
    </row>
    <row r="46" spans="1:17" s="5" customFormat="1" ht="12" thickBot="1" x14ac:dyDescent="0.3">
      <c r="A46" s="173" t="s">
        <v>58</v>
      </c>
      <c r="B46" s="174">
        <v>7</v>
      </c>
      <c r="C46" s="175">
        <v>5259</v>
      </c>
      <c r="D46" s="185">
        <f>SUM(E46+F46+G46+J46+K46+L46+M46)</f>
        <v>3500</v>
      </c>
      <c r="E46" s="177">
        <v>0</v>
      </c>
      <c r="F46" s="186">
        <v>0</v>
      </c>
      <c r="G46" s="187">
        <v>3500</v>
      </c>
      <c r="H46" s="188">
        <v>0</v>
      </c>
      <c r="I46" s="189">
        <f t="shared" si="2"/>
        <v>0</v>
      </c>
      <c r="J46" s="180">
        <v>0</v>
      </c>
      <c r="K46" s="181">
        <v>0</v>
      </c>
      <c r="L46" s="182">
        <v>0</v>
      </c>
      <c r="M46" s="182">
        <v>0</v>
      </c>
      <c r="N46" s="190" t="s">
        <v>36</v>
      </c>
      <c r="Q46" s="7"/>
    </row>
    <row r="47" spans="1:17" customFormat="1" ht="15.75" thickBot="1" x14ac:dyDescent="0.3">
      <c r="A47" s="91" t="s">
        <v>59</v>
      </c>
      <c r="B47" s="92"/>
      <c r="C47" s="146"/>
      <c r="D47" s="93">
        <f>SUM(D35:D46)</f>
        <v>87721.969999999987</v>
      </c>
      <c r="E47" s="93">
        <f>SUM(E35:E46)</f>
        <v>708</v>
      </c>
      <c r="F47" s="98">
        <f>SUM(F35:F46)</f>
        <v>10575.39</v>
      </c>
      <c r="G47" s="93">
        <f>SUM(G35:G46)</f>
        <v>68023.579999999987</v>
      </c>
      <c r="H47" s="148">
        <f>SUM(H35:H46)</f>
        <v>3697.44</v>
      </c>
      <c r="I47" s="160">
        <f t="shared" si="2"/>
        <v>5.4355269158136057</v>
      </c>
      <c r="J47" s="148">
        <f>SUM(J35:J46)</f>
        <v>0</v>
      </c>
      <c r="K47" s="93">
        <f>SUM(K35:K46)</f>
        <v>0</v>
      </c>
      <c r="L47" s="93">
        <f>SUM(L35:L46)</f>
        <v>0</v>
      </c>
      <c r="M47" s="93">
        <f>SUM(M35:M46)</f>
        <v>0</v>
      </c>
      <c r="N47" s="93"/>
      <c r="O47" s="1"/>
      <c r="P47" s="1"/>
      <c r="Q47" s="3"/>
    </row>
    <row r="48" spans="1:17" s="5" customFormat="1" ht="12" thickBot="1" x14ac:dyDescent="0.3">
      <c r="A48" s="191"/>
      <c r="B48" s="192"/>
      <c r="C48" s="192"/>
      <c r="D48" s="193"/>
      <c r="E48" s="193"/>
      <c r="F48" s="193"/>
      <c r="G48" s="19"/>
      <c r="H48" s="19"/>
      <c r="I48" s="194"/>
      <c r="J48" s="193"/>
      <c r="K48" s="193"/>
      <c r="L48" s="193"/>
      <c r="M48" s="193"/>
      <c r="N48" s="195"/>
      <c r="Q48" s="3"/>
    </row>
    <row r="49" spans="1:17" customFormat="1" ht="15" x14ac:dyDescent="0.25">
      <c r="A49" s="106" t="s">
        <v>60</v>
      </c>
      <c r="B49" s="47">
        <v>7</v>
      </c>
      <c r="C49" s="196">
        <v>4736</v>
      </c>
      <c r="D49" s="49">
        <f t="shared" ref="D49:D55" si="3">E49+F49+G49+J49+K49+L49+M49</f>
        <v>23615.41</v>
      </c>
      <c r="E49" s="50">
        <f>750+1180+9245</f>
        <v>11175</v>
      </c>
      <c r="F49" s="51">
        <v>3697</v>
      </c>
      <c r="G49" s="52">
        <v>8743.41</v>
      </c>
      <c r="H49" s="53">
        <v>7799.21</v>
      </c>
      <c r="I49" s="54">
        <f t="shared" ref="I49:I112" si="4">H49/G49*100</f>
        <v>89.20100967471501</v>
      </c>
      <c r="J49" s="55">
        <v>0</v>
      </c>
      <c r="K49" s="197">
        <v>0</v>
      </c>
      <c r="L49" s="197">
        <v>0</v>
      </c>
      <c r="M49" s="198">
        <v>0</v>
      </c>
      <c r="N49" s="199" t="s">
        <v>20</v>
      </c>
      <c r="O49" s="1"/>
      <c r="P49" s="1"/>
      <c r="Q49" s="3"/>
    </row>
    <row r="50" spans="1:17" customFormat="1" ht="21" x14ac:dyDescent="0.25">
      <c r="A50" s="129" t="s">
        <v>61</v>
      </c>
      <c r="B50" s="61">
        <v>7</v>
      </c>
      <c r="C50" s="75">
        <v>4508</v>
      </c>
      <c r="D50" s="63">
        <f t="shared" si="3"/>
        <v>9042.48</v>
      </c>
      <c r="E50" s="64">
        <v>7366</v>
      </c>
      <c r="F50" s="65">
        <v>0</v>
      </c>
      <c r="G50" s="66">
        <v>1676.48</v>
      </c>
      <c r="H50" s="67">
        <v>1676.48</v>
      </c>
      <c r="I50" s="68">
        <f t="shared" si="4"/>
        <v>100</v>
      </c>
      <c r="J50" s="69">
        <v>0</v>
      </c>
      <c r="K50" s="76">
        <v>0</v>
      </c>
      <c r="L50" s="76">
        <v>0</v>
      </c>
      <c r="M50" s="77">
        <v>0</v>
      </c>
      <c r="N50" s="200" t="s">
        <v>20</v>
      </c>
      <c r="O50" s="1"/>
      <c r="P50" s="1"/>
      <c r="Q50" s="3"/>
    </row>
    <row r="51" spans="1:17" customFormat="1" ht="15" x14ac:dyDescent="0.25">
      <c r="A51" s="201" t="s">
        <v>62</v>
      </c>
      <c r="B51" s="202">
        <v>7</v>
      </c>
      <c r="C51" s="203">
        <v>5093</v>
      </c>
      <c r="D51" s="204">
        <f t="shared" si="3"/>
        <v>1956.7</v>
      </c>
      <c r="E51" s="205">
        <v>489</v>
      </c>
      <c r="F51" s="206">
        <v>970</v>
      </c>
      <c r="G51" s="207">
        <v>497.7</v>
      </c>
      <c r="H51" s="208">
        <v>497.69</v>
      </c>
      <c r="I51" s="209">
        <f t="shared" si="4"/>
        <v>99.99799075748443</v>
      </c>
      <c r="J51" s="210">
        <v>0</v>
      </c>
      <c r="K51" s="211">
        <v>0</v>
      </c>
      <c r="L51" s="211">
        <v>0</v>
      </c>
      <c r="M51" s="212">
        <v>0</v>
      </c>
      <c r="N51" s="213" t="s">
        <v>20</v>
      </c>
      <c r="O51" s="1"/>
      <c r="P51" s="1"/>
      <c r="Q51" s="3"/>
    </row>
    <row r="52" spans="1:17" customFormat="1" ht="15" x14ac:dyDescent="0.25">
      <c r="A52" s="129" t="s">
        <v>63</v>
      </c>
      <c r="B52" s="61">
        <v>7</v>
      </c>
      <c r="C52" s="135">
        <v>5127</v>
      </c>
      <c r="D52" s="63">
        <f t="shared" si="3"/>
        <v>4000</v>
      </c>
      <c r="E52" s="136">
        <v>0</v>
      </c>
      <c r="F52" s="137">
        <v>1000</v>
      </c>
      <c r="G52" s="66">
        <v>3000</v>
      </c>
      <c r="H52" s="67">
        <v>3000</v>
      </c>
      <c r="I52" s="214">
        <f t="shared" si="4"/>
        <v>100</v>
      </c>
      <c r="J52" s="180">
        <v>0</v>
      </c>
      <c r="K52" s="215">
        <v>0</v>
      </c>
      <c r="L52" s="215">
        <v>0</v>
      </c>
      <c r="M52" s="216">
        <v>0</v>
      </c>
      <c r="N52" s="73" t="s">
        <v>20</v>
      </c>
      <c r="O52" s="1"/>
      <c r="P52" s="1"/>
      <c r="Q52" s="3"/>
    </row>
    <row r="53" spans="1:17" customFormat="1" ht="21" x14ac:dyDescent="0.25">
      <c r="A53" s="129" t="s">
        <v>64</v>
      </c>
      <c r="B53" s="61">
        <v>7</v>
      </c>
      <c r="C53" s="135">
        <v>5130</v>
      </c>
      <c r="D53" s="63">
        <f t="shared" si="3"/>
        <v>5361</v>
      </c>
      <c r="E53" s="136">
        <v>0</v>
      </c>
      <c r="F53" s="137">
        <v>2940</v>
      </c>
      <c r="G53" s="66">
        <v>2421</v>
      </c>
      <c r="H53" s="67">
        <v>2409.62</v>
      </c>
      <c r="I53" s="214">
        <f t="shared" si="4"/>
        <v>99.529946303180495</v>
      </c>
      <c r="J53" s="180">
        <v>0</v>
      </c>
      <c r="K53" s="215">
        <v>0</v>
      </c>
      <c r="L53" s="215">
        <v>0</v>
      </c>
      <c r="M53" s="216">
        <v>0</v>
      </c>
      <c r="N53" s="73" t="s">
        <v>20</v>
      </c>
      <c r="O53" s="1"/>
      <c r="P53" s="1"/>
      <c r="Q53" s="3"/>
    </row>
    <row r="54" spans="1:17" customFormat="1" ht="21" x14ac:dyDescent="0.25">
      <c r="A54" s="129" t="s">
        <v>65</v>
      </c>
      <c r="B54" s="61">
        <v>7</v>
      </c>
      <c r="C54" s="135">
        <v>5134</v>
      </c>
      <c r="D54" s="63">
        <f t="shared" si="3"/>
        <v>2900</v>
      </c>
      <c r="E54" s="136">
        <v>0</v>
      </c>
      <c r="F54" s="137">
        <v>1500</v>
      </c>
      <c r="G54" s="66">
        <v>1400</v>
      </c>
      <c r="H54" s="67">
        <v>1400</v>
      </c>
      <c r="I54" s="214">
        <f t="shared" si="4"/>
        <v>100</v>
      </c>
      <c r="J54" s="69">
        <v>0</v>
      </c>
      <c r="K54" s="76">
        <v>0</v>
      </c>
      <c r="L54" s="76">
        <v>0</v>
      </c>
      <c r="M54" s="77">
        <v>0</v>
      </c>
      <c r="N54" s="73" t="s">
        <v>20</v>
      </c>
      <c r="O54" s="1"/>
      <c r="P54" s="1"/>
      <c r="Q54" s="3"/>
    </row>
    <row r="55" spans="1:17" customFormat="1" ht="21" x14ac:dyDescent="0.25">
      <c r="A55" s="129" t="s">
        <v>66</v>
      </c>
      <c r="B55" s="61">
        <v>7</v>
      </c>
      <c r="C55" s="135">
        <v>5174</v>
      </c>
      <c r="D55" s="63">
        <f t="shared" si="3"/>
        <v>1050</v>
      </c>
      <c r="E55" s="136">
        <v>0</v>
      </c>
      <c r="F55" s="137">
        <v>0</v>
      </c>
      <c r="G55" s="66">
        <v>1050</v>
      </c>
      <c r="H55" s="67">
        <v>0</v>
      </c>
      <c r="I55" s="214">
        <f t="shared" si="4"/>
        <v>0</v>
      </c>
      <c r="J55" s="180">
        <v>0</v>
      </c>
      <c r="K55" s="215">
        <v>0</v>
      </c>
      <c r="L55" s="215">
        <v>0</v>
      </c>
      <c r="M55" s="216">
        <v>0</v>
      </c>
      <c r="N55" s="73" t="s">
        <v>20</v>
      </c>
      <c r="O55" s="1"/>
      <c r="P55" s="1"/>
      <c r="Q55" s="3"/>
    </row>
    <row r="56" spans="1:17" customFormat="1" ht="15" x14ac:dyDescent="0.25">
      <c r="A56" s="129" t="s">
        <v>67</v>
      </c>
      <c r="B56" s="61">
        <v>7</v>
      </c>
      <c r="C56" s="217">
        <v>5175</v>
      </c>
      <c r="D56" s="63">
        <f>SUM(E56+F56+G56+J56+K56+L56+M56)</f>
        <v>2429.58</v>
      </c>
      <c r="E56" s="64">
        <v>0</v>
      </c>
      <c r="F56" s="65">
        <v>929.58</v>
      </c>
      <c r="G56" s="66">
        <v>1500</v>
      </c>
      <c r="H56" s="67">
        <v>1500</v>
      </c>
      <c r="I56" s="68">
        <f t="shared" si="4"/>
        <v>100</v>
      </c>
      <c r="J56" s="69">
        <v>0</v>
      </c>
      <c r="K56" s="76">
        <v>0</v>
      </c>
      <c r="L56" s="76">
        <v>0</v>
      </c>
      <c r="M56" s="77">
        <v>0</v>
      </c>
      <c r="N56" s="73" t="s">
        <v>20</v>
      </c>
      <c r="O56" s="1"/>
      <c r="P56" s="1"/>
      <c r="Q56" s="3"/>
    </row>
    <row r="57" spans="1:17" customFormat="1" ht="15" x14ac:dyDescent="0.25">
      <c r="A57" s="129" t="s">
        <v>68</v>
      </c>
      <c r="B57" s="61">
        <v>13</v>
      </c>
      <c r="C57" s="217">
        <v>5195</v>
      </c>
      <c r="D57" s="63">
        <f>SUM(E57+F57+G57+J57+K57+L57+M57)</f>
        <v>3950</v>
      </c>
      <c r="E57" s="64"/>
      <c r="F57" s="65">
        <v>0</v>
      </c>
      <c r="G57" s="66">
        <v>3950</v>
      </c>
      <c r="H57" s="67">
        <v>0</v>
      </c>
      <c r="I57" s="68">
        <f t="shared" si="4"/>
        <v>0</v>
      </c>
      <c r="J57" s="69">
        <v>0</v>
      </c>
      <c r="K57" s="76">
        <v>0</v>
      </c>
      <c r="L57" s="76">
        <v>0</v>
      </c>
      <c r="M57" s="77">
        <v>0</v>
      </c>
      <c r="N57" s="73"/>
      <c r="O57" s="1"/>
      <c r="P57" s="1"/>
      <c r="Q57" s="3"/>
    </row>
    <row r="58" spans="1:17" customFormat="1" ht="21" x14ac:dyDescent="0.25">
      <c r="A58" s="129" t="s">
        <v>69</v>
      </c>
      <c r="B58" s="61">
        <v>7</v>
      </c>
      <c r="C58" s="217">
        <v>5208</v>
      </c>
      <c r="D58" s="63">
        <f>SUM(E58+F58+G58+J58+K58+L58+M58)+460</f>
        <v>4456</v>
      </c>
      <c r="E58" s="64">
        <v>0</v>
      </c>
      <c r="F58" s="65">
        <v>996</v>
      </c>
      <c r="G58" s="66">
        <v>3000</v>
      </c>
      <c r="H58" s="67">
        <v>2131.1999999999998</v>
      </c>
      <c r="I58" s="68">
        <f t="shared" si="4"/>
        <v>71.039999999999992</v>
      </c>
      <c r="J58" s="69">
        <v>0</v>
      </c>
      <c r="K58" s="76">
        <v>0</v>
      </c>
      <c r="L58" s="76">
        <v>0</v>
      </c>
      <c r="M58" s="77">
        <v>0</v>
      </c>
      <c r="N58" s="73" t="s">
        <v>40</v>
      </c>
      <c r="O58" s="1"/>
      <c r="P58" s="1"/>
      <c r="Q58" s="3"/>
    </row>
    <row r="59" spans="1:17" customFormat="1" ht="15" x14ac:dyDescent="0.25">
      <c r="A59" s="173" t="s">
        <v>70</v>
      </c>
      <c r="B59" s="174">
        <v>7</v>
      </c>
      <c r="C59" s="135">
        <v>5223</v>
      </c>
      <c r="D59" s="63">
        <f>SUM(E59+F59+G59+J59+K59+L59+M59)</f>
        <v>6300</v>
      </c>
      <c r="E59" s="136">
        <v>0</v>
      </c>
      <c r="F59" s="137">
        <v>0</v>
      </c>
      <c r="G59" s="66">
        <v>2700</v>
      </c>
      <c r="H59" s="67">
        <v>2700</v>
      </c>
      <c r="I59" s="68">
        <f t="shared" si="4"/>
        <v>100</v>
      </c>
      <c r="J59" s="180">
        <v>3600</v>
      </c>
      <c r="K59" s="215">
        <v>0</v>
      </c>
      <c r="L59" s="215">
        <v>0</v>
      </c>
      <c r="M59" s="216">
        <v>0</v>
      </c>
      <c r="N59" s="73" t="s">
        <v>36</v>
      </c>
      <c r="O59" s="1"/>
      <c r="P59" s="1"/>
      <c r="Q59" s="3"/>
    </row>
    <row r="60" spans="1:17" customFormat="1" ht="15" x14ac:dyDescent="0.25">
      <c r="A60" s="173" t="s">
        <v>71</v>
      </c>
      <c r="B60" s="61">
        <v>7</v>
      </c>
      <c r="C60" s="135">
        <v>5224</v>
      </c>
      <c r="D60" s="63">
        <f>SUM(E60+F60+G60+J60+K60+L60+M60)</f>
        <v>658.52</v>
      </c>
      <c r="E60" s="64">
        <v>0</v>
      </c>
      <c r="F60" s="137">
        <v>0</v>
      </c>
      <c r="G60" s="66">
        <v>658.52</v>
      </c>
      <c r="H60" s="67">
        <v>658.52</v>
      </c>
      <c r="I60" s="68">
        <f t="shared" si="4"/>
        <v>100</v>
      </c>
      <c r="J60" s="180">
        <v>0</v>
      </c>
      <c r="K60" s="215">
        <v>0</v>
      </c>
      <c r="L60" s="215">
        <v>0</v>
      </c>
      <c r="M60" s="216">
        <v>0</v>
      </c>
      <c r="N60" s="73" t="s">
        <v>36</v>
      </c>
      <c r="O60" s="1"/>
      <c r="P60" s="1"/>
      <c r="Q60" s="3"/>
    </row>
    <row r="61" spans="1:17" customFormat="1" ht="21" x14ac:dyDescent="0.25">
      <c r="A61" s="173" t="s">
        <v>72</v>
      </c>
      <c r="B61" s="174">
        <v>7</v>
      </c>
      <c r="C61" s="135">
        <v>5225</v>
      </c>
      <c r="D61" s="63">
        <f>SUM(E61+F61+G61+J61+K61+L61+M61)+1000</f>
        <v>3697.24</v>
      </c>
      <c r="E61" s="64">
        <v>0</v>
      </c>
      <c r="F61" s="137">
        <v>0</v>
      </c>
      <c r="G61" s="66">
        <v>2697.24</v>
      </c>
      <c r="H61" s="67">
        <v>2697.24</v>
      </c>
      <c r="I61" s="68">
        <f t="shared" si="4"/>
        <v>100</v>
      </c>
      <c r="J61" s="180">
        <v>0</v>
      </c>
      <c r="K61" s="215">
        <v>0</v>
      </c>
      <c r="L61" s="215">
        <v>0</v>
      </c>
      <c r="M61" s="216">
        <v>0</v>
      </c>
      <c r="N61" s="73" t="s">
        <v>40</v>
      </c>
      <c r="O61" s="1"/>
      <c r="P61" s="1"/>
      <c r="Q61" s="3"/>
    </row>
    <row r="62" spans="1:17" customFormat="1" ht="21" x14ac:dyDescent="0.25">
      <c r="A62" s="173" t="s">
        <v>73</v>
      </c>
      <c r="B62" s="61">
        <v>7</v>
      </c>
      <c r="C62" s="135">
        <v>5226</v>
      </c>
      <c r="D62" s="63">
        <f>SUM(E62+F62+G62+J62+K62+L62+M62)+500</f>
        <v>1755.83</v>
      </c>
      <c r="E62" s="136">
        <v>0</v>
      </c>
      <c r="F62" s="137">
        <v>0</v>
      </c>
      <c r="G62" s="66">
        <v>1255.83</v>
      </c>
      <c r="H62" s="67">
        <v>1255.82</v>
      </c>
      <c r="I62" s="68">
        <f t="shared" si="4"/>
        <v>99.999203713878472</v>
      </c>
      <c r="J62" s="180">
        <v>0</v>
      </c>
      <c r="K62" s="215">
        <v>0</v>
      </c>
      <c r="L62" s="215">
        <v>0</v>
      </c>
      <c r="M62" s="216">
        <v>0</v>
      </c>
      <c r="N62" s="73" t="s">
        <v>40</v>
      </c>
      <c r="O62" s="1"/>
      <c r="P62" s="1"/>
      <c r="Q62" s="3"/>
    </row>
    <row r="63" spans="1:17" customFormat="1" ht="15" x14ac:dyDescent="0.25">
      <c r="A63" s="173" t="s">
        <v>74</v>
      </c>
      <c r="B63" s="174">
        <v>7</v>
      </c>
      <c r="C63" s="135">
        <v>5227</v>
      </c>
      <c r="D63" s="63">
        <f t="shared" ref="D63:D69" si="5">SUM(E63+F63+G63+J63+K63+L63+M63)</f>
        <v>1313.23</v>
      </c>
      <c r="E63" s="64">
        <v>0</v>
      </c>
      <c r="F63" s="137">
        <v>0</v>
      </c>
      <c r="G63" s="66">
        <v>1313.23</v>
      </c>
      <c r="H63" s="67">
        <v>1313.23</v>
      </c>
      <c r="I63" s="68">
        <f t="shared" si="4"/>
        <v>100</v>
      </c>
      <c r="J63" s="180">
        <v>0</v>
      </c>
      <c r="K63" s="215">
        <v>0</v>
      </c>
      <c r="L63" s="215">
        <v>0</v>
      </c>
      <c r="M63" s="216">
        <v>0</v>
      </c>
      <c r="N63" s="73" t="s">
        <v>36</v>
      </c>
      <c r="O63" s="1"/>
      <c r="P63" s="1"/>
      <c r="Q63" s="3"/>
    </row>
    <row r="64" spans="1:17" customFormat="1" ht="15" x14ac:dyDescent="0.25">
      <c r="A64" s="173" t="s">
        <v>75</v>
      </c>
      <c r="B64" s="61">
        <v>7</v>
      </c>
      <c r="C64" s="135">
        <v>5228</v>
      </c>
      <c r="D64" s="63">
        <f t="shared" si="5"/>
        <v>5000</v>
      </c>
      <c r="E64" s="64">
        <v>0</v>
      </c>
      <c r="F64" s="137">
        <v>0</v>
      </c>
      <c r="G64" s="66">
        <v>5000</v>
      </c>
      <c r="H64" s="67">
        <v>0</v>
      </c>
      <c r="I64" s="68">
        <f t="shared" si="4"/>
        <v>0</v>
      </c>
      <c r="J64" s="180">
        <v>0</v>
      </c>
      <c r="K64" s="215">
        <v>0</v>
      </c>
      <c r="L64" s="215">
        <v>0</v>
      </c>
      <c r="M64" s="216">
        <v>0</v>
      </c>
      <c r="N64" s="73" t="s">
        <v>36</v>
      </c>
      <c r="O64" s="1"/>
      <c r="P64" s="1"/>
      <c r="Q64" s="3"/>
    </row>
    <row r="65" spans="1:17" customFormat="1" ht="15" x14ac:dyDescent="0.25">
      <c r="A65" s="173" t="s">
        <v>76</v>
      </c>
      <c r="B65" s="174">
        <v>7</v>
      </c>
      <c r="C65" s="135">
        <v>5229</v>
      </c>
      <c r="D65" s="63">
        <f t="shared" si="5"/>
        <v>5600</v>
      </c>
      <c r="E65" s="136">
        <v>0</v>
      </c>
      <c r="F65" s="137">
        <v>0</v>
      </c>
      <c r="G65" s="66">
        <v>5600</v>
      </c>
      <c r="H65" s="67">
        <v>5600</v>
      </c>
      <c r="I65" s="68">
        <f t="shared" si="4"/>
        <v>100</v>
      </c>
      <c r="J65" s="180">
        <v>0</v>
      </c>
      <c r="K65" s="215">
        <v>0</v>
      </c>
      <c r="L65" s="215">
        <v>0</v>
      </c>
      <c r="M65" s="216">
        <v>0</v>
      </c>
      <c r="N65" s="73" t="s">
        <v>36</v>
      </c>
      <c r="O65" s="1"/>
      <c r="P65" s="1"/>
      <c r="Q65" s="3"/>
    </row>
    <row r="66" spans="1:17" customFormat="1" ht="21" x14ac:dyDescent="0.25">
      <c r="A66" s="173" t="s">
        <v>77</v>
      </c>
      <c r="B66" s="61">
        <v>7</v>
      </c>
      <c r="C66" s="135">
        <v>5230</v>
      </c>
      <c r="D66" s="63">
        <f t="shared" si="5"/>
        <v>1102.58</v>
      </c>
      <c r="E66" s="64">
        <v>0</v>
      </c>
      <c r="F66" s="137">
        <v>0</v>
      </c>
      <c r="G66" s="66">
        <v>1102.58</v>
      </c>
      <c r="H66" s="67">
        <v>1102.58</v>
      </c>
      <c r="I66" s="68">
        <f t="shared" si="4"/>
        <v>100</v>
      </c>
      <c r="J66" s="180">
        <v>0</v>
      </c>
      <c r="K66" s="215">
        <v>0</v>
      </c>
      <c r="L66" s="215">
        <v>0</v>
      </c>
      <c r="M66" s="216">
        <v>0</v>
      </c>
      <c r="N66" s="73" t="s">
        <v>36</v>
      </c>
      <c r="O66" s="1"/>
      <c r="P66" s="1"/>
      <c r="Q66" s="3"/>
    </row>
    <row r="67" spans="1:17" customFormat="1" ht="15" x14ac:dyDescent="0.25">
      <c r="A67" s="173" t="s">
        <v>78</v>
      </c>
      <c r="B67" s="174">
        <v>7</v>
      </c>
      <c r="C67" s="135">
        <v>5231</v>
      </c>
      <c r="D67" s="63">
        <f t="shared" si="5"/>
        <v>3900</v>
      </c>
      <c r="E67" s="64">
        <v>0</v>
      </c>
      <c r="F67" s="137">
        <v>0</v>
      </c>
      <c r="G67" s="66">
        <v>3900</v>
      </c>
      <c r="H67" s="67">
        <v>3900</v>
      </c>
      <c r="I67" s="68">
        <f t="shared" si="4"/>
        <v>100</v>
      </c>
      <c r="J67" s="180">
        <v>0</v>
      </c>
      <c r="K67" s="215">
        <v>0</v>
      </c>
      <c r="L67" s="215">
        <v>0</v>
      </c>
      <c r="M67" s="216">
        <v>0</v>
      </c>
      <c r="N67" s="73" t="s">
        <v>36</v>
      </c>
      <c r="O67" s="1"/>
      <c r="P67" s="1"/>
      <c r="Q67" s="3"/>
    </row>
    <row r="68" spans="1:17" customFormat="1" ht="15" x14ac:dyDescent="0.25">
      <c r="A68" s="173" t="s">
        <v>79</v>
      </c>
      <c r="B68" s="61">
        <v>7</v>
      </c>
      <c r="C68" s="135">
        <v>5232</v>
      </c>
      <c r="D68" s="63">
        <f t="shared" si="5"/>
        <v>2000</v>
      </c>
      <c r="E68" s="136">
        <v>0</v>
      </c>
      <c r="F68" s="137">
        <v>0</v>
      </c>
      <c r="G68" s="66">
        <v>2000</v>
      </c>
      <c r="H68" s="67">
        <v>1790.33</v>
      </c>
      <c r="I68" s="68">
        <f t="shared" si="4"/>
        <v>89.516499999999994</v>
      </c>
      <c r="J68" s="180">
        <v>0</v>
      </c>
      <c r="K68" s="215">
        <v>0</v>
      </c>
      <c r="L68" s="215">
        <v>0</v>
      </c>
      <c r="M68" s="216">
        <v>0</v>
      </c>
      <c r="N68" s="73" t="s">
        <v>36</v>
      </c>
      <c r="O68" s="1"/>
      <c r="P68" s="1"/>
      <c r="Q68" s="3"/>
    </row>
    <row r="69" spans="1:17" customFormat="1" ht="21" x14ac:dyDescent="0.25">
      <c r="A69" s="173" t="s">
        <v>80</v>
      </c>
      <c r="B69" s="174">
        <v>7</v>
      </c>
      <c r="C69" s="135">
        <v>5233</v>
      </c>
      <c r="D69" s="63">
        <f t="shared" si="5"/>
        <v>984.09</v>
      </c>
      <c r="E69" s="64">
        <v>0</v>
      </c>
      <c r="F69" s="137">
        <v>0</v>
      </c>
      <c r="G69" s="66">
        <v>984.09</v>
      </c>
      <c r="H69" s="67">
        <v>984.09</v>
      </c>
      <c r="I69" s="68">
        <f t="shared" si="4"/>
        <v>100</v>
      </c>
      <c r="J69" s="180">
        <v>0</v>
      </c>
      <c r="K69" s="215">
        <v>0</v>
      </c>
      <c r="L69" s="215">
        <v>0</v>
      </c>
      <c r="M69" s="216">
        <v>0</v>
      </c>
      <c r="N69" s="73" t="s">
        <v>36</v>
      </c>
      <c r="O69" s="1"/>
      <c r="P69" s="1"/>
      <c r="Q69" s="3"/>
    </row>
    <row r="70" spans="1:17" customFormat="1" ht="21" x14ac:dyDescent="0.25">
      <c r="A70" s="173" t="s">
        <v>81</v>
      </c>
      <c r="B70" s="61">
        <v>7</v>
      </c>
      <c r="C70" s="135">
        <v>5234</v>
      </c>
      <c r="D70" s="63">
        <f>SUM(E70+F70+G70+J70+K70+L70+M70)+350</f>
        <v>1510</v>
      </c>
      <c r="E70" s="64">
        <v>0</v>
      </c>
      <c r="F70" s="137">
        <v>0</v>
      </c>
      <c r="G70" s="66">
        <v>1160</v>
      </c>
      <c r="H70" s="67">
        <v>1160</v>
      </c>
      <c r="I70" s="68">
        <f t="shared" si="4"/>
        <v>100</v>
      </c>
      <c r="J70" s="180">
        <v>0</v>
      </c>
      <c r="K70" s="215">
        <v>0</v>
      </c>
      <c r="L70" s="215">
        <v>0</v>
      </c>
      <c r="M70" s="216">
        <v>0</v>
      </c>
      <c r="N70" s="73" t="s">
        <v>40</v>
      </c>
      <c r="O70" s="1"/>
      <c r="P70" s="1"/>
      <c r="Q70" s="3"/>
    </row>
    <row r="71" spans="1:17" customFormat="1" ht="15" x14ac:dyDescent="0.25">
      <c r="A71" s="173" t="s">
        <v>82</v>
      </c>
      <c r="B71" s="174">
        <v>7</v>
      </c>
      <c r="C71" s="135">
        <v>5235</v>
      </c>
      <c r="D71" s="63">
        <f>SUM(E71+F71+G71+J71+K71+L71+M71)</f>
        <v>1000</v>
      </c>
      <c r="E71" s="136">
        <v>0</v>
      </c>
      <c r="F71" s="137">
        <v>0</v>
      </c>
      <c r="G71" s="66">
        <v>1000</v>
      </c>
      <c r="H71" s="67">
        <v>1000</v>
      </c>
      <c r="I71" s="68">
        <f t="shared" si="4"/>
        <v>100</v>
      </c>
      <c r="J71" s="180">
        <v>0</v>
      </c>
      <c r="K71" s="215">
        <v>0</v>
      </c>
      <c r="L71" s="215">
        <v>0</v>
      </c>
      <c r="M71" s="216">
        <v>0</v>
      </c>
      <c r="N71" s="73" t="s">
        <v>36</v>
      </c>
      <c r="O71" s="1"/>
      <c r="P71" s="1"/>
      <c r="Q71" s="3"/>
    </row>
    <row r="72" spans="1:17" customFormat="1" ht="21" x14ac:dyDescent="0.25">
      <c r="A72" s="173" t="s">
        <v>83</v>
      </c>
      <c r="B72" s="61">
        <v>7</v>
      </c>
      <c r="C72" s="135">
        <v>5236</v>
      </c>
      <c r="D72" s="63">
        <f>SUM(E72+F72+G72+J72+K72+L72+M72)+200</f>
        <v>1200</v>
      </c>
      <c r="E72" s="64">
        <v>0</v>
      </c>
      <c r="F72" s="137">
        <v>0</v>
      </c>
      <c r="G72" s="66">
        <v>1000</v>
      </c>
      <c r="H72" s="67">
        <v>1000</v>
      </c>
      <c r="I72" s="68">
        <f t="shared" si="4"/>
        <v>100</v>
      </c>
      <c r="J72" s="180">
        <v>0</v>
      </c>
      <c r="K72" s="215">
        <v>0</v>
      </c>
      <c r="L72" s="215">
        <v>0</v>
      </c>
      <c r="M72" s="216">
        <v>0</v>
      </c>
      <c r="N72" s="73" t="s">
        <v>40</v>
      </c>
      <c r="O72" s="1"/>
      <c r="P72" s="1"/>
      <c r="Q72" s="3"/>
    </row>
    <row r="73" spans="1:17" customFormat="1" ht="21" x14ac:dyDescent="0.25">
      <c r="A73" s="173" t="s">
        <v>84</v>
      </c>
      <c r="B73" s="174">
        <v>7</v>
      </c>
      <c r="C73" s="135">
        <v>5237</v>
      </c>
      <c r="D73" s="176">
        <f>SUM(E73+F73+G73+J73+K73+L73+M73)</f>
        <v>1652.03</v>
      </c>
      <c r="E73" s="136">
        <v>0</v>
      </c>
      <c r="F73" s="137">
        <v>0</v>
      </c>
      <c r="G73" s="66">
        <v>1652.03</v>
      </c>
      <c r="H73" s="67">
        <v>1652.03</v>
      </c>
      <c r="I73" s="214">
        <f t="shared" si="4"/>
        <v>100</v>
      </c>
      <c r="J73" s="180">
        <v>0</v>
      </c>
      <c r="K73" s="215">
        <v>0</v>
      </c>
      <c r="L73" s="215">
        <v>0</v>
      </c>
      <c r="M73" s="216">
        <v>0</v>
      </c>
      <c r="N73" s="218" t="s">
        <v>20</v>
      </c>
      <c r="O73" s="1"/>
      <c r="P73" s="1"/>
      <c r="Q73" s="3"/>
    </row>
    <row r="74" spans="1:17" customFormat="1" ht="21" x14ac:dyDescent="0.25">
      <c r="A74" s="129" t="s">
        <v>85</v>
      </c>
      <c r="B74" s="61">
        <v>13</v>
      </c>
      <c r="C74" s="217">
        <v>5255</v>
      </c>
      <c r="D74" s="176">
        <f>SUM(E74+F74+G74+J74+K74+L74+M74)</f>
        <v>458</v>
      </c>
      <c r="E74" s="64">
        <v>0</v>
      </c>
      <c r="F74" s="65">
        <v>0</v>
      </c>
      <c r="G74" s="66">
        <v>458</v>
      </c>
      <c r="H74" s="67">
        <v>458</v>
      </c>
      <c r="I74" s="68">
        <f t="shared" si="4"/>
        <v>100</v>
      </c>
      <c r="J74" s="180">
        <v>0</v>
      </c>
      <c r="K74" s="215">
        <v>0</v>
      </c>
      <c r="L74" s="215">
        <v>0</v>
      </c>
      <c r="M74" s="216">
        <v>0</v>
      </c>
      <c r="N74" s="73"/>
      <c r="O74" s="1"/>
      <c r="P74" s="1"/>
      <c r="Q74" s="3"/>
    </row>
    <row r="75" spans="1:17" customFormat="1" ht="15" x14ac:dyDescent="0.25">
      <c r="A75" s="129" t="s">
        <v>86</v>
      </c>
      <c r="B75" s="61">
        <v>13</v>
      </c>
      <c r="C75" s="217">
        <v>5256</v>
      </c>
      <c r="D75" s="63">
        <f>SUM(E75+F75+G75+J75+K75+L75+M75)</f>
        <v>300</v>
      </c>
      <c r="E75" s="64">
        <v>0</v>
      </c>
      <c r="F75" s="65">
        <v>0</v>
      </c>
      <c r="G75" s="66">
        <v>300</v>
      </c>
      <c r="H75" s="67">
        <v>300</v>
      </c>
      <c r="I75" s="68">
        <f t="shared" si="4"/>
        <v>100</v>
      </c>
      <c r="J75" s="69">
        <v>0</v>
      </c>
      <c r="K75" s="76">
        <v>0</v>
      </c>
      <c r="L75" s="76">
        <v>0</v>
      </c>
      <c r="M75" s="77">
        <v>0</v>
      </c>
      <c r="N75" s="73"/>
      <c r="O75" s="1"/>
      <c r="P75" s="1"/>
      <c r="Q75" s="3"/>
    </row>
    <row r="76" spans="1:17" customFormat="1" ht="21" x14ac:dyDescent="0.25">
      <c r="A76" s="129" t="s">
        <v>87</v>
      </c>
      <c r="B76" s="61">
        <v>7</v>
      </c>
      <c r="C76" s="217">
        <v>5260</v>
      </c>
      <c r="D76" s="63">
        <f>SUM(E76+F76+G76+J76+K76+L76+M76)+100</f>
        <v>600</v>
      </c>
      <c r="E76" s="64">
        <v>0</v>
      </c>
      <c r="F76" s="65">
        <v>0</v>
      </c>
      <c r="G76" s="66">
        <v>500</v>
      </c>
      <c r="H76" s="67">
        <v>500</v>
      </c>
      <c r="I76" s="68">
        <f t="shared" si="4"/>
        <v>100</v>
      </c>
      <c r="J76" s="69">
        <v>0</v>
      </c>
      <c r="K76" s="76">
        <v>0</v>
      </c>
      <c r="L76" s="76">
        <v>0</v>
      </c>
      <c r="M76" s="77">
        <v>0</v>
      </c>
      <c r="N76" s="73" t="s">
        <v>40</v>
      </c>
      <c r="O76" s="1"/>
      <c r="P76" s="1"/>
      <c r="Q76" s="3"/>
    </row>
    <row r="77" spans="1:17" customFormat="1" ht="21" x14ac:dyDescent="0.25">
      <c r="A77" s="129" t="s">
        <v>88</v>
      </c>
      <c r="B77" s="61">
        <v>7</v>
      </c>
      <c r="C77" s="217">
        <v>5261</v>
      </c>
      <c r="D77" s="63">
        <f t="shared" ref="D77:D87" si="6">SUM(E77+F77+G77+J77+K77+L77+M77)</f>
        <v>1400</v>
      </c>
      <c r="E77" s="64">
        <v>0</v>
      </c>
      <c r="F77" s="65">
        <v>0</v>
      </c>
      <c r="G77" s="66">
        <v>1400</v>
      </c>
      <c r="H77" s="67">
        <v>1376.98</v>
      </c>
      <c r="I77" s="68">
        <f t="shared" si="4"/>
        <v>98.355714285714285</v>
      </c>
      <c r="J77" s="69">
        <v>0</v>
      </c>
      <c r="K77" s="76">
        <v>0</v>
      </c>
      <c r="L77" s="76">
        <v>0</v>
      </c>
      <c r="M77" s="77">
        <v>0</v>
      </c>
      <c r="N77" s="73" t="s">
        <v>36</v>
      </c>
      <c r="O77" s="1"/>
      <c r="P77" s="1"/>
      <c r="Q77" s="3"/>
    </row>
    <row r="78" spans="1:17" customFormat="1" ht="15" x14ac:dyDescent="0.25">
      <c r="A78" s="129" t="s">
        <v>89</v>
      </c>
      <c r="B78" s="61">
        <v>7</v>
      </c>
      <c r="C78" s="217">
        <v>5262</v>
      </c>
      <c r="D78" s="63">
        <f t="shared" si="6"/>
        <v>1500</v>
      </c>
      <c r="E78" s="64">
        <v>0</v>
      </c>
      <c r="F78" s="65">
        <v>0</v>
      </c>
      <c r="G78" s="66">
        <v>1500</v>
      </c>
      <c r="H78" s="67">
        <v>1333.51</v>
      </c>
      <c r="I78" s="68">
        <f t="shared" si="4"/>
        <v>88.900666666666666</v>
      </c>
      <c r="J78" s="69">
        <v>0</v>
      </c>
      <c r="K78" s="76">
        <v>0</v>
      </c>
      <c r="L78" s="76">
        <v>0</v>
      </c>
      <c r="M78" s="77">
        <v>0</v>
      </c>
      <c r="N78" s="73" t="s">
        <v>36</v>
      </c>
      <c r="O78" s="1"/>
      <c r="P78" s="1"/>
      <c r="Q78" s="3"/>
    </row>
    <row r="79" spans="1:17" customFormat="1" ht="21" x14ac:dyDescent="0.25">
      <c r="A79" s="129" t="s">
        <v>90</v>
      </c>
      <c r="B79" s="61">
        <v>7</v>
      </c>
      <c r="C79" s="217">
        <v>5263</v>
      </c>
      <c r="D79" s="63">
        <f t="shared" si="6"/>
        <v>1959</v>
      </c>
      <c r="E79" s="64">
        <v>0</v>
      </c>
      <c r="F79" s="65">
        <v>0</v>
      </c>
      <c r="G79" s="66">
        <v>1959</v>
      </c>
      <c r="H79" s="67">
        <v>93.17</v>
      </c>
      <c r="I79" s="68">
        <f t="shared" si="4"/>
        <v>4.7559979581419096</v>
      </c>
      <c r="J79" s="69">
        <v>0</v>
      </c>
      <c r="K79" s="76">
        <v>0</v>
      </c>
      <c r="L79" s="76">
        <v>0</v>
      </c>
      <c r="M79" s="77">
        <v>0</v>
      </c>
      <c r="N79" s="73" t="s">
        <v>36</v>
      </c>
      <c r="O79" s="1"/>
      <c r="P79" s="1"/>
      <c r="Q79" s="3"/>
    </row>
    <row r="80" spans="1:17" customFormat="1" ht="21" x14ac:dyDescent="0.25">
      <c r="A80" s="129" t="s">
        <v>91</v>
      </c>
      <c r="B80" s="61">
        <v>7</v>
      </c>
      <c r="C80" s="217">
        <v>5264</v>
      </c>
      <c r="D80" s="63">
        <f t="shared" si="6"/>
        <v>2500</v>
      </c>
      <c r="E80" s="64">
        <v>0</v>
      </c>
      <c r="F80" s="65">
        <v>0</v>
      </c>
      <c r="G80" s="66">
        <v>2500</v>
      </c>
      <c r="H80" s="67">
        <v>2500</v>
      </c>
      <c r="I80" s="68">
        <f t="shared" si="4"/>
        <v>100</v>
      </c>
      <c r="J80" s="69">
        <v>0</v>
      </c>
      <c r="K80" s="76">
        <v>0</v>
      </c>
      <c r="L80" s="76">
        <v>0</v>
      </c>
      <c r="M80" s="77">
        <v>0</v>
      </c>
      <c r="N80" s="73" t="s">
        <v>36</v>
      </c>
      <c r="O80" s="1"/>
      <c r="P80" s="1"/>
      <c r="Q80" s="3"/>
    </row>
    <row r="81" spans="1:17" customFormat="1" ht="15" x14ac:dyDescent="0.25">
      <c r="A81" s="129" t="s">
        <v>92</v>
      </c>
      <c r="B81" s="61">
        <v>7</v>
      </c>
      <c r="C81" s="217">
        <v>5265</v>
      </c>
      <c r="D81" s="63">
        <f t="shared" si="6"/>
        <v>4640</v>
      </c>
      <c r="E81" s="64">
        <v>0</v>
      </c>
      <c r="F81" s="65">
        <v>0</v>
      </c>
      <c r="G81" s="66">
        <v>4640</v>
      </c>
      <c r="H81" s="67">
        <v>0</v>
      </c>
      <c r="I81" s="68">
        <f t="shared" si="4"/>
        <v>0</v>
      </c>
      <c r="J81" s="69">
        <v>0</v>
      </c>
      <c r="K81" s="76">
        <v>0</v>
      </c>
      <c r="L81" s="76">
        <v>0</v>
      </c>
      <c r="M81" s="77">
        <v>0</v>
      </c>
      <c r="N81" s="73" t="s">
        <v>36</v>
      </c>
      <c r="O81" s="1"/>
      <c r="P81" s="1"/>
      <c r="Q81" s="3"/>
    </row>
    <row r="82" spans="1:17" customFormat="1" ht="21" x14ac:dyDescent="0.25">
      <c r="A82" s="129" t="s">
        <v>93</v>
      </c>
      <c r="B82" s="61">
        <v>7</v>
      </c>
      <c r="C82" s="217">
        <v>5266</v>
      </c>
      <c r="D82" s="63">
        <f t="shared" si="6"/>
        <v>1350</v>
      </c>
      <c r="E82" s="64">
        <v>0</v>
      </c>
      <c r="F82" s="65">
        <v>0</v>
      </c>
      <c r="G82" s="66">
        <v>1350</v>
      </c>
      <c r="H82" s="67">
        <v>1350</v>
      </c>
      <c r="I82" s="68">
        <f t="shared" si="4"/>
        <v>100</v>
      </c>
      <c r="J82" s="69">
        <v>0</v>
      </c>
      <c r="K82" s="76">
        <v>0</v>
      </c>
      <c r="L82" s="76">
        <v>0</v>
      </c>
      <c r="M82" s="77">
        <v>0</v>
      </c>
      <c r="N82" s="73" t="s">
        <v>36</v>
      </c>
      <c r="O82" s="1"/>
      <c r="P82" s="1"/>
      <c r="Q82" s="3"/>
    </row>
    <row r="83" spans="1:17" customFormat="1" ht="15" x14ac:dyDescent="0.25">
      <c r="A83" s="129" t="s">
        <v>94</v>
      </c>
      <c r="B83" s="61">
        <v>7</v>
      </c>
      <c r="C83" s="217">
        <v>5267</v>
      </c>
      <c r="D83" s="63">
        <f t="shared" si="6"/>
        <v>1000</v>
      </c>
      <c r="E83" s="64">
        <v>0</v>
      </c>
      <c r="F83" s="65">
        <v>0</v>
      </c>
      <c r="G83" s="66">
        <v>1000</v>
      </c>
      <c r="H83" s="67">
        <v>1000</v>
      </c>
      <c r="I83" s="68">
        <f t="shared" si="4"/>
        <v>100</v>
      </c>
      <c r="J83" s="69">
        <v>0</v>
      </c>
      <c r="K83" s="76">
        <v>0</v>
      </c>
      <c r="L83" s="76">
        <v>0</v>
      </c>
      <c r="M83" s="77">
        <v>0</v>
      </c>
      <c r="N83" s="73" t="s">
        <v>36</v>
      </c>
      <c r="O83" s="1"/>
      <c r="P83" s="1"/>
      <c r="Q83" s="3"/>
    </row>
    <row r="84" spans="1:17" customFormat="1" ht="15" x14ac:dyDescent="0.25">
      <c r="A84" s="129" t="s">
        <v>95</v>
      </c>
      <c r="B84" s="61">
        <v>7</v>
      </c>
      <c r="C84" s="217">
        <v>5268</v>
      </c>
      <c r="D84" s="63">
        <f t="shared" si="6"/>
        <v>401.86</v>
      </c>
      <c r="E84" s="64">
        <v>0</v>
      </c>
      <c r="F84" s="65">
        <v>0</v>
      </c>
      <c r="G84" s="66">
        <v>401.86</v>
      </c>
      <c r="H84" s="67">
        <v>401.86</v>
      </c>
      <c r="I84" s="68">
        <f t="shared" si="4"/>
        <v>100</v>
      </c>
      <c r="J84" s="69">
        <v>0</v>
      </c>
      <c r="K84" s="76">
        <v>0</v>
      </c>
      <c r="L84" s="76">
        <v>0</v>
      </c>
      <c r="M84" s="77">
        <v>0</v>
      </c>
      <c r="N84" s="73" t="s">
        <v>36</v>
      </c>
      <c r="O84" s="1"/>
      <c r="P84" s="1"/>
      <c r="Q84" s="3"/>
    </row>
    <row r="85" spans="1:17" customFormat="1" ht="15" x14ac:dyDescent="0.25">
      <c r="A85" s="129" t="s">
        <v>96</v>
      </c>
      <c r="B85" s="61">
        <v>7</v>
      </c>
      <c r="C85" s="217">
        <v>5269</v>
      </c>
      <c r="D85" s="63">
        <f t="shared" si="6"/>
        <v>386.68</v>
      </c>
      <c r="E85" s="64">
        <v>0</v>
      </c>
      <c r="F85" s="65">
        <v>0</v>
      </c>
      <c r="G85" s="66">
        <v>386.68</v>
      </c>
      <c r="H85" s="67">
        <v>386.68</v>
      </c>
      <c r="I85" s="68">
        <f t="shared" si="4"/>
        <v>100</v>
      </c>
      <c r="J85" s="69">
        <v>0</v>
      </c>
      <c r="K85" s="76">
        <v>0</v>
      </c>
      <c r="L85" s="76">
        <v>0</v>
      </c>
      <c r="M85" s="77">
        <v>0</v>
      </c>
      <c r="N85" s="73" t="s">
        <v>36</v>
      </c>
      <c r="O85" s="1"/>
      <c r="P85" s="1"/>
      <c r="Q85" s="3"/>
    </row>
    <row r="86" spans="1:17" customFormat="1" ht="15" x14ac:dyDescent="0.25">
      <c r="A86" s="129" t="s">
        <v>97</v>
      </c>
      <c r="B86" s="61">
        <v>7</v>
      </c>
      <c r="C86" s="217">
        <v>5270</v>
      </c>
      <c r="D86" s="63">
        <f t="shared" si="6"/>
        <v>1924.9</v>
      </c>
      <c r="E86" s="64">
        <v>0</v>
      </c>
      <c r="F86" s="65">
        <v>0</v>
      </c>
      <c r="G86" s="66">
        <v>1924.9</v>
      </c>
      <c r="H86" s="67">
        <v>1924.9</v>
      </c>
      <c r="I86" s="68">
        <f t="shared" si="4"/>
        <v>100</v>
      </c>
      <c r="J86" s="69">
        <v>0</v>
      </c>
      <c r="K86" s="76">
        <v>0</v>
      </c>
      <c r="L86" s="76">
        <v>0</v>
      </c>
      <c r="M86" s="77">
        <v>0</v>
      </c>
      <c r="N86" s="73" t="s">
        <v>36</v>
      </c>
      <c r="O86" s="1"/>
      <c r="P86" s="1"/>
      <c r="Q86" s="3"/>
    </row>
    <row r="87" spans="1:17" customFormat="1" ht="15" x14ac:dyDescent="0.25">
      <c r="A87" s="129" t="s">
        <v>98</v>
      </c>
      <c r="B87" s="61">
        <v>7</v>
      </c>
      <c r="C87" s="217">
        <v>5272</v>
      </c>
      <c r="D87" s="63">
        <f t="shared" si="6"/>
        <v>3714</v>
      </c>
      <c r="E87" s="64">
        <v>0</v>
      </c>
      <c r="F87" s="65">
        <v>0</v>
      </c>
      <c r="G87" s="66">
        <v>3714</v>
      </c>
      <c r="H87" s="67">
        <v>1735.94</v>
      </c>
      <c r="I87" s="68">
        <f t="shared" si="4"/>
        <v>46.740441572428651</v>
      </c>
      <c r="J87" s="69">
        <v>0</v>
      </c>
      <c r="K87" s="76">
        <v>0</v>
      </c>
      <c r="L87" s="76">
        <v>0</v>
      </c>
      <c r="M87" s="77">
        <v>0</v>
      </c>
      <c r="N87" s="73" t="s">
        <v>36</v>
      </c>
      <c r="O87" s="1"/>
      <c r="P87" s="1"/>
      <c r="Q87" s="3"/>
    </row>
    <row r="88" spans="1:17" customFormat="1" ht="21" x14ac:dyDescent="0.25">
      <c r="A88" s="129" t="s">
        <v>99</v>
      </c>
      <c r="B88" s="61">
        <v>7</v>
      </c>
      <c r="C88" s="217">
        <v>5273</v>
      </c>
      <c r="D88" s="63">
        <f>SUM(E88+F88+G88+J88+K88+L88+M88)+300</f>
        <v>2237.77</v>
      </c>
      <c r="E88" s="64">
        <v>0</v>
      </c>
      <c r="F88" s="65">
        <v>0</v>
      </c>
      <c r="G88" s="66">
        <v>1937.77</v>
      </c>
      <c r="H88" s="67">
        <v>1937.77</v>
      </c>
      <c r="I88" s="68">
        <f t="shared" si="4"/>
        <v>100</v>
      </c>
      <c r="J88" s="69">
        <v>0</v>
      </c>
      <c r="K88" s="76">
        <v>0</v>
      </c>
      <c r="L88" s="76">
        <v>0</v>
      </c>
      <c r="M88" s="77">
        <v>0</v>
      </c>
      <c r="N88" s="73" t="s">
        <v>40</v>
      </c>
      <c r="O88" s="1"/>
      <c r="P88" s="1"/>
      <c r="Q88" s="3"/>
    </row>
    <row r="89" spans="1:17" customFormat="1" ht="21" x14ac:dyDescent="0.25">
      <c r="A89" s="129" t="s">
        <v>100</v>
      </c>
      <c r="B89" s="61">
        <v>7</v>
      </c>
      <c r="C89" s="217">
        <v>5274</v>
      </c>
      <c r="D89" s="63">
        <f>SUM(E89+F89+G89+J89+K89+L89+M89)+200</f>
        <v>1196.3899999999999</v>
      </c>
      <c r="E89" s="64">
        <v>0</v>
      </c>
      <c r="F89" s="65">
        <v>0</v>
      </c>
      <c r="G89" s="66">
        <v>996.39</v>
      </c>
      <c r="H89" s="67">
        <v>996.39</v>
      </c>
      <c r="I89" s="68">
        <f t="shared" si="4"/>
        <v>100</v>
      </c>
      <c r="J89" s="69">
        <v>0</v>
      </c>
      <c r="K89" s="76">
        <v>0</v>
      </c>
      <c r="L89" s="76">
        <v>0</v>
      </c>
      <c r="M89" s="77">
        <v>0</v>
      </c>
      <c r="N89" s="73" t="s">
        <v>40</v>
      </c>
      <c r="O89" s="1"/>
      <c r="P89" s="1"/>
      <c r="Q89" s="3"/>
    </row>
    <row r="90" spans="1:17" customFormat="1" ht="21" x14ac:dyDescent="0.25">
      <c r="A90" s="129" t="s">
        <v>101</v>
      </c>
      <c r="B90" s="61">
        <v>7</v>
      </c>
      <c r="C90" s="217">
        <v>5275</v>
      </c>
      <c r="D90" s="63">
        <f t="shared" ref="D90:D99" si="7">SUM(E90+F90+G90+J90+K90+L90+M90)</f>
        <v>3133</v>
      </c>
      <c r="E90" s="64">
        <v>0</v>
      </c>
      <c r="F90" s="65">
        <v>0</v>
      </c>
      <c r="G90" s="66">
        <v>3133</v>
      </c>
      <c r="H90" s="67">
        <v>1540.29</v>
      </c>
      <c r="I90" s="68">
        <f t="shared" si="4"/>
        <v>49.163421640600063</v>
      </c>
      <c r="J90" s="69">
        <v>0</v>
      </c>
      <c r="K90" s="76">
        <v>0</v>
      </c>
      <c r="L90" s="76">
        <v>0</v>
      </c>
      <c r="M90" s="77">
        <v>0</v>
      </c>
      <c r="N90" s="73" t="s">
        <v>36</v>
      </c>
      <c r="O90" s="1"/>
      <c r="P90" s="1"/>
      <c r="Q90" s="3"/>
    </row>
    <row r="91" spans="1:17" customFormat="1" ht="21" x14ac:dyDescent="0.25">
      <c r="A91" s="129" t="s">
        <v>102</v>
      </c>
      <c r="B91" s="61">
        <v>7</v>
      </c>
      <c r="C91" s="217">
        <v>5276</v>
      </c>
      <c r="D91" s="63">
        <f t="shared" si="7"/>
        <v>799.5</v>
      </c>
      <c r="E91" s="136">
        <v>0</v>
      </c>
      <c r="F91" s="137">
        <v>0</v>
      </c>
      <c r="G91" s="66">
        <v>799.5</v>
      </c>
      <c r="H91" s="67">
        <v>799.5</v>
      </c>
      <c r="I91" s="68">
        <f t="shared" si="4"/>
        <v>100</v>
      </c>
      <c r="J91" s="180">
        <v>0</v>
      </c>
      <c r="K91" s="215">
        <v>0</v>
      </c>
      <c r="L91" s="215">
        <v>0</v>
      </c>
      <c r="M91" s="216">
        <v>0</v>
      </c>
      <c r="N91" s="73" t="s">
        <v>36</v>
      </c>
      <c r="O91" s="1"/>
      <c r="P91" s="1"/>
      <c r="Q91" s="3"/>
    </row>
    <row r="92" spans="1:17" customFormat="1" ht="21" x14ac:dyDescent="0.25">
      <c r="A92" s="129" t="s">
        <v>103</v>
      </c>
      <c r="B92" s="61">
        <v>7</v>
      </c>
      <c r="C92" s="217">
        <v>5280</v>
      </c>
      <c r="D92" s="63">
        <f t="shared" si="7"/>
        <v>2100</v>
      </c>
      <c r="E92" s="136">
        <v>0</v>
      </c>
      <c r="F92" s="137">
        <v>0</v>
      </c>
      <c r="G92" s="66">
        <v>2100</v>
      </c>
      <c r="H92" s="67">
        <v>2100</v>
      </c>
      <c r="I92" s="68">
        <f t="shared" si="4"/>
        <v>100</v>
      </c>
      <c r="J92" s="180">
        <v>0</v>
      </c>
      <c r="K92" s="215">
        <v>0</v>
      </c>
      <c r="L92" s="215">
        <v>0</v>
      </c>
      <c r="M92" s="216">
        <v>0</v>
      </c>
      <c r="N92" s="73" t="s">
        <v>36</v>
      </c>
      <c r="O92" s="1"/>
      <c r="P92" s="1"/>
      <c r="Q92" s="3"/>
    </row>
    <row r="93" spans="1:17" customFormat="1" ht="21" x14ac:dyDescent="0.25">
      <c r="A93" s="129" t="s">
        <v>104</v>
      </c>
      <c r="B93" s="61">
        <v>7</v>
      </c>
      <c r="C93" s="217">
        <v>5281</v>
      </c>
      <c r="D93" s="63">
        <f t="shared" si="7"/>
        <v>3250</v>
      </c>
      <c r="E93" s="136">
        <v>0</v>
      </c>
      <c r="F93" s="137">
        <v>0</v>
      </c>
      <c r="G93" s="66">
        <v>3250</v>
      </c>
      <c r="H93" s="67">
        <v>108</v>
      </c>
      <c r="I93" s="68">
        <f t="shared" si="4"/>
        <v>3.3230769230769228</v>
      </c>
      <c r="J93" s="180">
        <v>0</v>
      </c>
      <c r="K93" s="215">
        <v>0</v>
      </c>
      <c r="L93" s="215">
        <v>0</v>
      </c>
      <c r="M93" s="216">
        <v>0</v>
      </c>
      <c r="N93" s="73" t="s">
        <v>36</v>
      </c>
      <c r="O93" s="1"/>
      <c r="P93" s="1"/>
      <c r="Q93" s="3"/>
    </row>
    <row r="94" spans="1:17" customFormat="1" ht="15" x14ac:dyDescent="0.25">
      <c r="A94" s="129" t="s">
        <v>105</v>
      </c>
      <c r="B94" s="61">
        <v>13</v>
      </c>
      <c r="C94" s="217">
        <v>5282</v>
      </c>
      <c r="D94" s="63">
        <f t="shared" si="7"/>
        <v>220</v>
      </c>
      <c r="E94" s="136">
        <v>0</v>
      </c>
      <c r="F94" s="137">
        <v>0</v>
      </c>
      <c r="G94" s="66">
        <v>220</v>
      </c>
      <c r="H94" s="67">
        <v>220</v>
      </c>
      <c r="I94" s="68">
        <f t="shared" si="4"/>
        <v>100</v>
      </c>
      <c r="J94" s="180">
        <v>0</v>
      </c>
      <c r="K94" s="215">
        <v>0</v>
      </c>
      <c r="L94" s="215">
        <v>0</v>
      </c>
      <c r="M94" s="216">
        <v>0</v>
      </c>
      <c r="N94" s="73" t="s">
        <v>36</v>
      </c>
      <c r="O94" s="1"/>
      <c r="P94" s="1"/>
      <c r="Q94" s="3"/>
    </row>
    <row r="95" spans="1:17" customFormat="1" ht="15" x14ac:dyDescent="0.25">
      <c r="A95" s="173" t="s">
        <v>106</v>
      </c>
      <c r="B95" s="174">
        <v>7</v>
      </c>
      <c r="C95" s="135">
        <v>5283</v>
      </c>
      <c r="D95" s="63">
        <f t="shared" si="7"/>
        <v>100</v>
      </c>
      <c r="E95" s="136">
        <v>0</v>
      </c>
      <c r="F95" s="137">
        <v>0</v>
      </c>
      <c r="G95" s="66">
        <v>100</v>
      </c>
      <c r="H95" s="67">
        <v>100</v>
      </c>
      <c r="I95" s="68">
        <f t="shared" si="4"/>
        <v>100</v>
      </c>
      <c r="J95" s="180">
        <v>0</v>
      </c>
      <c r="K95" s="215">
        <v>0</v>
      </c>
      <c r="L95" s="215">
        <v>0</v>
      </c>
      <c r="M95" s="216">
        <v>0</v>
      </c>
      <c r="N95" s="73" t="s">
        <v>36</v>
      </c>
      <c r="O95" s="1"/>
      <c r="P95" s="1"/>
      <c r="Q95" s="3"/>
    </row>
    <row r="96" spans="1:17" customFormat="1" ht="15" x14ac:dyDescent="0.25">
      <c r="A96" s="173" t="s">
        <v>107</v>
      </c>
      <c r="B96" s="174">
        <v>7</v>
      </c>
      <c r="C96" s="135">
        <v>5284</v>
      </c>
      <c r="D96" s="63">
        <f t="shared" si="7"/>
        <v>1500</v>
      </c>
      <c r="E96" s="136">
        <v>0</v>
      </c>
      <c r="F96" s="137">
        <v>0</v>
      </c>
      <c r="G96" s="66">
        <v>1500</v>
      </c>
      <c r="H96" s="67">
        <v>1500</v>
      </c>
      <c r="I96" s="68">
        <f t="shared" si="4"/>
        <v>100</v>
      </c>
      <c r="J96" s="180">
        <v>0</v>
      </c>
      <c r="K96" s="215">
        <v>0</v>
      </c>
      <c r="L96" s="215">
        <v>0</v>
      </c>
      <c r="M96" s="216">
        <v>0</v>
      </c>
      <c r="N96" s="73" t="s">
        <v>36</v>
      </c>
      <c r="O96" s="1"/>
      <c r="P96" s="1"/>
      <c r="Q96" s="3"/>
    </row>
    <row r="97" spans="1:17" customFormat="1" ht="21" x14ac:dyDescent="0.25">
      <c r="A97" s="173" t="s">
        <v>108</v>
      </c>
      <c r="B97" s="174">
        <v>7</v>
      </c>
      <c r="C97" s="135">
        <v>5285</v>
      </c>
      <c r="D97" s="63">
        <f t="shared" si="7"/>
        <v>1100</v>
      </c>
      <c r="E97" s="136">
        <v>0</v>
      </c>
      <c r="F97" s="137">
        <v>0</v>
      </c>
      <c r="G97" s="66">
        <v>1100</v>
      </c>
      <c r="H97" s="67">
        <v>1100</v>
      </c>
      <c r="I97" s="68">
        <f t="shared" si="4"/>
        <v>100</v>
      </c>
      <c r="J97" s="180">
        <v>0</v>
      </c>
      <c r="K97" s="215">
        <v>0</v>
      </c>
      <c r="L97" s="215">
        <v>0</v>
      </c>
      <c r="M97" s="216">
        <v>0</v>
      </c>
      <c r="N97" s="73" t="s">
        <v>36</v>
      </c>
      <c r="O97" s="1"/>
      <c r="P97" s="1"/>
      <c r="Q97" s="3"/>
    </row>
    <row r="98" spans="1:17" customFormat="1" ht="21" x14ac:dyDescent="0.25">
      <c r="A98" s="173" t="s">
        <v>109</v>
      </c>
      <c r="B98" s="174">
        <v>7</v>
      </c>
      <c r="C98" s="135">
        <v>5286</v>
      </c>
      <c r="D98" s="63">
        <f t="shared" si="7"/>
        <v>200</v>
      </c>
      <c r="E98" s="136">
        <v>0</v>
      </c>
      <c r="F98" s="137">
        <v>0</v>
      </c>
      <c r="G98" s="66">
        <v>200</v>
      </c>
      <c r="H98" s="67">
        <v>7.82</v>
      </c>
      <c r="I98" s="68">
        <f t="shared" si="4"/>
        <v>3.91</v>
      </c>
      <c r="J98" s="180">
        <v>0</v>
      </c>
      <c r="K98" s="215">
        <v>0</v>
      </c>
      <c r="L98" s="215">
        <v>0</v>
      </c>
      <c r="M98" s="216">
        <v>0</v>
      </c>
      <c r="N98" s="73" t="s">
        <v>36</v>
      </c>
      <c r="O98" s="1"/>
      <c r="P98" s="1"/>
      <c r="Q98" s="3"/>
    </row>
    <row r="99" spans="1:17" customFormat="1" ht="21" x14ac:dyDescent="0.25">
      <c r="A99" s="173" t="s">
        <v>110</v>
      </c>
      <c r="B99" s="174">
        <v>7</v>
      </c>
      <c r="C99" s="135">
        <v>5287</v>
      </c>
      <c r="D99" s="63">
        <f t="shared" si="7"/>
        <v>1039</v>
      </c>
      <c r="E99" s="136">
        <v>0</v>
      </c>
      <c r="F99" s="137">
        <v>0</v>
      </c>
      <c r="G99" s="66">
        <v>1039</v>
      </c>
      <c r="H99" s="67">
        <v>0</v>
      </c>
      <c r="I99" s="68">
        <f t="shared" si="4"/>
        <v>0</v>
      </c>
      <c r="J99" s="180">
        <v>0</v>
      </c>
      <c r="K99" s="215">
        <v>0</v>
      </c>
      <c r="L99" s="215">
        <v>0</v>
      </c>
      <c r="M99" s="216">
        <v>0</v>
      </c>
      <c r="N99" s="73" t="s">
        <v>36</v>
      </c>
      <c r="O99" s="1"/>
      <c r="P99" s="1"/>
      <c r="Q99" s="3"/>
    </row>
    <row r="100" spans="1:17" customFormat="1" ht="21" x14ac:dyDescent="0.25">
      <c r="A100" s="173" t="s">
        <v>111</v>
      </c>
      <c r="B100" s="174">
        <v>7</v>
      </c>
      <c r="C100" s="135">
        <v>5289</v>
      </c>
      <c r="D100" s="63">
        <f>SUM(E100+F100+G100+J100+K100+L100+M100)+470</f>
        <v>720</v>
      </c>
      <c r="E100" s="136">
        <v>0</v>
      </c>
      <c r="F100" s="137">
        <v>0</v>
      </c>
      <c r="G100" s="66">
        <v>250</v>
      </c>
      <c r="H100" s="67">
        <v>0</v>
      </c>
      <c r="I100" s="68">
        <f t="shared" si="4"/>
        <v>0</v>
      </c>
      <c r="J100" s="180">
        <v>0</v>
      </c>
      <c r="K100" s="215">
        <v>0</v>
      </c>
      <c r="L100" s="215">
        <v>0</v>
      </c>
      <c r="M100" s="216">
        <v>0</v>
      </c>
      <c r="N100" s="73" t="s">
        <v>40</v>
      </c>
      <c r="O100" s="1"/>
      <c r="P100" s="1"/>
      <c r="Q100" s="3"/>
    </row>
    <row r="101" spans="1:17" customFormat="1" ht="21" x14ac:dyDescent="0.25">
      <c r="A101" s="173" t="s">
        <v>112</v>
      </c>
      <c r="B101" s="174">
        <v>7</v>
      </c>
      <c r="C101" s="135">
        <v>5290</v>
      </c>
      <c r="D101" s="63">
        <f>SUM(E101+F101+G101+J101+K101+L101+M101)</f>
        <v>750</v>
      </c>
      <c r="E101" s="136">
        <v>0</v>
      </c>
      <c r="F101" s="137">
        <v>0</v>
      </c>
      <c r="G101" s="66">
        <v>750</v>
      </c>
      <c r="H101" s="67">
        <v>483.97</v>
      </c>
      <c r="I101" s="68">
        <f t="shared" si="4"/>
        <v>64.529333333333341</v>
      </c>
      <c r="J101" s="180">
        <v>0</v>
      </c>
      <c r="K101" s="215">
        <v>0</v>
      </c>
      <c r="L101" s="215">
        <v>0</v>
      </c>
      <c r="M101" s="216">
        <v>0</v>
      </c>
      <c r="N101" s="73" t="s">
        <v>36</v>
      </c>
      <c r="O101" s="1"/>
      <c r="P101" s="1"/>
      <c r="Q101" s="3"/>
    </row>
    <row r="102" spans="1:17" customFormat="1" ht="15" x14ac:dyDescent="0.25">
      <c r="A102" s="173" t="s">
        <v>113</v>
      </c>
      <c r="B102" s="174">
        <v>7</v>
      </c>
      <c r="C102" s="135">
        <v>5291</v>
      </c>
      <c r="D102" s="63">
        <f>SUM(E102+F102+G102+J102+K102+L102+M102)</f>
        <v>1650</v>
      </c>
      <c r="E102" s="136">
        <v>0</v>
      </c>
      <c r="F102" s="137">
        <v>0</v>
      </c>
      <c r="G102" s="66">
        <v>1650</v>
      </c>
      <c r="H102" s="67">
        <v>0</v>
      </c>
      <c r="I102" s="68">
        <f t="shared" si="4"/>
        <v>0</v>
      </c>
      <c r="J102" s="180">
        <v>0</v>
      </c>
      <c r="K102" s="215">
        <v>0</v>
      </c>
      <c r="L102" s="215">
        <v>0</v>
      </c>
      <c r="M102" s="216">
        <v>0</v>
      </c>
      <c r="N102" s="73" t="s">
        <v>36</v>
      </c>
      <c r="O102" s="1"/>
      <c r="P102" s="1"/>
      <c r="Q102" s="3"/>
    </row>
    <row r="103" spans="1:17" customFormat="1" ht="15" x14ac:dyDescent="0.25">
      <c r="A103" s="173" t="s">
        <v>114</v>
      </c>
      <c r="B103" s="174">
        <v>7</v>
      </c>
      <c r="C103" s="135">
        <v>5292</v>
      </c>
      <c r="D103" s="63">
        <f>SUM(E103+F103+G103+J103+K103+L103+M103)</f>
        <v>1000</v>
      </c>
      <c r="E103" s="136">
        <v>0</v>
      </c>
      <c r="F103" s="137">
        <v>0</v>
      </c>
      <c r="G103" s="66">
        <v>1000</v>
      </c>
      <c r="H103" s="67">
        <v>20</v>
      </c>
      <c r="I103" s="68">
        <f t="shared" si="4"/>
        <v>2</v>
      </c>
      <c r="J103" s="180">
        <v>0</v>
      </c>
      <c r="K103" s="215">
        <v>0</v>
      </c>
      <c r="L103" s="215">
        <v>0</v>
      </c>
      <c r="M103" s="216">
        <v>0</v>
      </c>
      <c r="N103" s="73" t="s">
        <v>36</v>
      </c>
      <c r="O103" s="1"/>
      <c r="P103" s="1"/>
      <c r="Q103" s="3"/>
    </row>
    <row r="104" spans="1:17" customFormat="1" ht="21" x14ac:dyDescent="0.25">
      <c r="A104" s="173" t="s">
        <v>115</v>
      </c>
      <c r="B104" s="174">
        <v>7</v>
      </c>
      <c r="C104" s="135">
        <v>5293</v>
      </c>
      <c r="D104" s="63">
        <f>SUM(E104+F104+G104+J104+K104+L104+M104)+250</f>
        <v>600</v>
      </c>
      <c r="E104" s="136">
        <v>0</v>
      </c>
      <c r="F104" s="137">
        <v>0</v>
      </c>
      <c r="G104" s="66">
        <v>350</v>
      </c>
      <c r="H104" s="67">
        <v>350</v>
      </c>
      <c r="I104" s="68">
        <f t="shared" si="4"/>
        <v>100</v>
      </c>
      <c r="J104" s="180">
        <v>0</v>
      </c>
      <c r="K104" s="215">
        <v>0</v>
      </c>
      <c r="L104" s="215">
        <v>0</v>
      </c>
      <c r="M104" s="216">
        <v>0</v>
      </c>
      <c r="N104" s="73" t="s">
        <v>40</v>
      </c>
      <c r="O104" s="1"/>
      <c r="P104" s="1"/>
      <c r="Q104" s="3"/>
    </row>
    <row r="105" spans="1:17" customFormat="1" ht="15" x14ac:dyDescent="0.25">
      <c r="A105" s="173" t="s">
        <v>116</v>
      </c>
      <c r="B105" s="174">
        <v>7</v>
      </c>
      <c r="C105" s="135">
        <v>5294</v>
      </c>
      <c r="D105" s="63">
        <f t="shared" ref="D105:D111" si="8">SUM(E105+F105+G105+J105+K105+L105+M105)</f>
        <v>120</v>
      </c>
      <c r="E105" s="136">
        <v>0</v>
      </c>
      <c r="F105" s="137">
        <v>0</v>
      </c>
      <c r="G105" s="66">
        <v>120</v>
      </c>
      <c r="H105" s="67">
        <v>119.99</v>
      </c>
      <c r="I105" s="68">
        <f t="shared" si="4"/>
        <v>99.991666666666674</v>
      </c>
      <c r="J105" s="180">
        <v>0</v>
      </c>
      <c r="K105" s="215">
        <v>0</v>
      </c>
      <c r="L105" s="215">
        <v>0</v>
      </c>
      <c r="M105" s="216">
        <v>0</v>
      </c>
      <c r="N105" s="73" t="s">
        <v>36</v>
      </c>
      <c r="O105" s="1"/>
      <c r="P105" s="1"/>
      <c r="Q105" s="3"/>
    </row>
    <row r="106" spans="1:17" customFormat="1" ht="21" x14ac:dyDescent="0.25">
      <c r="A106" s="173" t="s">
        <v>117</v>
      </c>
      <c r="B106" s="174">
        <v>13</v>
      </c>
      <c r="C106" s="135">
        <v>5295</v>
      </c>
      <c r="D106" s="63">
        <f t="shared" si="8"/>
        <v>300</v>
      </c>
      <c r="E106" s="136">
        <v>0</v>
      </c>
      <c r="F106" s="137">
        <v>0</v>
      </c>
      <c r="G106" s="66">
        <v>300</v>
      </c>
      <c r="H106" s="67">
        <v>0</v>
      </c>
      <c r="I106" s="68">
        <f t="shared" si="4"/>
        <v>0</v>
      </c>
      <c r="J106" s="180">
        <v>0</v>
      </c>
      <c r="K106" s="215">
        <v>0</v>
      </c>
      <c r="L106" s="215">
        <v>0</v>
      </c>
      <c r="M106" s="216">
        <v>0</v>
      </c>
      <c r="N106" s="73" t="s">
        <v>36</v>
      </c>
      <c r="O106" s="1"/>
      <c r="P106" s="1"/>
      <c r="Q106" s="3"/>
    </row>
    <row r="107" spans="1:17" customFormat="1" ht="15" x14ac:dyDescent="0.25">
      <c r="A107" s="173" t="s">
        <v>118</v>
      </c>
      <c r="B107" s="174">
        <v>13</v>
      </c>
      <c r="C107" s="135">
        <v>5296</v>
      </c>
      <c r="D107" s="63">
        <f t="shared" si="8"/>
        <v>350</v>
      </c>
      <c r="E107" s="136">
        <v>0</v>
      </c>
      <c r="F107" s="137">
        <v>0</v>
      </c>
      <c r="G107" s="66">
        <v>350</v>
      </c>
      <c r="H107" s="67">
        <v>350</v>
      </c>
      <c r="I107" s="68">
        <f t="shared" si="4"/>
        <v>100</v>
      </c>
      <c r="J107" s="180">
        <v>0</v>
      </c>
      <c r="K107" s="215">
        <v>0</v>
      </c>
      <c r="L107" s="215">
        <v>0</v>
      </c>
      <c r="M107" s="216">
        <v>0</v>
      </c>
      <c r="N107" s="73" t="s">
        <v>36</v>
      </c>
      <c r="O107" s="1"/>
      <c r="P107" s="1"/>
      <c r="Q107" s="3"/>
    </row>
    <row r="108" spans="1:17" customFormat="1" ht="21" x14ac:dyDescent="0.25">
      <c r="A108" s="173" t="s">
        <v>119</v>
      </c>
      <c r="B108" s="174">
        <v>13</v>
      </c>
      <c r="C108" s="135">
        <v>5297</v>
      </c>
      <c r="D108" s="63">
        <f t="shared" si="8"/>
        <v>260</v>
      </c>
      <c r="E108" s="136">
        <v>0</v>
      </c>
      <c r="F108" s="137">
        <v>0</v>
      </c>
      <c r="G108" s="66">
        <v>260</v>
      </c>
      <c r="H108" s="67">
        <v>260</v>
      </c>
      <c r="I108" s="68">
        <f t="shared" si="4"/>
        <v>100</v>
      </c>
      <c r="J108" s="180">
        <v>0</v>
      </c>
      <c r="K108" s="215">
        <v>0</v>
      </c>
      <c r="L108" s="215">
        <v>0</v>
      </c>
      <c r="M108" s="216">
        <v>0</v>
      </c>
      <c r="N108" s="73" t="s">
        <v>36</v>
      </c>
      <c r="O108" s="1"/>
      <c r="P108" s="1"/>
      <c r="Q108" s="3"/>
    </row>
    <row r="109" spans="1:17" customFormat="1" ht="15" x14ac:dyDescent="0.25">
      <c r="A109" s="173" t="s">
        <v>120</v>
      </c>
      <c r="B109" s="174">
        <v>13</v>
      </c>
      <c r="C109" s="135">
        <v>5298</v>
      </c>
      <c r="D109" s="63">
        <f t="shared" si="8"/>
        <v>200</v>
      </c>
      <c r="E109" s="136">
        <v>0</v>
      </c>
      <c r="F109" s="137">
        <v>0</v>
      </c>
      <c r="G109" s="66">
        <v>200</v>
      </c>
      <c r="H109" s="67">
        <v>200</v>
      </c>
      <c r="I109" s="68">
        <f t="shared" si="4"/>
        <v>100</v>
      </c>
      <c r="J109" s="180">
        <v>0</v>
      </c>
      <c r="K109" s="215">
        <v>0</v>
      </c>
      <c r="L109" s="215">
        <v>0</v>
      </c>
      <c r="M109" s="216">
        <v>0</v>
      </c>
      <c r="N109" s="73" t="s">
        <v>36</v>
      </c>
      <c r="O109" s="1"/>
      <c r="P109" s="1"/>
      <c r="Q109" s="3"/>
    </row>
    <row r="110" spans="1:17" customFormat="1" ht="15" x14ac:dyDescent="0.25">
      <c r="A110" s="173" t="s">
        <v>121</v>
      </c>
      <c r="B110" s="174">
        <v>13</v>
      </c>
      <c r="C110" s="135">
        <v>5299</v>
      </c>
      <c r="D110" s="63">
        <f t="shared" si="8"/>
        <v>400</v>
      </c>
      <c r="E110" s="136">
        <v>0</v>
      </c>
      <c r="F110" s="137">
        <v>0</v>
      </c>
      <c r="G110" s="66">
        <v>400</v>
      </c>
      <c r="H110" s="67">
        <v>0</v>
      </c>
      <c r="I110" s="68">
        <f t="shared" si="4"/>
        <v>0</v>
      </c>
      <c r="J110" s="180">
        <v>0</v>
      </c>
      <c r="K110" s="215">
        <v>0</v>
      </c>
      <c r="L110" s="215">
        <v>0</v>
      </c>
      <c r="M110" s="216">
        <v>0</v>
      </c>
      <c r="N110" s="73" t="s">
        <v>36</v>
      </c>
      <c r="O110" s="1"/>
      <c r="P110" s="1"/>
      <c r="Q110" s="3"/>
    </row>
    <row r="111" spans="1:17" customFormat="1" ht="15" x14ac:dyDescent="0.25">
      <c r="A111" s="173" t="s">
        <v>122</v>
      </c>
      <c r="B111" s="174">
        <v>13</v>
      </c>
      <c r="C111" s="135">
        <v>5300</v>
      </c>
      <c r="D111" s="63">
        <f t="shared" si="8"/>
        <v>100</v>
      </c>
      <c r="E111" s="136">
        <v>0</v>
      </c>
      <c r="F111" s="137">
        <v>0</v>
      </c>
      <c r="G111" s="66">
        <v>100</v>
      </c>
      <c r="H111" s="67">
        <v>0</v>
      </c>
      <c r="I111" s="68">
        <f t="shared" si="4"/>
        <v>0</v>
      </c>
      <c r="J111" s="180">
        <v>0</v>
      </c>
      <c r="K111" s="215">
        <v>0</v>
      </c>
      <c r="L111" s="215">
        <v>0</v>
      </c>
      <c r="M111" s="216">
        <v>0</v>
      </c>
      <c r="N111" s="73" t="s">
        <v>36</v>
      </c>
      <c r="O111" s="1"/>
      <c r="P111" s="1"/>
      <c r="Q111" s="3"/>
    </row>
    <row r="112" spans="1:17" customFormat="1" ht="21" x14ac:dyDescent="0.25">
      <c r="A112" s="173" t="s">
        <v>123</v>
      </c>
      <c r="B112" s="174">
        <v>7</v>
      </c>
      <c r="C112" s="135">
        <v>5302</v>
      </c>
      <c r="D112" s="63">
        <f>SUM(E112+F112+G112+J112+K112+L112+M112)+500</f>
        <v>1100</v>
      </c>
      <c r="E112" s="136">
        <v>0</v>
      </c>
      <c r="F112" s="137">
        <v>0</v>
      </c>
      <c r="G112" s="66">
        <v>600</v>
      </c>
      <c r="H112" s="67">
        <v>0</v>
      </c>
      <c r="I112" s="68">
        <f t="shared" si="4"/>
        <v>0</v>
      </c>
      <c r="J112" s="180">
        <v>0</v>
      </c>
      <c r="K112" s="215">
        <v>0</v>
      </c>
      <c r="L112" s="215">
        <v>0</v>
      </c>
      <c r="M112" s="216">
        <v>0</v>
      </c>
      <c r="N112" s="73" t="s">
        <v>40</v>
      </c>
      <c r="O112" s="1"/>
      <c r="P112" s="1"/>
      <c r="Q112" s="3"/>
    </row>
    <row r="113" spans="1:17" customFormat="1" ht="21" x14ac:dyDescent="0.25">
      <c r="A113" s="173" t="s">
        <v>124</v>
      </c>
      <c r="B113" s="174">
        <v>7</v>
      </c>
      <c r="C113" s="135">
        <v>5303</v>
      </c>
      <c r="D113" s="63">
        <f t="shared" ref="D113:D118" si="9">SUM(E113+F113+G113+J113+K113+L113+M113)</f>
        <v>1000</v>
      </c>
      <c r="E113" s="136">
        <v>0</v>
      </c>
      <c r="F113" s="137">
        <v>0</v>
      </c>
      <c r="G113" s="66">
        <v>1000</v>
      </c>
      <c r="H113" s="67">
        <v>0</v>
      </c>
      <c r="I113" s="68">
        <f t="shared" ref="I113:I119" si="10">H113/G113*100</f>
        <v>0</v>
      </c>
      <c r="J113" s="180">
        <v>0</v>
      </c>
      <c r="K113" s="215">
        <v>0</v>
      </c>
      <c r="L113" s="215">
        <v>0</v>
      </c>
      <c r="M113" s="216">
        <v>0</v>
      </c>
      <c r="N113" s="73" t="s">
        <v>36</v>
      </c>
      <c r="O113" s="1"/>
      <c r="P113" s="1"/>
      <c r="Q113" s="3"/>
    </row>
    <row r="114" spans="1:17" customFormat="1" ht="21" x14ac:dyDescent="0.25">
      <c r="A114" s="173" t="s">
        <v>125</v>
      </c>
      <c r="B114" s="174">
        <v>7</v>
      </c>
      <c r="C114" s="135">
        <v>5304</v>
      </c>
      <c r="D114" s="63">
        <f t="shared" si="9"/>
        <v>2000</v>
      </c>
      <c r="E114" s="136">
        <v>0</v>
      </c>
      <c r="F114" s="137">
        <v>0</v>
      </c>
      <c r="G114" s="66">
        <v>2000</v>
      </c>
      <c r="H114" s="67">
        <v>0</v>
      </c>
      <c r="I114" s="68">
        <f t="shared" si="10"/>
        <v>0</v>
      </c>
      <c r="J114" s="180">
        <v>0</v>
      </c>
      <c r="K114" s="215">
        <v>0</v>
      </c>
      <c r="L114" s="215">
        <v>0</v>
      </c>
      <c r="M114" s="216">
        <v>0</v>
      </c>
      <c r="N114" s="73" t="s">
        <v>36</v>
      </c>
      <c r="O114" s="1"/>
      <c r="P114" s="1"/>
      <c r="Q114" s="3"/>
    </row>
    <row r="115" spans="1:17" customFormat="1" ht="21" x14ac:dyDescent="0.25">
      <c r="A115" s="173" t="s">
        <v>126</v>
      </c>
      <c r="B115" s="174">
        <v>7</v>
      </c>
      <c r="C115" s="135">
        <v>5305</v>
      </c>
      <c r="D115" s="63">
        <f t="shared" si="9"/>
        <v>500</v>
      </c>
      <c r="E115" s="136">
        <v>0</v>
      </c>
      <c r="F115" s="137">
        <v>0</v>
      </c>
      <c r="G115" s="66">
        <v>500</v>
      </c>
      <c r="H115" s="67">
        <v>0</v>
      </c>
      <c r="I115" s="68">
        <f t="shared" si="10"/>
        <v>0</v>
      </c>
      <c r="J115" s="180">
        <v>0</v>
      </c>
      <c r="K115" s="215">
        <v>0</v>
      </c>
      <c r="L115" s="215">
        <v>0</v>
      </c>
      <c r="M115" s="216">
        <v>0</v>
      </c>
      <c r="N115" s="73" t="s">
        <v>36</v>
      </c>
      <c r="O115" s="1"/>
      <c r="P115" s="1"/>
      <c r="Q115" s="3"/>
    </row>
    <row r="116" spans="1:17" customFormat="1" ht="21" x14ac:dyDescent="0.25">
      <c r="A116" s="173" t="s">
        <v>127</v>
      </c>
      <c r="B116" s="174">
        <v>13</v>
      </c>
      <c r="C116" s="135">
        <v>5308</v>
      </c>
      <c r="D116" s="63">
        <f t="shared" si="9"/>
        <v>250</v>
      </c>
      <c r="E116" s="136">
        <v>0</v>
      </c>
      <c r="F116" s="137">
        <v>0</v>
      </c>
      <c r="G116" s="66">
        <v>250</v>
      </c>
      <c r="H116" s="67">
        <v>0</v>
      </c>
      <c r="I116" s="68">
        <f t="shared" si="10"/>
        <v>0</v>
      </c>
      <c r="J116" s="180">
        <v>0</v>
      </c>
      <c r="K116" s="215">
        <v>0</v>
      </c>
      <c r="L116" s="215">
        <v>0</v>
      </c>
      <c r="M116" s="216">
        <v>0</v>
      </c>
      <c r="N116" s="73" t="s">
        <v>36</v>
      </c>
      <c r="O116" s="1"/>
      <c r="P116" s="1"/>
      <c r="Q116" s="3"/>
    </row>
    <row r="117" spans="1:17" customFormat="1" ht="21" x14ac:dyDescent="0.25">
      <c r="A117" s="173" t="s">
        <v>128</v>
      </c>
      <c r="B117" s="174">
        <v>7</v>
      </c>
      <c r="C117" s="135">
        <v>5312</v>
      </c>
      <c r="D117" s="63">
        <f t="shared" si="9"/>
        <v>700</v>
      </c>
      <c r="E117" s="136">
        <v>0</v>
      </c>
      <c r="F117" s="137">
        <v>0</v>
      </c>
      <c r="G117" s="66">
        <v>700</v>
      </c>
      <c r="H117" s="67">
        <v>0</v>
      </c>
      <c r="I117" s="68">
        <f t="shared" si="10"/>
        <v>0</v>
      </c>
      <c r="J117" s="180">
        <v>0</v>
      </c>
      <c r="K117" s="215">
        <v>0</v>
      </c>
      <c r="L117" s="215">
        <v>0</v>
      </c>
      <c r="M117" s="216">
        <v>0</v>
      </c>
      <c r="N117" s="73" t="s">
        <v>36</v>
      </c>
      <c r="O117" s="1"/>
      <c r="P117" s="1"/>
      <c r="Q117" s="3"/>
    </row>
    <row r="118" spans="1:17" customFormat="1" ht="15.75" thickBot="1" x14ac:dyDescent="0.3">
      <c r="A118" s="173" t="s">
        <v>129</v>
      </c>
      <c r="B118" s="174">
        <v>13</v>
      </c>
      <c r="C118" s="135">
        <v>8300</v>
      </c>
      <c r="D118" s="176">
        <f t="shared" si="9"/>
        <v>2250</v>
      </c>
      <c r="E118" s="136">
        <v>0</v>
      </c>
      <c r="F118" s="137">
        <v>0</v>
      </c>
      <c r="G118" s="187">
        <v>2250</v>
      </c>
      <c r="H118" s="188">
        <v>1582</v>
      </c>
      <c r="I118" s="214">
        <f t="shared" si="10"/>
        <v>70.311111111111117</v>
      </c>
      <c r="J118" s="180">
        <v>0</v>
      </c>
      <c r="K118" s="215">
        <v>0</v>
      </c>
      <c r="L118" s="215">
        <v>0</v>
      </c>
      <c r="M118" s="216">
        <v>0</v>
      </c>
      <c r="N118" s="218" t="s">
        <v>36</v>
      </c>
      <c r="O118" s="1"/>
      <c r="P118" s="1"/>
      <c r="Q118" s="3"/>
    </row>
    <row r="119" spans="1:17" customFormat="1" ht="15.75" thickBot="1" x14ac:dyDescent="0.3">
      <c r="A119" s="91" t="s">
        <v>130</v>
      </c>
      <c r="B119" s="92"/>
      <c r="C119" s="146"/>
      <c r="D119" s="93">
        <f>SUM(D49:D118)</f>
        <v>149694.78999999998</v>
      </c>
      <c r="E119" s="148">
        <f>SUM(E49:E118)</f>
        <v>19030</v>
      </c>
      <c r="F119" s="98">
        <f>SUM(F49:F118)</f>
        <v>12032.58</v>
      </c>
      <c r="G119" s="93">
        <f>SUM(G49:G118)</f>
        <v>110702.20999999999</v>
      </c>
      <c r="H119" s="148">
        <f>SUM(H49:H118)</f>
        <v>74364.810000000012</v>
      </c>
      <c r="I119" s="160">
        <f t="shared" si="10"/>
        <v>67.175542385287528</v>
      </c>
      <c r="J119" s="148">
        <f>SUM(J49:J118)</f>
        <v>3600</v>
      </c>
      <c r="K119" s="93">
        <f>SUM(K49:K118)</f>
        <v>0</v>
      </c>
      <c r="L119" s="93">
        <f>SUM(L49:L118)</f>
        <v>0</v>
      </c>
      <c r="M119" s="93">
        <f>SUM(M49:M118)</f>
        <v>0</v>
      </c>
      <c r="N119" s="93"/>
      <c r="O119" s="1"/>
      <c r="P119" s="1"/>
      <c r="Q119" s="3"/>
    </row>
    <row r="120" spans="1:17" s="5" customFormat="1" ht="12" thickBot="1" x14ac:dyDescent="0.3">
      <c r="A120" s="191"/>
      <c r="B120" s="219"/>
      <c r="C120" s="219"/>
      <c r="D120" s="220"/>
      <c r="E120" s="220"/>
      <c r="F120" s="220"/>
      <c r="G120" s="102"/>
      <c r="H120" s="102"/>
      <c r="I120" s="103"/>
      <c r="J120" s="220"/>
      <c r="K120" s="220"/>
      <c r="L120" s="220"/>
      <c r="M120" s="220"/>
      <c r="N120" s="221"/>
      <c r="Q120" s="7"/>
    </row>
    <row r="121" spans="1:17" s="5" customFormat="1" ht="12" thickBot="1" x14ac:dyDescent="0.3">
      <c r="A121" s="222" t="s">
        <v>131</v>
      </c>
      <c r="B121" s="107">
        <v>10</v>
      </c>
      <c r="C121" s="154">
        <v>5221</v>
      </c>
      <c r="D121" s="155">
        <f>E121+F121+G121+J121+K121+L121+M121</f>
        <v>5123.7</v>
      </c>
      <c r="E121" s="156">
        <f>350+200+1341</f>
        <v>1891</v>
      </c>
      <c r="F121" s="157">
        <v>785</v>
      </c>
      <c r="G121" s="52">
        <v>447.7</v>
      </c>
      <c r="H121" s="53">
        <v>0</v>
      </c>
      <c r="I121" s="159">
        <f>H121/G121*100</f>
        <v>0</v>
      </c>
      <c r="J121" s="113">
        <v>0</v>
      </c>
      <c r="K121" s="181">
        <v>1000</v>
      </c>
      <c r="L121" s="114">
        <v>0</v>
      </c>
      <c r="M121" s="181">
        <v>1000</v>
      </c>
      <c r="N121" s="117" t="s">
        <v>20</v>
      </c>
      <c r="Q121" s="3"/>
    </row>
    <row r="122" spans="1:17" customFormat="1" ht="15.75" thickBot="1" x14ac:dyDescent="0.3">
      <c r="A122" s="91" t="s">
        <v>132</v>
      </c>
      <c r="B122" s="92"/>
      <c r="C122" s="146"/>
      <c r="D122" s="97">
        <f>SUM(D121:D121)</f>
        <v>5123.7</v>
      </c>
      <c r="E122" s="97">
        <f>SUM(E121:E121)</f>
        <v>1891</v>
      </c>
      <c r="F122" s="98">
        <f>SUM(F121:F121)</f>
        <v>785</v>
      </c>
      <c r="G122" s="93">
        <f>SUM(G121:G121)</f>
        <v>447.7</v>
      </c>
      <c r="H122" s="148">
        <f>SUM(H121:H121)</f>
        <v>0</v>
      </c>
      <c r="I122" s="160">
        <f>H122/G122*100</f>
        <v>0</v>
      </c>
      <c r="J122" s="148">
        <f>SUM(J121:J121)</f>
        <v>0</v>
      </c>
      <c r="K122" s="93">
        <f>SUM(K121:K121)</f>
        <v>1000</v>
      </c>
      <c r="L122" s="93">
        <f>SUM(L121:L121)</f>
        <v>0</v>
      </c>
      <c r="M122" s="93">
        <f>SUM(M121:M121)</f>
        <v>1000</v>
      </c>
      <c r="N122" s="93"/>
      <c r="O122" s="1"/>
      <c r="P122" s="1"/>
      <c r="Q122" s="3"/>
    </row>
    <row r="123" spans="1:17" s="5" customFormat="1" x14ac:dyDescent="0.25">
      <c r="A123" s="223"/>
      <c r="B123" s="224"/>
      <c r="C123" s="224"/>
      <c r="D123" s="225"/>
      <c r="E123" s="225"/>
      <c r="F123" s="225"/>
      <c r="G123" s="226"/>
      <c r="H123" s="226"/>
      <c r="I123" s="224"/>
      <c r="J123" s="225"/>
      <c r="K123" s="225"/>
      <c r="L123" s="225"/>
      <c r="M123" s="225"/>
      <c r="N123" s="227"/>
      <c r="Q123" s="3"/>
    </row>
    <row r="124" spans="1:17" customFormat="1" ht="21" x14ac:dyDescent="0.25">
      <c r="A124" s="228" t="s">
        <v>133</v>
      </c>
      <c r="B124" s="229">
        <v>7</v>
      </c>
      <c r="C124" s="230">
        <v>4173</v>
      </c>
      <c r="D124" s="204">
        <f t="shared" ref="D124:D129" si="11">E124+F124+G124+J124+K124+L124+M124</f>
        <v>47815.08</v>
      </c>
      <c r="E124" s="205">
        <f>45978+1376</f>
        <v>47354</v>
      </c>
      <c r="F124" s="206">
        <v>210</v>
      </c>
      <c r="G124" s="207">
        <v>251.08</v>
      </c>
      <c r="H124" s="208">
        <v>206.91</v>
      </c>
      <c r="I124" s="231">
        <f t="shared" ref="I124:I148" si="12">H124/G124*100</f>
        <v>82.407997451011624</v>
      </c>
      <c r="J124" s="210">
        <v>0</v>
      </c>
      <c r="K124" s="211">
        <v>0</v>
      </c>
      <c r="L124" s="211">
        <v>0</v>
      </c>
      <c r="M124" s="212">
        <v>0</v>
      </c>
      <c r="N124" s="213" t="s">
        <v>36</v>
      </c>
      <c r="O124" s="1"/>
      <c r="P124" s="1"/>
      <c r="Q124" s="3"/>
    </row>
    <row r="125" spans="1:17" customFormat="1" ht="15" x14ac:dyDescent="0.25">
      <c r="A125" s="228" t="s">
        <v>134</v>
      </c>
      <c r="B125" s="229">
        <v>7</v>
      </c>
      <c r="C125" s="230">
        <v>4891</v>
      </c>
      <c r="D125" s="204">
        <f t="shared" si="11"/>
        <v>49316</v>
      </c>
      <c r="E125" s="205">
        <v>198</v>
      </c>
      <c r="F125" s="206">
        <v>43802</v>
      </c>
      <c r="G125" s="66">
        <v>5316</v>
      </c>
      <c r="H125" s="67">
        <v>5085.82</v>
      </c>
      <c r="I125" s="231">
        <f t="shared" si="12"/>
        <v>95.670052671181338</v>
      </c>
      <c r="J125" s="210">
        <v>0</v>
      </c>
      <c r="K125" s="211">
        <v>0</v>
      </c>
      <c r="L125" s="211">
        <v>0</v>
      </c>
      <c r="M125" s="212">
        <v>0</v>
      </c>
      <c r="N125" s="213" t="s">
        <v>36</v>
      </c>
      <c r="O125" s="1"/>
      <c r="P125" s="1"/>
      <c r="Q125" s="3"/>
    </row>
    <row r="126" spans="1:17" customFormat="1" ht="15" x14ac:dyDescent="0.25">
      <c r="A126" s="232" t="s">
        <v>135</v>
      </c>
      <c r="B126" s="233">
        <v>9</v>
      </c>
      <c r="C126" s="167">
        <v>4904</v>
      </c>
      <c r="D126" s="63">
        <f t="shared" si="11"/>
        <v>4500.3900000000003</v>
      </c>
      <c r="E126" s="69">
        <v>0</v>
      </c>
      <c r="F126" s="71">
        <v>205</v>
      </c>
      <c r="G126" s="66">
        <v>4295.3900000000003</v>
      </c>
      <c r="H126" s="67">
        <v>0</v>
      </c>
      <c r="I126" s="133">
        <f t="shared" si="12"/>
        <v>0</v>
      </c>
      <c r="J126" s="69">
        <v>0</v>
      </c>
      <c r="K126" s="76">
        <v>0</v>
      </c>
      <c r="L126" s="76">
        <v>0</v>
      </c>
      <c r="M126" s="72">
        <v>0</v>
      </c>
      <c r="N126" s="73" t="s">
        <v>20</v>
      </c>
      <c r="O126" s="1"/>
      <c r="P126" s="1"/>
      <c r="Q126" s="3"/>
    </row>
    <row r="127" spans="1:17" customFormat="1" ht="15" x14ac:dyDescent="0.25">
      <c r="A127" s="232" t="s">
        <v>136</v>
      </c>
      <c r="B127" s="233">
        <v>7</v>
      </c>
      <c r="C127" s="167">
        <v>5027</v>
      </c>
      <c r="D127" s="63">
        <f t="shared" si="11"/>
        <v>11000.28</v>
      </c>
      <c r="E127" s="69">
        <v>0</v>
      </c>
      <c r="F127" s="71">
        <v>63</v>
      </c>
      <c r="G127" s="66">
        <v>10937.28</v>
      </c>
      <c r="H127" s="67">
        <v>0</v>
      </c>
      <c r="I127" s="133">
        <f t="shared" si="12"/>
        <v>0</v>
      </c>
      <c r="J127" s="69">
        <v>0</v>
      </c>
      <c r="K127" s="70">
        <v>0</v>
      </c>
      <c r="L127" s="70">
        <v>0</v>
      </c>
      <c r="M127" s="72">
        <v>0</v>
      </c>
      <c r="N127" s="234" t="s">
        <v>20</v>
      </c>
      <c r="O127" s="1"/>
      <c r="P127" s="1"/>
      <c r="Q127" s="1"/>
    </row>
    <row r="128" spans="1:17" customFormat="1" ht="15" x14ac:dyDescent="0.25">
      <c r="A128" s="235" t="s">
        <v>137</v>
      </c>
      <c r="B128" s="236">
        <v>9</v>
      </c>
      <c r="C128" s="175">
        <v>5059</v>
      </c>
      <c r="D128" s="63">
        <f t="shared" si="11"/>
        <v>5599.82</v>
      </c>
      <c r="E128" s="180">
        <v>0</v>
      </c>
      <c r="F128" s="178">
        <v>4853</v>
      </c>
      <c r="G128" s="66">
        <v>746.82</v>
      </c>
      <c r="H128" s="67">
        <v>746.82</v>
      </c>
      <c r="I128" s="133">
        <f t="shared" si="12"/>
        <v>100</v>
      </c>
      <c r="J128" s="180">
        <v>0</v>
      </c>
      <c r="K128" s="181">
        <v>0</v>
      </c>
      <c r="L128" s="181">
        <v>0</v>
      </c>
      <c r="M128" s="237">
        <v>0</v>
      </c>
      <c r="N128" s="73" t="s">
        <v>20</v>
      </c>
      <c r="O128" s="1"/>
      <c r="P128" s="1"/>
      <c r="Q128" s="1"/>
    </row>
    <row r="129" spans="1:14" customFormat="1" ht="31.5" x14ac:dyDescent="0.25">
      <c r="A129" s="232" t="s">
        <v>138</v>
      </c>
      <c r="B129" s="233">
        <v>7</v>
      </c>
      <c r="C129" s="167">
        <v>5100</v>
      </c>
      <c r="D129" s="63">
        <f t="shared" si="11"/>
        <v>278459.19</v>
      </c>
      <c r="E129" s="69">
        <v>881</v>
      </c>
      <c r="F129" s="71">
        <v>331</v>
      </c>
      <c r="G129" s="66">
        <v>31934.19</v>
      </c>
      <c r="H129" s="67">
        <v>27615.55</v>
      </c>
      <c r="I129" s="133">
        <f t="shared" si="12"/>
        <v>86.476437949420358</v>
      </c>
      <c r="J129" s="180">
        <v>5462</v>
      </c>
      <c r="K129" s="181">
        <v>5593</v>
      </c>
      <c r="L129" s="181">
        <v>5244</v>
      </c>
      <c r="M129" s="237">
        <v>229014</v>
      </c>
      <c r="N129" s="73" t="s">
        <v>139</v>
      </c>
    </row>
    <row r="130" spans="1:14" customFormat="1" ht="21" x14ac:dyDescent="0.25">
      <c r="A130" s="235" t="s">
        <v>140</v>
      </c>
      <c r="B130" s="236">
        <v>7</v>
      </c>
      <c r="C130" s="175">
        <v>5123</v>
      </c>
      <c r="D130" s="63">
        <f>SUM(E130+F130+G130+J130+K130+L130+M130)+200</f>
        <v>5034.3500000000004</v>
      </c>
      <c r="E130" s="69">
        <v>0</v>
      </c>
      <c r="F130" s="71">
        <v>3237</v>
      </c>
      <c r="G130" s="66">
        <v>1597.35</v>
      </c>
      <c r="H130" s="67">
        <v>1286.6400000000001</v>
      </c>
      <c r="I130" s="133">
        <f t="shared" si="12"/>
        <v>80.548408301248955</v>
      </c>
      <c r="J130" s="180">
        <v>0</v>
      </c>
      <c r="K130" s="181">
        <v>0</v>
      </c>
      <c r="L130" s="181">
        <v>0</v>
      </c>
      <c r="M130" s="237">
        <v>0</v>
      </c>
      <c r="N130" s="73" t="s">
        <v>141</v>
      </c>
    </row>
    <row r="131" spans="1:14" customFormat="1" ht="15" x14ac:dyDescent="0.25">
      <c r="A131" s="235" t="s">
        <v>142</v>
      </c>
      <c r="B131" s="236">
        <v>7</v>
      </c>
      <c r="C131" s="175">
        <v>5124</v>
      </c>
      <c r="D131" s="63">
        <f t="shared" ref="D131:D140" si="13">E131+F131+G131+J131+K131+L131+M131</f>
        <v>3777</v>
      </c>
      <c r="E131" s="69">
        <v>0</v>
      </c>
      <c r="F131" s="71">
        <v>2477</v>
      </c>
      <c r="G131" s="66">
        <v>1300</v>
      </c>
      <c r="H131" s="67">
        <v>27.83</v>
      </c>
      <c r="I131" s="133">
        <f t="shared" si="12"/>
        <v>2.1407692307692305</v>
      </c>
      <c r="J131" s="69">
        <v>0</v>
      </c>
      <c r="K131" s="70">
        <v>0</v>
      </c>
      <c r="L131" s="70">
        <v>0</v>
      </c>
      <c r="M131" s="72">
        <v>0</v>
      </c>
      <c r="N131" s="73" t="s">
        <v>20</v>
      </c>
    </row>
    <row r="132" spans="1:14" customFormat="1" ht="15" x14ac:dyDescent="0.25">
      <c r="A132" s="235" t="s">
        <v>143</v>
      </c>
      <c r="B132" s="236">
        <v>7</v>
      </c>
      <c r="C132" s="175">
        <v>5125</v>
      </c>
      <c r="D132" s="63">
        <f t="shared" si="13"/>
        <v>4508.4399999999996</v>
      </c>
      <c r="E132" s="69">
        <v>0</v>
      </c>
      <c r="F132" s="71">
        <v>93</v>
      </c>
      <c r="G132" s="66">
        <v>4415.4399999999996</v>
      </c>
      <c r="H132" s="67">
        <v>1741.79</v>
      </c>
      <c r="I132" s="133">
        <f t="shared" si="12"/>
        <v>39.447710760422524</v>
      </c>
      <c r="J132" s="69">
        <v>0</v>
      </c>
      <c r="K132" s="70">
        <v>0</v>
      </c>
      <c r="L132" s="70">
        <v>0</v>
      </c>
      <c r="M132" s="72">
        <v>0</v>
      </c>
      <c r="N132" s="73" t="s">
        <v>20</v>
      </c>
    </row>
    <row r="133" spans="1:14" customFormat="1" ht="15" x14ac:dyDescent="0.25">
      <c r="A133" s="235" t="s">
        <v>144</v>
      </c>
      <c r="B133" s="236">
        <v>9</v>
      </c>
      <c r="C133" s="175">
        <v>5162</v>
      </c>
      <c r="D133" s="63">
        <f t="shared" si="13"/>
        <v>3949</v>
      </c>
      <c r="E133" s="69">
        <v>0</v>
      </c>
      <c r="F133" s="71">
        <v>1899</v>
      </c>
      <c r="G133" s="66">
        <v>2050</v>
      </c>
      <c r="H133" s="67">
        <v>0</v>
      </c>
      <c r="I133" s="133">
        <f t="shared" si="12"/>
        <v>0</v>
      </c>
      <c r="J133" s="69">
        <v>0</v>
      </c>
      <c r="K133" s="70">
        <v>0</v>
      </c>
      <c r="L133" s="70">
        <v>0</v>
      </c>
      <c r="M133" s="72">
        <v>0</v>
      </c>
      <c r="N133" s="73" t="s">
        <v>20</v>
      </c>
    </row>
    <row r="134" spans="1:14" customFormat="1" ht="15" x14ac:dyDescent="0.25">
      <c r="A134" s="232" t="s">
        <v>145</v>
      </c>
      <c r="B134" s="233">
        <v>9</v>
      </c>
      <c r="C134" s="167">
        <v>5178</v>
      </c>
      <c r="D134" s="176">
        <f t="shared" si="13"/>
        <v>3364</v>
      </c>
      <c r="E134" s="180">
        <v>0</v>
      </c>
      <c r="F134" s="178">
        <v>0</v>
      </c>
      <c r="G134" s="66">
        <v>3364</v>
      </c>
      <c r="H134" s="67">
        <v>0</v>
      </c>
      <c r="I134" s="133">
        <f t="shared" si="12"/>
        <v>0</v>
      </c>
      <c r="J134" s="69">
        <v>0</v>
      </c>
      <c r="K134" s="70">
        <v>0</v>
      </c>
      <c r="L134" s="70">
        <v>0</v>
      </c>
      <c r="M134" s="72">
        <v>0</v>
      </c>
      <c r="N134" s="73" t="s">
        <v>20</v>
      </c>
    </row>
    <row r="135" spans="1:14" customFormat="1" ht="15" x14ac:dyDescent="0.25">
      <c r="A135" s="232" t="s">
        <v>146</v>
      </c>
      <c r="B135" s="233">
        <v>9</v>
      </c>
      <c r="C135" s="167">
        <v>5222</v>
      </c>
      <c r="D135" s="176">
        <f t="shared" si="13"/>
        <v>540</v>
      </c>
      <c r="E135" s="180">
        <v>0</v>
      </c>
      <c r="F135" s="178">
        <v>0</v>
      </c>
      <c r="G135" s="66">
        <v>540</v>
      </c>
      <c r="H135" s="67">
        <v>0</v>
      </c>
      <c r="I135" s="133">
        <f t="shared" si="12"/>
        <v>0</v>
      </c>
      <c r="J135" s="69">
        <v>0</v>
      </c>
      <c r="K135" s="70">
        <v>0</v>
      </c>
      <c r="L135" s="70">
        <v>0</v>
      </c>
      <c r="M135" s="72">
        <v>0</v>
      </c>
      <c r="N135" s="73" t="s">
        <v>20</v>
      </c>
    </row>
    <row r="136" spans="1:14" customFormat="1" ht="15" x14ac:dyDescent="0.25">
      <c r="A136" s="232" t="s">
        <v>147</v>
      </c>
      <c r="B136" s="233">
        <v>7</v>
      </c>
      <c r="C136" s="167">
        <v>5238</v>
      </c>
      <c r="D136" s="176">
        <f t="shared" si="13"/>
        <v>8800</v>
      </c>
      <c r="E136" s="180">
        <v>0</v>
      </c>
      <c r="F136" s="178">
        <v>0</v>
      </c>
      <c r="G136" s="66">
        <v>8800</v>
      </c>
      <c r="H136" s="67">
        <v>3821.5</v>
      </c>
      <c r="I136" s="133">
        <f t="shared" si="12"/>
        <v>43.426136363636367</v>
      </c>
      <c r="J136" s="69">
        <v>0</v>
      </c>
      <c r="K136" s="70">
        <v>0</v>
      </c>
      <c r="L136" s="70">
        <v>0</v>
      </c>
      <c r="M136" s="72">
        <v>0</v>
      </c>
      <c r="N136" s="73" t="s">
        <v>20</v>
      </c>
    </row>
    <row r="137" spans="1:14" customFormat="1" ht="15" x14ac:dyDescent="0.25">
      <c r="A137" s="232" t="s">
        <v>148</v>
      </c>
      <c r="B137" s="233">
        <v>7</v>
      </c>
      <c r="C137" s="167">
        <v>5239</v>
      </c>
      <c r="D137" s="176">
        <f t="shared" si="13"/>
        <v>1500</v>
      </c>
      <c r="E137" s="180">
        <v>0</v>
      </c>
      <c r="F137" s="178">
        <v>0</v>
      </c>
      <c r="G137" s="66">
        <v>1500</v>
      </c>
      <c r="H137" s="67">
        <v>52.25</v>
      </c>
      <c r="I137" s="133">
        <f t="shared" si="12"/>
        <v>3.4833333333333334</v>
      </c>
      <c r="J137" s="69">
        <v>0</v>
      </c>
      <c r="K137" s="70">
        <v>0</v>
      </c>
      <c r="L137" s="70">
        <v>0</v>
      </c>
      <c r="M137" s="72">
        <v>0</v>
      </c>
      <c r="N137" s="73" t="s">
        <v>20</v>
      </c>
    </row>
    <row r="138" spans="1:14" customFormat="1" ht="15" x14ac:dyDescent="0.25">
      <c r="A138" s="232" t="s">
        <v>149</v>
      </c>
      <c r="B138" s="233">
        <v>7</v>
      </c>
      <c r="C138" s="167">
        <v>5240</v>
      </c>
      <c r="D138" s="176">
        <f t="shared" si="13"/>
        <v>1700</v>
      </c>
      <c r="E138" s="180">
        <v>0</v>
      </c>
      <c r="F138" s="178">
        <v>0</v>
      </c>
      <c r="G138" s="66">
        <v>1700</v>
      </c>
      <c r="H138" s="67">
        <v>114.95</v>
      </c>
      <c r="I138" s="133">
        <f t="shared" si="12"/>
        <v>6.7617647058823529</v>
      </c>
      <c r="J138" s="69">
        <v>0</v>
      </c>
      <c r="K138" s="70">
        <v>0</v>
      </c>
      <c r="L138" s="70">
        <v>0</v>
      </c>
      <c r="M138" s="72">
        <v>0</v>
      </c>
      <c r="N138" s="73" t="s">
        <v>20</v>
      </c>
    </row>
    <row r="139" spans="1:14" customFormat="1" ht="15" x14ac:dyDescent="0.25">
      <c r="A139" s="232" t="s">
        <v>150</v>
      </c>
      <c r="B139" s="233">
        <v>9</v>
      </c>
      <c r="C139" s="167">
        <v>5251</v>
      </c>
      <c r="D139" s="176">
        <f t="shared" si="13"/>
        <v>945</v>
      </c>
      <c r="E139" s="180">
        <v>0</v>
      </c>
      <c r="F139" s="178">
        <v>0</v>
      </c>
      <c r="G139" s="66">
        <v>945</v>
      </c>
      <c r="H139" s="67">
        <v>690.98</v>
      </c>
      <c r="I139" s="133">
        <f t="shared" si="12"/>
        <v>73.119576719576713</v>
      </c>
      <c r="J139" s="69">
        <v>0</v>
      </c>
      <c r="K139" s="70">
        <v>0</v>
      </c>
      <c r="L139" s="70">
        <v>0</v>
      </c>
      <c r="M139" s="72">
        <v>0</v>
      </c>
      <c r="N139" s="73" t="s">
        <v>20</v>
      </c>
    </row>
    <row r="140" spans="1:14" customFormat="1" ht="15" x14ac:dyDescent="0.25">
      <c r="A140" s="235" t="s">
        <v>151</v>
      </c>
      <c r="B140" s="236">
        <v>7</v>
      </c>
      <c r="C140" s="175">
        <v>5252</v>
      </c>
      <c r="D140" s="176">
        <f t="shared" si="13"/>
        <v>176.89</v>
      </c>
      <c r="E140" s="180">
        <v>0</v>
      </c>
      <c r="F140" s="178">
        <v>0</v>
      </c>
      <c r="G140" s="66">
        <v>176.89</v>
      </c>
      <c r="H140" s="67">
        <v>176.887</v>
      </c>
      <c r="I140" s="133">
        <f t="shared" si="12"/>
        <v>99.998304030753587</v>
      </c>
      <c r="J140" s="180">
        <v>0</v>
      </c>
      <c r="K140" s="181">
        <v>0</v>
      </c>
      <c r="L140" s="181">
        <v>0</v>
      </c>
      <c r="M140" s="237">
        <v>0</v>
      </c>
      <c r="N140" s="218" t="s">
        <v>20</v>
      </c>
    </row>
    <row r="141" spans="1:14" customFormat="1" ht="21" x14ac:dyDescent="0.25">
      <c r="A141" s="232" t="s">
        <v>152</v>
      </c>
      <c r="B141" s="233">
        <v>7</v>
      </c>
      <c r="C141" s="167">
        <v>5277</v>
      </c>
      <c r="D141" s="176">
        <f>E141+F141+G141+J141+K141+L141+M141+250</f>
        <v>9034</v>
      </c>
      <c r="E141" s="180">
        <v>0</v>
      </c>
      <c r="F141" s="178">
        <v>0</v>
      </c>
      <c r="G141" s="66">
        <v>8784</v>
      </c>
      <c r="H141" s="67">
        <v>0</v>
      </c>
      <c r="I141" s="133">
        <f t="shared" si="12"/>
        <v>0</v>
      </c>
      <c r="J141" s="69">
        <v>0</v>
      </c>
      <c r="K141" s="70">
        <v>0</v>
      </c>
      <c r="L141" s="70">
        <v>0</v>
      </c>
      <c r="M141" s="72">
        <v>0</v>
      </c>
      <c r="N141" s="73" t="s">
        <v>141</v>
      </c>
    </row>
    <row r="142" spans="1:14" customFormat="1" ht="15" x14ac:dyDescent="0.25">
      <c r="A142" s="232" t="s">
        <v>153</v>
      </c>
      <c r="B142" s="233">
        <v>9</v>
      </c>
      <c r="C142" s="167">
        <v>5278</v>
      </c>
      <c r="D142" s="176">
        <f t="shared" ref="D142:D147" si="14">E142+F142+G142+J142+K142+L142+M142</f>
        <v>5000</v>
      </c>
      <c r="E142" s="180">
        <v>0</v>
      </c>
      <c r="F142" s="178">
        <v>0</v>
      </c>
      <c r="G142" s="66">
        <v>5000</v>
      </c>
      <c r="H142" s="67">
        <v>0</v>
      </c>
      <c r="I142" s="133">
        <f t="shared" si="12"/>
        <v>0</v>
      </c>
      <c r="J142" s="69">
        <v>0</v>
      </c>
      <c r="K142" s="70">
        <v>0</v>
      </c>
      <c r="L142" s="70">
        <v>0</v>
      </c>
      <c r="M142" s="72">
        <v>0</v>
      </c>
      <c r="N142" s="73" t="s">
        <v>20</v>
      </c>
    </row>
    <row r="143" spans="1:14" customFormat="1" ht="21" x14ac:dyDescent="0.25">
      <c r="A143" s="232" t="s">
        <v>154</v>
      </c>
      <c r="B143" s="233">
        <v>7</v>
      </c>
      <c r="C143" s="167">
        <v>5279</v>
      </c>
      <c r="D143" s="63">
        <f t="shared" si="14"/>
        <v>1900</v>
      </c>
      <c r="E143" s="69">
        <v>0</v>
      </c>
      <c r="F143" s="71">
        <v>0</v>
      </c>
      <c r="G143" s="66">
        <v>1900</v>
      </c>
      <c r="H143" s="67">
        <v>90</v>
      </c>
      <c r="I143" s="133">
        <f t="shared" si="12"/>
        <v>4.7368421052631584</v>
      </c>
      <c r="J143" s="69">
        <v>0</v>
      </c>
      <c r="K143" s="70">
        <v>0</v>
      </c>
      <c r="L143" s="70">
        <v>0</v>
      </c>
      <c r="M143" s="72">
        <v>0</v>
      </c>
      <c r="N143" s="73" t="s">
        <v>20</v>
      </c>
    </row>
    <row r="144" spans="1:14" customFormat="1" ht="15" x14ac:dyDescent="0.25">
      <c r="A144" s="232" t="s">
        <v>155</v>
      </c>
      <c r="B144" s="233">
        <v>7</v>
      </c>
      <c r="C144" s="167">
        <v>5301</v>
      </c>
      <c r="D144" s="63">
        <f t="shared" si="14"/>
        <v>1685</v>
      </c>
      <c r="E144" s="69">
        <v>0</v>
      </c>
      <c r="F144" s="71">
        <v>0</v>
      </c>
      <c r="G144" s="66">
        <v>1685</v>
      </c>
      <c r="H144" s="67">
        <v>315.04000000000002</v>
      </c>
      <c r="I144" s="133">
        <f t="shared" si="12"/>
        <v>18.696735905044513</v>
      </c>
      <c r="J144" s="69">
        <v>0</v>
      </c>
      <c r="K144" s="70">
        <v>0</v>
      </c>
      <c r="L144" s="70">
        <v>0</v>
      </c>
      <c r="M144" s="72">
        <v>0</v>
      </c>
      <c r="N144" s="73" t="s">
        <v>20</v>
      </c>
    </row>
    <row r="145" spans="1:17" customFormat="1" ht="15" x14ac:dyDescent="0.25">
      <c r="A145" s="232" t="s">
        <v>156</v>
      </c>
      <c r="B145" s="233">
        <v>7</v>
      </c>
      <c r="C145" s="167">
        <v>5309</v>
      </c>
      <c r="D145" s="63">
        <f t="shared" si="14"/>
        <v>3000</v>
      </c>
      <c r="E145" s="69">
        <v>0</v>
      </c>
      <c r="F145" s="71">
        <v>0</v>
      </c>
      <c r="G145" s="66">
        <v>3000</v>
      </c>
      <c r="H145" s="67">
        <v>0</v>
      </c>
      <c r="I145" s="133">
        <f t="shared" si="12"/>
        <v>0</v>
      </c>
      <c r="J145" s="69">
        <v>0</v>
      </c>
      <c r="K145" s="70">
        <v>0</v>
      </c>
      <c r="L145" s="70">
        <v>0</v>
      </c>
      <c r="M145" s="72">
        <v>0</v>
      </c>
      <c r="N145" s="73" t="s">
        <v>20</v>
      </c>
      <c r="O145" s="1"/>
      <c r="P145" s="1"/>
      <c r="Q145" s="1"/>
    </row>
    <row r="146" spans="1:17" customFormat="1" ht="15" x14ac:dyDescent="0.25">
      <c r="A146" s="232" t="s">
        <v>157</v>
      </c>
      <c r="B146" s="233">
        <v>7</v>
      </c>
      <c r="C146" s="167">
        <v>5310</v>
      </c>
      <c r="D146" s="63">
        <f t="shared" si="14"/>
        <v>2000</v>
      </c>
      <c r="E146" s="69">
        <v>0</v>
      </c>
      <c r="F146" s="71">
        <v>0</v>
      </c>
      <c r="G146" s="66">
        <v>2000</v>
      </c>
      <c r="H146" s="67">
        <v>0</v>
      </c>
      <c r="I146" s="133">
        <f t="shared" si="12"/>
        <v>0</v>
      </c>
      <c r="J146" s="69">
        <v>0</v>
      </c>
      <c r="K146" s="70">
        <v>0</v>
      </c>
      <c r="L146" s="70">
        <v>0</v>
      </c>
      <c r="M146" s="72">
        <v>0</v>
      </c>
      <c r="N146" s="73" t="s">
        <v>20</v>
      </c>
      <c r="O146" s="1"/>
      <c r="P146" s="1"/>
      <c r="Q146" s="1"/>
    </row>
    <row r="147" spans="1:17" customFormat="1" ht="15.75" thickBot="1" x14ac:dyDescent="0.3">
      <c r="A147" s="235" t="s">
        <v>158</v>
      </c>
      <c r="B147" s="236">
        <v>7</v>
      </c>
      <c r="C147" s="175">
        <v>5311</v>
      </c>
      <c r="D147" s="176">
        <f t="shared" si="14"/>
        <v>5000</v>
      </c>
      <c r="E147" s="180">
        <v>0</v>
      </c>
      <c r="F147" s="178">
        <v>0</v>
      </c>
      <c r="G147" s="187">
        <v>5000</v>
      </c>
      <c r="H147" s="188">
        <v>0</v>
      </c>
      <c r="I147" s="138">
        <f t="shared" si="12"/>
        <v>0</v>
      </c>
      <c r="J147" s="180">
        <v>0</v>
      </c>
      <c r="K147" s="181">
        <v>0</v>
      </c>
      <c r="L147" s="181">
        <v>0</v>
      </c>
      <c r="M147" s="237">
        <v>0</v>
      </c>
      <c r="N147" s="218" t="s">
        <v>20</v>
      </c>
      <c r="O147" s="1"/>
      <c r="P147" s="1"/>
      <c r="Q147" s="1"/>
    </row>
    <row r="148" spans="1:17" customFormat="1" ht="15.75" thickBot="1" x14ac:dyDescent="0.3">
      <c r="A148" s="238" t="s">
        <v>159</v>
      </c>
      <c r="B148" s="239"/>
      <c r="C148" s="146"/>
      <c r="D148" s="240">
        <f>SUM(D124:D147)</f>
        <v>458604.44</v>
      </c>
      <c r="E148" s="241">
        <f>SUM(E124:E147)</f>
        <v>48433</v>
      </c>
      <c r="F148" s="242">
        <f>SUM(F124:F147)</f>
        <v>57170</v>
      </c>
      <c r="G148" s="240">
        <f>SUM(G124:G147)</f>
        <v>107238.43999999999</v>
      </c>
      <c r="H148" s="241">
        <f>SUM(H124:H147)</f>
        <v>41972.967000000004</v>
      </c>
      <c r="I148" s="96">
        <f t="shared" si="12"/>
        <v>39.139852276851485</v>
      </c>
      <c r="J148" s="148">
        <f>SUM(J124:J147)</f>
        <v>5462</v>
      </c>
      <c r="K148" s="93">
        <f>SUM(K124:K147)</f>
        <v>5593</v>
      </c>
      <c r="L148" s="93">
        <f>SUM(L124:L147)</f>
        <v>5244</v>
      </c>
      <c r="M148" s="93">
        <f>SUM(M124:M147)</f>
        <v>229014</v>
      </c>
      <c r="N148" s="93"/>
      <c r="O148" s="1"/>
      <c r="P148" s="1"/>
      <c r="Q148" s="3"/>
    </row>
    <row r="149" spans="1:17" s="5" customFormat="1" ht="12" thickBot="1" x14ac:dyDescent="0.3">
      <c r="A149" s="243"/>
      <c r="B149" s="244"/>
      <c r="C149" s="244"/>
      <c r="D149" s="245"/>
      <c r="E149" s="245"/>
      <c r="F149" s="245"/>
      <c r="G149" s="245"/>
      <c r="H149" s="245"/>
      <c r="I149" s="103"/>
      <c r="J149" s="245"/>
      <c r="K149" s="245"/>
      <c r="L149" s="245"/>
      <c r="M149" s="245"/>
      <c r="N149" s="104"/>
      <c r="Q149" s="7"/>
    </row>
    <row r="150" spans="1:17" s="250" customFormat="1" ht="31.5" x14ac:dyDescent="0.25">
      <c r="A150" s="106" t="s">
        <v>160</v>
      </c>
      <c r="B150" s="47">
        <v>7</v>
      </c>
      <c r="C150" s="196">
        <v>5057</v>
      </c>
      <c r="D150" s="49">
        <f>E150+F150+G150+J150+K150+L150+M150</f>
        <v>197498</v>
      </c>
      <c r="E150" s="246">
        <v>246</v>
      </c>
      <c r="F150" s="111">
        <v>19076</v>
      </c>
      <c r="G150" s="52">
        <v>20904</v>
      </c>
      <c r="H150" s="247">
        <v>19567.07</v>
      </c>
      <c r="I150" s="112">
        <f>H150/G150*100</f>
        <v>93.604429774205883</v>
      </c>
      <c r="J150" s="55">
        <v>19589</v>
      </c>
      <c r="K150" s="56">
        <v>19529</v>
      </c>
      <c r="L150" s="56">
        <v>19529</v>
      </c>
      <c r="M150" s="248">
        <v>98625</v>
      </c>
      <c r="N150" s="249" t="s">
        <v>161</v>
      </c>
      <c r="Q150" s="251"/>
    </row>
    <row r="151" spans="1:17" s="5" customFormat="1" ht="12" thickBot="1" x14ac:dyDescent="0.3">
      <c r="A151" s="118" t="s">
        <v>162</v>
      </c>
      <c r="B151" s="252">
        <v>3</v>
      </c>
      <c r="C151" s="253">
        <v>5313</v>
      </c>
      <c r="D151" s="254">
        <f>E151+F151+G151+J151+K151+L151+M151</f>
        <v>2596</v>
      </c>
      <c r="E151" s="255">
        <v>0</v>
      </c>
      <c r="F151" s="256">
        <v>0</v>
      </c>
      <c r="G151" s="84">
        <v>2596</v>
      </c>
      <c r="H151" s="257">
        <v>0</v>
      </c>
      <c r="I151" s="122">
        <f>H151/G151*100</f>
        <v>0</v>
      </c>
      <c r="J151" s="82">
        <v>0</v>
      </c>
      <c r="K151" s="144">
        <v>0</v>
      </c>
      <c r="L151" s="144">
        <v>0</v>
      </c>
      <c r="M151" s="258">
        <v>0</v>
      </c>
      <c r="N151" s="259" t="s">
        <v>20</v>
      </c>
      <c r="Q151" s="3"/>
    </row>
    <row r="152" spans="1:17" customFormat="1" ht="15.75" thickBot="1" x14ac:dyDescent="0.3">
      <c r="A152" s="37" t="s">
        <v>163</v>
      </c>
      <c r="B152" s="38"/>
      <c r="C152" s="39"/>
      <c r="D152" s="42">
        <f>(D150+D151)</f>
        <v>200094</v>
      </c>
      <c r="E152" s="260">
        <f>(E150+E151)</f>
        <v>246</v>
      </c>
      <c r="F152" s="43">
        <f>(F150+F151)</f>
        <v>19076</v>
      </c>
      <c r="G152" s="40">
        <f>(G150+G151)</f>
        <v>23500</v>
      </c>
      <c r="H152" s="40">
        <f>(H150+H151)</f>
        <v>19567.07</v>
      </c>
      <c r="I152" s="44">
        <f>H152/G152*100</f>
        <v>83.26412765957447</v>
      </c>
      <c r="J152" s="45">
        <f>SUM(J150+J151)</f>
        <v>19589</v>
      </c>
      <c r="K152" s="42">
        <f>SUM(K150+K151)</f>
        <v>19529</v>
      </c>
      <c r="L152" s="42">
        <f>SUM(L150+L151)</f>
        <v>19529</v>
      </c>
      <c r="M152" s="42">
        <f>SUM(M150+M151)</f>
        <v>98625</v>
      </c>
      <c r="N152" s="42"/>
      <c r="O152" s="1"/>
      <c r="P152" s="1"/>
      <c r="Q152" s="3"/>
    </row>
    <row r="153" spans="1:17" s="5" customFormat="1" ht="12" thickBot="1" x14ac:dyDescent="0.3">
      <c r="A153" s="243"/>
      <c r="B153" s="194"/>
      <c r="C153" s="194"/>
      <c r="D153" s="261"/>
      <c r="E153" s="261"/>
      <c r="F153" s="261"/>
      <c r="G153" s="19"/>
      <c r="H153" s="19"/>
      <c r="I153" s="194"/>
      <c r="J153" s="261"/>
      <c r="K153" s="261"/>
      <c r="L153" s="261"/>
      <c r="M153" s="261"/>
      <c r="N153" s="262"/>
      <c r="Q153" s="3"/>
    </row>
    <row r="154" spans="1:17" customFormat="1" ht="21" x14ac:dyDescent="0.25">
      <c r="A154" s="263" t="s">
        <v>164</v>
      </c>
      <c r="B154" s="47">
        <v>7</v>
      </c>
      <c r="C154" s="264">
        <v>4077</v>
      </c>
      <c r="D154" s="49">
        <f t="shared" ref="D154:D160" si="15">E154+F154+G154+J154+K154+L154+M154</f>
        <v>7888.38</v>
      </c>
      <c r="E154" s="265">
        <v>0</v>
      </c>
      <c r="F154" s="51">
        <v>83.65</v>
      </c>
      <c r="G154" s="52">
        <v>454.73</v>
      </c>
      <c r="H154" s="53">
        <v>112.53</v>
      </c>
      <c r="I154" s="54">
        <f t="shared" ref="I154:I161" si="16">H154/G154*100</f>
        <v>24.746552899522793</v>
      </c>
      <c r="J154" s="55">
        <v>7350</v>
      </c>
      <c r="K154" s="197">
        <v>0</v>
      </c>
      <c r="L154" s="197">
        <v>0</v>
      </c>
      <c r="M154" s="266">
        <v>0</v>
      </c>
      <c r="N154" s="199" t="s">
        <v>165</v>
      </c>
      <c r="O154" s="1"/>
      <c r="P154" s="1"/>
      <c r="Q154" s="3"/>
    </row>
    <row r="155" spans="1:17" customFormat="1" ht="21" x14ac:dyDescent="0.25">
      <c r="A155" s="267" t="s">
        <v>166</v>
      </c>
      <c r="B155" s="268">
        <v>5</v>
      </c>
      <c r="C155" s="269">
        <v>6125</v>
      </c>
      <c r="D155" s="63">
        <f t="shared" si="15"/>
        <v>8349</v>
      </c>
      <c r="E155" s="270">
        <v>0</v>
      </c>
      <c r="F155" s="65">
        <v>4153</v>
      </c>
      <c r="G155" s="66">
        <v>4196</v>
      </c>
      <c r="H155" s="67">
        <v>2749.12</v>
      </c>
      <c r="I155" s="68">
        <f t="shared" si="16"/>
        <v>65.517635843660628</v>
      </c>
      <c r="J155" s="69">
        <v>0</v>
      </c>
      <c r="K155" s="76">
        <v>0</v>
      </c>
      <c r="L155" s="76">
        <v>0</v>
      </c>
      <c r="M155" s="271">
        <v>0</v>
      </c>
      <c r="N155" s="272" t="s">
        <v>167</v>
      </c>
      <c r="O155" s="1"/>
      <c r="P155" s="1"/>
      <c r="Q155" s="3"/>
    </row>
    <row r="156" spans="1:17" customFormat="1" ht="15" x14ac:dyDescent="0.25">
      <c r="A156" s="267" t="s">
        <v>168</v>
      </c>
      <c r="B156" s="268">
        <v>5</v>
      </c>
      <c r="C156" s="269">
        <v>6119</v>
      </c>
      <c r="D156" s="63">
        <f t="shared" si="15"/>
        <v>1247</v>
      </c>
      <c r="E156" s="270">
        <v>0</v>
      </c>
      <c r="F156" s="65">
        <v>65</v>
      </c>
      <c r="G156" s="66">
        <v>1182</v>
      </c>
      <c r="H156" s="67">
        <v>1181.99</v>
      </c>
      <c r="I156" s="68">
        <f t="shared" si="16"/>
        <v>99.999153976311334</v>
      </c>
      <c r="J156" s="69">
        <v>0</v>
      </c>
      <c r="K156" s="76">
        <v>0</v>
      </c>
      <c r="L156" s="76">
        <v>0</v>
      </c>
      <c r="M156" s="271">
        <v>0</v>
      </c>
      <c r="N156" s="272" t="s">
        <v>169</v>
      </c>
      <c r="O156" s="1"/>
      <c r="P156" s="1"/>
      <c r="Q156" s="3"/>
    </row>
    <row r="157" spans="1:17" customFormat="1" ht="15" x14ac:dyDescent="0.25">
      <c r="A157" s="267" t="s">
        <v>170</v>
      </c>
      <c r="B157" s="268">
        <v>5</v>
      </c>
      <c r="C157" s="269">
        <v>6111</v>
      </c>
      <c r="D157" s="63">
        <f t="shared" si="15"/>
        <v>3353</v>
      </c>
      <c r="E157" s="270">
        <v>0</v>
      </c>
      <c r="F157" s="65">
        <v>913</v>
      </c>
      <c r="G157" s="66">
        <v>2440</v>
      </c>
      <c r="H157" s="67">
        <v>179.56</v>
      </c>
      <c r="I157" s="68">
        <f t="shared" si="16"/>
        <v>7.3590163934426229</v>
      </c>
      <c r="J157" s="69">
        <v>0</v>
      </c>
      <c r="K157" s="76">
        <v>0</v>
      </c>
      <c r="L157" s="76">
        <v>0</v>
      </c>
      <c r="M157" s="271">
        <v>0</v>
      </c>
      <c r="N157" s="272" t="s">
        <v>171</v>
      </c>
      <c r="O157" s="1"/>
      <c r="P157" s="1"/>
      <c r="Q157" s="3"/>
    </row>
    <row r="158" spans="1:17" customFormat="1" ht="15" x14ac:dyDescent="0.25">
      <c r="A158" s="267" t="s">
        <v>172</v>
      </c>
      <c r="B158" s="268">
        <v>2</v>
      </c>
      <c r="C158" s="269">
        <v>6121</v>
      </c>
      <c r="D158" s="63">
        <f t="shared" si="15"/>
        <v>691</v>
      </c>
      <c r="E158" s="270">
        <v>0</v>
      </c>
      <c r="F158" s="65">
        <v>461</v>
      </c>
      <c r="G158" s="66">
        <v>230</v>
      </c>
      <c r="H158" s="67">
        <v>0</v>
      </c>
      <c r="I158" s="68">
        <f t="shared" si="16"/>
        <v>0</v>
      </c>
      <c r="J158" s="69">
        <v>0</v>
      </c>
      <c r="K158" s="76">
        <v>0</v>
      </c>
      <c r="L158" s="76">
        <v>0</v>
      </c>
      <c r="M158" s="271">
        <v>0</v>
      </c>
      <c r="N158" s="272" t="s">
        <v>173</v>
      </c>
      <c r="O158" s="1"/>
      <c r="P158" s="1"/>
      <c r="Q158" s="3"/>
    </row>
    <row r="159" spans="1:17" customFormat="1" ht="15" x14ac:dyDescent="0.25">
      <c r="A159" s="267" t="s">
        <v>174</v>
      </c>
      <c r="B159" s="268">
        <v>2</v>
      </c>
      <c r="C159" s="269">
        <v>6122</v>
      </c>
      <c r="D159" s="63">
        <f t="shared" si="15"/>
        <v>2439</v>
      </c>
      <c r="E159" s="270">
        <v>0</v>
      </c>
      <c r="F159" s="65">
        <v>1759</v>
      </c>
      <c r="G159" s="66">
        <v>680</v>
      </c>
      <c r="H159" s="67">
        <v>115.81</v>
      </c>
      <c r="I159" s="68">
        <f t="shared" si="16"/>
        <v>17.030882352941177</v>
      </c>
      <c r="J159" s="69">
        <v>0</v>
      </c>
      <c r="K159" s="76">
        <v>0</v>
      </c>
      <c r="L159" s="76">
        <v>0</v>
      </c>
      <c r="M159" s="271">
        <v>0</v>
      </c>
      <c r="N159" s="272" t="s">
        <v>175</v>
      </c>
      <c r="O159" s="1"/>
      <c r="P159" s="1"/>
      <c r="Q159" s="3"/>
    </row>
    <row r="160" spans="1:17" customFormat="1" ht="15.75" thickBot="1" x14ac:dyDescent="0.3">
      <c r="A160" s="273" t="s">
        <v>176</v>
      </c>
      <c r="B160" s="274">
        <v>2</v>
      </c>
      <c r="C160" s="275">
        <v>6123</v>
      </c>
      <c r="D160" s="81">
        <f t="shared" si="15"/>
        <v>8125</v>
      </c>
      <c r="E160" s="276">
        <v>0</v>
      </c>
      <c r="F160" s="88">
        <v>3425</v>
      </c>
      <c r="G160" s="84">
        <v>4700</v>
      </c>
      <c r="H160" s="85">
        <v>0</v>
      </c>
      <c r="I160" s="86">
        <f t="shared" si="16"/>
        <v>0</v>
      </c>
      <c r="J160" s="82">
        <v>0</v>
      </c>
      <c r="K160" s="87">
        <v>0</v>
      </c>
      <c r="L160" s="87">
        <v>0</v>
      </c>
      <c r="M160" s="277">
        <v>0</v>
      </c>
      <c r="N160" s="278" t="s">
        <v>177</v>
      </c>
      <c r="O160" s="1"/>
      <c r="P160" s="1"/>
      <c r="Q160" s="3"/>
    </row>
    <row r="161" spans="1:17" customFormat="1" ht="15.75" thickBot="1" x14ac:dyDescent="0.3">
      <c r="A161" s="279" t="s">
        <v>178</v>
      </c>
      <c r="B161" s="280"/>
      <c r="C161" s="281"/>
      <c r="D161" s="40">
        <f>SUM(D154:D160)</f>
        <v>32092.38</v>
      </c>
      <c r="E161" s="42">
        <f>SUM(E154:E160)</f>
        <v>0</v>
      </c>
      <c r="F161" s="41">
        <f>SUM(F154:F160)</f>
        <v>10859.65</v>
      </c>
      <c r="G161" s="42">
        <f>SUM(G154:G160)</f>
        <v>13882.73</v>
      </c>
      <c r="H161" s="45">
        <f>SUM(H154:H160)</f>
        <v>4339.0100000000011</v>
      </c>
      <c r="I161" s="282">
        <f t="shared" si="16"/>
        <v>31.254731598179909</v>
      </c>
      <c r="J161" s="45">
        <f>SUM(J154:J160)</f>
        <v>7350</v>
      </c>
      <c r="K161" s="42">
        <f>SUM(K154:K160)</f>
        <v>0</v>
      </c>
      <c r="L161" s="41">
        <f>SUM(L154:L160)</f>
        <v>0</v>
      </c>
      <c r="M161" s="42">
        <f>SUM(M154:M160)</f>
        <v>0</v>
      </c>
      <c r="N161" s="45"/>
      <c r="O161" s="1"/>
      <c r="P161" s="1"/>
      <c r="Q161" s="3"/>
    </row>
    <row r="162" spans="1:17" customFormat="1" ht="15.75" thickBot="1" x14ac:dyDescent="0.3">
      <c r="A162" s="124"/>
      <c r="B162" s="2"/>
      <c r="C162" s="2"/>
      <c r="D162" s="1"/>
      <c r="E162" s="1"/>
      <c r="F162" s="1"/>
      <c r="G162" s="283"/>
      <c r="H162" s="19"/>
      <c r="I162" s="284"/>
      <c r="J162" s="5"/>
      <c r="K162" s="1"/>
      <c r="L162" s="1"/>
      <c r="M162" s="125"/>
      <c r="N162" s="125"/>
      <c r="O162" s="1"/>
      <c r="P162" s="1"/>
      <c r="Q162" s="3"/>
    </row>
    <row r="163" spans="1:17" customFormat="1" ht="15.75" thickBot="1" x14ac:dyDescent="0.3">
      <c r="A163" s="91" t="s">
        <v>179</v>
      </c>
      <c r="B163" s="92"/>
      <c r="C163" s="146"/>
      <c r="D163" s="93">
        <f>SUM(D16+D20+D29+D47+D119+D148+D161+D152+D9+D33+D122)</f>
        <v>1711877.4</v>
      </c>
      <c r="E163" s="93">
        <f>SUM(E16+E20+E29+E47+E119+E148+E161+E152+E9+E33+E122)</f>
        <v>96482</v>
      </c>
      <c r="F163" s="93">
        <f>SUM(F16+F20+F29+F47+F119+F148+F161+F152+F9+F33+F122)</f>
        <v>237972.50999999998</v>
      </c>
      <c r="G163" s="93">
        <f>SUM(G16+G20+G29+G47+G119+G148+G161+G152+G9+G33+G122)</f>
        <v>451099.89</v>
      </c>
      <c r="H163" s="93">
        <f>SUM(H16+H20+H29+H47+H119+H148+H161+H152+H9+H33+H122)</f>
        <v>205742.16700000002</v>
      </c>
      <c r="I163" s="160">
        <f>H163/G163*100</f>
        <v>45.609004027910537</v>
      </c>
      <c r="J163" s="93">
        <f>SUM(J16+J20+J29+J47+J119+J148+J161+J152+J9+J33+J122)</f>
        <v>36501</v>
      </c>
      <c r="K163" s="93">
        <f>SUM(K16+K20+K29+K47+K119+K148+K161+K152+K9+K33+K122)</f>
        <v>226122</v>
      </c>
      <c r="L163" s="93">
        <f>SUM(L16+L20+L29+L47+L119+L148+L161+L152+L9+L33+L122)</f>
        <v>227273</v>
      </c>
      <c r="M163" s="93">
        <f>SUM(M16+M20+M29+M47+M119+M148+M161+M152+M9+M33+M122)</f>
        <v>418639</v>
      </c>
      <c r="N163" s="148"/>
      <c r="O163" s="1"/>
      <c r="P163" s="1"/>
      <c r="Q163" s="3"/>
    </row>
    <row r="164" spans="1:17" customFormat="1" ht="15" x14ac:dyDescent="0.25">
      <c r="A164" s="1"/>
      <c r="B164" s="2"/>
      <c r="C164" s="2"/>
      <c r="D164" s="1"/>
      <c r="E164" s="1"/>
      <c r="F164" s="1"/>
      <c r="G164" s="3"/>
      <c r="H164" s="1"/>
      <c r="I164" s="4"/>
      <c r="J164" s="5"/>
      <c r="K164" s="1"/>
      <c r="L164" s="1"/>
      <c r="M164" s="1"/>
      <c r="N164" s="1"/>
      <c r="O164" s="1"/>
      <c r="P164" s="1"/>
      <c r="Q164" s="3"/>
    </row>
    <row r="165" spans="1:17" customFormat="1" ht="15" x14ac:dyDescent="0.25">
      <c r="A165" s="1"/>
      <c r="B165" s="2"/>
      <c r="C165" s="2"/>
      <c r="D165" s="1"/>
      <c r="E165" s="1"/>
      <c r="F165" s="1"/>
      <c r="G165" s="3"/>
      <c r="H165" s="1"/>
      <c r="I165" s="4"/>
      <c r="J165" s="5"/>
      <c r="K165" s="1"/>
      <c r="L165" s="1"/>
      <c r="M165" s="1"/>
      <c r="N165" s="1"/>
      <c r="O165" s="1"/>
      <c r="P165" s="1"/>
      <c r="Q165" s="3"/>
    </row>
    <row r="166" spans="1:17" customFormat="1" ht="15" x14ac:dyDescent="0.25">
      <c r="A166" s="1"/>
      <c r="B166" s="2"/>
      <c r="C166" s="2"/>
      <c r="D166" s="285"/>
      <c r="E166" s="285"/>
      <c r="F166" s="285"/>
      <c r="G166" s="285"/>
      <c r="H166" s="285"/>
      <c r="I166" s="21"/>
      <c r="J166" s="19"/>
      <c r="K166" s="285"/>
      <c r="L166" s="285"/>
      <c r="M166" s="285"/>
      <c r="N166" s="1"/>
      <c r="O166" s="1"/>
      <c r="P166" s="1"/>
      <c r="Q166" s="3"/>
    </row>
    <row r="167" spans="1:17" customFormat="1" ht="15" x14ac:dyDescent="0.25">
      <c r="A167" s="1"/>
      <c r="B167" s="2"/>
      <c r="C167" s="2"/>
      <c r="D167" s="3"/>
      <c r="E167" s="3"/>
      <c r="F167" s="3"/>
      <c r="G167" s="3"/>
      <c r="H167" s="3"/>
      <c r="I167" s="286"/>
      <c r="J167" s="7"/>
      <c r="K167" s="3"/>
      <c r="L167" s="3"/>
      <c r="M167" s="3"/>
      <c r="N167" s="1"/>
      <c r="O167" s="1"/>
      <c r="P167" s="1"/>
      <c r="Q167" s="3"/>
    </row>
    <row r="168" spans="1:17" customFormat="1" ht="15" x14ac:dyDescent="0.25">
      <c r="A168" s="1"/>
      <c r="B168" s="2"/>
      <c r="C168" s="2"/>
      <c r="D168" s="3"/>
      <c r="E168" s="3"/>
      <c r="F168" s="3"/>
      <c r="G168" s="3"/>
      <c r="H168" s="3"/>
      <c r="I168" s="286"/>
      <c r="J168" s="7"/>
      <c r="K168" s="3"/>
      <c r="L168" s="3"/>
      <c r="M168" s="3"/>
      <c r="N168" s="287"/>
      <c r="O168" s="1"/>
      <c r="P168" s="1"/>
      <c r="Q168" s="3"/>
    </row>
    <row r="169" spans="1:17" customFormat="1" ht="15" x14ac:dyDescent="0.25">
      <c r="A169" s="1"/>
      <c r="B169" s="2"/>
      <c r="C169" s="2"/>
      <c r="D169" s="3"/>
      <c r="E169" s="3"/>
      <c r="F169" s="3"/>
      <c r="G169" s="3"/>
      <c r="H169" s="3"/>
      <c r="I169" s="286"/>
      <c r="J169" s="7"/>
      <c r="K169" s="3"/>
      <c r="L169" s="3"/>
      <c r="M169" s="3"/>
      <c r="N169" s="1"/>
      <c r="O169" s="1"/>
      <c r="P169" s="1"/>
      <c r="Q169" s="1"/>
    </row>
    <row r="170" spans="1:17" customFormat="1" ht="15" x14ac:dyDescent="0.25">
      <c r="A170" s="288"/>
      <c r="B170" s="289"/>
      <c r="C170" s="289"/>
      <c r="D170" s="3"/>
      <c r="E170" s="3"/>
      <c r="F170" s="3"/>
      <c r="G170" s="3"/>
      <c r="H170" s="3"/>
      <c r="I170" s="286"/>
      <c r="J170" s="7"/>
      <c r="K170" s="3"/>
      <c r="L170" s="3"/>
      <c r="M170" s="3"/>
      <c r="N170" s="1"/>
      <c r="O170" s="1"/>
      <c r="P170" s="1"/>
      <c r="Q170" s="1"/>
    </row>
    <row r="171" spans="1:17" customFormat="1" ht="15" x14ac:dyDescent="0.25">
      <c r="A171" s="290"/>
      <c r="B171" s="290"/>
      <c r="C171" s="290"/>
      <c r="D171" s="290"/>
      <c r="E171" s="290"/>
      <c r="F171" s="3"/>
      <c r="G171" s="3"/>
      <c r="H171" s="3"/>
      <c r="I171" s="286"/>
      <c r="J171" s="7"/>
      <c r="K171" s="3"/>
      <c r="L171" s="3"/>
      <c r="M171" s="3"/>
      <c r="N171" s="1"/>
      <c r="O171" s="1"/>
      <c r="P171" s="1"/>
      <c r="Q171" s="1"/>
    </row>
    <row r="172" spans="1:17" customFormat="1" ht="15" x14ac:dyDescent="0.25">
      <c r="A172" s="288"/>
      <c r="B172" s="289"/>
      <c r="C172" s="289"/>
      <c r="D172" s="3"/>
      <c r="E172" s="3"/>
      <c r="F172" s="3"/>
      <c r="G172" s="3"/>
      <c r="H172" s="3"/>
      <c r="I172" s="286"/>
      <c r="J172" s="7"/>
      <c r="K172" s="3"/>
      <c r="L172" s="3"/>
      <c r="M172" s="3"/>
      <c r="N172" s="1"/>
      <c r="O172" s="1"/>
      <c r="P172" s="1"/>
      <c r="Q172" s="1"/>
    </row>
    <row r="173" spans="1:17" customFormat="1" ht="15" x14ac:dyDescent="0.25">
      <c r="A173" s="288"/>
      <c r="B173" s="289"/>
      <c r="C173" s="289"/>
      <c r="D173" s="3"/>
      <c r="E173" s="3"/>
      <c r="F173" s="3"/>
      <c r="G173" s="3"/>
      <c r="H173" s="3"/>
      <c r="I173" s="286"/>
      <c r="J173" s="7"/>
      <c r="K173" s="3"/>
      <c r="L173" s="3"/>
      <c r="M173" s="3"/>
      <c r="N173" s="1"/>
      <c r="O173" s="1"/>
      <c r="P173" s="1"/>
      <c r="Q173" s="1"/>
    </row>
    <row r="174" spans="1:17" customFormat="1" ht="15" x14ac:dyDescent="0.25">
      <c r="A174" s="290"/>
      <c r="B174" s="289"/>
      <c r="C174" s="291"/>
      <c r="D174" s="292"/>
      <c r="E174" s="292"/>
      <c r="F174" s="3"/>
      <c r="G174" s="3"/>
      <c r="H174" s="3"/>
      <c r="I174" s="286"/>
      <c r="J174" s="7"/>
      <c r="K174" s="3"/>
      <c r="L174" s="3"/>
      <c r="M174" s="3"/>
      <c r="N174" s="1"/>
      <c r="O174" s="1"/>
      <c r="P174" s="1"/>
      <c r="Q174" s="1"/>
    </row>
    <row r="175" spans="1:17" s="5" customFormat="1" ht="12.75" x14ac:dyDescent="0.25">
      <c r="A175" s="290"/>
      <c r="B175" s="293"/>
      <c r="C175" s="294"/>
      <c r="D175" s="295"/>
      <c r="E175" s="295"/>
      <c r="F175" s="7"/>
      <c r="G175" s="7"/>
      <c r="H175" s="7"/>
      <c r="I175" s="286"/>
      <c r="J175" s="7"/>
      <c r="K175" s="7"/>
      <c r="L175" s="7"/>
      <c r="M175" s="7"/>
    </row>
    <row r="176" spans="1:17" customFormat="1" ht="15" x14ac:dyDescent="0.25">
      <c r="A176" s="1"/>
      <c r="B176" s="289"/>
      <c r="C176" s="1"/>
      <c r="D176" s="3"/>
      <c r="E176" s="3"/>
      <c r="F176" s="3"/>
      <c r="G176" s="3"/>
      <c r="H176" s="3"/>
      <c r="I176" s="286"/>
      <c r="J176" s="7"/>
      <c r="K176" s="3"/>
      <c r="L176" s="3"/>
      <c r="M176" s="3"/>
      <c r="N176" s="1"/>
      <c r="O176" s="1"/>
      <c r="P176" s="1"/>
      <c r="Q176" s="1"/>
    </row>
    <row r="177" spans="1:13" customFormat="1" ht="15" x14ac:dyDescent="0.25">
      <c r="A177" s="1"/>
      <c r="B177" s="2"/>
      <c r="C177" s="2"/>
      <c r="D177" s="3"/>
      <c r="E177" s="3"/>
      <c r="F177" s="3"/>
      <c r="G177" s="3"/>
      <c r="H177" s="3"/>
      <c r="I177" s="286"/>
      <c r="J177" s="7"/>
      <c r="K177" s="3"/>
      <c r="L177" s="3"/>
      <c r="M177" s="3"/>
    </row>
    <row r="178" spans="1:13" customFormat="1" ht="15" x14ac:dyDescent="0.25">
      <c r="A178" s="1"/>
      <c r="B178" s="2"/>
      <c r="C178" s="2"/>
      <c r="D178" s="3"/>
      <c r="E178" s="3"/>
      <c r="F178" s="3"/>
      <c r="G178" s="3"/>
      <c r="H178" s="3"/>
      <c r="I178" s="286"/>
      <c r="J178" s="7"/>
      <c r="K178" s="3"/>
      <c r="L178" s="3"/>
      <c r="M178" s="3"/>
    </row>
    <row r="179" spans="1:13" customFormat="1" ht="15" x14ac:dyDescent="0.25">
      <c r="A179" s="1"/>
      <c r="B179" s="2"/>
      <c r="C179" s="2"/>
      <c r="D179" s="3"/>
      <c r="E179" s="3"/>
      <c r="F179" s="3"/>
      <c r="G179" s="3"/>
      <c r="H179" s="3"/>
      <c r="I179" s="286"/>
      <c r="J179" s="7"/>
      <c r="K179" s="3"/>
      <c r="L179" s="3"/>
      <c r="M179" s="3"/>
    </row>
    <row r="180" spans="1:13" customFormat="1" ht="15" x14ac:dyDescent="0.25">
      <c r="A180" s="1"/>
      <c r="B180" s="2"/>
      <c r="C180" s="2"/>
      <c r="D180" s="3"/>
      <c r="E180" s="3"/>
      <c r="F180" s="3"/>
      <c r="G180" s="3"/>
      <c r="H180" s="3"/>
      <c r="I180" s="286"/>
      <c r="J180" s="7"/>
      <c r="K180" s="3"/>
      <c r="L180" s="3"/>
      <c r="M180" s="3"/>
    </row>
    <row r="181" spans="1:13" customFormat="1" ht="15" x14ac:dyDescent="0.25">
      <c r="A181" s="287"/>
      <c r="B181" s="2"/>
      <c r="C181" s="2"/>
      <c r="D181" s="3"/>
      <c r="E181" s="3"/>
      <c r="F181" s="3"/>
      <c r="G181" s="3"/>
      <c r="H181" s="3"/>
      <c r="I181" s="286"/>
      <c r="J181" s="7"/>
      <c r="K181" s="3"/>
      <c r="L181" s="3"/>
      <c r="M181" s="3"/>
    </row>
    <row r="182" spans="1:13" customFormat="1" ht="15" x14ac:dyDescent="0.25">
      <c r="A182" s="1"/>
      <c r="B182" s="2"/>
      <c r="C182" s="2"/>
      <c r="D182" s="3"/>
      <c r="E182" s="3"/>
      <c r="F182" s="3"/>
      <c r="G182" s="3"/>
      <c r="H182" s="3"/>
      <c r="I182" s="286"/>
      <c r="J182" s="7"/>
      <c r="K182" s="3"/>
      <c r="L182" s="3"/>
      <c r="M182" s="3"/>
    </row>
    <row r="183" spans="1:13" customFormat="1" ht="15" x14ac:dyDescent="0.25">
      <c r="A183" s="99"/>
      <c r="B183" s="296"/>
      <c r="C183" s="296"/>
      <c r="D183" s="297"/>
      <c r="E183" s="297"/>
      <c r="F183" s="3"/>
      <c r="G183" s="3"/>
      <c r="H183" s="3"/>
      <c r="I183" s="286"/>
      <c r="J183" s="7"/>
      <c r="K183" s="3"/>
      <c r="L183" s="3"/>
      <c r="M183" s="3"/>
    </row>
    <row r="184" spans="1:13" customFormat="1" ht="15" x14ac:dyDescent="0.25">
      <c r="A184" s="1"/>
      <c r="B184" s="2"/>
      <c r="C184" s="2"/>
      <c r="D184" s="3"/>
      <c r="E184" s="3"/>
      <c r="F184" s="3"/>
      <c r="G184" s="3"/>
      <c r="H184" s="3"/>
      <c r="I184" s="286"/>
      <c r="J184" s="7"/>
      <c r="K184" s="3"/>
      <c r="L184" s="3"/>
      <c r="M184" s="3"/>
    </row>
    <row r="185" spans="1:13" customFormat="1" ht="15" x14ac:dyDescent="0.25">
      <c r="A185" s="1"/>
      <c r="B185" s="2"/>
      <c r="C185" s="2"/>
      <c r="D185" s="3"/>
      <c r="E185" s="3"/>
      <c r="F185" s="3"/>
      <c r="G185" s="3"/>
      <c r="H185" s="3"/>
      <c r="I185" s="286"/>
      <c r="J185" s="7"/>
      <c r="K185" s="3"/>
      <c r="L185" s="3"/>
      <c r="M185" s="3"/>
    </row>
    <row r="186" spans="1:13" customFormat="1" ht="15" x14ac:dyDescent="0.25">
      <c r="A186" s="1"/>
      <c r="B186" s="2"/>
      <c r="C186" s="2"/>
      <c r="D186" s="3"/>
      <c r="E186" s="3"/>
      <c r="F186" s="3"/>
      <c r="G186" s="3"/>
      <c r="H186" s="3"/>
      <c r="I186" s="286"/>
      <c r="J186" s="7"/>
      <c r="K186" s="3"/>
      <c r="L186" s="3"/>
      <c r="M186" s="3"/>
    </row>
    <row r="187" spans="1:13" customFormat="1" ht="15" x14ac:dyDescent="0.25">
      <c r="A187" s="1"/>
      <c r="B187" s="2"/>
      <c r="C187" s="2"/>
      <c r="D187" s="3"/>
      <c r="E187" s="3"/>
      <c r="F187" s="3"/>
      <c r="G187" s="3"/>
      <c r="H187" s="3"/>
      <c r="I187" s="286"/>
      <c r="J187" s="7"/>
      <c r="K187" s="3"/>
      <c r="L187" s="3"/>
      <c r="M187" s="3"/>
    </row>
    <row r="188" spans="1:13" customFormat="1" ht="15" x14ac:dyDescent="0.25">
      <c r="A188" s="1"/>
      <c r="B188" s="2"/>
      <c r="C188" s="2"/>
      <c r="D188" s="3"/>
      <c r="E188" s="3"/>
      <c r="F188" s="3"/>
      <c r="G188" s="3"/>
      <c r="H188" s="3"/>
      <c r="I188" s="286"/>
      <c r="J188" s="7"/>
      <c r="K188" s="3"/>
      <c r="L188" s="3"/>
      <c r="M188" s="3"/>
    </row>
    <row r="189" spans="1:13" customFormat="1" ht="15" x14ac:dyDescent="0.25">
      <c r="A189" s="1"/>
      <c r="B189" s="2"/>
      <c r="C189" s="2"/>
      <c r="D189" s="3"/>
      <c r="E189" s="3"/>
      <c r="F189" s="3"/>
      <c r="G189" s="3"/>
      <c r="H189" s="3"/>
      <c r="I189" s="286"/>
      <c r="J189" s="7"/>
      <c r="K189" s="3"/>
      <c r="L189" s="3"/>
      <c r="M189" s="3"/>
    </row>
    <row r="190" spans="1:13" customFormat="1" ht="15" x14ac:dyDescent="0.25">
      <c r="A190" s="1"/>
      <c r="B190" s="2"/>
      <c r="C190" s="2"/>
      <c r="D190" s="3"/>
      <c r="E190" s="3"/>
      <c r="F190" s="3"/>
      <c r="G190" s="3"/>
      <c r="H190" s="3"/>
      <c r="I190" s="286"/>
      <c r="J190" s="7"/>
      <c r="K190" s="3"/>
      <c r="L190" s="3"/>
      <c r="M190" s="3"/>
    </row>
    <row r="191" spans="1:13" customFormat="1" ht="15" x14ac:dyDescent="0.25">
      <c r="A191" s="1"/>
      <c r="B191" s="2"/>
      <c r="C191" s="2"/>
      <c r="D191" s="3"/>
      <c r="E191" s="3"/>
      <c r="F191" s="3"/>
      <c r="G191" s="3"/>
      <c r="H191" s="3"/>
      <c r="I191" s="286"/>
      <c r="J191" s="7"/>
      <c r="K191" s="3"/>
      <c r="L191" s="3"/>
      <c r="M191" s="3"/>
    </row>
    <row r="192" spans="1:13" customFormat="1" ht="15" x14ac:dyDescent="0.25">
      <c r="A192" s="1"/>
      <c r="B192" s="2"/>
      <c r="C192" s="2"/>
      <c r="D192" s="3"/>
      <c r="E192" s="3"/>
      <c r="F192" s="3"/>
      <c r="G192" s="3"/>
      <c r="H192" s="3"/>
      <c r="I192" s="286"/>
      <c r="J192" s="7"/>
      <c r="K192" s="3"/>
      <c r="L192" s="3"/>
      <c r="M192" s="3"/>
    </row>
    <row r="193" spans="4:13" customFormat="1" ht="15" x14ac:dyDescent="0.25">
      <c r="D193" s="3"/>
      <c r="E193" s="3"/>
      <c r="F193" s="3"/>
      <c r="G193" s="3"/>
      <c r="H193" s="3"/>
      <c r="I193" s="286"/>
      <c r="J193" s="7"/>
      <c r="K193" s="3"/>
      <c r="L193" s="3"/>
      <c r="M193" s="3"/>
    </row>
    <row r="194" spans="4:13" customFormat="1" ht="15" x14ac:dyDescent="0.25">
      <c r="D194" s="3"/>
      <c r="E194" s="3"/>
      <c r="F194" s="3"/>
      <c r="G194" s="3"/>
      <c r="H194" s="3"/>
      <c r="I194" s="286"/>
      <c r="J194" s="7"/>
      <c r="K194" s="3"/>
      <c r="L194" s="3"/>
      <c r="M194" s="3"/>
    </row>
  </sheetData>
  <mergeCells count="14">
    <mergeCell ref="N4:N6"/>
    <mergeCell ref="G6:I6"/>
    <mergeCell ref="A171:E171"/>
    <mergeCell ref="A174:A175"/>
    <mergeCell ref="A3:N3"/>
    <mergeCell ref="A4:A6"/>
    <mergeCell ref="B4:B6"/>
    <mergeCell ref="C4:C6"/>
    <mergeCell ref="D4:D6"/>
    <mergeCell ref="E4:F5"/>
    <mergeCell ref="G4:G5"/>
    <mergeCell ref="H4:H5"/>
    <mergeCell ref="I4:I5"/>
    <mergeCell ref="J4:M5"/>
  </mergeCells>
  <printOptions horizontalCentered="1"/>
  <pageMargins left="0.39370078740157483" right="0.39370078740157483" top="0.35433070866141736" bottom="0.74803149606299213" header="0.31496062992125984" footer="0.31496062992125984"/>
  <pageSetup paperSize="9" scale="55" orientation="landscape" r:id="rId1"/>
  <headerFooter>
    <oddFooter>&amp;C&amp;P</oddFoot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2014-11-24T12:36:16Z</dcterms:modified>
</cp:coreProperties>
</file>