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9230" windowHeight="5775" activeTab="0"/>
  </bookViews>
  <sheets>
    <sheet name="List1" sheetId="1" r:id="rId1"/>
  </sheets>
  <definedNames>
    <definedName name="_xlnm.Print_Titles" localSheetId="0">'List1'!$5:$6</definedName>
    <definedName name="_xlnm.Print_Area" localSheetId="0">'List1'!$A$1:$X$229</definedName>
  </definedNames>
  <calcPr fullCalcOnLoad="1"/>
</workbook>
</file>

<file path=xl/sharedStrings.xml><?xml version="1.0" encoding="utf-8"?>
<sst xmlns="http://schemas.openxmlformats.org/spreadsheetml/2006/main" count="302" uniqueCount="252">
  <si>
    <t>PŘEHLED AKCÍ SPOLUFINANCOVANÝCH Z EVROPSKÝCH FINANČNÍCH ZDROJŮ</t>
  </si>
  <si>
    <t>v tis. Kč</t>
  </si>
  <si>
    <t xml:space="preserve">číslo akce </t>
  </si>
  <si>
    <t>Název akce</t>
  </si>
  <si>
    <t xml:space="preserve">Celkové výdaje </t>
  </si>
  <si>
    <t>Upravený rozpočet výdajů
2015</t>
  </si>
  <si>
    <t>UR/SK
(%)</t>
  </si>
  <si>
    <t>Předpokládané výdaje 2015
(1)</t>
  </si>
  <si>
    <t>Plánovaný podíl               EU a ST         %</t>
  </si>
  <si>
    <t>celkem</t>
  </si>
  <si>
    <t>Úpravy rozpočtu ze dne 15. 5. 2012</t>
  </si>
  <si>
    <t>Rozpočet po úpravách</t>
  </si>
  <si>
    <t>ODVĚTVÍ DOPRAVY:</t>
  </si>
  <si>
    <t>x</t>
  </si>
  <si>
    <t>Letiště Leoše Janáčka Ostrava, kolejové napojení</t>
  </si>
  <si>
    <t>Letiště Leoše Janáčka Ostrava, integrované výjezdové centrum</t>
  </si>
  <si>
    <t>II/449 - Rýmařov - Ondřejov, rekonstrukce silnice km 0,00 - 11,40, II.stavba</t>
  </si>
  <si>
    <t xml:space="preserve">Silnice II/452 Bruntál - Mezina </t>
  </si>
  <si>
    <t xml:space="preserve">Silnice II/462 Vítkov - Větřkovice </t>
  </si>
  <si>
    <t>Silnice III/4785 prodloužená Bílovecká</t>
  </si>
  <si>
    <t>Silnice 2013 - I. etapa</t>
  </si>
  <si>
    <t>Silnice 2013 - II. etapa</t>
  </si>
  <si>
    <t>Silnice 2013 - IV. etapa</t>
  </si>
  <si>
    <t>Silnice 2014 - I. etapa</t>
  </si>
  <si>
    <t>Letiště Leoše Janáčka Ostrava, ostatní zpevněné plochy - světlotechnika</t>
  </si>
  <si>
    <t>Silnice 2014 - II. etapa</t>
  </si>
  <si>
    <t>Silnice 2014 - III. etapa</t>
  </si>
  <si>
    <t>Silnice 2014 - IV. etapa</t>
  </si>
  <si>
    <t>Silnice 2014 - V. etapa</t>
  </si>
  <si>
    <t>Silnice 2014 - VI. etapa</t>
  </si>
  <si>
    <t>Silnice 2015 - 7 staveb</t>
  </si>
  <si>
    <t>Silnice 2015 - Mariánskohorská</t>
  </si>
  <si>
    <t>Letiště Leoše Janáčka Ostrava, kolejové napojení – doprovodná struktura I.</t>
  </si>
  <si>
    <t>Letiště Leoše Janáčka Ostrava, kolejové napojení – doprovodná struktura II.</t>
  </si>
  <si>
    <t>Sankce za stanovení technického kvalifikačního kritéria pro obalovny v rámci procesu veřejných zakázek</t>
  </si>
  <si>
    <t>Zlepšení dostupnosti pohraniční oblasti modernizací silnice v úseku Sciborzyce Wielkie - Hněvošice</t>
  </si>
  <si>
    <t>4066(3999)</t>
  </si>
  <si>
    <t xml:space="preserve">Příprava staveb a vypořádání pozemků (Správa silnic Moravskoslezského kraje, příspěvková organizace, Ostrava) </t>
  </si>
  <si>
    <t>ODVĚTVÍ KRIZOVÉ:</t>
  </si>
  <si>
    <t>Nákup hasičských vozidel se zařízením pro výrobu a dopravu pěny</t>
  </si>
  <si>
    <t>Nákup prvosledových hasičských vozidel se speciální IT technikou</t>
  </si>
  <si>
    <t>Integrované výjezdové centrum Ostrava-Jih</t>
  </si>
  <si>
    <t>Výjezdové centrum jednotky Sboru dobrovolných hasičů Města Albrechtice a Zdravotnické záchranné služby MSK</t>
  </si>
  <si>
    <t>Výstavba integrovaného výjezdového centra v Třinci</t>
  </si>
  <si>
    <t>Nákup hasičské výškové techniky</t>
  </si>
  <si>
    <t>CHEMICKÝ MONITORING – CHEMON</t>
  </si>
  <si>
    <t>ODVĚTVÍ CESTOVNÍHO RUCHU:</t>
  </si>
  <si>
    <t>Jesenická magistrála</t>
  </si>
  <si>
    <t>Moravskoslezský kraj - kraj plný zážitků III</t>
  </si>
  <si>
    <t>Jak šmakuje Moravskoslezsko</t>
  </si>
  <si>
    <t>Cestuj a poznávej Moravskoslezský kraj - s chutí</t>
  </si>
  <si>
    <t>ODVĚTVÍ REGIONÁLNÍHO ROZVOJE:</t>
  </si>
  <si>
    <t>Partnerstvím ke zvýšení zaměstnanosti</t>
  </si>
  <si>
    <t>Moravskoslezský pakt zaměstnanosti: Mezinárodní výměna zkušeností a příkladů dobré praxe při rozvoji místních partnerství na podporu zaměstnanosti</t>
  </si>
  <si>
    <t xml:space="preserve">Technická pomoc - Podpora propagačních a informačních aktivit v OPPS ČR-PR </t>
  </si>
  <si>
    <t>Přeshraniční kooperační síť pro rozvoj podnikání a trhu práce</t>
  </si>
  <si>
    <t>Nové programové období 2014+</t>
  </si>
  <si>
    <t>1404(3998)</t>
  </si>
  <si>
    <t>Prostředky na přípravu projektů</t>
  </si>
  <si>
    <t>ODVĚTVÍ SOCIÁLNÍCH VĚCÍ:</t>
  </si>
  <si>
    <t>Poradna pro pěstounskou péči v Karviné</t>
  </si>
  <si>
    <t>Poradna pro pěstounskou péči v Ostravě</t>
  </si>
  <si>
    <t>1. etapa transformace organizace Marianum</t>
  </si>
  <si>
    <t>Rekonstrukce objektu na domov pro osoby se zdravotním postižením, Sírius Opava</t>
  </si>
  <si>
    <t>Novostavba domova pro osoby se zdravotním postižením v Havířově</t>
  </si>
  <si>
    <t>Rekonstrukce domova pro osoby se zdravotním postižením ve Frýdku-Místku</t>
  </si>
  <si>
    <t>3. etapa transformace organizace Marianum B</t>
  </si>
  <si>
    <t>Transformace zámku Dolní Životice A</t>
  </si>
  <si>
    <t>Rekonstrukce objektu v Českém Těšíně na chráněné bydlení</t>
  </si>
  <si>
    <t>4. etapa transformace organizace Marianum</t>
  </si>
  <si>
    <t>Nákup lůžek a matrací pro sociální zařízení</t>
  </si>
  <si>
    <t>Pořízení vozidel do objektů sociálních zařízení</t>
  </si>
  <si>
    <t>Evaluace poskytování sociálních služeb v Moravskoslezském kraji</t>
  </si>
  <si>
    <t>Podpora péče o ohrožené děti</t>
  </si>
  <si>
    <t>Podpora vzdělávání v sociální oblasti v MSK III</t>
  </si>
  <si>
    <t>Specifické intervence pro mladistvé závislé na návykových látkách</t>
  </si>
  <si>
    <t>Plánování sociálních služeb II</t>
  </si>
  <si>
    <t>Podpora procesu transformace pobytových sociálních služeb v Moravskoslezském kraji II</t>
  </si>
  <si>
    <t>Podpora sociálních služeb v sociálně vyloučených lokalitách Moravskoslezského kraje II</t>
  </si>
  <si>
    <t>Podpora a rozvoj služeb v sociálně vyloučených lokalitách MSK</t>
  </si>
  <si>
    <t>Optimalizace sítě služeb sociální prevence v Moravskoslezském kraji</t>
  </si>
  <si>
    <t>Podpora sociálních služeb v sociálně vyloučených lokalitách III</t>
  </si>
  <si>
    <t>Podpora vzdělávání a supervize v sociální oblasti v MSK II</t>
  </si>
  <si>
    <t xml:space="preserve">2. etapa transformace organizace Marianum </t>
  </si>
  <si>
    <t xml:space="preserve">1. etapa transformace zámku Jindřichov ve Slezsku </t>
  </si>
  <si>
    <t>Transformace zámku Nová Horka</t>
  </si>
  <si>
    <t>3. etapa transformace organizace Marianum A</t>
  </si>
  <si>
    <t>Humanizace domova pro seniory na ul. Roosveltově v Opavě</t>
  </si>
  <si>
    <t>ODVĚTVÍ ŠKOLSTVÍ:</t>
  </si>
  <si>
    <t>Vybavení oborových center - dřevoobráběcí CNC stroje</t>
  </si>
  <si>
    <t>Diagnostické nástroje, ICT a pomůcky pro speciálně pedagogická centra</t>
  </si>
  <si>
    <t>Modernizace, rekonstrukce a výstavba sportovišť vzdělávacích zařízení II</t>
  </si>
  <si>
    <t>Modernizace, rekonstrukce a výstavba sportovišť vzdělávacích zařízení IV</t>
  </si>
  <si>
    <t>Modernizace, rekonstrukce a výstavba sportovišť vzdělávacích zařízení V</t>
  </si>
  <si>
    <t>Výstavba fóliovniků v Opavě</t>
  </si>
  <si>
    <t>Modernizace výuky a podmínek pro výuku v základních uměleckých školách</t>
  </si>
  <si>
    <t xml:space="preserve">Přírodovědné učebny a laboratoře ve středních odborných školách </t>
  </si>
  <si>
    <t>Přírodovědné laboratoře v gymnáziích</t>
  </si>
  <si>
    <t>Atraktivnější výuka zahradnických oborů</t>
  </si>
  <si>
    <t>Jazykové učebny středních odborných škol</t>
  </si>
  <si>
    <t>Modernizace výuky ve zdravotnických oborech</t>
  </si>
  <si>
    <t>Zlepšení podmínek pro praktické vyučování žáků v technicky zaměřených oborech středního vzdělávání v Ostravě</t>
  </si>
  <si>
    <t>Modernizace chemických laboratoří na SPŠ chemické v Ostravě</t>
  </si>
  <si>
    <t>Modernizace výuky instalatérských oborů</t>
  </si>
  <si>
    <t>Podpora strojírenských oborů</t>
  </si>
  <si>
    <t>Přírodovědné laboratoře</t>
  </si>
  <si>
    <t>Vybudování dílen ve Střední škole technické a zemědělské, Nový Jičín</t>
  </si>
  <si>
    <t>Podpora přírodovědných předmětů</t>
  </si>
  <si>
    <t>Podpora jazykového vzdělávání ve středních školách</t>
  </si>
  <si>
    <t>Vzdělávání zaměstnanců územní veřejné správy v MSK</t>
  </si>
  <si>
    <t>GG - Zvyšování kvality ve vzdělávání v kraji Moravskoslezském</t>
  </si>
  <si>
    <t>GG - Rovné příležitosti ve vzdělávání v kraji Moravskoslezském</t>
  </si>
  <si>
    <t>GG - Další vzdělávání pracovníků škol v kraji Moravskoslezském</t>
  </si>
  <si>
    <t>Mentor-lektor</t>
  </si>
  <si>
    <t>GG - Podpora nabídky dalšího vzdělávání v Moravskoslezském kraji</t>
  </si>
  <si>
    <t>GG - Zvyšování kvality ve vzdělávání v Moravskoslezském kraji II</t>
  </si>
  <si>
    <t>GG - Rovné příležitosti dětí a žáků ve vzdělávání v Moravskoslezském kraji II</t>
  </si>
  <si>
    <t>GG - Další vzdělávání pracovníků škol a školských zařízení v Moravskoslezském kraji II</t>
  </si>
  <si>
    <t>Technická pomoc pro globální grant OP VK - Řízení, kontrola, monitorování a hodnocení globálních grantů v Moravskoslezském kraji II</t>
  </si>
  <si>
    <t>Technická pomoc pro globální grant OP VK - Informovanost a publicita GG OP Moravskoslezského kraje II</t>
  </si>
  <si>
    <t>Technická pomoc pro globální grant OP VK - Zvýšení absorpční kapacity subjektů implementujících program Moravskoslezského kraje II</t>
  </si>
  <si>
    <t>Podpora přírodovědného a technického vzdělávání v Moravskoslezském kraji</t>
  </si>
  <si>
    <t>Energetické úspory ve školách a školských zařízeních zřizovaných Moravskoslezským krajem - III. etapa</t>
  </si>
  <si>
    <t>Zateplení Střední školy prof. Zdeňka Matějčka v Ostravě-Porubě</t>
  </si>
  <si>
    <t>Zateplení Střední zdravotnické školy a Vyšší odborné školy zdravotnické v Ostravě (areál na ul. 1. máje)</t>
  </si>
  <si>
    <t>Energetické úspory SOŠ Český Těšín, budova školy Tyršova</t>
  </si>
  <si>
    <t>Zateplení vybraných budov Vyšší odborné školy, Střední odborné školy a Středního odborného učiliště v Kopřivnici</t>
  </si>
  <si>
    <t>Zateplení Střední školy techniky a služeb v Karviné</t>
  </si>
  <si>
    <t>Zateplení Střední školy technické a dopravní v Ostravě-Vítkovicích</t>
  </si>
  <si>
    <t>Zateplení objektu dílen Střední školy elektrotechnické v Ostravě</t>
  </si>
  <si>
    <t>Zateplení Střední odborné školy v Bruntále</t>
  </si>
  <si>
    <t>Zateplení areálu Gymnázia a Střední průmyslové školy elektrotechniky a informatiky ve Frenštátě pod Radhoštěm na ul. Křižíkova</t>
  </si>
  <si>
    <t>Zateplení tělocvičny Wichterlova gymnázia v Ostravě-Porubě</t>
  </si>
  <si>
    <t>Zateplení Matičního gymnázia v Ostravě</t>
  </si>
  <si>
    <t>Zateplení Střední průmyslové školy a Obchodní akademie v Bruntále (areál na ul. Kavalcova)</t>
  </si>
  <si>
    <t>Gymnázium a Střední odborná škola, Rýmařov, příspěvková organizace (budova gymnázia s přístavbou a budova tělocvičny)</t>
  </si>
  <si>
    <t>Gymnázium a Střední odborná škola, Rýmařov, příspěvková organizace</t>
  </si>
  <si>
    <t>Zateplení Gymnázia Havířov-Podlesí</t>
  </si>
  <si>
    <t>Zateplení Sportovního gymnázia Dany a Emila Zátopkových v Ostravě</t>
  </si>
  <si>
    <t>Zateplení Gymnázia v Ostravě-Zábřehu na ul. Volgogradská</t>
  </si>
  <si>
    <t>Zateplení Gymnázia Mikuláše Koperníka v Bílovci</t>
  </si>
  <si>
    <t>Zateplení Obchodní akademie v Ostravě-Porubě</t>
  </si>
  <si>
    <t>Zateplení budovy Odborného učiliště a Praktické školy v Hlučíně na ul. ČSA</t>
  </si>
  <si>
    <t>Zateplení Základní školy v Ostravě-Zábřehu na ul. Kpt. Vajdy</t>
  </si>
  <si>
    <t>Zateplení Základní umělecké školy Viléma Petrželky v Ostravě-Hrabůvce</t>
  </si>
  <si>
    <t>Zateplení vybraných objektů Střední odborné školy dopravy a cestovního ruchu v Krnově</t>
  </si>
  <si>
    <t>Střední škola zemědělství a služeb, příspěvková organizace, Město Albrechtice</t>
  </si>
  <si>
    <t>Zateplení SOŠ a SOU podnikání a služeb v Jablunkově - budova na ulici Školní</t>
  </si>
  <si>
    <t>Zateplení SOŠ a SOU podnikání a služeb v Jablunkově - budova na ulici Zahradní</t>
  </si>
  <si>
    <t>Zateplení Gymnázia ve Frýdlantu nad Ostravicí</t>
  </si>
  <si>
    <t>Zateplení ZUŠ Leoše Janáčka ve Frýdlantu nad Ostravicí</t>
  </si>
  <si>
    <t>Zateplení Střední školy zahradnické v Ostravě - SPV na ulici U Hrůbků</t>
  </si>
  <si>
    <t>Zateplení Dětského domova na ulici Čelakovského v Havířově - Podlesí</t>
  </si>
  <si>
    <t>Zateplení sportovního centra Střední školy a Základní školy v Havířově - Šumbarku</t>
  </si>
  <si>
    <t>Teoretické a praktické vzdělávání ve zdravotnických školách a zdravotnických zařízeních</t>
  </si>
  <si>
    <t>Envitalent</t>
  </si>
  <si>
    <t>From Dropout to Inclusion (Od vyloučení k začlenění)</t>
  </si>
  <si>
    <t>Napříč krajem s mládeží</t>
  </si>
  <si>
    <t>Building local capacity for competitive education</t>
  </si>
  <si>
    <t>Podpora vzdělávání žáků se speciálními vzdělávacími potřebami</t>
  </si>
  <si>
    <t xml:space="preserve">Návratné finanční výpomoci </t>
  </si>
  <si>
    <t>ODVĚTVÍ ZDRAVOTNICTVÍ:</t>
  </si>
  <si>
    <t>Obnovení  přístrojové techniky ve zdravotnických zařízeních</t>
  </si>
  <si>
    <t>Pavilon chirurgických oborů v Nemocnici ve Frýdku-Místku, p.o.</t>
  </si>
  <si>
    <t>Rekonstrukce gynekologicko-porodního oddělení v Nemocnici s poliklinikou Karviná - Ráj, p.o.</t>
  </si>
  <si>
    <t>Nákup lůžek a matrací do nemocnic zřizovaných Moravskoslezským krajem</t>
  </si>
  <si>
    <t>Vybudování pavilonu interních oborů v Opavě</t>
  </si>
  <si>
    <t>Sanitní vozy a služby eHealth</t>
  </si>
  <si>
    <t>Rekonstrukce geriatrického oddělení  v Nemocnici s poliklinikou Havířov, příspěvková organizace</t>
  </si>
  <si>
    <t>Pořízení pomůcek pro ošetřovatelskou a rehabilitační péči zdravotnických zařízení</t>
  </si>
  <si>
    <t>Krajský standardizovaný projekt zdravotnické záchranné služby Moravskoslezského kraje</t>
  </si>
  <si>
    <t xml:space="preserve">Ekologizace zdravotnických zařízení zřizovaných Moravskoslezským krajem </t>
  </si>
  <si>
    <t>Zateplení vybraných objektů nemocnice v Karviné - Ráji</t>
  </si>
  <si>
    <t>Zateplení vybraných objektů Nemocnice s poliklinikou Havířov</t>
  </si>
  <si>
    <t>Zateplení vybraných objektů Nemocnice s poliklinikou v Novém Jičíně</t>
  </si>
  <si>
    <t>ODVĚTVÍ KULTURY:</t>
  </si>
  <si>
    <t>Archeopark Chotěbuz - 2. část</t>
  </si>
  <si>
    <t>Revitalizace zámku ve Frýdku včetně obnovy expozice </t>
  </si>
  <si>
    <t>Hrad Sovinec – zpřístupnění barokního opevnění a podzemní chodby</t>
  </si>
  <si>
    <t>ODVĚTVÍ VLASTNÍ SPRÁVNÍ ČINNOST KRAJE A ČINNOST ZASTUPITELSTVA KRAJE:</t>
  </si>
  <si>
    <t>Rozvoj kompetencí strategického, procesního a projektového řízení a kvality </t>
  </si>
  <si>
    <t>Optimalizace řídicích a kontrolních systémů v oblasti výkonu zřizovatelských funkcí</t>
  </si>
  <si>
    <t>Rozvoj kvality řízení a good governance na KÚ MSK</t>
  </si>
  <si>
    <t>Vzdělávací systém zaměstnanců KÚ MSK</t>
  </si>
  <si>
    <t>E-Government Moravskoslezského kraje (II. - VI. část výzvy)</t>
  </si>
  <si>
    <t>Rozvoj e-Government služeb v Moravskoslezském kraji</t>
  </si>
  <si>
    <t xml:space="preserve">Strategie systémové spolupráce veřejných institucí MSK, Slezského a Opolského vojvodství </t>
  </si>
  <si>
    <t>Využití energie slunce pro ohřev vody v budovách krajského úřadu</t>
  </si>
  <si>
    <t>ODVĚTVÍ ŽIVOTNÍHO PROSTŘEDÍ:</t>
  </si>
  <si>
    <t>Parkové úpravy v areálu OLÚ Metylovice, Moravskoslezského sanatoria,p.o.</t>
  </si>
  <si>
    <t>Snížení prašnosti v okolí komunikací ve vlastnictví Moravskoslezského kraje</t>
  </si>
  <si>
    <t xml:space="preserve">         (2) Jedná se o projekty realizované příspěvkovými organizacemi (příjemci dotace), u kterých se Moravskoslezský kraj zavázal financovat jejich podíl.  </t>
  </si>
  <si>
    <t>CELKEM</t>
  </si>
  <si>
    <t>Nákup dopravních automobilů pro JPO</t>
  </si>
  <si>
    <t>Rozvoj architektury ICT Moravskoslezského kraje</t>
  </si>
  <si>
    <t>Sociálně terapeutické dílny a zázemí pro vedení organizace Sagapo v Bruntále</t>
  </si>
  <si>
    <t>Domov pro osoby se zdravotním postižením organizace Sagapo v Bruntále</t>
  </si>
  <si>
    <t>Chráněné bydlení organizace Sagapo v Bruntále</t>
  </si>
  <si>
    <t>Přístrojové vybavení iktového centra Sdruženého zdravotnického zařízení Krnov</t>
  </si>
  <si>
    <t>ýdaje</t>
  </si>
  <si>
    <t xml:space="preserve">         (3) Projekty programového období 2014 - 2020</t>
  </si>
  <si>
    <r>
      <t>90,00</t>
    </r>
    <r>
      <rPr>
        <vertAlign val="superscript"/>
        <sz val="9"/>
        <rFont val="Tahoma"/>
        <family val="2"/>
      </rPr>
      <t xml:space="preserve"> 3)</t>
    </r>
  </si>
  <si>
    <r>
      <t xml:space="preserve">x </t>
    </r>
    <r>
      <rPr>
        <vertAlign val="superscript"/>
        <sz val="9"/>
        <rFont val="Tahoma"/>
        <family val="2"/>
      </rPr>
      <t>3)</t>
    </r>
  </si>
  <si>
    <t>Vybudování dílen pro praktické vyučování, Střední odborná škola, Frýdek-Místek, příspěvková organizace</t>
  </si>
  <si>
    <t>Modernizace Školního statku v Opavě</t>
  </si>
  <si>
    <t>Rekonstrukce a modernizace silnic II. a III. tříd - IROP 2015</t>
  </si>
  <si>
    <t>RESOLVE - Sustainable mobility and the transition to a low-carbon retailing economy -  RESOLVE - Udržitelná mobilita a přechod k nízkouhlíkové ekonomice služeb (obchodu)</t>
  </si>
  <si>
    <t>Bez bariér se nám žije snáz</t>
  </si>
  <si>
    <t>Cyklovýlety na hrady a zámky v Moravskoslezském a Žilinském kraji</t>
  </si>
  <si>
    <t>Gastroturistika</t>
  </si>
  <si>
    <t>Historické poznání kraje - folklór a tradice</t>
  </si>
  <si>
    <t>Chutě a vůně bez hranic</t>
  </si>
  <si>
    <t>Přeshraniční lyžařské běžecké trasy</t>
  </si>
  <si>
    <t>Přeshraniční páteřní síť cyklotras</t>
  </si>
  <si>
    <t>TECHNO TRASA</t>
  </si>
  <si>
    <t>Smart akcelerátor RIS 3 strategie</t>
  </si>
  <si>
    <t>Technická pomoc - Podpora aktivit v rámci Programu Interreg V-A ČR - PR</t>
  </si>
  <si>
    <t>Zateplení budovy Domova Duha v Novém Jičíně</t>
  </si>
  <si>
    <t>Dílny pro Střední školu stavební a dřevozpracující, Ostrava, příspěvková organizace</t>
  </si>
  <si>
    <t>Budova dílen pro obor Opravář zemědělských strojů ve Střední odborné škole Bruntál</t>
  </si>
  <si>
    <t>Energetické úspory ve školách a školských zařízeních zřizovaných Moravskoslezským krajem – IV. etapa</t>
  </si>
  <si>
    <t>Krajský akční plán rozvoje vzdělávání Moravskoslezského kraje</t>
  </si>
  <si>
    <t>Učebny CAD/CAM programování</t>
  </si>
  <si>
    <t xml:space="preserve">Laboratoře virtuální reality </t>
  </si>
  <si>
    <t>Aditivní technologie a 3D tisk do škol v Moravskoslezském kraji</t>
  </si>
  <si>
    <t>Modernizace IT vybavení škol zřizovaných MSK</t>
  </si>
  <si>
    <t>Zateplení vybraných objektů Nemocnice ve Frýdku-Místku – II. etapa</t>
  </si>
  <si>
    <t>Zateplení vybraných objektů Slezské nemocnice v Opavě - II. etapa</t>
  </si>
  <si>
    <t>Výstavba výjezdového stanoviště Nový Jičín</t>
  </si>
  <si>
    <t>Vybudování centra komplexní paliativní a geriatrické péče v LDN a OOP v Městě Albrechtice (Sdružené zdravotnické zařízení Krnov, příspěvková organizace)</t>
  </si>
  <si>
    <t>Jednotný personální a mzdový systém pro Moravskoslezský kraj</t>
  </si>
  <si>
    <t>Implementace soustavy Natura 2000 v Moravskoslezském kraji, 2. vlna</t>
  </si>
  <si>
    <t>Tvorba biotopu páchníka hnědého v evropsky významných lokalitách</t>
  </si>
  <si>
    <t>Tvorba tůní ve vybraných evropsky významných lokalitách</t>
  </si>
  <si>
    <t>Vybudování tůní na Krnovsku</t>
  </si>
  <si>
    <t>Kotlíkové dotace v Moravskoslezském kraji - 1. grantové schéma</t>
  </si>
  <si>
    <t>Rekonstrukce MÚK Bazaly – I. etapa</t>
  </si>
  <si>
    <t>Rekonstrukce silnice II/475 Horní Suchá - průtah</t>
  </si>
  <si>
    <t>Rekonstrukce silnice II/477 Frýdek - Místek - Lískovec</t>
  </si>
  <si>
    <r>
      <t>90,00</t>
    </r>
    <r>
      <rPr>
        <vertAlign val="superscript"/>
        <sz val="9"/>
        <rFont val="Tahoma"/>
        <family val="2"/>
      </rPr>
      <t>3)</t>
    </r>
  </si>
  <si>
    <r>
      <t>85,00</t>
    </r>
    <r>
      <rPr>
        <vertAlign val="superscript"/>
        <sz val="9"/>
        <rFont val="Tahoma"/>
        <family val="2"/>
      </rPr>
      <t>3)</t>
    </r>
  </si>
  <si>
    <r>
      <t>95,00</t>
    </r>
    <r>
      <rPr>
        <vertAlign val="superscript"/>
        <sz val="9"/>
        <rFont val="Tahoma"/>
        <family val="2"/>
      </rPr>
      <t>3)</t>
    </r>
  </si>
  <si>
    <r>
      <t>0,00</t>
    </r>
    <r>
      <rPr>
        <vertAlign val="superscript"/>
        <sz val="9"/>
        <rFont val="Tahoma"/>
        <family val="2"/>
      </rPr>
      <t>2)</t>
    </r>
  </si>
  <si>
    <r>
      <t>50,00</t>
    </r>
    <r>
      <rPr>
        <vertAlign val="superscript"/>
        <sz val="9"/>
        <rFont val="Tahoma"/>
        <family val="2"/>
      </rPr>
      <t>3)</t>
    </r>
  </si>
  <si>
    <r>
      <t>70-85</t>
    </r>
    <r>
      <rPr>
        <vertAlign val="superscript"/>
        <sz val="9"/>
        <rFont val="Tahoma"/>
        <family val="2"/>
      </rPr>
      <t>3)</t>
    </r>
  </si>
  <si>
    <t>Rozpočtový výhled                 2016 - 2020</t>
  </si>
  <si>
    <t>Počet stran přílohy: 6</t>
  </si>
  <si>
    <t>Skutečné čerpání   
k 25. 11. 2015</t>
  </si>
  <si>
    <r>
      <t xml:space="preserve">85 </t>
    </r>
    <r>
      <rPr>
        <vertAlign val="superscript"/>
        <sz val="9"/>
        <rFont val="Tahoma"/>
        <family val="2"/>
      </rPr>
      <t>3)</t>
    </r>
  </si>
  <si>
    <r>
      <t xml:space="preserve">90 </t>
    </r>
    <r>
      <rPr>
        <vertAlign val="superscript"/>
        <sz val="9"/>
        <rFont val="Tahoma"/>
        <family val="2"/>
      </rPr>
      <t>3)</t>
    </r>
  </si>
  <si>
    <t>Příloha č. 5 k materiálu č.: 4/2</t>
  </si>
  <si>
    <t>Pozn.: (1)  Odhad předpokládaných výdajů pro rok 2015 včetně předpokládaného objemu převodů finančních prostředků do roku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</si>
</sst>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Arial CE"/>
      <family val="0"/>
    </font>
    <font>
      <i/>
      <sz val="9"/>
      <name val="Tahoma"/>
      <family val="2"/>
    </font>
    <font>
      <vertAlign val="superscript"/>
      <sz val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ahom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theme="4" tint="0.39998000860214233"/>
      </top>
      <bottom/>
    </border>
    <border>
      <left/>
      <right style="medium"/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5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6" applyNumberFormat="0" applyFont="0" applyAlignment="0" applyProtection="0"/>
    <xf numFmtId="0" fontId="1" fillId="30" borderId="6" applyNumberFormat="0" applyFont="0" applyAlignment="0" applyProtection="0"/>
    <xf numFmtId="0" fontId="0" fillId="30" borderId="6" applyNumberFormat="0" applyFont="0" applyAlignment="0" applyProtection="0"/>
    <xf numFmtId="0" fontId="1" fillId="30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Alignment="0" applyProtection="0"/>
    <xf numFmtId="0" fontId="46" fillId="33" borderId="8" applyNumberFormat="0" applyAlignment="0" applyProtection="0"/>
    <xf numFmtId="0" fontId="47" fillId="33" borderId="9" applyNumberFormat="0" applyAlignment="0" applyProtection="0"/>
    <xf numFmtId="0" fontId="48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0" xfId="69" applyFont="1" applyAlignment="1" applyProtection="1">
      <alignment vertical="center"/>
      <protection locked="0"/>
    </xf>
    <xf numFmtId="0" fontId="3" fillId="0" borderId="0" xfId="69" applyFont="1" applyFill="1" applyAlignment="1" applyProtection="1">
      <alignment vertical="center"/>
      <protection locked="0"/>
    </xf>
    <xf numFmtId="1" fontId="5" fillId="0" borderId="0" xfId="69" applyNumberFormat="1" applyFont="1" applyAlignment="1" applyProtection="1">
      <alignment horizontal="center" vertical="center"/>
      <protection locked="0"/>
    </xf>
    <xf numFmtId="0" fontId="6" fillId="0" borderId="0" xfId="69" applyFont="1" applyBorder="1" applyAlignment="1" applyProtection="1">
      <alignment horizontal="center" vertical="center" wrapText="1"/>
      <protection locked="0"/>
    </xf>
    <xf numFmtId="0" fontId="6" fillId="0" borderId="0" xfId="69" applyFont="1" applyBorder="1" applyAlignment="1" applyProtection="1">
      <alignment horizontal="right" vertical="center" wrapText="1"/>
      <protection locked="0"/>
    </xf>
    <xf numFmtId="4" fontId="6" fillId="40" borderId="10" xfId="69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69" applyNumberFormat="1" applyFont="1" applyFill="1" applyBorder="1" applyAlignment="1" applyProtection="1">
      <alignment horizontal="center" vertical="center"/>
      <protection locked="0"/>
    </xf>
    <xf numFmtId="1" fontId="6" fillId="0" borderId="11" xfId="69" applyNumberFormat="1" applyFont="1" applyFill="1" applyBorder="1" applyAlignment="1" applyProtection="1">
      <alignment horizontal="center" vertical="center" wrapText="1"/>
      <protection locked="0"/>
    </xf>
    <xf numFmtId="1" fontId="6" fillId="0" borderId="12" xfId="69" applyNumberFormat="1" applyFont="1" applyFill="1" applyBorder="1" applyAlignment="1" applyProtection="1">
      <alignment horizontal="center" vertical="center" wrapText="1"/>
      <protection locked="0"/>
    </xf>
    <xf numFmtId="0" fontId="6" fillId="40" borderId="13" xfId="69" applyFont="1" applyFill="1" applyBorder="1" applyAlignment="1" applyProtection="1">
      <alignment horizontal="center" vertical="center" wrapText="1"/>
      <protection locked="0"/>
    </xf>
    <xf numFmtId="1" fontId="6" fillId="0" borderId="14" xfId="69" applyNumberFormat="1" applyFont="1" applyFill="1" applyBorder="1" applyAlignment="1" applyProtection="1">
      <alignment horizontal="center" vertical="center" wrapText="1"/>
      <protection locked="0"/>
    </xf>
    <xf numFmtId="0" fontId="8" fillId="41" borderId="15" xfId="69" applyFont="1" applyFill="1" applyBorder="1" applyAlignment="1" applyProtection="1">
      <alignment vertical="center" wrapText="1"/>
      <protection locked="0"/>
    </xf>
    <xf numFmtId="0" fontId="6" fillId="42" borderId="16" xfId="69" applyFont="1" applyFill="1" applyBorder="1" applyAlignment="1" applyProtection="1">
      <alignment vertical="center" wrapText="1"/>
      <protection locked="0"/>
    </xf>
    <xf numFmtId="4" fontId="6" fillId="42" borderId="10" xfId="69" applyNumberFormat="1" applyFont="1" applyFill="1" applyBorder="1" applyAlignment="1" applyProtection="1">
      <alignment vertical="center" wrapText="1"/>
      <protection locked="0"/>
    </xf>
    <xf numFmtId="0" fontId="6" fillId="42" borderId="17" xfId="69" applyFont="1" applyFill="1" applyBorder="1" applyAlignment="1" applyProtection="1">
      <alignment horizontal="center" vertical="center" wrapText="1"/>
      <protection locked="0"/>
    </xf>
    <xf numFmtId="0" fontId="9" fillId="40" borderId="18" xfId="69" applyNumberFormat="1" applyFont="1" applyFill="1" applyBorder="1" applyAlignment="1" applyProtection="1">
      <alignment horizontal="center" vertical="center"/>
      <protection locked="0"/>
    </xf>
    <xf numFmtId="0" fontId="7" fillId="0" borderId="19" xfId="69" applyFont="1" applyFill="1" applyBorder="1" applyAlignment="1" applyProtection="1">
      <alignment horizontal="left" vertical="center" wrapText="1"/>
      <protection locked="0"/>
    </xf>
    <xf numFmtId="4" fontId="7" fillId="0" borderId="20" xfId="69" applyNumberFormat="1" applyFont="1" applyFill="1" applyBorder="1" applyAlignment="1" applyProtection="1">
      <alignment horizontal="right" vertical="center"/>
      <protection locked="0"/>
    </xf>
    <xf numFmtId="4" fontId="7" fillId="0" borderId="20" xfId="0" applyNumberFormat="1" applyFont="1" applyFill="1" applyBorder="1" applyAlignment="1">
      <alignment horizontal="right" vertical="center"/>
    </xf>
    <xf numFmtId="4" fontId="7" fillId="41" borderId="20" xfId="69" applyNumberFormat="1" applyFont="1" applyFill="1" applyBorder="1" applyAlignment="1" applyProtection="1">
      <alignment horizontal="right" vertical="center"/>
      <protection locked="0"/>
    </xf>
    <xf numFmtId="4" fontId="7" fillId="41" borderId="21" xfId="69" applyNumberFormat="1" applyFont="1" applyFill="1" applyBorder="1" applyAlignment="1" applyProtection="1">
      <alignment vertical="center" wrapText="1"/>
      <protection locked="0"/>
    </xf>
    <xf numFmtId="4" fontId="7" fillId="0" borderId="22" xfId="69" applyNumberFormat="1" applyFont="1" applyFill="1" applyBorder="1" applyAlignment="1" applyProtection="1">
      <alignment horizontal="right" vertical="center"/>
      <protection locked="0"/>
    </xf>
    <xf numFmtId="4" fontId="3" fillId="0" borderId="0" xfId="69" applyNumberFormat="1" applyFont="1" applyFill="1" applyAlignment="1" applyProtection="1">
      <alignment vertical="center"/>
      <protection locked="0"/>
    </xf>
    <xf numFmtId="4" fontId="3" fillId="0" borderId="0" xfId="69" applyNumberFormat="1" applyFont="1" applyAlignment="1" applyProtection="1">
      <alignment vertical="center"/>
      <protection locked="0"/>
    </xf>
    <xf numFmtId="1" fontId="9" fillId="40" borderId="18" xfId="69" applyNumberFormat="1" applyFont="1" applyFill="1" applyBorder="1" applyAlignment="1" applyProtection="1">
      <alignment horizontal="center" vertical="center"/>
      <protection locked="0"/>
    </xf>
    <xf numFmtId="1" fontId="9" fillId="40" borderId="21" xfId="69" applyNumberFormat="1" applyFont="1" applyFill="1" applyBorder="1" applyAlignment="1" applyProtection="1">
      <alignment horizontal="center" vertical="center"/>
      <protection locked="0"/>
    </xf>
    <xf numFmtId="0" fontId="7" fillId="0" borderId="19" xfId="69" applyFont="1" applyBorder="1" applyAlignment="1" applyProtection="1">
      <alignment vertical="center" wrapText="1"/>
      <protection locked="0"/>
    </xf>
    <xf numFmtId="4" fontId="7" fillId="0" borderId="23" xfId="69" applyNumberFormat="1" applyFont="1" applyFill="1" applyBorder="1" applyAlignment="1" applyProtection="1">
      <alignment horizontal="center" vertical="center"/>
      <protection locked="0"/>
    </xf>
    <xf numFmtId="1" fontId="9" fillId="43" borderId="21" xfId="69" applyNumberFormat="1" applyFont="1" applyFill="1" applyBorder="1" applyAlignment="1" applyProtection="1">
      <alignment horizontal="center" vertical="center"/>
      <protection locked="0"/>
    </xf>
    <xf numFmtId="0" fontId="7" fillId="0" borderId="19" xfId="69" applyFont="1" applyFill="1" applyBorder="1" applyAlignment="1" applyProtection="1">
      <alignment vertical="center" wrapText="1"/>
      <protection locked="0"/>
    </xf>
    <xf numFmtId="0" fontId="8" fillId="41" borderId="24" xfId="69" applyFont="1" applyFill="1" applyBorder="1" applyAlignment="1" applyProtection="1">
      <alignment vertical="center" wrapText="1"/>
      <protection locked="0"/>
    </xf>
    <xf numFmtId="0" fontId="6" fillId="42" borderId="25" xfId="69" applyFont="1" applyFill="1" applyBorder="1" applyAlignment="1" applyProtection="1">
      <alignment vertical="center" wrapText="1"/>
      <protection locked="0"/>
    </xf>
    <xf numFmtId="4" fontId="6" fillId="42" borderId="20" xfId="69" applyNumberFormat="1" applyFont="1" applyFill="1" applyBorder="1" applyAlignment="1" applyProtection="1">
      <alignment vertical="center" wrapText="1"/>
      <protection locked="0"/>
    </xf>
    <xf numFmtId="0" fontId="6" fillId="42" borderId="26" xfId="69" applyFont="1" applyFill="1" applyBorder="1" applyAlignment="1" applyProtection="1">
      <alignment horizontal="center" vertical="center" wrapText="1"/>
      <protection locked="0"/>
    </xf>
    <xf numFmtId="0" fontId="8" fillId="0" borderId="0" xfId="69" applyFont="1" applyAlignment="1" applyProtection="1">
      <alignment vertical="center"/>
      <protection locked="0"/>
    </xf>
    <xf numFmtId="1" fontId="9" fillId="40" borderId="24" xfId="69" applyNumberFormat="1" applyFont="1" applyFill="1" applyBorder="1" applyAlignment="1" applyProtection="1">
      <alignment horizontal="center" vertical="center"/>
      <protection locked="0"/>
    </xf>
    <xf numFmtId="0" fontId="7" fillId="0" borderId="27" xfId="69" applyFont="1" applyFill="1" applyBorder="1" applyAlignment="1" applyProtection="1">
      <alignment vertical="center" wrapText="1"/>
      <protection locked="0"/>
    </xf>
    <xf numFmtId="4" fontId="7" fillId="0" borderId="20" xfId="69" applyNumberFormat="1" applyFont="1" applyFill="1" applyBorder="1" applyAlignment="1" applyProtection="1">
      <alignment vertical="center" wrapText="1"/>
      <protection locked="0"/>
    </xf>
    <xf numFmtId="4" fontId="7" fillId="0" borderId="21" xfId="69" applyNumberFormat="1" applyFont="1" applyFill="1" applyBorder="1" applyAlignment="1" applyProtection="1">
      <alignment horizontal="right" vertical="center"/>
      <protection locked="0"/>
    </xf>
    <xf numFmtId="4" fontId="7" fillId="0" borderId="28" xfId="69" applyNumberFormat="1" applyFont="1" applyFill="1" applyBorder="1" applyAlignment="1" applyProtection="1">
      <alignment horizontal="right" vertical="center"/>
      <protection locked="0"/>
    </xf>
    <xf numFmtId="0" fontId="7" fillId="0" borderId="25" xfId="69" applyFont="1" applyBorder="1" applyAlignment="1" applyProtection="1">
      <alignment vertical="center" wrapText="1"/>
      <protection locked="0"/>
    </xf>
    <xf numFmtId="4" fontId="7" fillId="0" borderId="20" xfId="69" applyNumberFormat="1" applyFont="1" applyFill="1" applyBorder="1" applyAlignment="1" applyProtection="1">
      <alignment horizontal="right" vertical="center" wrapText="1"/>
      <protection locked="0"/>
    </xf>
    <xf numFmtId="0" fontId="7" fillId="0" borderId="29" xfId="69" applyFont="1" applyFill="1" applyBorder="1" applyAlignment="1" applyProtection="1">
      <alignment vertical="center" wrapText="1"/>
      <protection locked="0"/>
    </xf>
    <xf numFmtId="0" fontId="6" fillId="42" borderId="29" xfId="69" applyFont="1" applyFill="1" applyBorder="1" applyAlignment="1" applyProtection="1">
      <alignment vertical="center" wrapText="1"/>
      <protection locked="0"/>
    </xf>
    <xf numFmtId="4" fontId="6" fillId="42" borderId="21" xfId="69" applyNumberFormat="1" applyFont="1" applyFill="1" applyBorder="1" applyAlignment="1" applyProtection="1">
      <alignment vertical="center" wrapText="1"/>
      <protection locked="0"/>
    </xf>
    <xf numFmtId="0" fontId="9" fillId="40" borderId="24" xfId="69" applyNumberFormat="1" applyFont="1" applyFill="1" applyBorder="1" applyAlignment="1" applyProtection="1">
      <alignment horizontal="center" vertical="center"/>
      <protection locked="0"/>
    </xf>
    <xf numFmtId="0" fontId="7" fillId="0" borderId="29" xfId="69" applyFont="1" applyFill="1" applyBorder="1" applyAlignment="1" applyProtection="1">
      <alignment horizontal="left" vertical="center" wrapText="1"/>
      <protection locked="0"/>
    </xf>
    <xf numFmtId="2" fontId="7" fillId="0" borderId="20" xfId="69" applyNumberFormat="1" applyFont="1" applyFill="1" applyBorder="1" applyAlignment="1" applyProtection="1">
      <alignment horizontal="right" vertical="center"/>
      <protection locked="0"/>
    </xf>
    <xf numFmtId="0" fontId="9" fillId="43" borderId="24" xfId="69" applyNumberFormat="1" applyFont="1" applyFill="1" applyBorder="1" applyAlignment="1" applyProtection="1">
      <alignment horizontal="center" vertical="center"/>
      <protection locked="0"/>
    </xf>
    <xf numFmtId="0" fontId="9" fillId="40" borderId="21" xfId="69" applyNumberFormat="1" applyFont="1" applyFill="1" applyBorder="1" applyAlignment="1" applyProtection="1">
      <alignment horizontal="center" vertical="center"/>
      <protection locked="0"/>
    </xf>
    <xf numFmtId="1" fontId="9" fillId="44" borderId="21" xfId="69" applyNumberFormat="1" applyFont="1" applyFill="1" applyBorder="1" applyAlignment="1" applyProtection="1">
      <alignment horizontal="center" vertical="center"/>
      <protection locked="0"/>
    </xf>
    <xf numFmtId="0" fontId="7" fillId="0" borderId="28" xfId="69" applyFont="1" applyFill="1" applyBorder="1" applyAlignment="1" applyProtection="1">
      <alignment vertical="center" wrapText="1"/>
      <protection locked="0"/>
    </xf>
    <xf numFmtId="0" fontId="7" fillId="0" borderId="19" xfId="67" applyFont="1" applyFill="1" applyBorder="1" applyAlignment="1" applyProtection="1">
      <alignment horizontal="left" vertical="center" wrapText="1"/>
      <protection locked="0"/>
    </xf>
    <xf numFmtId="1" fontId="9" fillId="45" borderId="21" xfId="69" applyNumberFormat="1" applyFont="1" applyFill="1" applyBorder="1" applyAlignment="1" applyProtection="1">
      <alignment horizontal="center" vertical="center"/>
      <protection locked="0"/>
    </xf>
    <xf numFmtId="1" fontId="9" fillId="45" borderId="24" xfId="69" applyNumberFormat="1" applyFont="1" applyFill="1" applyBorder="1" applyAlignment="1" applyProtection="1">
      <alignment horizontal="center" vertical="center"/>
      <protection locked="0"/>
    </xf>
    <xf numFmtId="0" fontId="7" fillId="0" borderId="25" xfId="69" applyFont="1" applyFill="1" applyBorder="1" applyAlignment="1" applyProtection="1">
      <alignment horizontal="left" vertical="center" wrapText="1"/>
      <protection locked="0"/>
    </xf>
    <xf numFmtId="0" fontId="9" fillId="45" borderId="21" xfId="69" applyNumberFormat="1" applyFont="1" applyFill="1" applyBorder="1" applyAlignment="1" applyProtection="1">
      <alignment horizontal="center" vertical="center"/>
      <protection locked="0"/>
    </xf>
    <xf numFmtId="0" fontId="9" fillId="43" borderId="21" xfId="69" applyNumberFormat="1" applyFont="1" applyFill="1" applyBorder="1" applyAlignment="1" applyProtection="1">
      <alignment horizontal="center" vertical="center"/>
      <protection locked="0"/>
    </xf>
    <xf numFmtId="4" fontId="7" fillId="0" borderId="30" xfId="69" applyNumberFormat="1" applyFont="1" applyFill="1" applyBorder="1" applyAlignment="1" applyProtection="1">
      <alignment horizontal="right" vertical="center"/>
      <protection locked="0"/>
    </xf>
    <xf numFmtId="4" fontId="7" fillId="0" borderId="22" xfId="69" applyNumberFormat="1" applyFont="1" applyFill="1" applyBorder="1" applyAlignment="1" applyProtection="1">
      <alignment horizontal="center" vertical="center"/>
      <protection locked="0"/>
    </xf>
    <xf numFmtId="0" fontId="6" fillId="42" borderId="23" xfId="69" applyFont="1" applyFill="1" applyBorder="1" applyAlignment="1" applyProtection="1">
      <alignment horizontal="center" vertical="center" wrapText="1"/>
      <protection locked="0"/>
    </xf>
    <xf numFmtId="0" fontId="8" fillId="41" borderId="24" xfId="69" applyNumberFormat="1" applyFont="1" applyFill="1" applyBorder="1" applyAlignment="1" applyProtection="1">
      <alignment vertical="center" wrapText="1"/>
      <protection locked="0"/>
    </xf>
    <xf numFmtId="4" fontId="7" fillId="0" borderId="28" xfId="69" applyNumberFormat="1" applyFont="1" applyFill="1" applyBorder="1" applyAlignment="1" applyProtection="1">
      <alignment horizontal="right" vertical="center" wrapText="1"/>
      <protection locked="0"/>
    </xf>
    <xf numFmtId="1" fontId="5" fillId="0" borderId="31" xfId="69" applyNumberFormat="1" applyFont="1" applyBorder="1" applyAlignment="1" applyProtection="1">
      <alignment horizontal="center" vertical="center"/>
      <protection locked="0"/>
    </xf>
    <xf numFmtId="0" fontId="6" fillId="42" borderId="32" xfId="69" applyFont="1" applyFill="1" applyBorder="1" applyAlignment="1" applyProtection="1">
      <alignment horizontal="left" vertical="center" wrapText="1"/>
      <protection locked="0"/>
    </xf>
    <xf numFmtId="4" fontId="6" fillId="42" borderId="33" xfId="69" applyNumberFormat="1" applyFont="1" applyFill="1" applyBorder="1" applyAlignment="1" applyProtection="1">
      <alignment horizontal="right" vertical="center"/>
      <protection locked="0"/>
    </xf>
    <xf numFmtId="4" fontId="6" fillId="42" borderId="34" xfId="69" applyNumberFormat="1" applyFont="1" applyFill="1" applyBorder="1" applyAlignment="1" applyProtection="1">
      <alignment horizontal="center" vertical="center"/>
      <protection locked="0"/>
    </xf>
    <xf numFmtId="0" fontId="7" fillId="0" borderId="0" xfId="69" applyFont="1" applyAlignment="1" applyProtection="1">
      <alignment vertical="center"/>
      <protection locked="0"/>
    </xf>
    <xf numFmtId="4" fontId="7" fillId="0" borderId="0" xfId="69" applyNumberFormat="1" applyFont="1" applyAlignment="1" applyProtection="1">
      <alignment vertical="center"/>
      <protection locked="0"/>
    </xf>
    <xf numFmtId="0" fontId="7" fillId="0" borderId="0" xfId="69" applyFont="1" applyFill="1" applyAlignment="1" applyProtection="1">
      <alignment vertical="center"/>
      <protection locked="0"/>
    </xf>
    <xf numFmtId="0" fontId="11" fillId="0" borderId="0" xfId="69" applyFont="1" applyFill="1" applyAlignment="1" applyProtection="1">
      <alignment vertical="center"/>
      <protection locked="0"/>
    </xf>
    <xf numFmtId="0" fontId="11" fillId="0" borderId="0" xfId="69" applyFont="1" applyAlignment="1" applyProtection="1">
      <alignment vertical="center"/>
      <protection locked="0"/>
    </xf>
    <xf numFmtId="4" fontId="7" fillId="0" borderId="0" xfId="69" applyNumberFormat="1" applyFont="1" applyFill="1" applyAlignment="1" applyProtection="1">
      <alignment vertical="center"/>
      <protection locked="0"/>
    </xf>
    <xf numFmtId="4" fontId="6" fillId="0" borderId="0" xfId="69" applyNumberFormat="1" applyFont="1" applyFill="1" applyBorder="1" applyAlignment="1" applyProtection="1">
      <alignment horizontal="right" vertical="center"/>
      <protection locked="0"/>
    </xf>
    <xf numFmtId="4" fontId="9" fillId="0" borderId="0" xfId="69" applyNumberFormat="1" applyFont="1" applyBorder="1" applyAlignment="1" applyProtection="1">
      <alignment vertical="center" wrapText="1"/>
      <protection locked="0"/>
    </xf>
    <xf numFmtId="0" fontId="4" fillId="0" borderId="0" xfId="69" applyFont="1" applyAlignment="1" applyProtection="1">
      <alignment vertical="center" wrapText="1"/>
      <protection locked="0"/>
    </xf>
    <xf numFmtId="4" fontId="0" fillId="0" borderId="0" xfId="0" applyNumberFormat="1" applyAlignment="1">
      <alignment/>
    </xf>
    <xf numFmtId="0" fontId="49" fillId="46" borderId="35" xfId="0" applyFont="1" applyFill="1" applyBorder="1" applyAlignment="1">
      <alignment horizontal="center"/>
    </xf>
    <xf numFmtId="4" fontId="49" fillId="46" borderId="35" xfId="0" applyNumberFormat="1" applyFont="1" applyFill="1" applyBorder="1" applyAlignment="1">
      <alignment/>
    </xf>
    <xf numFmtId="4" fontId="7" fillId="44" borderId="20" xfId="69" applyNumberFormat="1" applyFont="1" applyFill="1" applyBorder="1" applyAlignment="1" applyProtection="1">
      <alignment horizontal="right" vertical="center"/>
      <protection locked="0"/>
    </xf>
    <xf numFmtId="0" fontId="9" fillId="45" borderId="24" xfId="69" applyNumberFormat="1" applyFont="1" applyFill="1" applyBorder="1" applyAlignment="1" applyProtection="1">
      <alignment horizontal="center" vertical="center"/>
      <protection locked="0"/>
    </xf>
    <xf numFmtId="1" fontId="9" fillId="47" borderId="21" xfId="69" applyNumberFormat="1" applyFont="1" applyFill="1" applyBorder="1" applyAlignment="1" applyProtection="1">
      <alignment horizontal="center" vertical="center"/>
      <protection locked="0"/>
    </xf>
    <xf numFmtId="4" fontId="7" fillId="0" borderId="26" xfId="69" applyNumberFormat="1" applyFont="1" applyFill="1" applyBorder="1" applyAlignment="1" applyProtection="1">
      <alignment horizontal="center" vertical="center"/>
      <protection locked="0"/>
    </xf>
    <xf numFmtId="4" fontId="7" fillId="0" borderId="36" xfId="69" applyNumberFormat="1" applyFont="1" applyFill="1" applyBorder="1" applyAlignment="1" applyProtection="1">
      <alignment horizontal="center" vertical="center"/>
      <protection locked="0"/>
    </xf>
    <xf numFmtId="4" fontId="6" fillId="42" borderId="10" xfId="69" applyNumberFormat="1" applyFont="1" applyFill="1" applyBorder="1" applyAlignment="1" applyProtection="1">
      <alignment horizontal="center" vertical="center" wrapText="1"/>
      <protection locked="0"/>
    </xf>
    <xf numFmtId="4" fontId="7" fillId="41" borderId="21" xfId="69" applyNumberFormat="1" applyFont="1" applyFill="1" applyBorder="1" applyAlignment="1" applyProtection="1">
      <alignment horizontal="center" vertical="center" wrapText="1"/>
      <protection locked="0"/>
    </xf>
    <xf numFmtId="4" fontId="6" fillId="42" borderId="20" xfId="69" applyNumberFormat="1" applyFont="1" applyFill="1" applyBorder="1" applyAlignment="1" applyProtection="1">
      <alignment horizontal="center" vertical="center" wrapText="1"/>
      <protection locked="0"/>
    </xf>
    <xf numFmtId="4" fontId="7" fillId="41" borderId="20" xfId="69" applyNumberFormat="1" applyFont="1" applyFill="1" applyBorder="1" applyAlignment="1" applyProtection="1">
      <alignment horizontal="center" vertical="center" wrapText="1"/>
      <protection locked="0"/>
    </xf>
    <xf numFmtId="4" fontId="6" fillId="42" borderId="21" xfId="69" applyNumberFormat="1" applyFont="1" applyFill="1" applyBorder="1" applyAlignment="1" applyProtection="1">
      <alignment horizontal="center" vertical="center" wrapText="1"/>
      <protection locked="0"/>
    </xf>
    <xf numFmtId="4" fontId="7" fillId="41" borderId="21" xfId="69" applyNumberFormat="1" applyFont="1" applyFill="1" applyBorder="1" applyAlignment="1" applyProtection="1">
      <alignment horizontal="right" vertical="center"/>
      <protection locked="0"/>
    </xf>
    <xf numFmtId="0" fontId="9" fillId="0" borderId="20" xfId="68" applyFont="1" applyFill="1" applyBorder="1" applyAlignment="1">
      <alignment horizontal="left" vertical="center" wrapText="1"/>
      <protection/>
    </xf>
    <xf numFmtId="0" fontId="9" fillId="0" borderId="19" xfId="68" applyFont="1" applyFill="1" applyBorder="1" applyAlignment="1">
      <alignment horizontal="left" vertical="center" wrapText="1"/>
      <protection/>
    </xf>
    <xf numFmtId="0" fontId="13" fillId="0" borderId="37" xfId="0" applyFont="1" applyFill="1" applyBorder="1" applyAlignment="1">
      <alignment horizontal="left" vertical="center" wrapText="1"/>
    </xf>
    <xf numFmtId="0" fontId="9" fillId="48" borderId="21" xfId="69" applyNumberFormat="1" applyFont="1" applyFill="1" applyBorder="1" applyAlignment="1" applyProtection="1">
      <alignment horizontal="center" vertical="center"/>
      <protection locked="0"/>
    </xf>
    <xf numFmtId="0" fontId="7" fillId="0" borderId="25" xfId="69" applyFont="1" applyBorder="1" applyAlignment="1" applyProtection="1">
      <alignment horizontal="left" vertical="center" wrapText="1"/>
      <protection locked="0"/>
    </xf>
    <xf numFmtId="1" fontId="5" fillId="0" borderId="38" xfId="69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69" applyNumberFormat="1" applyFont="1" applyFill="1" applyBorder="1" applyAlignment="1" applyProtection="1">
      <alignment horizontal="center" vertical="center" wrapText="1"/>
      <protection locked="0"/>
    </xf>
    <xf numFmtId="0" fontId="6" fillId="0" borderId="39" xfId="69" applyFont="1" applyFill="1" applyBorder="1" applyAlignment="1" applyProtection="1">
      <alignment horizontal="center" vertical="center" wrapText="1"/>
      <protection locked="0"/>
    </xf>
    <xf numFmtId="0" fontId="6" fillId="0" borderId="40" xfId="69" applyFont="1" applyFill="1" applyBorder="1" applyAlignment="1" applyProtection="1">
      <alignment horizontal="center" vertical="center" wrapText="1"/>
      <protection locked="0"/>
    </xf>
    <xf numFmtId="4" fontId="6" fillId="0" borderId="10" xfId="69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69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69" applyFont="1" applyBorder="1" applyAlignment="1" applyProtection="1">
      <alignment horizontal="center" vertical="center"/>
      <protection locked="0"/>
    </xf>
    <xf numFmtId="0" fontId="7" fillId="0" borderId="15" xfId="69" applyFont="1" applyBorder="1" applyAlignment="1" applyProtection="1">
      <alignment horizontal="center" vertical="center"/>
      <protection locked="0"/>
    </xf>
    <xf numFmtId="0" fontId="7" fillId="0" borderId="42" xfId="69" applyFont="1" applyBorder="1" applyAlignment="1" applyProtection="1">
      <alignment horizontal="center" vertical="center"/>
      <protection locked="0"/>
    </xf>
    <xf numFmtId="0" fontId="6" fillId="0" borderId="41" xfId="69" applyFont="1" applyFill="1" applyBorder="1" applyAlignment="1" applyProtection="1">
      <alignment horizontal="center" vertical="center"/>
      <protection locked="0"/>
    </xf>
    <xf numFmtId="0" fontId="6" fillId="0" borderId="15" xfId="69" applyFont="1" applyFill="1" applyBorder="1" applyAlignment="1" applyProtection="1">
      <alignment horizontal="center" vertical="center"/>
      <protection locked="0"/>
    </xf>
    <xf numFmtId="0" fontId="6" fillId="0" borderId="43" xfId="69" applyFont="1" applyFill="1" applyBorder="1" applyAlignment="1" applyProtection="1">
      <alignment horizontal="center" vertical="center"/>
      <protection locked="0"/>
    </xf>
    <xf numFmtId="4" fontId="6" fillId="0" borderId="17" xfId="69" applyNumberFormat="1" applyFont="1" applyFill="1" applyBorder="1" applyAlignment="1" applyProtection="1">
      <alignment horizontal="center" vertical="center" wrapText="1"/>
      <protection locked="0"/>
    </xf>
    <xf numFmtId="4" fontId="6" fillId="0" borderId="44" xfId="6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9" applyFont="1" applyAlignment="1" applyProtection="1">
      <alignment horizontal="center" vertical="center" wrapText="1"/>
      <protection locked="0"/>
    </xf>
    <xf numFmtId="0" fontId="3" fillId="0" borderId="0" xfId="69" applyFont="1" applyFill="1" applyAlignment="1" applyProtection="1">
      <alignment vertical="center" wrapText="1"/>
      <protection locked="0"/>
    </xf>
  </cellXfs>
  <cellStyles count="74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6" xfId="28"/>
    <cellStyle name="40 % – Zvýraznění1" xfId="29"/>
    <cellStyle name="40 % – Zvýraznění2" xfId="30"/>
    <cellStyle name="40 % – Zvýraznění3" xfId="31"/>
    <cellStyle name="40 % – Zvýraznění3 2" xfId="32"/>
    <cellStyle name="40 % – Zvýraznění3 3" xfId="33"/>
    <cellStyle name="40 % – Zvýraznění4" xfId="34"/>
    <cellStyle name="40 % – Zvýraznění5" xfId="35"/>
    <cellStyle name="40 % – Zvýraznění6" xfId="36"/>
    <cellStyle name="60 % – Zvýraznění1" xfId="37"/>
    <cellStyle name="60 % – Zvýraznění2" xfId="38"/>
    <cellStyle name="60 % – Zvýraznění3" xfId="39"/>
    <cellStyle name="60 % – Zvýraznění3 2" xfId="40"/>
    <cellStyle name="60 % – Zvýraznění3 3" xfId="41"/>
    <cellStyle name="60 % – Zvýraznění4" xfId="42"/>
    <cellStyle name="60 % – Zvýraznění4 2" xfId="43"/>
    <cellStyle name="60 % – Zvýraznění4 3" xfId="44"/>
    <cellStyle name="60 % – Zvýraznění5" xfId="45"/>
    <cellStyle name="60 % – Zvýraznění6" xfId="46"/>
    <cellStyle name="60 % – Zvýraznění6 2" xfId="47"/>
    <cellStyle name="60 % – Zvýraznění6 3" xfId="48"/>
    <cellStyle name="Celkem" xfId="49"/>
    <cellStyle name="Comma" xfId="50"/>
    <cellStyle name="Comma [0]" xfId="51"/>
    <cellStyle name="Chybně" xfId="52"/>
    <cellStyle name="Kontrolní buňka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ální 2" xfId="62"/>
    <cellStyle name="normální 3" xfId="63"/>
    <cellStyle name="Normální 4" xfId="64"/>
    <cellStyle name="Normální 5" xfId="65"/>
    <cellStyle name="Normální 6" xfId="66"/>
    <cellStyle name="normální_číselníky MSK" xfId="67"/>
    <cellStyle name="normální_EU akce-upr 2" xfId="68"/>
    <cellStyle name="normální_Z024_004_05" xfId="69"/>
    <cellStyle name="Poznámka" xfId="70"/>
    <cellStyle name="Poznámka 2" xfId="71"/>
    <cellStyle name="Poznámka 3" xfId="72"/>
    <cellStyle name="Poznámka 4" xfId="73"/>
    <cellStyle name="Percent" xfId="74"/>
    <cellStyle name="Propojená buňka" xfId="75"/>
    <cellStyle name="Správně" xfId="76"/>
    <cellStyle name="Text upozornění" xfId="77"/>
    <cellStyle name="Vstup" xfId="78"/>
    <cellStyle name="Výpočet" xfId="79"/>
    <cellStyle name="Výstup" xfId="80"/>
    <cellStyle name="Vysvětlující text" xfId="81"/>
    <cellStyle name="Zvýraznění 1" xfId="82"/>
    <cellStyle name="Zvýraznění 2" xfId="83"/>
    <cellStyle name="Zvýraznění 3" xfId="84"/>
    <cellStyle name="Zvýraznění 4" xfId="85"/>
    <cellStyle name="Zvýraznění 5" xfId="86"/>
    <cellStyle name="Zvýraznění 6" xfId="8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="80" zoomScaleNormal="80" zoomScaleSheetLayoutView="67" zoomScalePageLayoutView="0" workbookViewId="0" topLeftCell="A1">
      <pane xSplit="3" ySplit="6" topLeftCell="D20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208" sqref="G208"/>
    </sheetView>
  </sheetViews>
  <sheetFormatPr defaultColWidth="9.140625" defaultRowHeight="15"/>
  <cols>
    <col min="1" max="1" width="6.57421875" style="1" hidden="1" customWidth="1"/>
    <col min="2" max="2" width="39.421875" style="1" customWidth="1"/>
    <col min="3" max="3" width="15.140625" style="1" customWidth="1"/>
    <col min="4" max="4" width="12.28125" style="1" customWidth="1"/>
    <col min="5" max="6" width="14.00390625" style="1" customWidth="1"/>
    <col min="7" max="8" width="13.8515625" style="1" customWidth="1"/>
    <col min="9" max="9" width="14.00390625" style="1" customWidth="1"/>
    <col min="10" max="10" width="15.421875" style="1" customWidth="1"/>
    <col min="11" max="11" width="15.28125" style="1" customWidth="1"/>
    <col min="12" max="12" width="15.57421875" style="1" customWidth="1"/>
    <col min="13" max="13" width="17.28125" style="1" customWidth="1"/>
    <col min="14" max="14" width="11.421875" style="1" customWidth="1"/>
    <col min="15" max="15" width="14.7109375" style="1" hidden="1" customWidth="1"/>
    <col min="16" max="16" width="13.57421875" style="1" hidden="1" customWidth="1"/>
    <col min="17" max="17" width="16.140625" style="1" customWidth="1"/>
    <col min="18" max="18" width="12.7109375" style="1" hidden="1" customWidth="1"/>
    <col min="19" max="19" width="14.28125" style="1" hidden="1" customWidth="1"/>
    <col min="20" max="22" width="12.8515625" style="1" hidden="1" customWidth="1"/>
    <col min="23" max="23" width="14.7109375" style="1" customWidth="1"/>
    <col min="24" max="24" width="10.421875" style="1" customWidth="1"/>
    <col min="25" max="25" width="9.140625" style="1" customWidth="1"/>
    <col min="26" max="26" width="18.140625" style="1" customWidth="1"/>
    <col min="27" max="27" width="14.00390625" style="1" customWidth="1"/>
    <col min="28" max="29" width="9.140625" style="1" customWidth="1"/>
    <col min="30" max="30" width="12.421875" style="1" customWidth="1"/>
    <col min="31" max="16384" width="9.140625" style="1" customWidth="1"/>
  </cols>
  <sheetData>
    <row r="1" spans="1:2" ht="12.75">
      <c r="A1" s="1" t="s">
        <v>199</v>
      </c>
      <c r="B1" s="111" t="s">
        <v>250</v>
      </c>
    </row>
    <row r="2" spans="2:24" ht="14.25" customHeight="1">
      <c r="B2" s="111" t="s">
        <v>246</v>
      </c>
      <c r="C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24" ht="15" customHeight="1">
      <c r="A3" s="3"/>
      <c r="B3" s="110" t="s">
        <v>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</row>
    <row r="4" spans="1:24" ht="13.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 t="s">
        <v>1</v>
      </c>
    </row>
    <row r="5" spans="1:24" ht="12.75" customHeight="1">
      <c r="A5" s="96" t="s">
        <v>2</v>
      </c>
      <c r="B5" s="98" t="s">
        <v>3</v>
      </c>
      <c r="C5" s="100" t="s">
        <v>4</v>
      </c>
      <c r="D5" s="102"/>
      <c r="E5" s="103"/>
      <c r="F5" s="103"/>
      <c r="G5" s="103"/>
      <c r="H5" s="103"/>
      <c r="I5" s="103"/>
      <c r="J5" s="103"/>
      <c r="K5" s="104"/>
      <c r="L5" s="100" t="s">
        <v>5</v>
      </c>
      <c r="M5" s="100" t="s">
        <v>247</v>
      </c>
      <c r="N5" s="100" t="s">
        <v>6</v>
      </c>
      <c r="O5" s="6"/>
      <c r="P5" s="6"/>
      <c r="Q5" s="100" t="s">
        <v>7</v>
      </c>
      <c r="R5" s="105"/>
      <c r="S5" s="106"/>
      <c r="T5" s="106"/>
      <c r="U5" s="106"/>
      <c r="V5" s="106"/>
      <c r="W5" s="107"/>
      <c r="X5" s="108" t="s">
        <v>8</v>
      </c>
    </row>
    <row r="6" spans="1:24" ht="45.75" thickBot="1">
      <c r="A6" s="97"/>
      <c r="B6" s="99"/>
      <c r="C6" s="101"/>
      <c r="D6" s="7">
        <v>2008</v>
      </c>
      <c r="E6" s="8">
        <v>2009</v>
      </c>
      <c r="F6" s="8">
        <v>2010</v>
      </c>
      <c r="G6" s="8">
        <v>2011</v>
      </c>
      <c r="H6" s="8">
        <v>2012</v>
      </c>
      <c r="I6" s="8">
        <v>2013</v>
      </c>
      <c r="J6" s="8">
        <v>2014</v>
      </c>
      <c r="K6" s="9" t="s">
        <v>9</v>
      </c>
      <c r="L6" s="101"/>
      <c r="M6" s="101"/>
      <c r="N6" s="101"/>
      <c r="O6" s="10" t="s">
        <v>10</v>
      </c>
      <c r="P6" s="10" t="s">
        <v>11</v>
      </c>
      <c r="Q6" s="101"/>
      <c r="R6" s="9">
        <v>2016</v>
      </c>
      <c r="S6" s="9">
        <v>2017</v>
      </c>
      <c r="T6" s="9">
        <v>2018</v>
      </c>
      <c r="U6" s="9">
        <v>2019</v>
      </c>
      <c r="V6" s="9">
        <v>2020</v>
      </c>
      <c r="W6" s="11" t="s">
        <v>245</v>
      </c>
      <c r="X6" s="109"/>
    </row>
    <row r="7" spans="1:24" ht="12.75">
      <c r="A7" s="12"/>
      <c r="B7" s="13" t="s">
        <v>12</v>
      </c>
      <c r="C7" s="14">
        <f aca="true" t="shared" si="0" ref="C7:M7">SUM(C8:C35)</f>
        <v>4557228.25333</v>
      </c>
      <c r="D7" s="14">
        <f t="shared" si="0"/>
        <v>202.51999999999998</v>
      </c>
      <c r="E7" s="14">
        <f t="shared" si="0"/>
        <v>9653.47</v>
      </c>
      <c r="F7" s="14">
        <f t="shared" si="0"/>
        <v>5929.98</v>
      </c>
      <c r="G7" s="14">
        <f t="shared" si="0"/>
        <v>22034.38</v>
      </c>
      <c r="H7" s="14">
        <f t="shared" si="0"/>
        <v>32357.892979999997</v>
      </c>
      <c r="I7" s="14">
        <f t="shared" si="0"/>
        <v>136748.45124</v>
      </c>
      <c r="J7" s="14">
        <f t="shared" si="0"/>
        <v>1092148.36237</v>
      </c>
      <c r="K7" s="14">
        <f t="shared" si="0"/>
        <v>1299075.0865899997</v>
      </c>
      <c r="L7" s="14">
        <f t="shared" si="0"/>
        <v>1770297.2</v>
      </c>
      <c r="M7" s="14">
        <f t="shared" si="0"/>
        <v>1214340.69751</v>
      </c>
      <c r="N7" s="85">
        <f>M7/L7*100</f>
        <v>68.59530125845536</v>
      </c>
      <c r="O7" s="14">
        <v>-410154.2</v>
      </c>
      <c r="P7" s="14">
        <v>-55361.139999999985</v>
      </c>
      <c r="Q7" s="14">
        <f aca="true" t="shared" si="1" ref="Q7:W7">SUM(Q8:Q35)</f>
        <v>1759462.17</v>
      </c>
      <c r="R7" s="14">
        <f t="shared" si="1"/>
        <v>386450</v>
      </c>
      <c r="S7" s="14">
        <f t="shared" si="1"/>
        <v>721000</v>
      </c>
      <c r="T7" s="14">
        <f t="shared" si="1"/>
        <v>586000</v>
      </c>
      <c r="U7" s="14">
        <f t="shared" si="1"/>
        <v>30500</v>
      </c>
      <c r="V7" s="14">
        <f t="shared" si="1"/>
        <v>30741</v>
      </c>
      <c r="W7" s="14">
        <f t="shared" si="1"/>
        <v>1754691</v>
      </c>
      <c r="X7" s="15" t="s">
        <v>13</v>
      </c>
    </row>
    <row r="8" spans="1:30" ht="25.5" customHeight="1">
      <c r="A8" s="16">
        <v>2581</v>
      </c>
      <c r="B8" s="17" t="s">
        <v>14</v>
      </c>
      <c r="C8" s="18">
        <f>547058.84+4905.02</f>
        <v>551963.86</v>
      </c>
      <c r="D8" s="18">
        <v>201.07</v>
      </c>
      <c r="E8" s="18">
        <v>9649.72</v>
      </c>
      <c r="F8" s="18">
        <v>5929.98</v>
      </c>
      <c r="G8" s="18">
        <v>21746.78</v>
      </c>
      <c r="H8" s="18">
        <v>8768.758979999999</v>
      </c>
      <c r="I8" s="18">
        <v>21164.41</v>
      </c>
      <c r="J8" s="19">
        <v>376184.65</v>
      </c>
      <c r="K8" s="18">
        <f>SUM(D8:J8)</f>
        <v>443645.36898</v>
      </c>
      <c r="L8" s="20">
        <v>108318.49</v>
      </c>
      <c r="M8" s="20">
        <v>16648.841669999994</v>
      </c>
      <c r="N8" s="86">
        <f aca="true" t="shared" si="2" ref="N8:N85">M8/L8*100</f>
        <v>15.370267504652247</v>
      </c>
      <c r="O8" s="18">
        <v>-313735.62</v>
      </c>
      <c r="P8" s="18">
        <v>-205417.13</v>
      </c>
      <c r="Q8" s="18">
        <v>108318.49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22">
        <f aca="true" t="shared" si="3" ref="W8:W33">SUM(R8:V8)</f>
        <v>0</v>
      </c>
      <c r="X8" s="28">
        <v>85</v>
      </c>
      <c r="AD8" s="23"/>
    </row>
    <row r="9" spans="1:24" ht="25.5" customHeight="1">
      <c r="A9" s="25">
        <v>2583</v>
      </c>
      <c r="B9" s="17" t="s">
        <v>15</v>
      </c>
      <c r="C9" s="18">
        <v>250000.34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5315.53</v>
      </c>
      <c r="J9" s="19">
        <v>4787.03</v>
      </c>
      <c r="K9" s="18">
        <f>SUM(D9:J9)</f>
        <v>10102.56</v>
      </c>
      <c r="L9" s="20">
        <v>250712.77999999997</v>
      </c>
      <c r="M9" s="20">
        <v>95622.25407</v>
      </c>
      <c r="N9" s="86">
        <f t="shared" si="2"/>
        <v>38.14015945657019</v>
      </c>
      <c r="O9" s="18"/>
      <c r="P9" s="18"/>
      <c r="Q9" s="18">
        <v>239897.77999999997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22">
        <f t="shared" si="3"/>
        <v>0</v>
      </c>
      <c r="X9" s="28">
        <v>85</v>
      </c>
    </row>
    <row r="10" spans="1:24" ht="27" customHeight="1">
      <c r="A10" s="26">
        <v>2590</v>
      </c>
      <c r="B10" s="27" t="s">
        <v>16</v>
      </c>
      <c r="C10" s="18">
        <f>117446.47+41.88+0.02</f>
        <v>117488.37000000001</v>
      </c>
      <c r="D10" s="18">
        <v>0</v>
      </c>
      <c r="E10" s="18">
        <v>0</v>
      </c>
      <c r="F10" s="18">
        <v>0</v>
      </c>
      <c r="G10" s="18">
        <v>231.44</v>
      </c>
      <c r="H10" s="18">
        <v>119.69600000000003</v>
      </c>
      <c r="I10" s="18">
        <v>72322.45144</v>
      </c>
      <c r="J10" s="19">
        <v>44766.53326</v>
      </c>
      <c r="K10" s="18">
        <f>SUM(D10:J10)</f>
        <v>117440.1207</v>
      </c>
      <c r="L10" s="20">
        <v>48.25</v>
      </c>
      <c r="M10" s="20">
        <v>48.23054</v>
      </c>
      <c r="N10" s="86">
        <f t="shared" si="2"/>
        <v>99.95966839378238</v>
      </c>
      <c r="O10" s="18">
        <v>-96418.58</v>
      </c>
      <c r="P10" s="18">
        <v>-96412.22</v>
      </c>
      <c r="Q10" s="18">
        <v>48.25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22">
        <f t="shared" si="3"/>
        <v>0</v>
      </c>
      <c r="X10" s="28">
        <v>70</v>
      </c>
    </row>
    <row r="11" spans="1:29" ht="15">
      <c r="A11" s="26">
        <v>2598</v>
      </c>
      <c r="B11" s="17" t="s">
        <v>17</v>
      </c>
      <c r="C11" s="18">
        <v>52200</v>
      </c>
      <c r="D11" s="18">
        <v>0</v>
      </c>
      <c r="E11" s="18">
        <v>0</v>
      </c>
      <c r="F11" s="18">
        <v>0</v>
      </c>
      <c r="G11" s="18">
        <v>18.72</v>
      </c>
      <c r="H11" s="18">
        <v>124.46</v>
      </c>
      <c r="I11" s="18">
        <v>113.05</v>
      </c>
      <c r="J11" s="19">
        <v>230.775</v>
      </c>
      <c r="K11" s="18">
        <f>SUM(D11:J11)+0.01</f>
        <v>487.015</v>
      </c>
      <c r="L11" s="20">
        <v>51712.99</v>
      </c>
      <c r="M11" s="20">
        <v>35408.99107</v>
      </c>
      <c r="N11" s="86">
        <f t="shared" si="2"/>
        <v>68.47214030749333</v>
      </c>
      <c r="O11" s="18">
        <v>0</v>
      </c>
      <c r="P11" s="18">
        <v>43010.079999999994</v>
      </c>
      <c r="Q11" s="18">
        <v>51712.99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22">
        <f t="shared" si="3"/>
        <v>0</v>
      </c>
      <c r="X11" s="28">
        <v>85</v>
      </c>
      <c r="Y11"/>
      <c r="Z11" s="77"/>
      <c r="AA11" s="77"/>
      <c r="AC11"/>
    </row>
    <row r="12" spans="1:29" ht="15">
      <c r="A12" s="26">
        <v>2599</v>
      </c>
      <c r="B12" s="17" t="s">
        <v>18</v>
      </c>
      <c r="C12" s="18">
        <v>95903.75</v>
      </c>
      <c r="D12" s="18">
        <v>0</v>
      </c>
      <c r="E12" s="18">
        <v>0</v>
      </c>
      <c r="F12" s="18">
        <v>0</v>
      </c>
      <c r="G12" s="18">
        <v>18.72</v>
      </c>
      <c r="H12" s="18">
        <v>142.728</v>
      </c>
      <c r="I12" s="18">
        <v>83.66</v>
      </c>
      <c r="J12" s="19">
        <v>57977.44359</v>
      </c>
      <c r="K12" s="18">
        <f aca="true" t="shared" si="4" ref="K12:K89">SUM(D12:J12)</f>
        <v>58222.55159</v>
      </c>
      <c r="L12" s="20">
        <v>37681.2</v>
      </c>
      <c r="M12" s="20">
        <v>34606.107449999996</v>
      </c>
      <c r="N12" s="86">
        <f t="shared" si="2"/>
        <v>91.83918625203019</v>
      </c>
      <c r="O12" s="18">
        <v>0</v>
      </c>
      <c r="P12" s="18">
        <v>55398.98000000001</v>
      </c>
      <c r="Q12" s="18">
        <v>37681.2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22">
        <f t="shared" si="3"/>
        <v>0</v>
      </c>
      <c r="X12" s="28">
        <v>85</v>
      </c>
      <c r="Y12"/>
      <c r="Z12" s="77"/>
      <c r="AA12" s="77"/>
      <c r="AC12"/>
    </row>
    <row r="13" spans="1:29" ht="15">
      <c r="A13" s="26">
        <v>2601</v>
      </c>
      <c r="B13" s="17" t="s">
        <v>19</v>
      </c>
      <c r="C13" s="18">
        <v>103722.48999999999</v>
      </c>
      <c r="D13" s="18">
        <v>0</v>
      </c>
      <c r="E13" s="18">
        <v>0</v>
      </c>
      <c r="F13" s="18">
        <v>0</v>
      </c>
      <c r="G13" s="18">
        <v>18.72</v>
      </c>
      <c r="H13" s="18">
        <v>177.39</v>
      </c>
      <c r="I13" s="18">
        <v>504.8</v>
      </c>
      <c r="J13" s="19">
        <v>26080.87141</v>
      </c>
      <c r="K13" s="18">
        <f>SUM(D13:J13)+0.01</f>
        <v>26781.791409999998</v>
      </c>
      <c r="L13" s="20">
        <v>76940.7</v>
      </c>
      <c r="M13" s="20">
        <v>36114.000799999994</v>
      </c>
      <c r="N13" s="86">
        <f t="shared" si="2"/>
        <v>46.93744767073863</v>
      </c>
      <c r="O13" s="18">
        <v>0</v>
      </c>
      <c r="P13" s="18">
        <v>80217.54</v>
      </c>
      <c r="Q13" s="18">
        <v>76940.7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22">
        <f t="shared" si="3"/>
        <v>0</v>
      </c>
      <c r="X13" s="28">
        <v>85</v>
      </c>
      <c r="Y13"/>
      <c r="Z13" s="77"/>
      <c r="AA13" s="77"/>
      <c r="AC13"/>
    </row>
    <row r="14" spans="1:29" ht="15">
      <c r="A14" s="26">
        <v>2602</v>
      </c>
      <c r="B14" s="17" t="s">
        <v>20</v>
      </c>
      <c r="C14" s="18">
        <v>232859.73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206.87</v>
      </c>
      <c r="J14" s="19">
        <v>165760.41838000002</v>
      </c>
      <c r="K14" s="18">
        <f t="shared" si="4"/>
        <v>165967.28838</v>
      </c>
      <c r="L14" s="20">
        <v>66892.44</v>
      </c>
      <c r="M14" s="20">
        <v>66795.37116</v>
      </c>
      <c r="N14" s="86">
        <f t="shared" si="2"/>
        <v>99.85488817570415</v>
      </c>
      <c r="O14" s="18"/>
      <c r="P14" s="18"/>
      <c r="Q14" s="18">
        <v>66892.44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22">
        <f t="shared" si="3"/>
        <v>0</v>
      </c>
      <c r="X14" s="28">
        <v>85</v>
      </c>
      <c r="Y14"/>
      <c r="Z14" s="77"/>
      <c r="AA14" s="77"/>
      <c r="AC14"/>
    </row>
    <row r="15" spans="1:29" ht="15">
      <c r="A15" s="26">
        <v>2603</v>
      </c>
      <c r="B15" s="17" t="s">
        <v>21</v>
      </c>
      <c r="C15" s="18">
        <v>97526.28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273.5</v>
      </c>
      <c r="J15" s="19">
        <v>77745.32393</v>
      </c>
      <c r="K15" s="18">
        <f t="shared" si="4"/>
        <v>78018.82393</v>
      </c>
      <c r="L15" s="20">
        <v>19507.459999999995</v>
      </c>
      <c r="M15" s="20">
        <v>19419.16711</v>
      </c>
      <c r="N15" s="86">
        <f t="shared" si="2"/>
        <v>99.5473891014002</v>
      </c>
      <c r="O15" s="18"/>
      <c r="P15" s="18"/>
      <c r="Q15" s="18">
        <v>19507.459999999995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22">
        <f t="shared" si="3"/>
        <v>0</v>
      </c>
      <c r="X15" s="28">
        <v>85</v>
      </c>
      <c r="Y15"/>
      <c r="Z15" s="77"/>
      <c r="AA15" s="77"/>
      <c r="AC15"/>
    </row>
    <row r="16" spans="1:29" ht="15">
      <c r="A16" s="26">
        <v>2605</v>
      </c>
      <c r="B16" s="17" t="s">
        <v>22</v>
      </c>
      <c r="C16" s="18">
        <v>275475.33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259.11</v>
      </c>
      <c r="J16" s="19">
        <v>193768.15655999997</v>
      </c>
      <c r="K16" s="18">
        <f t="shared" si="4"/>
        <v>194027.26655999996</v>
      </c>
      <c r="L16" s="20">
        <v>81468.06</v>
      </c>
      <c r="M16" s="20">
        <v>81355.93655</v>
      </c>
      <c r="N16" s="86">
        <f t="shared" si="2"/>
        <v>99.86237127777439</v>
      </c>
      <c r="O16" s="18"/>
      <c r="P16" s="18"/>
      <c r="Q16" s="18">
        <v>81448.06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22">
        <f t="shared" si="3"/>
        <v>0</v>
      </c>
      <c r="X16" s="28">
        <v>85</v>
      </c>
      <c r="Y16"/>
      <c r="Z16" s="77"/>
      <c r="AA16" s="77"/>
      <c r="AC16"/>
    </row>
    <row r="17" spans="1:29" ht="15">
      <c r="A17" s="26">
        <v>2609</v>
      </c>
      <c r="B17" s="17" t="s">
        <v>23</v>
      </c>
      <c r="C17" s="18">
        <v>129207.49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112.4</v>
      </c>
      <c r="J17" s="19">
        <v>71874.90860999997</v>
      </c>
      <c r="K17" s="18">
        <f t="shared" si="4"/>
        <v>71987.30860999996</v>
      </c>
      <c r="L17" s="20">
        <v>57220.18</v>
      </c>
      <c r="M17" s="20">
        <v>53396.458620000005</v>
      </c>
      <c r="N17" s="86">
        <f t="shared" si="2"/>
        <v>93.31752996932202</v>
      </c>
      <c r="O17" s="18"/>
      <c r="P17" s="18"/>
      <c r="Q17" s="18">
        <v>57220.18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22">
        <f t="shared" si="3"/>
        <v>0</v>
      </c>
      <c r="X17" s="28">
        <v>85</v>
      </c>
      <c r="Y17"/>
      <c r="Z17" s="77"/>
      <c r="AA17" s="77"/>
      <c r="AC17"/>
    </row>
    <row r="18" spans="1:29" ht="22.5">
      <c r="A18" s="26">
        <v>2610</v>
      </c>
      <c r="B18" s="27" t="s">
        <v>24</v>
      </c>
      <c r="C18" s="18">
        <v>81675.44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1120.14</v>
      </c>
      <c r="J18" s="19">
        <v>4359.5734999999995</v>
      </c>
      <c r="K18" s="18">
        <f t="shared" si="4"/>
        <v>5479.7135</v>
      </c>
      <c r="L18" s="20">
        <v>76195.75</v>
      </c>
      <c r="M18" s="20">
        <v>76072.07084000001</v>
      </c>
      <c r="N18" s="86">
        <f t="shared" si="2"/>
        <v>99.8376823379257</v>
      </c>
      <c r="O18" s="18"/>
      <c r="P18" s="18"/>
      <c r="Q18" s="18">
        <v>76195.73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22">
        <f t="shared" si="3"/>
        <v>0</v>
      </c>
      <c r="X18" s="28">
        <v>85</v>
      </c>
      <c r="Y18"/>
      <c r="Z18" s="77"/>
      <c r="AA18" s="77"/>
      <c r="AC18"/>
    </row>
    <row r="19" spans="1:29" ht="15">
      <c r="A19" s="26">
        <v>2611</v>
      </c>
      <c r="B19" s="17" t="s">
        <v>25</v>
      </c>
      <c r="C19" s="18">
        <v>78081.45000000001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119.51</v>
      </c>
      <c r="J19" s="19">
        <v>86.92880000000001</v>
      </c>
      <c r="K19" s="18">
        <f t="shared" si="4"/>
        <v>206.43880000000001</v>
      </c>
      <c r="L19" s="20">
        <v>77875.01000000001</v>
      </c>
      <c r="M19" s="20">
        <v>77853.99619000002</v>
      </c>
      <c r="N19" s="86">
        <f t="shared" si="2"/>
        <v>99.97301597778288</v>
      </c>
      <c r="O19" s="18"/>
      <c r="P19" s="18"/>
      <c r="Q19" s="18">
        <v>77875.01000000001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22">
        <f t="shared" si="3"/>
        <v>0</v>
      </c>
      <c r="X19" s="28">
        <v>85</v>
      </c>
      <c r="Y19"/>
      <c r="Z19" s="77"/>
      <c r="AA19" s="77"/>
      <c r="AC19"/>
    </row>
    <row r="20" spans="1:24" ht="12.75">
      <c r="A20" s="26">
        <v>2612</v>
      </c>
      <c r="B20" s="17" t="s">
        <v>26</v>
      </c>
      <c r="C20" s="18">
        <v>99999.31999999999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26</v>
      </c>
      <c r="J20" s="19">
        <v>13928.16115</v>
      </c>
      <c r="K20" s="18">
        <f>SUM(D20:J20)+0.01</f>
        <v>13954.17115</v>
      </c>
      <c r="L20" s="20">
        <v>86045.15</v>
      </c>
      <c r="M20" s="20">
        <v>53041.41423</v>
      </c>
      <c r="N20" s="86">
        <f t="shared" si="2"/>
        <v>61.64370011557886</v>
      </c>
      <c r="O20" s="18"/>
      <c r="P20" s="18"/>
      <c r="Q20" s="18">
        <v>86045.15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22">
        <f t="shared" si="3"/>
        <v>0</v>
      </c>
      <c r="X20" s="28">
        <v>85</v>
      </c>
    </row>
    <row r="21" spans="1:24" ht="12.75">
      <c r="A21" s="26">
        <v>2613</v>
      </c>
      <c r="B21" s="17" t="s">
        <v>27</v>
      </c>
      <c r="C21" s="18">
        <v>71000.24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36.247400000000006</v>
      </c>
      <c r="J21" s="19">
        <v>228.552</v>
      </c>
      <c r="K21" s="18">
        <f t="shared" si="4"/>
        <v>264.7994</v>
      </c>
      <c r="L21" s="20">
        <v>70735.44</v>
      </c>
      <c r="M21" s="20">
        <v>64922.79951999999</v>
      </c>
      <c r="N21" s="86">
        <f t="shared" si="2"/>
        <v>91.78256263055688</v>
      </c>
      <c r="O21" s="18"/>
      <c r="P21" s="18"/>
      <c r="Q21" s="18">
        <v>70735.44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22">
        <f t="shared" si="3"/>
        <v>0</v>
      </c>
      <c r="X21" s="28">
        <v>85</v>
      </c>
    </row>
    <row r="22" spans="1:24" ht="12.75">
      <c r="A22" s="26">
        <v>2614</v>
      </c>
      <c r="B22" s="17" t="s">
        <v>28</v>
      </c>
      <c r="C22" s="18">
        <f>114999.85-765.83</f>
        <v>114234.02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29.3804</v>
      </c>
      <c r="J22" s="19">
        <v>212.37700000000004</v>
      </c>
      <c r="K22" s="18">
        <f t="shared" si="4"/>
        <v>241.75740000000005</v>
      </c>
      <c r="L22" s="20">
        <v>113992.26</v>
      </c>
      <c r="M22" s="20">
        <v>91893.48732</v>
      </c>
      <c r="N22" s="86">
        <f t="shared" si="2"/>
        <v>80.61379546295512</v>
      </c>
      <c r="O22" s="18"/>
      <c r="P22" s="18"/>
      <c r="Q22" s="18">
        <v>113992.26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22">
        <f t="shared" si="3"/>
        <v>0</v>
      </c>
      <c r="X22" s="28">
        <v>85</v>
      </c>
    </row>
    <row r="23" spans="1:24" ht="12.75">
      <c r="A23" s="26">
        <v>2615</v>
      </c>
      <c r="B23" s="17" t="s">
        <v>29</v>
      </c>
      <c r="C23" s="18">
        <v>71999.99999999999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9">
        <v>197.48600000000002</v>
      </c>
      <c r="K23" s="18">
        <f>SUM(D23:J23)</f>
        <v>197.48600000000002</v>
      </c>
      <c r="L23" s="20">
        <v>71802.52</v>
      </c>
      <c r="M23" s="20">
        <v>62945.703109999995</v>
      </c>
      <c r="N23" s="86">
        <f t="shared" si="2"/>
        <v>87.66503335816067</v>
      </c>
      <c r="O23" s="18"/>
      <c r="P23" s="18"/>
      <c r="Q23" s="18">
        <v>71802.51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22">
        <f t="shared" si="3"/>
        <v>0</v>
      </c>
      <c r="X23" s="28">
        <v>85</v>
      </c>
    </row>
    <row r="24" spans="1:24" ht="12.75">
      <c r="A24" s="26">
        <v>2616</v>
      </c>
      <c r="B24" s="17" t="s">
        <v>30</v>
      </c>
      <c r="C24" s="18">
        <v>173003.59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9">
        <v>133.24540000000002</v>
      </c>
      <c r="K24" s="18">
        <f t="shared" si="4"/>
        <v>133.24540000000002</v>
      </c>
      <c r="L24" s="20">
        <v>172870.34</v>
      </c>
      <c r="M24" s="20">
        <v>109321.68766</v>
      </c>
      <c r="N24" s="86">
        <f t="shared" si="2"/>
        <v>63.239123414693346</v>
      </c>
      <c r="O24" s="18"/>
      <c r="P24" s="18"/>
      <c r="Q24" s="18">
        <v>172870.34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22">
        <f t="shared" si="3"/>
        <v>0</v>
      </c>
      <c r="X24" s="28">
        <v>85</v>
      </c>
    </row>
    <row r="25" spans="1:24" ht="12.75">
      <c r="A25" s="26">
        <v>2617</v>
      </c>
      <c r="B25" s="17" t="s">
        <v>31</v>
      </c>
      <c r="C25" s="18">
        <v>56000.01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9">
        <v>83.75950000000002</v>
      </c>
      <c r="K25" s="18">
        <f t="shared" si="4"/>
        <v>83.75950000000002</v>
      </c>
      <c r="L25" s="20">
        <v>55916.25000000001</v>
      </c>
      <c r="M25" s="20">
        <v>45641.37275999999</v>
      </c>
      <c r="N25" s="86">
        <f t="shared" si="2"/>
        <v>81.62452374756887</v>
      </c>
      <c r="O25" s="18"/>
      <c r="P25" s="18"/>
      <c r="Q25" s="18">
        <v>55916.25000000001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22">
        <f t="shared" si="3"/>
        <v>0</v>
      </c>
      <c r="X25" s="28">
        <v>85</v>
      </c>
    </row>
    <row r="26" spans="1:24" ht="22.5">
      <c r="A26" s="26">
        <v>2618</v>
      </c>
      <c r="B26" s="17" t="s">
        <v>32</v>
      </c>
      <c r="C26" s="18">
        <v>23599.989999999998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9">
        <v>11503.8412</v>
      </c>
      <c r="K26" s="18">
        <f>SUM(D26:J26)</f>
        <v>11503.8412</v>
      </c>
      <c r="L26" s="20">
        <v>12096.150000000001</v>
      </c>
      <c r="M26" s="20">
        <v>9866.716880000002</v>
      </c>
      <c r="N26" s="86">
        <f t="shared" si="2"/>
        <v>81.5690685052682</v>
      </c>
      <c r="O26" s="18"/>
      <c r="P26" s="18"/>
      <c r="Q26" s="18">
        <v>12096.150000000001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22">
        <f t="shared" si="3"/>
        <v>0</v>
      </c>
      <c r="X26" s="28">
        <v>85</v>
      </c>
    </row>
    <row r="27" spans="1:24" ht="22.5">
      <c r="A27" s="26">
        <v>2619</v>
      </c>
      <c r="B27" s="17" t="s">
        <v>33</v>
      </c>
      <c r="C27" s="18">
        <v>8999.99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>
        <v>5244.7844000000005</v>
      </c>
      <c r="K27" s="18">
        <f t="shared" si="4"/>
        <v>5244.7844000000005</v>
      </c>
      <c r="L27" s="20">
        <v>3755.2100000000005</v>
      </c>
      <c r="M27" s="20">
        <v>3431.19694</v>
      </c>
      <c r="N27" s="86">
        <f t="shared" si="2"/>
        <v>91.3716394023237</v>
      </c>
      <c r="O27" s="18"/>
      <c r="P27" s="18"/>
      <c r="Q27" s="18">
        <v>3755.2100000000005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22">
        <f t="shared" si="3"/>
        <v>0</v>
      </c>
      <c r="X27" s="28">
        <v>25</v>
      </c>
    </row>
    <row r="28" spans="1:24" ht="41.25" customHeight="1">
      <c r="A28" s="82">
        <v>2620</v>
      </c>
      <c r="B28" s="17" t="s">
        <v>34</v>
      </c>
      <c r="C28" s="18">
        <f>L28</f>
        <v>224718.96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>
        <v>0</v>
      </c>
      <c r="K28" s="18">
        <f t="shared" si="4"/>
        <v>0</v>
      </c>
      <c r="L28" s="20">
        <f>63360+13696.66+16293.05+53102.05+13142.1+4995.97-48.23+26700.08+20953.96+11207.28+1316.04</f>
        <v>224718.96</v>
      </c>
      <c r="M28" s="20">
        <f>13696.65+16293.05+53075.87+13142.1+4995.94-48.23+26700.07+20953.95+11207.28+1316.04</f>
        <v>161332.72000000003</v>
      </c>
      <c r="N28" s="86">
        <f t="shared" si="2"/>
        <v>71.79310548607026</v>
      </c>
      <c r="O28" s="18"/>
      <c r="P28" s="18"/>
      <c r="Q28" s="18">
        <v>224718.96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22">
        <f t="shared" si="3"/>
        <v>0</v>
      </c>
      <c r="X28" s="28" t="s">
        <v>13</v>
      </c>
    </row>
    <row r="29" spans="1:24" ht="37.5" customHeight="1">
      <c r="A29" s="26">
        <v>2876</v>
      </c>
      <c r="B29" s="27" t="s">
        <v>35</v>
      </c>
      <c r="C29" s="18">
        <v>9526.60333</v>
      </c>
      <c r="D29" s="18">
        <v>1.45</v>
      </c>
      <c r="E29" s="18">
        <v>3.75</v>
      </c>
      <c r="F29" s="18">
        <v>0</v>
      </c>
      <c r="G29" s="18">
        <v>0</v>
      </c>
      <c r="H29" s="18">
        <v>24.86</v>
      </c>
      <c r="I29" s="18">
        <v>61.391999999999996</v>
      </c>
      <c r="J29" s="19">
        <v>8993.54268</v>
      </c>
      <c r="K29" s="18">
        <f t="shared" si="4"/>
        <v>9084.99468</v>
      </c>
      <c r="L29" s="20">
        <v>441.61</v>
      </c>
      <c r="M29" s="20">
        <v>441.60602</v>
      </c>
      <c r="N29" s="86">
        <f t="shared" si="2"/>
        <v>99.99909875229275</v>
      </c>
      <c r="O29" s="18">
        <v>0</v>
      </c>
      <c r="P29" s="18">
        <v>441.61</v>
      </c>
      <c r="Q29" s="18">
        <v>441.61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22">
        <f t="shared" si="3"/>
        <v>0</v>
      </c>
      <c r="X29" s="28">
        <v>90</v>
      </c>
    </row>
    <row r="30" spans="1:24" ht="12.75">
      <c r="A30" s="26">
        <v>3204</v>
      </c>
      <c r="B30" s="17" t="s">
        <v>236</v>
      </c>
      <c r="C30" s="18">
        <v>107000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9">
        <v>0</v>
      </c>
      <c r="K30" s="18">
        <f t="shared" si="4"/>
        <v>0</v>
      </c>
      <c r="L30" s="20">
        <v>350</v>
      </c>
      <c r="M30" s="20">
        <v>0</v>
      </c>
      <c r="N30" s="86">
        <f t="shared" si="2"/>
        <v>0</v>
      </c>
      <c r="O30" s="18"/>
      <c r="P30" s="18"/>
      <c r="Q30" s="18">
        <v>350</v>
      </c>
      <c r="R30" s="18">
        <v>106650</v>
      </c>
      <c r="S30" s="18">
        <v>0</v>
      </c>
      <c r="T30" s="18">
        <v>0</v>
      </c>
      <c r="U30" s="39">
        <v>0</v>
      </c>
      <c r="V30" s="39">
        <v>0</v>
      </c>
      <c r="W30" s="22">
        <f t="shared" si="3"/>
        <v>106650</v>
      </c>
      <c r="X30" s="28" t="s">
        <v>239</v>
      </c>
    </row>
    <row r="31" spans="1:24" ht="22.5">
      <c r="A31" s="26">
        <v>3205</v>
      </c>
      <c r="B31" s="17" t="s">
        <v>237</v>
      </c>
      <c r="C31" s="18">
        <v>78000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9">
        <v>0</v>
      </c>
      <c r="K31" s="18">
        <f t="shared" si="4"/>
        <v>0</v>
      </c>
      <c r="L31" s="20">
        <v>350</v>
      </c>
      <c r="M31" s="20">
        <v>0</v>
      </c>
      <c r="N31" s="86">
        <f t="shared" si="2"/>
        <v>0</v>
      </c>
      <c r="O31" s="18"/>
      <c r="P31" s="18"/>
      <c r="Q31" s="18">
        <v>350</v>
      </c>
      <c r="R31" s="18">
        <v>77650</v>
      </c>
      <c r="S31" s="18">
        <v>0</v>
      </c>
      <c r="T31" s="18">
        <v>0</v>
      </c>
      <c r="U31" s="39">
        <v>0</v>
      </c>
      <c r="V31" s="39">
        <v>0</v>
      </c>
      <c r="W31" s="22">
        <f t="shared" si="3"/>
        <v>77650</v>
      </c>
      <c r="X31" s="28" t="s">
        <v>239</v>
      </c>
    </row>
    <row r="32" spans="1:24" ht="22.5">
      <c r="A32" s="26">
        <v>3206</v>
      </c>
      <c r="B32" s="17" t="s">
        <v>238</v>
      </c>
      <c r="C32" s="18">
        <v>33000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9">
        <v>0</v>
      </c>
      <c r="K32" s="18">
        <f t="shared" si="4"/>
        <v>0</v>
      </c>
      <c r="L32" s="20">
        <v>350</v>
      </c>
      <c r="M32" s="20">
        <v>0</v>
      </c>
      <c r="N32" s="86">
        <f t="shared" si="2"/>
        <v>0</v>
      </c>
      <c r="O32" s="18"/>
      <c r="P32" s="18"/>
      <c r="Q32" s="18">
        <v>350</v>
      </c>
      <c r="R32" s="18">
        <v>32650</v>
      </c>
      <c r="S32" s="18">
        <v>0</v>
      </c>
      <c r="T32" s="18">
        <v>0</v>
      </c>
      <c r="U32" s="39">
        <v>0</v>
      </c>
      <c r="V32" s="39">
        <v>0</v>
      </c>
      <c r="W32" s="22">
        <f t="shared" si="3"/>
        <v>32650</v>
      </c>
      <c r="X32" s="28" t="s">
        <v>239</v>
      </c>
    </row>
    <row r="33" spans="1:24" ht="22.5">
      <c r="A33" s="26">
        <v>3261</v>
      </c>
      <c r="B33" s="17" t="s">
        <v>205</v>
      </c>
      <c r="C33" s="18">
        <v>1364000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9">
        <v>0</v>
      </c>
      <c r="K33" s="18">
        <f t="shared" si="4"/>
        <v>0</v>
      </c>
      <c r="L33" s="20">
        <v>500</v>
      </c>
      <c r="M33" s="20">
        <v>160.567</v>
      </c>
      <c r="N33" s="86">
        <f t="shared" si="2"/>
        <v>32.113400000000006</v>
      </c>
      <c r="O33" s="18"/>
      <c r="P33" s="18"/>
      <c r="Q33" s="18">
        <v>500</v>
      </c>
      <c r="R33" s="18">
        <v>138500</v>
      </c>
      <c r="S33" s="18">
        <v>670000</v>
      </c>
      <c r="T33" s="18">
        <v>555000</v>
      </c>
      <c r="U33" s="39">
        <v>0</v>
      </c>
      <c r="V33" s="39">
        <v>0</v>
      </c>
      <c r="W33" s="22">
        <f t="shared" si="3"/>
        <v>1363500</v>
      </c>
      <c r="X33" s="28" t="s">
        <v>239</v>
      </c>
    </row>
    <row r="34" spans="1:24" ht="49.5" customHeight="1">
      <c r="A34" s="26">
        <v>3262</v>
      </c>
      <c r="B34" s="27" t="s">
        <v>206</v>
      </c>
      <c r="C34" s="18">
        <v>4741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9">
        <v>0</v>
      </c>
      <c r="K34" s="18">
        <f t="shared" si="4"/>
        <v>0</v>
      </c>
      <c r="L34" s="20">
        <v>500</v>
      </c>
      <c r="M34" s="20">
        <v>0</v>
      </c>
      <c r="N34" s="86">
        <f t="shared" si="2"/>
        <v>0</v>
      </c>
      <c r="O34" s="18"/>
      <c r="P34" s="18"/>
      <c r="Q34" s="18">
        <v>500</v>
      </c>
      <c r="R34" s="18">
        <v>1000</v>
      </c>
      <c r="S34" s="18">
        <v>1000</v>
      </c>
      <c r="T34" s="18">
        <v>1000</v>
      </c>
      <c r="U34" s="39">
        <v>500</v>
      </c>
      <c r="V34" s="39">
        <v>741</v>
      </c>
      <c r="W34" s="22">
        <f>SUM(R34:V34)</f>
        <v>4241</v>
      </c>
      <c r="X34" s="28" t="s">
        <v>240</v>
      </c>
    </row>
    <row r="35" spans="1:24" ht="38.25" customHeight="1">
      <c r="A35" s="29" t="s">
        <v>36</v>
      </c>
      <c r="B35" s="30" t="s">
        <v>37</v>
      </c>
      <c r="C35" s="18">
        <v>51300</v>
      </c>
      <c r="D35" s="18">
        <v>0</v>
      </c>
      <c r="E35" s="18">
        <v>0</v>
      </c>
      <c r="F35" s="18">
        <v>0</v>
      </c>
      <c r="G35" s="18">
        <v>0</v>
      </c>
      <c r="H35" s="18">
        <v>23000</v>
      </c>
      <c r="I35" s="18">
        <v>35000</v>
      </c>
      <c r="J35" s="19">
        <v>28000</v>
      </c>
      <c r="K35" s="18">
        <f t="shared" si="4"/>
        <v>86000</v>
      </c>
      <c r="L35" s="20">
        <v>51300</v>
      </c>
      <c r="M35" s="20">
        <v>18000</v>
      </c>
      <c r="N35" s="86">
        <f t="shared" si="2"/>
        <v>35.08771929824561</v>
      </c>
      <c r="O35" s="18">
        <v>0</v>
      </c>
      <c r="P35" s="18">
        <v>67400</v>
      </c>
      <c r="Q35" s="18">
        <v>51300</v>
      </c>
      <c r="R35" s="18">
        <v>30000</v>
      </c>
      <c r="S35" s="18">
        <v>50000</v>
      </c>
      <c r="T35" s="18">
        <v>30000</v>
      </c>
      <c r="U35" s="39">
        <v>30000</v>
      </c>
      <c r="V35" s="18">
        <v>30000</v>
      </c>
      <c r="W35" s="22">
        <f>SUM(R35:V35)</f>
        <v>170000</v>
      </c>
      <c r="X35" s="28" t="s">
        <v>202</v>
      </c>
    </row>
    <row r="36" spans="1:29" s="35" customFormat="1" ht="19.5" customHeight="1">
      <c r="A36" s="31"/>
      <c r="B36" s="32" t="s">
        <v>38</v>
      </c>
      <c r="C36" s="33">
        <f aca="true" t="shared" si="5" ref="C36:M36">SUM(C37:C44)</f>
        <v>1086817.1</v>
      </c>
      <c r="D36" s="33">
        <f t="shared" si="5"/>
        <v>0</v>
      </c>
      <c r="E36" s="33">
        <f t="shared" si="5"/>
        <v>0</v>
      </c>
      <c r="F36" s="33">
        <f t="shared" si="5"/>
        <v>0</v>
      </c>
      <c r="G36" s="33">
        <f t="shared" si="5"/>
        <v>0</v>
      </c>
      <c r="H36" s="33">
        <f t="shared" si="5"/>
        <v>150</v>
      </c>
      <c r="I36" s="33">
        <f t="shared" si="5"/>
        <v>44.96</v>
      </c>
      <c r="J36" s="33">
        <f t="shared" si="5"/>
        <v>2020.6802999999998</v>
      </c>
      <c r="K36" s="33">
        <f t="shared" si="5"/>
        <v>2215.6402999999996</v>
      </c>
      <c r="L36" s="33">
        <f t="shared" si="5"/>
        <v>1084601.48</v>
      </c>
      <c r="M36" s="33">
        <f t="shared" si="5"/>
        <v>491211.86244000006</v>
      </c>
      <c r="N36" s="87">
        <f t="shared" si="2"/>
        <v>45.289617569026376</v>
      </c>
      <c r="O36" s="33" t="e">
        <v>#REF!</v>
      </c>
      <c r="P36" s="33" t="e">
        <v>#REF!</v>
      </c>
      <c r="Q36" s="33">
        <f aca="true" t="shared" si="6" ref="Q36:W36">SUM(Q37:Q44)</f>
        <v>1084601.46</v>
      </c>
      <c r="R36" s="33">
        <f t="shared" si="6"/>
        <v>0</v>
      </c>
      <c r="S36" s="33">
        <f t="shared" si="6"/>
        <v>0</v>
      </c>
      <c r="T36" s="33">
        <f t="shared" si="6"/>
        <v>0</v>
      </c>
      <c r="U36" s="33">
        <f t="shared" si="6"/>
        <v>0</v>
      </c>
      <c r="V36" s="33">
        <f t="shared" si="6"/>
        <v>0</v>
      </c>
      <c r="W36" s="33">
        <f t="shared" si="6"/>
        <v>0</v>
      </c>
      <c r="X36" s="34" t="s">
        <v>13</v>
      </c>
      <c r="Y36" s="1"/>
      <c r="Z36" s="1"/>
      <c r="AB36" s="1"/>
      <c r="AC36" s="1"/>
    </row>
    <row r="37" spans="1:29" s="35" customFormat="1" ht="27" customHeight="1">
      <c r="A37" s="36">
        <v>2537</v>
      </c>
      <c r="B37" s="37" t="s">
        <v>39</v>
      </c>
      <c r="C37" s="18">
        <v>110970.59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9">
        <v>202.074</v>
      </c>
      <c r="K37" s="18">
        <f t="shared" si="4"/>
        <v>202.074</v>
      </c>
      <c r="L37" s="20">
        <v>110768.52</v>
      </c>
      <c r="M37" s="20">
        <v>110605.984</v>
      </c>
      <c r="N37" s="86">
        <f t="shared" si="2"/>
        <v>99.8532651695626</v>
      </c>
      <c r="O37" s="33"/>
      <c r="P37" s="33"/>
      <c r="Q37" s="18">
        <v>110768.52</v>
      </c>
      <c r="R37" s="38">
        <v>0</v>
      </c>
      <c r="S37" s="18">
        <v>0</v>
      </c>
      <c r="T37" s="18">
        <v>0</v>
      </c>
      <c r="U37" s="18">
        <v>0</v>
      </c>
      <c r="V37" s="18">
        <v>0</v>
      </c>
      <c r="W37" s="22">
        <f aca="true" t="shared" si="7" ref="W37:W102">SUM(R37:V37)</f>
        <v>0</v>
      </c>
      <c r="X37" s="28">
        <v>85</v>
      </c>
      <c r="Y37" s="1"/>
      <c r="Z37" s="1"/>
      <c r="AB37" s="1"/>
      <c r="AC37" s="1"/>
    </row>
    <row r="38" spans="1:29" s="35" customFormat="1" ht="27" customHeight="1">
      <c r="A38" s="36">
        <v>2539</v>
      </c>
      <c r="B38" s="37" t="s">
        <v>193</v>
      </c>
      <c r="C38" s="18">
        <v>193052.5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9">
        <v>0</v>
      </c>
      <c r="K38" s="18">
        <f t="shared" si="4"/>
        <v>0</v>
      </c>
      <c r="L38" s="20">
        <v>193052.49999999994</v>
      </c>
      <c r="M38" s="20">
        <v>0</v>
      </c>
      <c r="N38" s="86">
        <f t="shared" si="2"/>
        <v>0</v>
      </c>
      <c r="O38" s="33"/>
      <c r="P38" s="33"/>
      <c r="Q38" s="18">
        <v>193052.5</v>
      </c>
      <c r="R38" s="38">
        <v>0</v>
      </c>
      <c r="S38" s="18">
        <v>0</v>
      </c>
      <c r="T38" s="18">
        <v>0</v>
      </c>
      <c r="U38" s="18">
        <v>0</v>
      </c>
      <c r="V38" s="18">
        <v>0</v>
      </c>
      <c r="W38" s="22">
        <f t="shared" si="7"/>
        <v>0</v>
      </c>
      <c r="X38" s="28">
        <v>85</v>
      </c>
      <c r="Y38" s="1"/>
      <c r="Z38" s="1"/>
      <c r="AA38" s="1"/>
      <c r="AB38" s="1"/>
      <c r="AC38" s="1"/>
    </row>
    <row r="39" spans="1:24" s="35" customFormat="1" ht="27" customHeight="1">
      <c r="A39" s="36">
        <v>2720</v>
      </c>
      <c r="B39" s="37" t="s">
        <v>40</v>
      </c>
      <c r="C39" s="18">
        <v>105402.66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9">
        <v>56.589999999999996</v>
      </c>
      <c r="K39" s="18">
        <f t="shared" si="4"/>
        <v>56.589999999999996</v>
      </c>
      <c r="L39" s="20">
        <v>105346.07</v>
      </c>
      <c r="M39" s="20">
        <v>105128.0445</v>
      </c>
      <c r="N39" s="86">
        <f t="shared" si="2"/>
        <v>99.79303879110061</v>
      </c>
      <c r="O39" s="33"/>
      <c r="P39" s="33"/>
      <c r="Q39" s="18">
        <v>105346.07</v>
      </c>
      <c r="R39" s="38">
        <v>0</v>
      </c>
      <c r="S39" s="18">
        <v>0</v>
      </c>
      <c r="T39" s="18">
        <v>0</v>
      </c>
      <c r="U39" s="18">
        <v>0</v>
      </c>
      <c r="V39" s="18">
        <v>0</v>
      </c>
      <c r="W39" s="22">
        <f t="shared" si="7"/>
        <v>0</v>
      </c>
      <c r="X39" s="28">
        <v>85</v>
      </c>
    </row>
    <row r="40" spans="1:29" s="35" customFormat="1" ht="15" customHeight="1">
      <c r="A40" s="36">
        <v>2722</v>
      </c>
      <c r="B40" s="95" t="s">
        <v>41</v>
      </c>
      <c r="C40" s="18">
        <v>251520.56</v>
      </c>
      <c r="D40" s="18">
        <v>0</v>
      </c>
      <c r="E40" s="38">
        <v>0</v>
      </c>
      <c r="F40" s="38">
        <v>0</v>
      </c>
      <c r="G40" s="38">
        <v>0</v>
      </c>
      <c r="H40" s="38">
        <v>0</v>
      </c>
      <c r="I40" s="18">
        <v>43.96</v>
      </c>
      <c r="J40" s="19">
        <v>336.25530000000003</v>
      </c>
      <c r="K40" s="18">
        <f t="shared" si="4"/>
        <v>380.2153</v>
      </c>
      <c r="L40" s="20">
        <v>251140.34</v>
      </c>
      <c r="M40" s="20">
        <v>119180.15572000004</v>
      </c>
      <c r="N40" s="86">
        <f t="shared" si="2"/>
        <v>47.45560021141966</v>
      </c>
      <c r="O40" s="18"/>
      <c r="P40" s="18"/>
      <c r="Q40" s="18">
        <v>251140.33999999997</v>
      </c>
      <c r="R40" s="18">
        <v>0</v>
      </c>
      <c r="S40" s="18">
        <v>0</v>
      </c>
      <c r="T40" s="39">
        <v>0</v>
      </c>
      <c r="U40" s="39">
        <v>0</v>
      </c>
      <c r="V40" s="39">
        <v>0</v>
      </c>
      <c r="W40" s="22">
        <f t="shared" si="7"/>
        <v>0</v>
      </c>
      <c r="X40" s="28">
        <v>85</v>
      </c>
      <c r="Y40" s="1"/>
      <c r="Z40" s="1"/>
      <c r="AB40" s="1"/>
      <c r="AC40" s="1"/>
    </row>
    <row r="41" spans="1:29" s="35" customFormat="1" ht="36.75" customHeight="1">
      <c r="A41" s="36">
        <v>2723</v>
      </c>
      <c r="B41" s="41" t="s">
        <v>42</v>
      </c>
      <c r="C41" s="18">
        <v>30500</v>
      </c>
      <c r="D41" s="18">
        <v>0</v>
      </c>
      <c r="E41" s="38">
        <v>0</v>
      </c>
      <c r="F41" s="38">
        <v>0</v>
      </c>
      <c r="G41" s="38">
        <v>0</v>
      </c>
      <c r="H41" s="38">
        <v>0</v>
      </c>
      <c r="I41" s="18">
        <v>0</v>
      </c>
      <c r="J41" s="19">
        <v>457.88800000000003</v>
      </c>
      <c r="K41" s="18">
        <f t="shared" si="4"/>
        <v>457.88800000000003</v>
      </c>
      <c r="L41" s="20">
        <v>30042.110000000004</v>
      </c>
      <c r="M41" s="20">
        <v>17108.137</v>
      </c>
      <c r="N41" s="86">
        <f t="shared" si="2"/>
        <v>56.94718846312724</v>
      </c>
      <c r="O41" s="18"/>
      <c r="P41" s="18"/>
      <c r="Q41" s="18">
        <v>30042.110000000004</v>
      </c>
      <c r="R41" s="18">
        <v>0</v>
      </c>
      <c r="S41" s="18">
        <v>0</v>
      </c>
      <c r="T41" s="39">
        <v>0</v>
      </c>
      <c r="U41" s="39">
        <v>0</v>
      </c>
      <c r="V41" s="39">
        <v>0</v>
      </c>
      <c r="W41" s="22">
        <f t="shared" si="7"/>
        <v>0</v>
      </c>
      <c r="X41" s="28">
        <v>85</v>
      </c>
      <c r="Y41" s="1"/>
      <c r="Z41" s="1"/>
      <c r="AB41" s="1"/>
      <c r="AC41" s="1"/>
    </row>
    <row r="42" spans="1:29" s="35" customFormat="1" ht="23.25" customHeight="1">
      <c r="A42" s="36">
        <v>2724</v>
      </c>
      <c r="B42" s="37" t="s">
        <v>43</v>
      </c>
      <c r="C42" s="18">
        <f>255367.02+8299.99</f>
        <v>263667.01</v>
      </c>
      <c r="D42" s="1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19">
        <v>766.834</v>
      </c>
      <c r="K42" s="18">
        <f t="shared" si="4"/>
        <v>766.834</v>
      </c>
      <c r="L42" s="20">
        <v>262900.18</v>
      </c>
      <c r="M42" s="20">
        <v>130656.35929</v>
      </c>
      <c r="N42" s="86">
        <f t="shared" si="2"/>
        <v>49.69808666163713</v>
      </c>
      <c r="O42" s="42"/>
      <c r="P42" s="18"/>
      <c r="Q42" s="18">
        <v>262900.18</v>
      </c>
      <c r="R42" s="18">
        <v>0</v>
      </c>
      <c r="S42" s="18">
        <v>0</v>
      </c>
      <c r="T42" s="39">
        <v>0</v>
      </c>
      <c r="U42" s="39">
        <v>0</v>
      </c>
      <c r="V42" s="39">
        <v>0</v>
      </c>
      <c r="W42" s="22">
        <f t="shared" si="7"/>
        <v>0</v>
      </c>
      <c r="X42" s="28">
        <v>85</v>
      </c>
      <c r="Y42" s="1"/>
      <c r="Z42" s="1"/>
      <c r="AB42" s="1"/>
      <c r="AC42" s="1"/>
    </row>
    <row r="43" spans="1:29" s="35" customFormat="1" ht="18" customHeight="1">
      <c r="A43" s="36">
        <v>2725</v>
      </c>
      <c r="B43" s="43" t="s">
        <v>44</v>
      </c>
      <c r="C43" s="18">
        <v>123200.04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9">
        <v>201.03899999999996</v>
      </c>
      <c r="K43" s="18">
        <f t="shared" si="4"/>
        <v>201.03899999999996</v>
      </c>
      <c r="L43" s="20">
        <v>122999</v>
      </c>
      <c r="M43" s="20">
        <v>207.427</v>
      </c>
      <c r="N43" s="86">
        <f t="shared" si="2"/>
        <v>0.16864120846510947</v>
      </c>
      <c r="O43" s="42"/>
      <c r="P43" s="18"/>
      <c r="Q43" s="18">
        <v>122999</v>
      </c>
      <c r="R43" s="38">
        <v>0</v>
      </c>
      <c r="S43" s="18">
        <v>0</v>
      </c>
      <c r="T43" s="18">
        <v>0</v>
      </c>
      <c r="U43" s="18">
        <v>0</v>
      </c>
      <c r="V43" s="18">
        <v>0</v>
      </c>
      <c r="W43" s="22">
        <f t="shared" si="7"/>
        <v>0</v>
      </c>
      <c r="X43" s="28">
        <v>85</v>
      </c>
      <c r="Y43" s="1"/>
      <c r="Z43" s="1"/>
      <c r="AB43" s="1"/>
      <c r="AC43" s="1"/>
    </row>
    <row r="44" spans="1:24" ht="15" customHeight="1">
      <c r="A44" s="36">
        <v>2911</v>
      </c>
      <c r="B44" s="41" t="s">
        <v>45</v>
      </c>
      <c r="C44" s="18">
        <v>8503.74</v>
      </c>
      <c r="D44" s="18">
        <v>0</v>
      </c>
      <c r="E44" s="18">
        <v>0</v>
      </c>
      <c r="F44" s="38">
        <v>0</v>
      </c>
      <c r="G44" s="38">
        <v>0</v>
      </c>
      <c r="H44" s="38">
        <v>150</v>
      </c>
      <c r="I44" s="38">
        <v>1</v>
      </c>
      <c r="J44" s="19">
        <v>0</v>
      </c>
      <c r="K44" s="18">
        <f t="shared" si="4"/>
        <v>151</v>
      </c>
      <c r="L44" s="20">
        <v>8352.759999999998</v>
      </c>
      <c r="M44" s="20">
        <v>8325.754929999992</v>
      </c>
      <c r="N44" s="88">
        <f t="shared" si="2"/>
        <v>99.67669285361957</v>
      </c>
      <c r="O44" s="42"/>
      <c r="P44" s="18"/>
      <c r="Q44" s="18">
        <v>8352.74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22">
        <f t="shared" si="7"/>
        <v>0</v>
      </c>
      <c r="X44" s="28">
        <v>90</v>
      </c>
    </row>
    <row r="45" spans="1:29" s="35" customFormat="1" ht="33.75" customHeight="1">
      <c r="A45" s="31"/>
      <c r="B45" s="32" t="s">
        <v>46</v>
      </c>
      <c r="C45" s="33">
        <f aca="true" t="shared" si="8" ref="C45:M45">SUM(C46:C57)</f>
        <v>162172.29</v>
      </c>
      <c r="D45" s="33">
        <f t="shared" si="8"/>
        <v>0</v>
      </c>
      <c r="E45" s="33">
        <f t="shared" si="8"/>
        <v>0</v>
      </c>
      <c r="F45" s="33">
        <f t="shared" si="8"/>
        <v>0</v>
      </c>
      <c r="G45" s="33">
        <f t="shared" si="8"/>
        <v>1.1628</v>
      </c>
      <c r="H45" s="33">
        <f t="shared" si="8"/>
        <v>577.8622999999999</v>
      </c>
      <c r="I45" s="33">
        <f t="shared" si="8"/>
        <v>6520.95</v>
      </c>
      <c r="J45" s="33">
        <f t="shared" si="8"/>
        <v>29124.953970000002</v>
      </c>
      <c r="K45" s="33">
        <f t="shared" si="8"/>
        <v>36224.93906999999</v>
      </c>
      <c r="L45" s="33">
        <f t="shared" si="8"/>
        <v>18265.649999999998</v>
      </c>
      <c r="M45" s="33">
        <f t="shared" si="8"/>
        <v>9269.39834</v>
      </c>
      <c r="N45" s="87">
        <f t="shared" si="2"/>
        <v>50.74770588509032</v>
      </c>
      <c r="O45" s="33">
        <v>0</v>
      </c>
      <c r="P45" s="33">
        <v>7718.26</v>
      </c>
      <c r="Q45" s="33">
        <f aca="true" t="shared" si="9" ref="Q45:W45">SUM(Q46:Q57)</f>
        <v>18247.35</v>
      </c>
      <c r="R45" s="33">
        <f t="shared" si="9"/>
        <v>4600</v>
      </c>
      <c r="S45" s="33">
        <f t="shared" si="9"/>
        <v>37500</v>
      </c>
      <c r="T45" s="33">
        <f t="shared" si="9"/>
        <v>36100</v>
      </c>
      <c r="U45" s="33">
        <f t="shared" si="9"/>
        <v>29500</v>
      </c>
      <c r="V45" s="33">
        <f t="shared" si="9"/>
        <v>0</v>
      </c>
      <c r="W45" s="33">
        <f t="shared" si="9"/>
        <v>107700</v>
      </c>
      <c r="X45" s="34" t="s">
        <v>13</v>
      </c>
      <c r="Y45"/>
      <c r="Z45" s="77"/>
      <c r="AA45" s="77"/>
      <c r="AB45" s="1"/>
      <c r="AC45"/>
    </row>
    <row r="46" spans="1:24" ht="15" customHeight="1">
      <c r="A46" s="26">
        <v>2545</v>
      </c>
      <c r="B46" s="37" t="s">
        <v>47</v>
      </c>
      <c r="C46" s="18">
        <v>17476.79</v>
      </c>
      <c r="D46" s="18">
        <v>0</v>
      </c>
      <c r="E46" s="18">
        <v>0</v>
      </c>
      <c r="F46" s="18">
        <v>0</v>
      </c>
      <c r="G46" s="18">
        <v>1.1628</v>
      </c>
      <c r="H46" s="18">
        <v>553.2652999999999</v>
      </c>
      <c r="I46" s="18">
        <v>3155.35</v>
      </c>
      <c r="J46" s="19">
        <v>11498.853400000002</v>
      </c>
      <c r="K46" s="18">
        <f>SUM(D46:J46)</f>
        <v>15208.631500000001</v>
      </c>
      <c r="L46" s="20">
        <v>2286.46</v>
      </c>
      <c r="M46" s="21">
        <v>2266.6930999999995</v>
      </c>
      <c r="N46" s="86">
        <f>M46/L46*100</f>
        <v>99.13548017459301</v>
      </c>
      <c r="O46" s="18">
        <v>0</v>
      </c>
      <c r="P46" s="18">
        <v>2801.4300000000003</v>
      </c>
      <c r="Q46" s="18">
        <v>2268.16</v>
      </c>
      <c r="R46" s="18">
        <v>0</v>
      </c>
      <c r="S46" s="39">
        <v>0</v>
      </c>
      <c r="T46" s="39">
        <v>0</v>
      </c>
      <c r="U46" s="39">
        <v>0</v>
      </c>
      <c r="V46" s="39">
        <v>0</v>
      </c>
      <c r="W46" s="22">
        <f t="shared" si="7"/>
        <v>0</v>
      </c>
      <c r="X46" s="28">
        <v>85</v>
      </c>
    </row>
    <row r="47" spans="1:24" ht="15" customHeight="1">
      <c r="A47" s="26">
        <v>2546</v>
      </c>
      <c r="B47" s="37" t="s">
        <v>48</v>
      </c>
      <c r="C47" s="18">
        <v>21838.100000000002</v>
      </c>
      <c r="D47" s="18">
        <v>0</v>
      </c>
      <c r="E47" s="18">
        <v>0</v>
      </c>
      <c r="F47" s="18">
        <v>0</v>
      </c>
      <c r="G47" s="18">
        <v>0</v>
      </c>
      <c r="H47" s="18">
        <v>24.596999999999998</v>
      </c>
      <c r="I47" s="18">
        <v>2864.05</v>
      </c>
      <c r="J47" s="19">
        <v>14985.83</v>
      </c>
      <c r="K47" s="18">
        <f>SUM(D47:J47)+0.01</f>
        <v>17874.486999999997</v>
      </c>
      <c r="L47" s="20">
        <v>3963.609999999999</v>
      </c>
      <c r="M47" s="21">
        <v>3740.0650100000007</v>
      </c>
      <c r="N47" s="86">
        <f>M47/L47*100</f>
        <v>94.36006594997998</v>
      </c>
      <c r="O47" s="18">
        <v>0</v>
      </c>
      <c r="P47" s="18">
        <v>4916.83</v>
      </c>
      <c r="Q47" s="18">
        <v>3963.609999999999</v>
      </c>
      <c r="R47" s="18">
        <v>0</v>
      </c>
      <c r="S47" s="39">
        <v>0</v>
      </c>
      <c r="T47" s="39">
        <v>0</v>
      </c>
      <c r="U47" s="39">
        <v>0</v>
      </c>
      <c r="V47" s="39">
        <v>0</v>
      </c>
      <c r="W47" s="22">
        <f t="shared" si="7"/>
        <v>0</v>
      </c>
      <c r="X47" s="28">
        <v>85</v>
      </c>
    </row>
    <row r="48" spans="1:24" ht="15" customHeight="1">
      <c r="A48" s="26">
        <v>2682</v>
      </c>
      <c r="B48" s="37" t="s">
        <v>49</v>
      </c>
      <c r="C48" s="18">
        <v>4669.02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501.55</v>
      </c>
      <c r="J48" s="19">
        <v>2517.65557</v>
      </c>
      <c r="K48" s="18">
        <f t="shared" si="4"/>
        <v>3019.20557</v>
      </c>
      <c r="L48" s="20">
        <v>1649.8100000000002</v>
      </c>
      <c r="M48" s="21">
        <v>1172.0725</v>
      </c>
      <c r="N48" s="86">
        <f>M48/L48*100</f>
        <v>71.04287766470078</v>
      </c>
      <c r="O48" s="18"/>
      <c r="P48" s="18"/>
      <c r="Q48" s="18">
        <v>1649.8100000000002</v>
      </c>
      <c r="R48" s="18">
        <v>0</v>
      </c>
      <c r="S48" s="39">
        <v>0</v>
      </c>
      <c r="T48" s="18">
        <v>0</v>
      </c>
      <c r="U48" s="18">
        <v>0</v>
      </c>
      <c r="V48" s="18">
        <v>0</v>
      </c>
      <c r="W48" s="22">
        <f t="shared" si="7"/>
        <v>0</v>
      </c>
      <c r="X48" s="60">
        <v>85</v>
      </c>
    </row>
    <row r="49" spans="1:29" s="35" customFormat="1" ht="23.25" customHeight="1">
      <c r="A49" s="36">
        <v>2684</v>
      </c>
      <c r="B49" s="37" t="s">
        <v>50</v>
      </c>
      <c r="C49" s="18">
        <v>9688.380000000001</v>
      </c>
      <c r="D49" s="1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19">
        <v>122.61500000000001</v>
      </c>
      <c r="K49" s="18">
        <f aca="true" t="shared" si="10" ref="K49:K57">SUM(D49:J49)</f>
        <v>122.61500000000001</v>
      </c>
      <c r="L49" s="20">
        <v>9565.769999999999</v>
      </c>
      <c r="M49" s="20">
        <v>2090.5677299999998</v>
      </c>
      <c r="N49" s="86">
        <f>M49/L49*100</f>
        <v>21.8546727550422</v>
      </c>
      <c r="O49" s="42"/>
      <c r="P49" s="18"/>
      <c r="Q49" s="18">
        <v>9565.769999999999</v>
      </c>
      <c r="R49" s="18">
        <v>0</v>
      </c>
      <c r="S49" s="18">
        <v>0</v>
      </c>
      <c r="T49" s="39">
        <v>0</v>
      </c>
      <c r="U49" s="39">
        <v>0</v>
      </c>
      <c r="V49" s="39">
        <v>0</v>
      </c>
      <c r="W49" s="22">
        <f t="shared" si="7"/>
        <v>0</v>
      </c>
      <c r="X49" s="28">
        <v>85</v>
      </c>
      <c r="Y49" s="1"/>
      <c r="Z49" s="1"/>
      <c r="AB49" s="1"/>
      <c r="AC49" s="1"/>
    </row>
    <row r="50" spans="1:24" ht="15" customHeight="1">
      <c r="A50" s="26">
        <v>3270</v>
      </c>
      <c r="B50" s="37" t="s">
        <v>207</v>
      </c>
      <c r="C50" s="18">
        <v>28000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9">
        <v>0</v>
      </c>
      <c r="K50" s="18">
        <f t="shared" si="10"/>
        <v>0</v>
      </c>
      <c r="L50" s="20">
        <v>100</v>
      </c>
      <c r="M50" s="21">
        <v>0</v>
      </c>
      <c r="N50" s="86">
        <f aca="true" t="shared" si="11" ref="N50:N57">M50/L50*100</f>
        <v>0</v>
      </c>
      <c r="O50" s="18"/>
      <c r="P50" s="18"/>
      <c r="Q50" s="18">
        <v>100</v>
      </c>
      <c r="R50" s="18">
        <v>100</v>
      </c>
      <c r="S50" s="39">
        <v>9875</v>
      </c>
      <c r="T50" s="18">
        <v>9875</v>
      </c>
      <c r="U50" s="39">
        <v>8050</v>
      </c>
      <c r="V50" s="39">
        <v>0</v>
      </c>
      <c r="W50" s="22">
        <f t="shared" si="7"/>
        <v>27900</v>
      </c>
      <c r="X50" s="28" t="s">
        <v>239</v>
      </c>
    </row>
    <row r="51" spans="1:29" s="35" customFormat="1" ht="23.25" customHeight="1">
      <c r="A51" s="36">
        <v>3271</v>
      </c>
      <c r="B51" s="92" t="s">
        <v>208</v>
      </c>
      <c r="C51" s="18">
        <v>10500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9">
        <v>0</v>
      </c>
      <c r="K51" s="18">
        <f t="shared" si="10"/>
        <v>0</v>
      </c>
      <c r="L51" s="20">
        <v>100</v>
      </c>
      <c r="M51" s="90">
        <v>0</v>
      </c>
      <c r="N51" s="86">
        <f t="shared" si="11"/>
        <v>0</v>
      </c>
      <c r="O51" s="42"/>
      <c r="P51" s="18"/>
      <c r="Q51" s="18">
        <v>100</v>
      </c>
      <c r="R51" s="18">
        <v>550</v>
      </c>
      <c r="S51" s="39">
        <v>3050</v>
      </c>
      <c r="T51" s="39">
        <v>3050</v>
      </c>
      <c r="U51" s="39">
        <v>3750</v>
      </c>
      <c r="V51" s="39">
        <v>0</v>
      </c>
      <c r="W51" s="22">
        <f t="shared" si="7"/>
        <v>10400</v>
      </c>
      <c r="X51" s="28" t="s">
        <v>239</v>
      </c>
      <c r="Y51" s="1"/>
      <c r="Z51" s="1"/>
      <c r="AB51" s="1"/>
      <c r="AC51" s="1"/>
    </row>
    <row r="52" spans="1:24" ht="15" customHeight="1">
      <c r="A52" s="26">
        <v>3272</v>
      </c>
      <c r="B52" s="37" t="s">
        <v>209</v>
      </c>
      <c r="C52" s="18">
        <v>10500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9">
        <v>0</v>
      </c>
      <c r="K52" s="18">
        <f t="shared" si="10"/>
        <v>0</v>
      </c>
      <c r="L52" s="20">
        <v>100</v>
      </c>
      <c r="M52" s="21">
        <v>0</v>
      </c>
      <c r="N52" s="86">
        <f t="shared" si="11"/>
        <v>0</v>
      </c>
      <c r="O52" s="18"/>
      <c r="P52" s="18"/>
      <c r="Q52" s="18">
        <v>100</v>
      </c>
      <c r="R52" s="18">
        <v>1550</v>
      </c>
      <c r="S52" s="39">
        <v>3750</v>
      </c>
      <c r="T52" s="18">
        <v>3550</v>
      </c>
      <c r="U52" s="39">
        <v>1550</v>
      </c>
      <c r="V52" s="39">
        <v>0</v>
      </c>
      <c r="W52" s="22">
        <f t="shared" si="7"/>
        <v>10400</v>
      </c>
      <c r="X52" s="28" t="s">
        <v>239</v>
      </c>
    </row>
    <row r="53" spans="1:24" ht="15" customHeight="1">
      <c r="A53" s="26">
        <v>3273</v>
      </c>
      <c r="B53" s="37" t="s">
        <v>210</v>
      </c>
      <c r="C53" s="18">
        <v>10500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9">
        <v>0</v>
      </c>
      <c r="K53" s="18">
        <f t="shared" si="10"/>
        <v>0</v>
      </c>
      <c r="L53" s="20">
        <v>100</v>
      </c>
      <c r="M53" s="21">
        <v>0</v>
      </c>
      <c r="N53" s="86">
        <f t="shared" si="11"/>
        <v>0</v>
      </c>
      <c r="O53" s="18"/>
      <c r="P53" s="18"/>
      <c r="Q53" s="18">
        <v>100</v>
      </c>
      <c r="R53" s="18">
        <v>100</v>
      </c>
      <c r="S53" s="39">
        <v>3975</v>
      </c>
      <c r="T53" s="18">
        <v>3975</v>
      </c>
      <c r="U53" s="39">
        <v>2350</v>
      </c>
      <c r="V53" s="39">
        <v>0</v>
      </c>
      <c r="W53" s="22">
        <f t="shared" si="7"/>
        <v>10400</v>
      </c>
      <c r="X53" s="28" t="s">
        <v>239</v>
      </c>
    </row>
    <row r="54" spans="1:24" ht="15" customHeight="1">
      <c r="A54" s="26">
        <v>3274</v>
      </c>
      <c r="B54" s="37" t="s">
        <v>211</v>
      </c>
      <c r="C54" s="18">
        <v>10500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9">
        <v>0</v>
      </c>
      <c r="K54" s="18">
        <f t="shared" si="10"/>
        <v>0</v>
      </c>
      <c r="L54" s="20">
        <v>100</v>
      </c>
      <c r="M54" s="21">
        <v>0</v>
      </c>
      <c r="N54" s="86">
        <f t="shared" si="11"/>
        <v>0</v>
      </c>
      <c r="O54" s="18"/>
      <c r="P54" s="18"/>
      <c r="Q54" s="18">
        <v>100</v>
      </c>
      <c r="R54" s="18">
        <v>1550</v>
      </c>
      <c r="S54" s="39">
        <v>3750</v>
      </c>
      <c r="T54" s="18">
        <v>3550</v>
      </c>
      <c r="U54" s="39">
        <v>1550</v>
      </c>
      <c r="V54" s="39">
        <v>0</v>
      </c>
      <c r="W54" s="22">
        <f t="shared" si="7"/>
        <v>10400</v>
      </c>
      <c r="X54" s="28" t="s">
        <v>239</v>
      </c>
    </row>
    <row r="55" spans="1:24" ht="15" customHeight="1">
      <c r="A55" s="26">
        <v>3276</v>
      </c>
      <c r="B55" s="37" t="s">
        <v>212</v>
      </c>
      <c r="C55" s="18">
        <v>13500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9">
        <v>0</v>
      </c>
      <c r="K55" s="18">
        <f t="shared" si="10"/>
        <v>0</v>
      </c>
      <c r="L55" s="20">
        <v>100</v>
      </c>
      <c r="M55" s="21">
        <v>0</v>
      </c>
      <c r="N55" s="86">
        <f t="shared" si="11"/>
        <v>0</v>
      </c>
      <c r="O55" s="18"/>
      <c r="P55" s="18"/>
      <c r="Q55" s="18">
        <v>100</v>
      </c>
      <c r="R55" s="18">
        <v>100</v>
      </c>
      <c r="S55" s="39">
        <v>4975</v>
      </c>
      <c r="T55" s="18">
        <v>4075</v>
      </c>
      <c r="U55" s="39">
        <v>4250</v>
      </c>
      <c r="V55" s="39">
        <v>0</v>
      </c>
      <c r="W55" s="22">
        <f t="shared" si="7"/>
        <v>13400</v>
      </c>
      <c r="X55" s="28" t="s">
        <v>239</v>
      </c>
    </row>
    <row r="56" spans="1:24" ht="15" customHeight="1">
      <c r="A56" s="26">
        <v>3277</v>
      </c>
      <c r="B56" s="37" t="s">
        <v>213</v>
      </c>
      <c r="C56" s="18">
        <v>14500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9">
        <v>0</v>
      </c>
      <c r="K56" s="18">
        <f t="shared" si="10"/>
        <v>0</v>
      </c>
      <c r="L56" s="20">
        <v>100</v>
      </c>
      <c r="M56" s="21">
        <v>0</v>
      </c>
      <c r="N56" s="86">
        <f t="shared" si="11"/>
        <v>0</v>
      </c>
      <c r="O56" s="18"/>
      <c r="P56" s="18"/>
      <c r="Q56" s="18">
        <v>100</v>
      </c>
      <c r="R56" s="18">
        <v>100</v>
      </c>
      <c r="S56" s="39">
        <v>5075</v>
      </c>
      <c r="T56" s="18">
        <v>4975</v>
      </c>
      <c r="U56" s="39">
        <v>4250</v>
      </c>
      <c r="V56" s="39">
        <v>0</v>
      </c>
      <c r="W56" s="22">
        <f t="shared" si="7"/>
        <v>14400</v>
      </c>
      <c r="X56" s="28" t="s">
        <v>239</v>
      </c>
    </row>
    <row r="57" spans="1:24" ht="15" customHeight="1">
      <c r="A57" s="26">
        <v>3278</v>
      </c>
      <c r="B57" s="37" t="s">
        <v>214</v>
      </c>
      <c r="C57" s="18">
        <v>10500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9">
        <v>0</v>
      </c>
      <c r="K57" s="18">
        <f t="shared" si="10"/>
        <v>0</v>
      </c>
      <c r="L57" s="20">
        <v>100</v>
      </c>
      <c r="M57" s="21">
        <v>0</v>
      </c>
      <c r="N57" s="86">
        <f t="shared" si="11"/>
        <v>0</v>
      </c>
      <c r="O57" s="18"/>
      <c r="P57" s="18"/>
      <c r="Q57" s="18">
        <v>100</v>
      </c>
      <c r="R57" s="18">
        <v>550</v>
      </c>
      <c r="S57" s="39">
        <v>3050</v>
      </c>
      <c r="T57" s="18">
        <v>3050</v>
      </c>
      <c r="U57" s="39">
        <v>3750</v>
      </c>
      <c r="V57" s="39">
        <v>0</v>
      </c>
      <c r="W57" s="22">
        <f t="shared" si="7"/>
        <v>10400</v>
      </c>
      <c r="X57" s="28" t="s">
        <v>239</v>
      </c>
    </row>
    <row r="58" spans="1:29" s="35" customFormat="1" ht="12.75">
      <c r="A58" s="31"/>
      <c r="B58" s="44" t="s">
        <v>51</v>
      </c>
      <c r="C58" s="45">
        <f aca="true" t="shared" si="12" ref="C58:M58">SUM(C59:C66)</f>
        <v>141871.41</v>
      </c>
      <c r="D58" s="45">
        <f t="shared" si="12"/>
        <v>0</v>
      </c>
      <c r="E58" s="45">
        <f t="shared" si="12"/>
        <v>0</v>
      </c>
      <c r="F58" s="45">
        <f t="shared" si="12"/>
        <v>0</v>
      </c>
      <c r="G58" s="45">
        <f t="shared" si="12"/>
        <v>0</v>
      </c>
      <c r="H58" s="45">
        <f t="shared" si="12"/>
        <v>1896.5460400000002</v>
      </c>
      <c r="I58" s="45">
        <f t="shared" si="12"/>
        <v>3479.9970000000003</v>
      </c>
      <c r="J58" s="45">
        <f t="shared" si="12"/>
        <v>43242.17535</v>
      </c>
      <c r="K58" s="45">
        <f t="shared" si="12"/>
        <v>48618.71839</v>
      </c>
      <c r="L58" s="45">
        <f t="shared" si="12"/>
        <v>51208.409999999996</v>
      </c>
      <c r="M58" s="45">
        <f t="shared" si="12"/>
        <v>7457.562970000001</v>
      </c>
      <c r="N58" s="89">
        <f t="shared" si="2"/>
        <v>14.563160562884105</v>
      </c>
      <c r="O58" s="45">
        <v>-74.62</v>
      </c>
      <c r="P58" s="45">
        <v>39813.53</v>
      </c>
      <c r="Q58" s="45">
        <f aca="true" t="shared" si="13" ref="Q58:W58">SUM(Q59:Q66)</f>
        <v>50753.81</v>
      </c>
      <c r="R58" s="45">
        <f t="shared" si="13"/>
        <v>75864</v>
      </c>
      <c r="S58" s="45">
        <f t="shared" si="13"/>
        <v>80108</v>
      </c>
      <c r="T58" s="45">
        <f t="shared" si="13"/>
        <v>75467</v>
      </c>
      <c r="U58" s="45">
        <f t="shared" si="13"/>
        <v>50000</v>
      </c>
      <c r="V58" s="45">
        <f t="shared" si="13"/>
        <v>50000</v>
      </c>
      <c r="W58" s="45">
        <f t="shared" si="13"/>
        <v>331439</v>
      </c>
      <c r="X58" s="34" t="s">
        <v>13</v>
      </c>
      <c r="Y58" s="1"/>
      <c r="Z58" s="1"/>
      <c r="AB58" s="1"/>
      <c r="AC58" s="1"/>
    </row>
    <row r="59" spans="1:24" ht="12.75">
      <c r="A59" s="81">
        <v>2755</v>
      </c>
      <c r="B59" s="43" t="s">
        <v>52</v>
      </c>
      <c r="C59" s="18">
        <f>8790.06-563.38</f>
        <v>8226.68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9">
        <v>2295.8456899999996</v>
      </c>
      <c r="K59" s="18">
        <f t="shared" si="4"/>
        <v>2295.8456899999996</v>
      </c>
      <c r="L59" s="20">
        <v>5930.829999999999</v>
      </c>
      <c r="M59" s="20">
        <v>5189.46474</v>
      </c>
      <c r="N59" s="86">
        <f t="shared" si="2"/>
        <v>87.49980592935562</v>
      </c>
      <c r="O59" s="18"/>
      <c r="P59" s="18"/>
      <c r="Q59" s="18">
        <v>5930.829999999999</v>
      </c>
      <c r="R59" s="18">
        <v>0</v>
      </c>
      <c r="S59" s="18">
        <v>0</v>
      </c>
      <c r="T59" s="39">
        <v>0</v>
      </c>
      <c r="U59" s="39">
        <v>0</v>
      </c>
      <c r="V59" s="39">
        <v>0</v>
      </c>
      <c r="W59" s="22">
        <f t="shared" si="7"/>
        <v>0</v>
      </c>
      <c r="X59" s="60">
        <v>100</v>
      </c>
    </row>
    <row r="60" spans="1:24" ht="40.5" customHeight="1">
      <c r="A60" s="81">
        <v>2861</v>
      </c>
      <c r="B60" s="47" t="s">
        <v>53</v>
      </c>
      <c r="C60" s="18">
        <f>9640.26-1268.42</f>
        <v>8371.84</v>
      </c>
      <c r="D60" s="48">
        <v>0</v>
      </c>
      <c r="E60" s="48">
        <v>0</v>
      </c>
      <c r="F60" s="48">
        <v>0</v>
      </c>
      <c r="G60" s="48">
        <v>0</v>
      </c>
      <c r="H60" s="18">
        <v>1896.5460400000002</v>
      </c>
      <c r="I60" s="18">
        <v>2563.73</v>
      </c>
      <c r="J60" s="19">
        <v>1350.9605600000002</v>
      </c>
      <c r="K60" s="18">
        <f t="shared" si="4"/>
        <v>5811.236600000001</v>
      </c>
      <c r="L60" s="20">
        <v>2565.9999999999995</v>
      </c>
      <c r="M60" s="20">
        <v>1183.6983099999998</v>
      </c>
      <c r="N60" s="86">
        <f t="shared" si="2"/>
        <v>46.13009781761496</v>
      </c>
      <c r="O60" s="18">
        <v>0</v>
      </c>
      <c r="P60" s="18">
        <v>1723.5400000000002</v>
      </c>
      <c r="Q60" s="18">
        <v>2560.5999999999995</v>
      </c>
      <c r="R60" s="18">
        <v>0</v>
      </c>
      <c r="S60" s="18">
        <v>0</v>
      </c>
      <c r="T60" s="39">
        <v>0</v>
      </c>
      <c r="U60" s="39">
        <v>0</v>
      </c>
      <c r="V60" s="39">
        <v>0</v>
      </c>
      <c r="W60" s="22">
        <f t="shared" si="7"/>
        <v>0</v>
      </c>
      <c r="X60" s="60">
        <v>100</v>
      </c>
    </row>
    <row r="61" spans="1:24" ht="22.5">
      <c r="A61" s="49">
        <v>2866</v>
      </c>
      <c r="B61" s="47" t="s">
        <v>54</v>
      </c>
      <c r="C61" s="18">
        <f>442.13-20.26</f>
        <v>421.87</v>
      </c>
      <c r="D61" s="48">
        <v>0</v>
      </c>
      <c r="E61" s="48">
        <v>0</v>
      </c>
      <c r="F61" s="48">
        <v>0</v>
      </c>
      <c r="G61" s="48">
        <v>0</v>
      </c>
      <c r="H61" s="18">
        <v>0</v>
      </c>
      <c r="I61" s="18">
        <v>0</v>
      </c>
      <c r="J61" s="19">
        <v>273.03801</v>
      </c>
      <c r="K61" s="18">
        <f t="shared" si="4"/>
        <v>273.03801</v>
      </c>
      <c r="L61" s="20">
        <v>148.83</v>
      </c>
      <c r="M61" s="20">
        <v>148.76193999999998</v>
      </c>
      <c r="N61" s="86">
        <f t="shared" si="2"/>
        <v>99.95426997245177</v>
      </c>
      <c r="O61" s="18"/>
      <c r="P61" s="18"/>
      <c r="Q61" s="18">
        <v>148.83</v>
      </c>
      <c r="R61" s="18">
        <v>0</v>
      </c>
      <c r="S61" s="18">
        <v>0</v>
      </c>
      <c r="T61" s="39">
        <v>0</v>
      </c>
      <c r="U61" s="39">
        <v>0</v>
      </c>
      <c r="V61" s="39">
        <v>0</v>
      </c>
      <c r="W61" s="22">
        <f t="shared" si="7"/>
        <v>0</v>
      </c>
      <c r="X61" s="60">
        <v>90</v>
      </c>
    </row>
    <row r="62" spans="1:24" ht="25.5" customHeight="1">
      <c r="A62" s="50">
        <v>2887</v>
      </c>
      <c r="B62" s="17" t="s">
        <v>55</v>
      </c>
      <c r="C62" s="18">
        <v>2623.02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158.96</v>
      </c>
      <c r="J62" s="19">
        <v>1139.51109</v>
      </c>
      <c r="K62" s="18">
        <f t="shared" si="4"/>
        <v>1298.47109</v>
      </c>
      <c r="L62" s="20">
        <v>1773.7499999999995</v>
      </c>
      <c r="M62" s="20">
        <v>652.29719</v>
      </c>
      <c r="N62" s="86">
        <f t="shared" si="2"/>
        <v>36.775035377026086</v>
      </c>
      <c r="O62" s="18"/>
      <c r="P62" s="18"/>
      <c r="Q62" s="18">
        <v>1324.55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22">
        <f t="shared" si="7"/>
        <v>0</v>
      </c>
      <c r="X62" s="60">
        <v>90</v>
      </c>
    </row>
    <row r="63" spans="1:24" ht="12.75">
      <c r="A63" s="57">
        <v>3256</v>
      </c>
      <c r="B63" s="43" t="s">
        <v>215</v>
      </c>
      <c r="C63" s="18">
        <v>82000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9">
        <v>0</v>
      </c>
      <c r="K63" s="18">
        <f t="shared" si="4"/>
        <v>0</v>
      </c>
      <c r="L63" s="20">
        <v>2200</v>
      </c>
      <c r="M63" s="20">
        <v>0</v>
      </c>
      <c r="N63" s="86">
        <f t="shared" si="2"/>
        <v>0</v>
      </c>
      <c r="O63" s="18"/>
      <c r="P63" s="18"/>
      <c r="Q63" s="18">
        <v>2200</v>
      </c>
      <c r="R63" s="18">
        <v>25166</v>
      </c>
      <c r="S63" s="18">
        <v>29167</v>
      </c>
      <c r="T63" s="39">
        <v>25467</v>
      </c>
      <c r="U63" s="39">
        <v>0</v>
      </c>
      <c r="V63" s="39">
        <v>0</v>
      </c>
      <c r="W63" s="22">
        <f t="shared" si="7"/>
        <v>79800</v>
      </c>
      <c r="X63" s="28" t="s">
        <v>248</v>
      </c>
    </row>
    <row r="64" spans="1:24" ht="24.75" customHeight="1">
      <c r="A64" s="50">
        <v>3297</v>
      </c>
      <c r="B64" s="17" t="s">
        <v>216</v>
      </c>
      <c r="C64" s="18">
        <v>1768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9">
        <v>0</v>
      </c>
      <c r="K64" s="18">
        <f t="shared" si="4"/>
        <v>0</v>
      </c>
      <c r="L64" s="20">
        <v>129</v>
      </c>
      <c r="M64" s="20">
        <v>0</v>
      </c>
      <c r="N64" s="86">
        <f t="shared" si="2"/>
        <v>0</v>
      </c>
      <c r="O64" s="18"/>
      <c r="P64" s="18"/>
      <c r="Q64" s="18">
        <v>129</v>
      </c>
      <c r="R64" s="18">
        <v>698</v>
      </c>
      <c r="S64" s="18">
        <v>941</v>
      </c>
      <c r="T64" s="39">
        <v>0</v>
      </c>
      <c r="U64" s="39">
        <v>0</v>
      </c>
      <c r="V64" s="39">
        <v>0</v>
      </c>
      <c r="W64" s="22">
        <f t="shared" si="7"/>
        <v>1639</v>
      </c>
      <c r="X64" s="28" t="s">
        <v>249</v>
      </c>
    </row>
    <row r="65" spans="1:24" ht="12.75">
      <c r="A65" s="50">
        <v>3996</v>
      </c>
      <c r="B65" s="17" t="s">
        <v>56</v>
      </c>
      <c r="C65" s="18">
        <v>1411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9">
        <v>18.21</v>
      </c>
      <c r="K65" s="18">
        <f t="shared" si="4"/>
        <v>18.21</v>
      </c>
      <c r="L65" s="20">
        <v>1411</v>
      </c>
      <c r="M65" s="20">
        <v>93.97579</v>
      </c>
      <c r="N65" s="86">
        <f t="shared" si="2"/>
        <v>6.6602260807937625</v>
      </c>
      <c r="O65" s="18"/>
      <c r="P65" s="18"/>
      <c r="Q65" s="18">
        <v>1411</v>
      </c>
      <c r="R65" s="18">
        <v>0</v>
      </c>
      <c r="S65" s="18">
        <v>0</v>
      </c>
      <c r="T65" s="39">
        <v>0</v>
      </c>
      <c r="U65" s="39">
        <v>0</v>
      </c>
      <c r="V65" s="39">
        <v>0</v>
      </c>
      <c r="W65" s="22">
        <f t="shared" si="7"/>
        <v>0</v>
      </c>
      <c r="X65" s="28" t="s">
        <v>13</v>
      </c>
    </row>
    <row r="66" spans="1:24" ht="12.75">
      <c r="A66" s="50" t="s">
        <v>57</v>
      </c>
      <c r="B66" s="30" t="s">
        <v>58</v>
      </c>
      <c r="C66" s="18">
        <f>L66</f>
        <v>37049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757.307</v>
      </c>
      <c r="J66" s="19">
        <v>38164.61</v>
      </c>
      <c r="K66" s="18">
        <f t="shared" si="4"/>
        <v>38921.917</v>
      </c>
      <c r="L66" s="20">
        <v>37049</v>
      </c>
      <c r="M66" s="20">
        <v>189.365</v>
      </c>
      <c r="N66" s="86">
        <f t="shared" si="2"/>
        <v>0.511120408108181</v>
      </c>
      <c r="O66" s="18">
        <v>-74.62</v>
      </c>
      <c r="P66" s="18">
        <v>38089.99</v>
      </c>
      <c r="Q66" s="18">
        <f>L66</f>
        <v>37049</v>
      </c>
      <c r="R66" s="18">
        <v>50000</v>
      </c>
      <c r="S66" s="18">
        <v>50000</v>
      </c>
      <c r="T66" s="18">
        <v>50000</v>
      </c>
      <c r="U66" s="18">
        <v>50000</v>
      </c>
      <c r="V66" s="18">
        <v>50000</v>
      </c>
      <c r="W66" s="22">
        <f t="shared" si="7"/>
        <v>250000</v>
      </c>
      <c r="X66" s="28" t="s">
        <v>202</v>
      </c>
    </row>
    <row r="67" spans="1:24" s="35" customFormat="1" ht="12.75">
      <c r="A67" s="31"/>
      <c r="B67" s="44" t="s">
        <v>59</v>
      </c>
      <c r="C67" s="45">
        <f aca="true" t="shared" si="14" ref="C67:M67">SUM(C68:C99)</f>
        <v>868563.72</v>
      </c>
      <c r="D67" s="45">
        <f t="shared" si="14"/>
        <v>0</v>
      </c>
      <c r="E67" s="45">
        <f t="shared" si="14"/>
        <v>523.52</v>
      </c>
      <c r="F67" s="45">
        <f t="shared" si="14"/>
        <v>5760.790000000001</v>
      </c>
      <c r="G67" s="45">
        <f t="shared" si="14"/>
        <v>5207.16</v>
      </c>
      <c r="H67" s="45">
        <f t="shared" si="14"/>
        <v>39729.31825000001</v>
      </c>
      <c r="I67" s="45">
        <f t="shared" si="14"/>
        <v>135209.08389</v>
      </c>
      <c r="J67" s="45">
        <f t="shared" si="14"/>
        <v>165512.18000999998</v>
      </c>
      <c r="K67" s="45">
        <f t="shared" si="14"/>
        <v>351942.0921499999</v>
      </c>
      <c r="L67" s="45">
        <f t="shared" si="14"/>
        <v>425539.2</v>
      </c>
      <c r="M67" s="45">
        <f t="shared" si="14"/>
        <v>255558.53534</v>
      </c>
      <c r="N67" s="89">
        <f t="shared" si="2"/>
        <v>60.05522765940247</v>
      </c>
      <c r="O67" s="45">
        <v>-124052.11</v>
      </c>
      <c r="P67" s="45">
        <v>64101.23999999999</v>
      </c>
      <c r="Q67" s="45">
        <f>SUM(Q68:Q99)</f>
        <v>434121.63</v>
      </c>
      <c r="R67" s="45">
        <f aca="true" t="shared" si="15" ref="R67:W67">SUM(R68:R99)</f>
        <v>8500</v>
      </c>
      <c r="S67" s="45">
        <f t="shared" si="15"/>
        <v>48000</v>
      </c>
      <c r="T67" s="45">
        <f t="shared" si="15"/>
        <v>26000</v>
      </c>
      <c r="U67" s="45">
        <f t="shared" si="15"/>
        <v>0</v>
      </c>
      <c r="V67" s="45">
        <f t="shared" si="15"/>
        <v>0</v>
      </c>
      <c r="W67" s="45">
        <f t="shared" si="15"/>
        <v>82500</v>
      </c>
      <c r="X67" s="34" t="s">
        <v>13</v>
      </c>
    </row>
    <row r="68" spans="1:24" s="35" customFormat="1" ht="12.75">
      <c r="A68" s="26">
        <v>2564</v>
      </c>
      <c r="B68" s="17" t="s">
        <v>60</v>
      </c>
      <c r="C68" s="18">
        <f>6654</f>
        <v>6654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194.98000000000002</v>
      </c>
      <c r="J68" s="19">
        <v>704.4117299999999</v>
      </c>
      <c r="K68" s="18">
        <f t="shared" si="4"/>
        <v>899.3917299999999</v>
      </c>
      <c r="L68" s="20">
        <v>5754.610000000001</v>
      </c>
      <c r="M68" s="20">
        <v>5722.7083999999995</v>
      </c>
      <c r="N68" s="86">
        <f t="shared" si="2"/>
        <v>99.44563402211443</v>
      </c>
      <c r="O68" s="18"/>
      <c r="P68" s="18"/>
      <c r="Q68" s="18">
        <v>5754.610000000001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22">
        <f aca="true" t="shared" si="16" ref="W68:W95">SUM(R68:V68)</f>
        <v>0</v>
      </c>
      <c r="X68" s="60">
        <v>85</v>
      </c>
    </row>
    <row r="69" spans="1:29" s="35" customFormat="1" ht="12.75">
      <c r="A69" s="26">
        <v>2565</v>
      </c>
      <c r="B69" s="30" t="s">
        <v>61</v>
      </c>
      <c r="C69" s="18">
        <v>28321.78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11.45</v>
      </c>
      <c r="J69" s="19">
        <v>459.893</v>
      </c>
      <c r="K69" s="18">
        <f t="shared" si="4"/>
        <v>471.34299999999996</v>
      </c>
      <c r="L69" s="20">
        <v>27850.44</v>
      </c>
      <c r="M69" s="20">
        <v>12823.84163</v>
      </c>
      <c r="N69" s="86">
        <f t="shared" si="2"/>
        <v>46.045382514603006</v>
      </c>
      <c r="O69" s="30"/>
      <c r="P69" s="30"/>
      <c r="Q69" s="18">
        <v>27850.44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22">
        <f t="shared" si="16"/>
        <v>0</v>
      </c>
      <c r="X69" s="60">
        <v>85</v>
      </c>
      <c r="Y69" s="1"/>
      <c r="Z69" s="1"/>
      <c r="AB69" s="1"/>
      <c r="AC69" s="1"/>
    </row>
    <row r="70" spans="1:29" s="35" customFormat="1" ht="12.75">
      <c r="A70" s="51">
        <v>2569</v>
      </c>
      <c r="B70" s="30" t="s">
        <v>62</v>
      </c>
      <c r="C70" s="18">
        <f>22494.49+74.3</f>
        <v>22568.79</v>
      </c>
      <c r="D70" s="18">
        <v>0</v>
      </c>
      <c r="E70" s="18">
        <v>523.52</v>
      </c>
      <c r="F70" s="18">
        <v>4912.150000000001</v>
      </c>
      <c r="G70" s="18">
        <v>641.41</v>
      </c>
      <c r="H70" s="18">
        <v>13148.39</v>
      </c>
      <c r="I70" s="18">
        <v>3269.0199999999995</v>
      </c>
      <c r="J70" s="19">
        <v>0</v>
      </c>
      <c r="K70" s="18">
        <f t="shared" si="4"/>
        <v>22494.49</v>
      </c>
      <c r="L70" s="20">
        <v>74.3</v>
      </c>
      <c r="M70" s="20">
        <v>0</v>
      </c>
      <c r="N70" s="86">
        <f t="shared" si="2"/>
        <v>0</v>
      </c>
      <c r="O70" s="52"/>
      <c r="P70" s="52"/>
      <c r="Q70" s="18">
        <v>74.3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22">
        <f t="shared" si="16"/>
        <v>0</v>
      </c>
      <c r="X70" s="60">
        <v>100</v>
      </c>
      <c r="Y70" s="1"/>
      <c r="Z70" s="1"/>
      <c r="AB70" s="1"/>
      <c r="AC70" s="1"/>
    </row>
    <row r="71" spans="1:24" ht="22.5">
      <c r="A71" s="26">
        <v>2731</v>
      </c>
      <c r="B71" s="53" t="s">
        <v>63</v>
      </c>
      <c r="C71" s="18">
        <v>26162.229999999996</v>
      </c>
      <c r="D71" s="18">
        <v>0</v>
      </c>
      <c r="E71" s="18">
        <v>0</v>
      </c>
      <c r="F71" s="18">
        <v>848.64</v>
      </c>
      <c r="G71" s="18">
        <v>225.58</v>
      </c>
      <c r="H71" s="18">
        <v>97.62</v>
      </c>
      <c r="I71" s="18">
        <v>19615.63</v>
      </c>
      <c r="J71" s="19">
        <v>3073.97322</v>
      </c>
      <c r="K71" s="18">
        <f t="shared" si="4"/>
        <v>23861.44322</v>
      </c>
      <c r="L71" s="20">
        <v>2300.7999999999997</v>
      </c>
      <c r="M71" s="20">
        <v>2257.3718500000004</v>
      </c>
      <c r="N71" s="86">
        <f t="shared" si="2"/>
        <v>98.11247609527123</v>
      </c>
      <c r="O71" s="18">
        <v>-7773.76</v>
      </c>
      <c r="P71" s="18">
        <v>-4722.58</v>
      </c>
      <c r="Q71" s="18">
        <v>2300.79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22">
        <f t="shared" si="16"/>
        <v>0</v>
      </c>
      <c r="X71" s="60">
        <v>85</v>
      </c>
    </row>
    <row r="72" spans="1:24" ht="22.5">
      <c r="A72" s="26">
        <v>2735</v>
      </c>
      <c r="B72" s="53" t="s">
        <v>64</v>
      </c>
      <c r="C72" s="18">
        <v>33688.52</v>
      </c>
      <c r="D72" s="18">
        <v>0</v>
      </c>
      <c r="E72" s="18">
        <v>0</v>
      </c>
      <c r="F72" s="18">
        <v>0</v>
      </c>
      <c r="G72" s="18">
        <v>0</v>
      </c>
      <c r="H72" s="18">
        <v>132.61</v>
      </c>
      <c r="I72" s="18">
        <v>1267.38</v>
      </c>
      <c r="J72" s="19">
        <v>22647.562359999993</v>
      </c>
      <c r="K72" s="18">
        <f>SUM(D72:J72)+0.02</f>
        <v>24047.572359999995</v>
      </c>
      <c r="L72" s="20">
        <v>9643.679999999998</v>
      </c>
      <c r="M72" s="20">
        <v>8839.63576</v>
      </c>
      <c r="N72" s="86">
        <f t="shared" si="2"/>
        <v>91.66247490584509</v>
      </c>
      <c r="O72" s="18">
        <v>0</v>
      </c>
      <c r="P72" s="18">
        <v>9643.68</v>
      </c>
      <c r="Q72" s="18">
        <f>9643.68-2.73</f>
        <v>9640.95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22">
        <f t="shared" si="16"/>
        <v>0</v>
      </c>
      <c r="X72" s="28">
        <v>85</v>
      </c>
    </row>
    <row r="73" spans="1:24" ht="22.5">
      <c r="A73" s="26">
        <v>2737</v>
      </c>
      <c r="B73" s="53" t="s">
        <v>65</v>
      </c>
      <c r="C73" s="18">
        <v>19356.379999999997</v>
      </c>
      <c r="D73" s="18">
        <v>0</v>
      </c>
      <c r="E73" s="18">
        <v>0</v>
      </c>
      <c r="F73" s="18">
        <v>0</v>
      </c>
      <c r="G73" s="18">
        <v>0</v>
      </c>
      <c r="H73" s="18">
        <v>153.86</v>
      </c>
      <c r="I73" s="18">
        <v>2927.49</v>
      </c>
      <c r="J73" s="19">
        <v>1637.44524</v>
      </c>
      <c r="K73" s="18">
        <f t="shared" si="4"/>
        <v>4718.7952399999995</v>
      </c>
      <c r="L73" s="20">
        <v>14637.58</v>
      </c>
      <c r="M73" s="20">
        <v>1882.1802</v>
      </c>
      <c r="N73" s="86">
        <f t="shared" si="2"/>
        <v>12.858547656101624</v>
      </c>
      <c r="O73" s="18">
        <v>0</v>
      </c>
      <c r="P73" s="18">
        <v>17636.58</v>
      </c>
      <c r="Q73" s="18">
        <v>14637.58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22">
        <f t="shared" si="16"/>
        <v>0</v>
      </c>
      <c r="X73" s="60">
        <v>85</v>
      </c>
    </row>
    <row r="74" spans="1:24" ht="12.75">
      <c r="A74" s="26">
        <v>2740</v>
      </c>
      <c r="B74" s="30" t="s">
        <v>66</v>
      </c>
      <c r="C74" s="18">
        <v>12999.98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150.45</v>
      </c>
      <c r="J74" s="19">
        <v>1766.9342400000003</v>
      </c>
      <c r="K74" s="18">
        <f t="shared" si="4"/>
        <v>1917.3842400000003</v>
      </c>
      <c r="L74" s="20">
        <v>11082.6</v>
      </c>
      <c r="M74" s="20">
        <v>10050.190160000002</v>
      </c>
      <c r="N74" s="86">
        <f t="shared" si="2"/>
        <v>90.68440762997854</v>
      </c>
      <c r="O74" s="18"/>
      <c r="P74" s="18"/>
      <c r="Q74" s="18">
        <v>11082.6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22">
        <f t="shared" si="16"/>
        <v>0</v>
      </c>
      <c r="X74" s="60">
        <v>85</v>
      </c>
    </row>
    <row r="75" spans="1:24" ht="12.75">
      <c r="A75" s="26">
        <v>2741</v>
      </c>
      <c r="B75" s="30" t="s">
        <v>67</v>
      </c>
      <c r="C75" s="18">
        <v>27653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142.03000000000003</v>
      </c>
      <c r="J75" s="19">
        <v>4742.72313</v>
      </c>
      <c r="K75" s="18">
        <f>SUM(D75:J75)+0.01</f>
        <v>4884.76313</v>
      </c>
      <c r="L75" s="20">
        <v>22768.24</v>
      </c>
      <c r="M75" s="20">
        <v>19993.83791</v>
      </c>
      <c r="N75" s="86">
        <f t="shared" si="2"/>
        <v>87.81459572632754</v>
      </c>
      <c r="O75" s="18"/>
      <c r="P75" s="18"/>
      <c r="Q75" s="18">
        <v>22768.239999999998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22">
        <f t="shared" si="16"/>
        <v>0</v>
      </c>
      <c r="X75" s="60">
        <v>85</v>
      </c>
    </row>
    <row r="76" spans="1:24" ht="22.5">
      <c r="A76" s="26">
        <v>2742</v>
      </c>
      <c r="B76" s="53" t="s">
        <v>68</v>
      </c>
      <c r="C76" s="18">
        <v>11169.800000000001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385.00299999999993</v>
      </c>
      <c r="J76" s="19">
        <v>284.02045999999996</v>
      </c>
      <c r="K76" s="18">
        <f t="shared" si="4"/>
        <v>669.0234599999999</v>
      </c>
      <c r="L76" s="20">
        <v>10500.78</v>
      </c>
      <c r="M76" s="20">
        <v>10422.180999999999</v>
      </c>
      <c r="N76" s="86">
        <f t="shared" si="2"/>
        <v>99.25149369856334</v>
      </c>
      <c r="O76" s="18"/>
      <c r="P76" s="18"/>
      <c r="Q76" s="18">
        <v>10500.78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22">
        <f t="shared" si="16"/>
        <v>0</v>
      </c>
      <c r="X76" s="60">
        <v>85</v>
      </c>
    </row>
    <row r="77" spans="1:29" ht="12.75">
      <c r="A77" s="26">
        <v>2743</v>
      </c>
      <c r="B77" s="30" t="s">
        <v>69</v>
      </c>
      <c r="C77" s="18">
        <v>21500.2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146.82</v>
      </c>
      <c r="J77" s="19">
        <v>788.3809999999999</v>
      </c>
      <c r="K77" s="18">
        <f t="shared" si="4"/>
        <v>935.2009999999998</v>
      </c>
      <c r="L77" s="20">
        <v>20564.999999999996</v>
      </c>
      <c r="M77" s="20">
        <v>9508.849690000003</v>
      </c>
      <c r="N77" s="86">
        <f t="shared" si="2"/>
        <v>46.238024264527134</v>
      </c>
      <c r="O77" s="18"/>
      <c r="P77" s="18"/>
      <c r="Q77" s="18">
        <v>20564.999999999996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22">
        <f t="shared" si="16"/>
        <v>0</v>
      </c>
      <c r="X77" s="60">
        <v>85</v>
      </c>
      <c r="Y77" s="35"/>
      <c r="Z77" s="35"/>
      <c r="AB77" s="35"/>
      <c r="AC77" s="35"/>
    </row>
    <row r="78" spans="1:29" ht="12.75">
      <c r="A78" s="26">
        <v>2744</v>
      </c>
      <c r="B78" s="30" t="s">
        <v>70</v>
      </c>
      <c r="C78" s="18">
        <v>9400.19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9">
        <v>101.25800000000001</v>
      </c>
      <c r="K78" s="18">
        <f t="shared" si="4"/>
        <v>101.25800000000001</v>
      </c>
      <c r="L78" s="20">
        <v>9298.93</v>
      </c>
      <c r="M78" s="20">
        <v>56.059999999999995</v>
      </c>
      <c r="N78" s="86">
        <f t="shared" si="2"/>
        <v>0.6028650608188253</v>
      </c>
      <c r="O78" s="18"/>
      <c r="P78" s="18"/>
      <c r="Q78" s="18">
        <v>9298.93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22">
        <f t="shared" si="16"/>
        <v>0</v>
      </c>
      <c r="X78" s="60">
        <v>85</v>
      </c>
      <c r="Y78" s="35"/>
      <c r="Z78" s="35"/>
      <c r="AB78" s="35"/>
      <c r="AC78" s="35"/>
    </row>
    <row r="79" spans="1:24" ht="12.75">
      <c r="A79" s="26">
        <v>2745</v>
      </c>
      <c r="B79" s="30" t="s">
        <v>71</v>
      </c>
      <c r="C79" s="18">
        <v>10000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9">
        <v>0</v>
      </c>
      <c r="K79" s="18">
        <f t="shared" si="4"/>
        <v>0</v>
      </c>
      <c r="L79" s="20">
        <v>9999.999999999998</v>
      </c>
      <c r="M79" s="20">
        <v>118.58</v>
      </c>
      <c r="N79" s="86">
        <f t="shared" si="2"/>
        <v>1.1858000000000002</v>
      </c>
      <c r="O79" s="18"/>
      <c r="P79" s="18"/>
      <c r="Q79" s="18">
        <v>9999.999999999998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22">
        <f t="shared" si="16"/>
        <v>0</v>
      </c>
      <c r="X79" s="60">
        <v>85</v>
      </c>
    </row>
    <row r="80" spans="1:24" ht="22.5">
      <c r="A80" s="54">
        <v>2751</v>
      </c>
      <c r="B80" s="53" t="s">
        <v>72</v>
      </c>
      <c r="C80" s="18">
        <v>8135.14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9">
        <v>2849.3370800000002</v>
      </c>
      <c r="K80" s="18">
        <f t="shared" si="4"/>
        <v>2849.3370800000002</v>
      </c>
      <c r="L80" s="20">
        <v>6053.7300000000005</v>
      </c>
      <c r="M80" s="20">
        <v>2977.81476</v>
      </c>
      <c r="N80" s="86">
        <f t="shared" si="2"/>
        <v>49.18975177287391</v>
      </c>
      <c r="O80" s="18"/>
      <c r="P80" s="18"/>
      <c r="Q80" s="18">
        <f>6053.73-767.93</f>
        <v>5285.799999999999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22">
        <f t="shared" si="16"/>
        <v>0</v>
      </c>
      <c r="X80" s="60">
        <v>100</v>
      </c>
    </row>
    <row r="81" spans="1:24" ht="12.75">
      <c r="A81" s="54">
        <v>2752</v>
      </c>
      <c r="B81" s="30" t="s">
        <v>73</v>
      </c>
      <c r="C81" s="18">
        <f>8217.55-510.95</f>
        <v>7706.599999999999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9">
        <v>2097.6359799999996</v>
      </c>
      <c r="K81" s="18">
        <f t="shared" si="4"/>
        <v>2097.6359799999996</v>
      </c>
      <c r="L81" s="20">
        <v>5694.839999999999</v>
      </c>
      <c r="M81" s="20">
        <v>3315.4340300000003</v>
      </c>
      <c r="N81" s="86">
        <f t="shared" si="2"/>
        <v>58.21821210077896</v>
      </c>
      <c r="O81" s="18"/>
      <c r="P81" s="18"/>
      <c r="Q81" s="18">
        <f>5608.96</f>
        <v>5608.96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22">
        <f t="shared" si="16"/>
        <v>0</v>
      </c>
      <c r="X81" s="60">
        <v>100</v>
      </c>
    </row>
    <row r="82" spans="1:24" ht="12.75">
      <c r="A82" s="54">
        <v>2753</v>
      </c>
      <c r="B82" s="30" t="s">
        <v>74</v>
      </c>
      <c r="C82" s="18">
        <v>9031.19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9">
        <v>1977.65771</v>
      </c>
      <c r="K82" s="18">
        <f t="shared" si="4"/>
        <v>1977.65771</v>
      </c>
      <c r="L82" s="20">
        <v>5221.1399999999985</v>
      </c>
      <c r="M82" s="20">
        <v>4842.51756</v>
      </c>
      <c r="N82" s="86">
        <f t="shared" si="2"/>
        <v>92.74828026063277</v>
      </c>
      <c r="O82" s="18"/>
      <c r="P82" s="18"/>
      <c r="Q82" s="18">
        <v>7053.53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22">
        <f t="shared" si="16"/>
        <v>0</v>
      </c>
      <c r="X82" s="60">
        <v>100</v>
      </c>
    </row>
    <row r="83" spans="1:24" ht="22.5">
      <c r="A83" s="54">
        <v>2754</v>
      </c>
      <c r="B83" s="53" t="s">
        <v>75</v>
      </c>
      <c r="C83" s="18">
        <v>7231.47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9">
        <v>563.0949399999998</v>
      </c>
      <c r="K83" s="18">
        <f t="shared" si="4"/>
        <v>563.0949399999998</v>
      </c>
      <c r="L83" s="20">
        <v>5281.450000000001</v>
      </c>
      <c r="M83" s="20">
        <v>4933.47706</v>
      </c>
      <c r="N83" s="86">
        <f t="shared" si="2"/>
        <v>93.41141277490082</v>
      </c>
      <c r="O83" s="18"/>
      <c r="P83" s="18"/>
      <c r="Q83" s="18">
        <v>6668.38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22">
        <f t="shared" si="16"/>
        <v>0</v>
      </c>
      <c r="X83" s="60">
        <v>100</v>
      </c>
    </row>
    <row r="84" spans="1:24" ht="12.75">
      <c r="A84" s="54">
        <v>2758</v>
      </c>
      <c r="B84" s="30" t="s">
        <v>76</v>
      </c>
      <c r="C84" s="18">
        <v>4400.76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9">
        <v>755.08107</v>
      </c>
      <c r="K84" s="18">
        <f t="shared" si="4"/>
        <v>755.08107</v>
      </c>
      <c r="L84" s="20">
        <v>2477.87</v>
      </c>
      <c r="M84" s="20">
        <v>1699.42373</v>
      </c>
      <c r="N84" s="86">
        <f t="shared" si="2"/>
        <v>68.58405525713617</v>
      </c>
      <c r="O84" s="18"/>
      <c r="P84" s="18"/>
      <c r="Q84" s="18">
        <v>3645.67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22">
        <f t="shared" si="16"/>
        <v>0</v>
      </c>
      <c r="X84" s="60">
        <v>100</v>
      </c>
    </row>
    <row r="85" spans="1:24" ht="22.5">
      <c r="A85" s="54">
        <v>2759</v>
      </c>
      <c r="B85" s="53" t="s">
        <v>77</v>
      </c>
      <c r="C85" s="18">
        <v>13105.71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165.7</v>
      </c>
      <c r="J85" s="19">
        <v>2914.3500099999987</v>
      </c>
      <c r="K85" s="18">
        <f t="shared" si="4"/>
        <v>3080.0500099999986</v>
      </c>
      <c r="L85" s="20">
        <v>7287.359999999999</v>
      </c>
      <c r="M85" s="20">
        <v>6670.127220000001</v>
      </c>
      <c r="N85" s="86">
        <f t="shared" si="2"/>
        <v>91.53009073244634</v>
      </c>
      <c r="O85" s="18"/>
      <c r="P85" s="18"/>
      <c r="Q85" s="18">
        <v>10025.66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22">
        <f t="shared" si="16"/>
        <v>0</v>
      </c>
      <c r="X85" s="60">
        <v>100</v>
      </c>
    </row>
    <row r="86" spans="1:24" ht="33.75">
      <c r="A86" s="54">
        <v>2760</v>
      </c>
      <c r="B86" s="53" t="s">
        <v>78</v>
      </c>
      <c r="C86" s="18">
        <v>33395.33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4187.27</v>
      </c>
      <c r="J86" s="19">
        <v>14359.186989999998</v>
      </c>
      <c r="K86" s="18">
        <f t="shared" si="4"/>
        <v>18546.45699</v>
      </c>
      <c r="L86" s="20">
        <v>13655.240000000002</v>
      </c>
      <c r="M86" s="20">
        <v>10246.140099999999</v>
      </c>
      <c r="N86" s="86">
        <f aca="true" t="shared" si="17" ref="N86:N97">M86/L86*100</f>
        <v>75.03449298584279</v>
      </c>
      <c r="O86" s="18"/>
      <c r="P86" s="18"/>
      <c r="Q86" s="18">
        <v>14848.87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22">
        <f t="shared" si="16"/>
        <v>0</v>
      </c>
      <c r="X86" s="60">
        <v>100</v>
      </c>
    </row>
    <row r="87" spans="1:24" ht="22.5">
      <c r="A87" s="55">
        <v>2764</v>
      </c>
      <c r="B87" s="56" t="s">
        <v>79</v>
      </c>
      <c r="C87" s="18">
        <v>32458.129999999997</v>
      </c>
      <c r="D87" s="18">
        <v>0</v>
      </c>
      <c r="E87" s="18">
        <v>0</v>
      </c>
      <c r="F87" s="18">
        <v>0</v>
      </c>
      <c r="G87" s="18">
        <v>0</v>
      </c>
      <c r="H87" s="18">
        <v>20655.564250000003</v>
      </c>
      <c r="I87" s="18">
        <v>11744.6092</v>
      </c>
      <c r="J87" s="19">
        <v>28.96069</v>
      </c>
      <c r="K87" s="18">
        <f t="shared" si="4"/>
        <v>32429.134140000002</v>
      </c>
      <c r="L87" s="20">
        <v>0.11</v>
      </c>
      <c r="M87" s="20">
        <v>0.064</v>
      </c>
      <c r="N87" s="86">
        <f t="shared" si="17"/>
        <v>58.18181818181818</v>
      </c>
      <c r="O87" s="18">
        <v>-5387</v>
      </c>
      <c r="P87" s="18">
        <v>-5386.89</v>
      </c>
      <c r="Q87" s="18">
        <f>0.11+28.89</f>
        <v>29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22">
        <f t="shared" si="16"/>
        <v>0</v>
      </c>
      <c r="X87" s="60">
        <v>100</v>
      </c>
    </row>
    <row r="88" spans="1:24" ht="22.5">
      <c r="A88" s="55">
        <v>2766</v>
      </c>
      <c r="B88" s="56" t="s">
        <v>80</v>
      </c>
      <c r="C88" s="18">
        <v>229720.14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86761.44</v>
      </c>
      <c r="J88" s="19">
        <v>90422.04296999998</v>
      </c>
      <c r="K88" s="18">
        <f t="shared" si="4"/>
        <v>177183.48296999998</v>
      </c>
      <c r="L88" s="20">
        <v>52536.65999999999</v>
      </c>
      <c r="M88" s="20">
        <v>19996.65542</v>
      </c>
      <c r="N88" s="86">
        <f t="shared" si="17"/>
        <v>38.06228911392541</v>
      </c>
      <c r="O88" s="18">
        <v>-38000</v>
      </c>
      <c r="P88" s="18">
        <v>14536.659999999989</v>
      </c>
      <c r="Q88" s="18">
        <v>52536.65999999999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22">
        <f t="shared" si="16"/>
        <v>0</v>
      </c>
      <c r="X88" s="60">
        <v>100</v>
      </c>
    </row>
    <row r="89" spans="1:24" ht="22.5">
      <c r="A89" s="55">
        <v>2768</v>
      </c>
      <c r="B89" s="56" t="s">
        <v>81</v>
      </c>
      <c r="C89" s="18">
        <f>14734.58-125.41</f>
        <v>14609.17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9">
        <v>5086.470830000001</v>
      </c>
      <c r="K89" s="18">
        <f t="shared" si="4"/>
        <v>5086.470830000001</v>
      </c>
      <c r="L89" s="20">
        <v>9522.700000000003</v>
      </c>
      <c r="M89" s="20">
        <v>5042.380840000001</v>
      </c>
      <c r="N89" s="86">
        <f t="shared" si="17"/>
        <v>52.95116763102901</v>
      </c>
      <c r="O89" s="18"/>
      <c r="P89" s="18"/>
      <c r="Q89" s="18">
        <v>9522.7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22">
        <f t="shared" si="16"/>
        <v>0</v>
      </c>
      <c r="X89" s="28">
        <v>100</v>
      </c>
    </row>
    <row r="90" spans="1:24" ht="22.5">
      <c r="A90" s="55">
        <v>2776</v>
      </c>
      <c r="B90" s="56" t="s">
        <v>82</v>
      </c>
      <c r="C90" s="18">
        <v>12737.189999999999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58.663729999999994</v>
      </c>
      <c r="J90" s="19">
        <v>699.2552300000001</v>
      </c>
      <c r="K90" s="18">
        <f aca="true" t="shared" si="18" ref="K90:K154">SUM(D90:J90)</f>
        <v>757.9189600000001</v>
      </c>
      <c r="L90" s="20">
        <v>7643.199999999999</v>
      </c>
      <c r="M90" s="20">
        <v>7057.282810000001</v>
      </c>
      <c r="N90" s="86">
        <f t="shared" si="17"/>
        <v>92.33413766485243</v>
      </c>
      <c r="O90" s="18"/>
      <c r="P90" s="18"/>
      <c r="Q90" s="18">
        <f>7643.2+4336.07</f>
        <v>11979.27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22">
        <f t="shared" si="16"/>
        <v>0</v>
      </c>
      <c r="X90" s="28">
        <v>100</v>
      </c>
    </row>
    <row r="91" spans="1:24" ht="12.75">
      <c r="A91" s="51">
        <v>2820</v>
      </c>
      <c r="B91" s="17" t="s">
        <v>83</v>
      </c>
      <c r="C91" s="18">
        <v>25999.96</v>
      </c>
      <c r="D91" s="18">
        <v>0</v>
      </c>
      <c r="E91" s="18">
        <v>0</v>
      </c>
      <c r="F91" s="18">
        <v>0</v>
      </c>
      <c r="G91" s="18">
        <v>4200</v>
      </c>
      <c r="H91" s="18">
        <v>5368.94</v>
      </c>
      <c r="I91" s="18">
        <v>81.07600000000001</v>
      </c>
      <c r="J91" s="19">
        <v>242.365</v>
      </c>
      <c r="K91" s="18">
        <f>SUM(D91:J91)+0.01</f>
        <v>9892.390999999998</v>
      </c>
      <c r="L91" s="20">
        <v>16107.569999999998</v>
      </c>
      <c r="M91" s="20">
        <v>15878.823389999998</v>
      </c>
      <c r="N91" s="86">
        <f t="shared" si="17"/>
        <v>98.5798813228811</v>
      </c>
      <c r="O91" s="18">
        <v>-19391.35</v>
      </c>
      <c r="P91" s="18">
        <v>-3298.7999999999993</v>
      </c>
      <c r="Q91" s="18">
        <v>16107.570000000002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22">
        <f t="shared" si="16"/>
        <v>0</v>
      </c>
      <c r="X91" s="28">
        <v>100</v>
      </c>
    </row>
    <row r="92" spans="1:24" ht="22.5">
      <c r="A92" s="26">
        <v>2821</v>
      </c>
      <c r="B92" s="17" t="s">
        <v>84</v>
      </c>
      <c r="C92" s="18">
        <v>64870.51</v>
      </c>
      <c r="D92" s="18">
        <v>0</v>
      </c>
      <c r="E92" s="18">
        <v>0</v>
      </c>
      <c r="F92" s="18">
        <v>0</v>
      </c>
      <c r="G92" s="18">
        <v>0</v>
      </c>
      <c r="H92" s="18">
        <v>130.93400000000003</v>
      </c>
      <c r="I92" s="18">
        <v>1739.43</v>
      </c>
      <c r="J92" s="19">
        <v>6887.147770000002</v>
      </c>
      <c r="K92" s="18">
        <f t="shared" si="18"/>
        <v>8757.511770000003</v>
      </c>
      <c r="L92" s="20">
        <v>56113</v>
      </c>
      <c r="M92" s="20">
        <v>45669.50949</v>
      </c>
      <c r="N92" s="86">
        <f t="shared" si="17"/>
        <v>81.38846522196282</v>
      </c>
      <c r="O92" s="18">
        <v>-44500</v>
      </c>
      <c r="P92" s="18">
        <v>13613.010000000002</v>
      </c>
      <c r="Q92" s="18">
        <v>56112.99999999999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22">
        <f t="shared" si="16"/>
        <v>0</v>
      </c>
      <c r="X92" s="28">
        <v>100</v>
      </c>
    </row>
    <row r="93" spans="1:24" ht="12.75">
      <c r="A93" s="36">
        <v>2824</v>
      </c>
      <c r="B93" s="56" t="s">
        <v>85</v>
      </c>
      <c r="C93" s="18">
        <v>34756.36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2257.28</v>
      </c>
      <c r="J93" s="19">
        <v>119.51599999999999</v>
      </c>
      <c r="K93" s="18">
        <f t="shared" si="18"/>
        <v>2376.7960000000003</v>
      </c>
      <c r="L93" s="20">
        <v>35624.579999999994</v>
      </c>
      <c r="M93" s="20">
        <v>10535.519069999997</v>
      </c>
      <c r="N93" s="86">
        <f t="shared" si="17"/>
        <v>29.57373552193457</v>
      </c>
      <c r="O93" s="18">
        <v>-9000</v>
      </c>
      <c r="P93" s="18">
        <v>22079.58</v>
      </c>
      <c r="Q93" s="18">
        <f>35624.58-3245.02</f>
        <v>32379.56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22">
        <f t="shared" si="16"/>
        <v>0</v>
      </c>
      <c r="X93" s="28">
        <v>85</v>
      </c>
    </row>
    <row r="94" spans="1:24" ht="12.75">
      <c r="A94" s="36">
        <v>2825</v>
      </c>
      <c r="B94" s="56" t="s">
        <v>86</v>
      </c>
      <c r="C94" s="18">
        <v>10680.96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22.41</v>
      </c>
      <c r="J94" s="19">
        <v>58.38699999999999</v>
      </c>
      <c r="K94" s="18">
        <f t="shared" si="18"/>
        <v>80.797</v>
      </c>
      <c r="L94" s="20">
        <v>10600.17</v>
      </c>
      <c r="M94" s="20">
        <v>5892.012</v>
      </c>
      <c r="N94" s="86">
        <f t="shared" si="17"/>
        <v>55.58412742437149</v>
      </c>
      <c r="O94" s="18"/>
      <c r="P94" s="18"/>
      <c r="Q94" s="18">
        <v>10600.16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22">
        <f t="shared" si="16"/>
        <v>0</v>
      </c>
      <c r="X94" s="28">
        <v>100</v>
      </c>
    </row>
    <row r="95" spans="1:24" ht="22.5">
      <c r="A95" s="36">
        <v>3201</v>
      </c>
      <c r="B95" s="56" t="s">
        <v>87</v>
      </c>
      <c r="C95" s="18">
        <v>45250.229999999996</v>
      </c>
      <c r="D95" s="18">
        <v>0</v>
      </c>
      <c r="E95" s="18">
        <v>0</v>
      </c>
      <c r="F95" s="18">
        <v>0</v>
      </c>
      <c r="G95" s="18">
        <v>140.17</v>
      </c>
      <c r="H95" s="18">
        <v>41.4</v>
      </c>
      <c r="I95" s="18">
        <v>80.95196000000001</v>
      </c>
      <c r="J95" s="19">
        <v>245.08836000000002</v>
      </c>
      <c r="K95" s="18">
        <f t="shared" si="18"/>
        <v>507.61032000000006</v>
      </c>
      <c r="L95" s="20">
        <v>44742.619999999995</v>
      </c>
      <c r="M95" s="20">
        <v>29125.917260000002</v>
      </c>
      <c r="N95" s="86">
        <f t="shared" si="17"/>
        <v>65.096584107055</v>
      </c>
      <c r="O95" s="18"/>
      <c r="P95" s="18"/>
      <c r="Q95" s="18">
        <v>44742.619999999995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22">
        <f t="shared" si="16"/>
        <v>0</v>
      </c>
      <c r="X95" s="28">
        <v>85</v>
      </c>
    </row>
    <row r="96" spans="1:24" ht="27.75" customHeight="1">
      <c r="A96" s="36">
        <v>3209</v>
      </c>
      <c r="B96" s="56" t="s">
        <v>195</v>
      </c>
      <c r="C96" s="18">
        <v>30000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9">
        <v>0</v>
      </c>
      <c r="K96" s="18">
        <f t="shared" si="18"/>
        <v>0</v>
      </c>
      <c r="L96" s="20">
        <v>750</v>
      </c>
      <c r="M96" s="20">
        <v>0</v>
      </c>
      <c r="N96" s="86">
        <f t="shared" si="17"/>
        <v>0</v>
      </c>
      <c r="O96" s="18"/>
      <c r="P96" s="18"/>
      <c r="Q96" s="18">
        <v>750</v>
      </c>
      <c r="R96" s="18">
        <v>3000</v>
      </c>
      <c r="S96" s="18">
        <v>17000</v>
      </c>
      <c r="T96" s="18">
        <v>9250</v>
      </c>
      <c r="U96" s="39">
        <v>0</v>
      </c>
      <c r="V96" s="39">
        <v>0</v>
      </c>
      <c r="W96" s="22">
        <f t="shared" si="7"/>
        <v>29250</v>
      </c>
      <c r="X96" s="28" t="s">
        <v>239</v>
      </c>
    </row>
    <row r="97" spans="1:24" ht="25.5" customHeight="1">
      <c r="A97" s="36">
        <v>3210</v>
      </c>
      <c r="B97" s="56" t="s">
        <v>196</v>
      </c>
      <c r="C97" s="18">
        <v>27000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9">
        <v>0</v>
      </c>
      <c r="K97" s="18">
        <f t="shared" si="18"/>
        <v>0</v>
      </c>
      <c r="L97" s="20">
        <v>750</v>
      </c>
      <c r="M97" s="20">
        <v>0</v>
      </c>
      <c r="N97" s="86">
        <f t="shared" si="17"/>
        <v>0</v>
      </c>
      <c r="O97" s="18"/>
      <c r="P97" s="18"/>
      <c r="Q97" s="18">
        <v>750</v>
      </c>
      <c r="R97" s="18">
        <v>3000</v>
      </c>
      <c r="S97" s="18">
        <v>17000</v>
      </c>
      <c r="T97" s="18">
        <v>6250</v>
      </c>
      <c r="U97" s="39">
        <v>0</v>
      </c>
      <c r="V97" s="39">
        <v>0</v>
      </c>
      <c r="W97" s="22">
        <f t="shared" si="7"/>
        <v>26250</v>
      </c>
      <c r="X97" s="28" t="s">
        <v>239</v>
      </c>
    </row>
    <row r="98" spans="1:24" ht="26.25" customHeight="1">
      <c r="A98" s="36">
        <v>3211</v>
      </c>
      <c r="B98" s="56" t="s">
        <v>197</v>
      </c>
      <c r="C98" s="18">
        <v>18000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9">
        <v>0</v>
      </c>
      <c r="K98" s="18">
        <f>SUM(D98:J98)</f>
        <v>0</v>
      </c>
      <c r="L98" s="20">
        <v>500</v>
      </c>
      <c r="M98" s="20">
        <v>0</v>
      </c>
      <c r="N98" s="86">
        <f>M98/L98*100</f>
        <v>0</v>
      </c>
      <c r="O98" s="18"/>
      <c r="P98" s="18"/>
      <c r="Q98" s="18">
        <v>500</v>
      </c>
      <c r="R98" s="18">
        <v>2000</v>
      </c>
      <c r="S98" s="18">
        <v>12000</v>
      </c>
      <c r="T98" s="18">
        <v>3500</v>
      </c>
      <c r="U98" s="39">
        <v>0</v>
      </c>
      <c r="V98" s="39">
        <v>0</v>
      </c>
      <c r="W98" s="22">
        <f t="shared" si="7"/>
        <v>17500</v>
      </c>
      <c r="X98" s="28" t="s">
        <v>239</v>
      </c>
    </row>
    <row r="99" spans="1:24" ht="29.25" customHeight="1">
      <c r="A99" s="36">
        <v>3282</v>
      </c>
      <c r="B99" s="56" t="s">
        <v>217</v>
      </c>
      <c r="C99" s="18">
        <v>10000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9">
        <v>0</v>
      </c>
      <c r="K99" s="18">
        <f>SUM(D99:J99)</f>
        <v>0</v>
      </c>
      <c r="L99" s="20">
        <v>500</v>
      </c>
      <c r="M99" s="20">
        <v>0</v>
      </c>
      <c r="N99" s="86">
        <f>M99/L99*100</f>
        <v>0</v>
      </c>
      <c r="O99" s="18"/>
      <c r="P99" s="18"/>
      <c r="Q99" s="18">
        <v>500</v>
      </c>
      <c r="R99" s="18">
        <v>500</v>
      </c>
      <c r="S99" s="18">
        <v>2000</v>
      </c>
      <c r="T99" s="18">
        <v>7000</v>
      </c>
      <c r="U99" s="39">
        <v>0</v>
      </c>
      <c r="V99" s="39">
        <v>0</v>
      </c>
      <c r="W99" s="22">
        <f t="shared" si="7"/>
        <v>9500</v>
      </c>
      <c r="X99" s="28" t="s">
        <v>240</v>
      </c>
    </row>
    <row r="100" spans="1:29" s="35" customFormat="1" ht="12.75">
      <c r="A100" s="31"/>
      <c r="B100" s="32" t="s">
        <v>88</v>
      </c>
      <c r="C100" s="33">
        <f>SUM(C101:C181)</f>
        <v>3889105.0587199987</v>
      </c>
      <c r="D100" s="33">
        <f aca="true" t="shared" si="19" ref="D100:M100">SUM(D101:D181)</f>
        <v>38792.57401</v>
      </c>
      <c r="E100" s="33">
        <f t="shared" si="19"/>
        <v>164873.45</v>
      </c>
      <c r="F100" s="33">
        <f t="shared" si="19"/>
        <v>244296.14</v>
      </c>
      <c r="G100" s="33">
        <f t="shared" si="19"/>
        <v>344790.45000000007</v>
      </c>
      <c r="H100" s="33">
        <f t="shared" si="19"/>
        <v>418708.77554999996</v>
      </c>
      <c r="I100" s="33">
        <f t="shared" si="19"/>
        <v>391121.18419999984</v>
      </c>
      <c r="J100" s="33">
        <f t="shared" si="19"/>
        <v>470390.08984999993</v>
      </c>
      <c r="K100" s="33">
        <f t="shared" si="19"/>
        <v>2072972.6836100006</v>
      </c>
      <c r="L100" s="33">
        <f t="shared" si="19"/>
        <v>1023059.1900000004</v>
      </c>
      <c r="M100" s="33">
        <f t="shared" si="19"/>
        <v>721198.1840200003</v>
      </c>
      <c r="N100" s="87">
        <f>M100/L100*100</f>
        <v>70.4942774640439</v>
      </c>
      <c r="O100" s="33">
        <v>63086.36</v>
      </c>
      <c r="P100" s="33">
        <v>384915.22</v>
      </c>
      <c r="Q100" s="33">
        <f aca="true" t="shared" si="20" ref="Q100:W100">SUM(Q101:Q181)</f>
        <v>977474.4900000001</v>
      </c>
      <c r="R100" s="33">
        <f t="shared" si="20"/>
        <v>46597</v>
      </c>
      <c r="S100" s="33">
        <f t="shared" si="20"/>
        <v>574886</v>
      </c>
      <c r="T100" s="33">
        <f t="shared" si="20"/>
        <v>206574</v>
      </c>
      <c r="U100" s="33">
        <f t="shared" si="20"/>
        <v>5300</v>
      </c>
      <c r="V100" s="33">
        <f t="shared" si="20"/>
        <v>5300</v>
      </c>
      <c r="W100" s="33">
        <f t="shared" si="20"/>
        <v>838657</v>
      </c>
      <c r="X100" s="34" t="s">
        <v>13</v>
      </c>
      <c r="Y100" s="1"/>
      <c r="Z100" s="1"/>
      <c r="AB100" s="1"/>
      <c r="AC100" s="1"/>
    </row>
    <row r="101" spans="1:29" s="35" customFormat="1" ht="22.5">
      <c r="A101" s="50">
        <v>2505</v>
      </c>
      <c r="B101" s="17" t="s">
        <v>89</v>
      </c>
      <c r="C101" s="18">
        <v>6101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f t="shared" si="18"/>
        <v>0</v>
      </c>
      <c r="L101" s="20">
        <v>6101</v>
      </c>
      <c r="M101" s="20">
        <v>0</v>
      </c>
      <c r="N101" s="86">
        <f aca="true" t="shared" si="21" ref="N101:N164">M101/L101*100</f>
        <v>0</v>
      </c>
      <c r="O101" s="42"/>
      <c r="P101" s="18"/>
      <c r="Q101" s="18">
        <v>6101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22">
        <f t="shared" si="7"/>
        <v>0</v>
      </c>
      <c r="X101" s="28" t="s">
        <v>13</v>
      </c>
      <c r="Y101" s="1"/>
      <c r="Z101" s="1"/>
      <c r="AB101" s="1"/>
      <c r="AC101" s="1"/>
    </row>
    <row r="102" spans="1:24" ht="22.5">
      <c r="A102" s="50">
        <v>2509</v>
      </c>
      <c r="B102" s="17" t="s">
        <v>90</v>
      </c>
      <c r="C102" s="18">
        <v>7611.299999999999</v>
      </c>
      <c r="D102" s="18">
        <v>0</v>
      </c>
      <c r="E102" s="18">
        <v>0</v>
      </c>
      <c r="F102" s="18">
        <v>0</v>
      </c>
      <c r="G102" s="18">
        <v>114.22</v>
      </c>
      <c r="H102" s="18">
        <v>78.605</v>
      </c>
      <c r="I102" s="18">
        <v>77.8</v>
      </c>
      <c r="J102" s="18">
        <v>6041.46731</v>
      </c>
      <c r="K102" s="18">
        <f t="shared" si="18"/>
        <v>6312.09231</v>
      </c>
      <c r="L102" s="20">
        <v>1299.21</v>
      </c>
      <c r="M102" s="20">
        <v>1294.029</v>
      </c>
      <c r="N102" s="86">
        <f t="shared" si="21"/>
        <v>99.6012192024384</v>
      </c>
      <c r="O102" s="42">
        <v>-3173.99</v>
      </c>
      <c r="P102" s="18">
        <v>-660.2399999999998</v>
      </c>
      <c r="Q102" s="18">
        <v>1299.21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22">
        <f t="shared" si="7"/>
        <v>0</v>
      </c>
      <c r="X102" s="28">
        <v>85</v>
      </c>
    </row>
    <row r="103" spans="1:24" ht="22.5">
      <c r="A103" s="50">
        <v>2513</v>
      </c>
      <c r="B103" s="17" t="s">
        <v>91</v>
      </c>
      <c r="C103" s="18">
        <f>55294.49-1108.43</f>
        <v>54186.06</v>
      </c>
      <c r="D103" s="18">
        <v>0</v>
      </c>
      <c r="E103" s="18">
        <v>121.91</v>
      </c>
      <c r="F103" s="18">
        <v>31.55</v>
      </c>
      <c r="G103" s="18">
        <v>294.46</v>
      </c>
      <c r="H103" s="18">
        <v>10.074</v>
      </c>
      <c r="I103" s="18">
        <v>4912.44</v>
      </c>
      <c r="J103" s="18">
        <v>4087.1564200000003</v>
      </c>
      <c r="K103" s="18">
        <f t="shared" si="18"/>
        <v>9457.59042</v>
      </c>
      <c r="L103" s="20">
        <v>44728.469999999994</v>
      </c>
      <c r="M103" s="20">
        <v>28206.279759999998</v>
      </c>
      <c r="N103" s="86">
        <f t="shared" si="21"/>
        <v>63.061132562772656</v>
      </c>
      <c r="O103" s="42">
        <v>-6425.8</v>
      </c>
      <c r="P103" s="18">
        <v>38422.67</v>
      </c>
      <c r="Q103" s="18">
        <v>44728.47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22">
        <f aca="true" t="shared" si="22" ref="W103:W166">SUM(R103:V103)</f>
        <v>0</v>
      </c>
      <c r="X103" s="28">
        <v>85</v>
      </c>
    </row>
    <row r="104" spans="1:24" ht="22.5">
      <c r="A104" s="50">
        <v>2517</v>
      </c>
      <c r="B104" s="17" t="s">
        <v>92</v>
      </c>
      <c r="C104" s="18">
        <v>41742.47</v>
      </c>
      <c r="D104" s="18">
        <v>0</v>
      </c>
      <c r="E104" s="18">
        <v>0</v>
      </c>
      <c r="F104" s="18">
        <v>85.64</v>
      </c>
      <c r="G104" s="18">
        <v>843.86</v>
      </c>
      <c r="H104" s="18">
        <v>24.907999999999998</v>
      </c>
      <c r="I104" s="18">
        <v>10684.8</v>
      </c>
      <c r="J104" s="18">
        <v>2805.75914</v>
      </c>
      <c r="K104" s="18">
        <f t="shared" si="18"/>
        <v>14444.967139999999</v>
      </c>
      <c r="L104" s="20">
        <v>27424.160000000003</v>
      </c>
      <c r="M104" s="20">
        <v>22201.599720000002</v>
      </c>
      <c r="N104" s="86">
        <f t="shared" si="21"/>
        <v>80.95635279257414</v>
      </c>
      <c r="O104" s="42">
        <v>6680.78</v>
      </c>
      <c r="P104" s="18">
        <v>45664.41</v>
      </c>
      <c r="Q104" s="18">
        <f>27424.16-126.66</f>
        <v>27297.5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22">
        <f t="shared" si="22"/>
        <v>0</v>
      </c>
      <c r="X104" s="28">
        <v>85</v>
      </c>
    </row>
    <row r="105" spans="1:24" ht="22.5">
      <c r="A105" s="50">
        <v>2518</v>
      </c>
      <c r="B105" s="17" t="s">
        <v>93</v>
      </c>
      <c r="C105" s="18">
        <f>65785.18-150.06</f>
        <v>65635.12</v>
      </c>
      <c r="D105" s="18">
        <v>0</v>
      </c>
      <c r="E105" s="18">
        <v>0</v>
      </c>
      <c r="F105" s="18">
        <v>0</v>
      </c>
      <c r="G105" s="18">
        <v>0</v>
      </c>
      <c r="H105" s="18">
        <v>326.79</v>
      </c>
      <c r="I105" s="18">
        <v>850.77</v>
      </c>
      <c r="J105" s="18">
        <v>4622.2267999999995</v>
      </c>
      <c r="K105" s="18">
        <f>SUM(D105:J105)-0.01</f>
        <v>5799.7768</v>
      </c>
      <c r="L105" s="20">
        <v>59835.33999999999</v>
      </c>
      <c r="M105" s="20">
        <v>36118.0967</v>
      </c>
      <c r="N105" s="86">
        <f t="shared" si="21"/>
        <v>60.362482606432934</v>
      </c>
      <c r="O105" s="42">
        <v>0</v>
      </c>
      <c r="P105" s="18">
        <v>58788.16</v>
      </c>
      <c r="Q105" s="18">
        <v>59835.34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22">
        <f t="shared" si="22"/>
        <v>0</v>
      </c>
      <c r="X105" s="28">
        <v>85</v>
      </c>
    </row>
    <row r="106" spans="1:24" ht="12.75">
      <c r="A106" s="50">
        <v>2532</v>
      </c>
      <c r="B106" s="17" t="s">
        <v>94</v>
      </c>
      <c r="C106" s="18">
        <v>7103.51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173.346</v>
      </c>
      <c r="K106" s="18">
        <f t="shared" si="18"/>
        <v>173.346</v>
      </c>
      <c r="L106" s="20">
        <v>6930.169999999999</v>
      </c>
      <c r="M106" s="20">
        <v>6884.83316</v>
      </c>
      <c r="N106" s="86">
        <f t="shared" si="21"/>
        <v>99.34580479266744</v>
      </c>
      <c r="O106" s="42"/>
      <c r="P106" s="18"/>
      <c r="Q106" s="18">
        <v>6930.16</v>
      </c>
      <c r="R106" s="18">
        <v>0</v>
      </c>
      <c r="S106" s="18">
        <v>0</v>
      </c>
      <c r="T106" s="39">
        <v>0</v>
      </c>
      <c r="U106" s="39">
        <v>0</v>
      </c>
      <c r="V106" s="39">
        <v>0</v>
      </c>
      <c r="W106" s="22">
        <f t="shared" si="22"/>
        <v>0</v>
      </c>
      <c r="X106" s="28">
        <v>85</v>
      </c>
    </row>
    <row r="107" spans="1:24" ht="22.5">
      <c r="A107" s="50">
        <v>2533</v>
      </c>
      <c r="B107" s="17" t="s">
        <v>95</v>
      </c>
      <c r="C107" s="18">
        <v>9800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190.545</v>
      </c>
      <c r="K107" s="18">
        <f>SUM(D107:J107)</f>
        <v>190.545</v>
      </c>
      <c r="L107" s="20">
        <v>9609.45</v>
      </c>
      <c r="M107" s="20">
        <v>8065.55074</v>
      </c>
      <c r="N107" s="86">
        <f t="shared" si="21"/>
        <v>83.93353147162428</v>
      </c>
      <c r="O107" s="42"/>
      <c r="P107" s="18"/>
      <c r="Q107" s="18">
        <v>9609.449999999999</v>
      </c>
      <c r="R107" s="18">
        <v>0</v>
      </c>
      <c r="S107" s="18">
        <v>0</v>
      </c>
      <c r="T107" s="39">
        <v>0</v>
      </c>
      <c r="U107" s="39">
        <v>0</v>
      </c>
      <c r="V107" s="39">
        <v>0</v>
      </c>
      <c r="W107" s="22">
        <f t="shared" si="22"/>
        <v>0</v>
      </c>
      <c r="X107" s="28">
        <v>85</v>
      </c>
    </row>
    <row r="108" spans="1:24" ht="22.5">
      <c r="A108" s="50">
        <v>2534</v>
      </c>
      <c r="B108" s="17" t="s">
        <v>96</v>
      </c>
      <c r="C108" s="18">
        <v>9957.72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222.70600000000002</v>
      </c>
      <c r="K108" s="18">
        <f t="shared" si="18"/>
        <v>222.70600000000002</v>
      </c>
      <c r="L108" s="20">
        <v>9765.01</v>
      </c>
      <c r="M108" s="20">
        <v>7073.871759999999</v>
      </c>
      <c r="N108" s="86">
        <f t="shared" si="21"/>
        <v>72.44100886737442</v>
      </c>
      <c r="O108" s="42"/>
      <c r="P108" s="18"/>
      <c r="Q108" s="18">
        <v>9735.01</v>
      </c>
      <c r="R108" s="18">
        <v>0</v>
      </c>
      <c r="S108" s="18">
        <v>0</v>
      </c>
      <c r="T108" s="39">
        <v>0</v>
      </c>
      <c r="U108" s="39">
        <v>0</v>
      </c>
      <c r="V108" s="39">
        <v>0</v>
      </c>
      <c r="W108" s="22">
        <f t="shared" si="22"/>
        <v>0</v>
      </c>
      <c r="X108" s="28">
        <v>85</v>
      </c>
    </row>
    <row r="109" spans="1:24" ht="12.75">
      <c r="A109" s="50">
        <v>2708</v>
      </c>
      <c r="B109" s="17" t="s">
        <v>97</v>
      </c>
      <c r="C109" s="18">
        <v>9900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206.256</v>
      </c>
      <c r="K109" s="18">
        <f t="shared" si="18"/>
        <v>206.256</v>
      </c>
      <c r="L109" s="20">
        <v>9693.74</v>
      </c>
      <c r="M109" s="20">
        <v>5959.31451</v>
      </c>
      <c r="N109" s="86">
        <f t="shared" si="21"/>
        <v>61.475906203384866</v>
      </c>
      <c r="O109" s="42"/>
      <c r="P109" s="18"/>
      <c r="Q109" s="18">
        <v>9693.74</v>
      </c>
      <c r="R109" s="18">
        <v>0</v>
      </c>
      <c r="S109" s="18">
        <v>0</v>
      </c>
      <c r="T109" s="39">
        <v>0</v>
      </c>
      <c r="U109" s="39">
        <v>0</v>
      </c>
      <c r="V109" s="39">
        <v>0</v>
      </c>
      <c r="W109" s="22">
        <f t="shared" si="22"/>
        <v>0</v>
      </c>
      <c r="X109" s="28">
        <v>85</v>
      </c>
    </row>
    <row r="110" spans="1:24" ht="12.75">
      <c r="A110" s="50">
        <v>2709</v>
      </c>
      <c r="B110" s="17" t="s">
        <v>98</v>
      </c>
      <c r="C110" s="18">
        <v>9530.490000000002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188.958</v>
      </c>
      <c r="K110" s="18">
        <f t="shared" si="18"/>
        <v>188.958</v>
      </c>
      <c r="L110" s="20">
        <v>9341.539999999999</v>
      </c>
      <c r="M110" s="20">
        <v>909.794</v>
      </c>
      <c r="N110" s="86">
        <f t="shared" si="21"/>
        <v>9.739229291958287</v>
      </c>
      <c r="O110" s="42"/>
      <c r="P110" s="18"/>
      <c r="Q110" s="18">
        <v>9341.53</v>
      </c>
      <c r="R110" s="18">
        <v>0</v>
      </c>
      <c r="S110" s="18">
        <v>0</v>
      </c>
      <c r="T110" s="39">
        <v>0</v>
      </c>
      <c r="U110" s="39">
        <v>0</v>
      </c>
      <c r="V110" s="39">
        <v>0</v>
      </c>
      <c r="W110" s="22">
        <f t="shared" si="22"/>
        <v>0</v>
      </c>
      <c r="X110" s="28">
        <v>85</v>
      </c>
    </row>
    <row r="111" spans="1:24" ht="12.75">
      <c r="A111" s="50">
        <v>2710</v>
      </c>
      <c r="B111" s="17" t="s">
        <v>99</v>
      </c>
      <c r="C111" s="18">
        <v>10000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157.657</v>
      </c>
      <c r="K111" s="18">
        <f t="shared" si="18"/>
        <v>157.657</v>
      </c>
      <c r="L111" s="20">
        <v>9842.339999999998</v>
      </c>
      <c r="M111" s="20">
        <v>6469.326999999999</v>
      </c>
      <c r="N111" s="86">
        <f t="shared" si="21"/>
        <v>65.72956227888896</v>
      </c>
      <c r="O111" s="42"/>
      <c r="P111" s="18"/>
      <c r="Q111" s="18">
        <v>9842.34</v>
      </c>
      <c r="R111" s="18">
        <v>0</v>
      </c>
      <c r="S111" s="18">
        <v>0</v>
      </c>
      <c r="T111" s="39">
        <v>0</v>
      </c>
      <c r="U111" s="39">
        <v>0</v>
      </c>
      <c r="V111" s="39">
        <v>0</v>
      </c>
      <c r="W111" s="22">
        <f t="shared" si="22"/>
        <v>0</v>
      </c>
      <c r="X111" s="28">
        <v>85</v>
      </c>
    </row>
    <row r="112" spans="1:24" ht="27" customHeight="1">
      <c r="A112" s="50">
        <v>2712</v>
      </c>
      <c r="B112" s="17" t="s">
        <v>100</v>
      </c>
      <c r="C112" s="18">
        <v>18107.739999999998</v>
      </c>
      <c r="D112" s="18">
        <v>0</v>
      </c>
      <c r="E112" s="18">
        <v>0</v>
      </c>
      <c r="F112" s="18">
        <v>0</v>
      </c>
      <c r="G112" s="18">
        <v>0</v>
      </c>
      <c r="H112" s="18">
        <v>156.78199999999998</v>
      </c>
      <c r="I112" s="18">
        <v>368.18337</v>
      </c>
      <c r="J112" s="18">
        <v>8546.39299</v>
      </c>
      <c r="K112" s="18">
        <f>SUM(D112:J112)-0.01</f>
        <v>9071.34836</v>
      </c>
      <c r="L112" s="20">
        <v>9036.39</v>
      </c>
      <c r="M112" s="20">
        <v>6657.718779999999</v>
      </c>
      <c r="N112" s="86">
        <f t="shared" si="21"/>
        <v>73.67675343804329</v>
      </c>
      <c r="O112" s="42">
        <v>0</v>
      </c>
      <c r="P112" s="18">
        <v>9936.39</v>
      </c>
      <c r="Q112" s="18">
        <v>9036.39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22">
        <f t="shared" si="22"/>
        <v>0</v>
      </c>
      <c r="X112" s="28">
        <v>85</v>
      </c>
    </row>
    <row r="113" spans="1:24" ht="33.75">
      <c r="A113" s="50">
        <v>2713</v>
      </c>
      <c r="B113" s="17" t="s">
        <v>101</v>
      </c>
      <c r="C113" s="18">
        <v>22114.04</v>
      </c>
      <c r="D113" s="18">
        <v>0</v>
      </c>
      <c r="E113" s="18">
        <v>0</v>
      </c>
      <c r="F113" s="18">
        <v>0</v>
      </c>
      <c r="G113" s="18">
        <v>0</v>
      </c>
      <c r="H113" s="18">
        <v>424.869</v>
      </c>
      <c r="I113" s="18">
        <v>3759.90828</v>
      </c>
      <c r="J113" s="18">
        <v>13537.23232</v>
      </c>
      <c r="K113" s="18">
        <f t="shared" si="18"/>
        <v>17722.009599999998</v>
      </c>
      <c r="L113" s="20">
        <v>4392.039999999999</v>
      </c>
      <c r="M113" s="20">
        <v>4359.89741</v>
      </c>
      <c r="N113" s="86">
        <f t="shared" si="21"/>
        <v>99.26816263057715</v>
      </c>
      <c r="O113" s="42">
        <v>0</v>
      </c>
      <c r="P113" s="18">
        <v>7047.8099999999995</v>
      </c>
      <c r="Q113" s="18">
        <v>4392.03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22">
        <f t="shared" si="22"/>
        <v>0</v>
      </c>
      <c r="X113" s="28">
        <v>85</v>
      </c>
    </row>
    <row r="114" spans="1:24" ht="22.5">
      <c r="A114" s="50">
        <v>2715</v>
      </c>
      <c r="B114" s="17" t="s">
        <v>102</v>
      </c>
      <c r="C114" s="18">
        <v>7036.6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111.02</v>
      </c>
      <c r="J114" s="18">
        <v>6596.153600000002</v>
      </c>
      <c r="K114" s="18">
        <f t="shared" si="18"/>
        <v>6707.173600000003</v>
      </c>
      <c r="L114" s="20">
        <v>329.43</v>
      </c>
      <c r="M114" s="20">
        <v>253.48600000000002</v>
      </c>
      <c r="N114" s="86">
        <f t="shared" si="21"/>
        <v>76.94684758522297</v>
      </c>
      <c r="O114" s="42"/>
      <c r="P114" s="18"/>
      <c r="Q114" s="18">
        <v>329.43</v>
      </c>
      <c r="R114" s="18">
        <v>0</v>
      </c>
      <c r="S114" s="18">
        <v>0</v>
      </c>
      <c r="T114" s="39">
        <v>0</v>
      </c>
      <c r="U114" s="39">
        <v>0</v>
      </c>
      <c r="V114" s="39">
        <v>0</v>
      </c>
      <c r="W114" s="22">
        <f t="shared" si="22"/>
        <v>0</v>
      </c>
      <c r="X114" s="28">
        <v>85</v>
      </c>
    </row>
    <row r="115" spans="1:24" ht="12.75">
      <c r="A115" s="50">
        <v>2716</v>
      </c>
      <c r="B115" s="17" t="s">
        <v>103</v>
      </c>
      <c r="C115" s="18">
        <v>9185.08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22.41</v>
      </c>
      <c r="J115" s="18">
        <v>133.763</v>
      </c>
      <c r="K115" s="18">
        <f t="shared" si="18"/>
        <v>156.173</v>
      </c>
      <c r="L115" s="20">
        <v>9028.91</v>
      </c>
      <c r="M115" s="20">
        <v>8956.791299999999</v>
      </c>
      <c r="N115" s="86">
        <f t="shared" si="21"/>
        <v>99.2012468836216</v>
      </c>
      <c r="O115" s="42"/>
      <c r="P115" s="18"/>
      <c r="Q115" s="18">
        <v>9028.91</v>
      </c>
      <c r="R115" s="18">
        <v>0</v>
      </c>
      <c r="S115" s="18">
        <v>0</v>
      </c>
      <c r="T115" s="39">
        <v>0</v>
      </c>
      <c r="U115" s="39">
        <v>0</v>
      </c>
      <c r="V115" s="39">
        <v>0</v>
      </c>
      <c r="W115" s="22">
        <f t="shared" si="22"/>
        <v>0</v>
      </c>
      <c r="X115" s="28">
        <v>85</v>
      </c>
    </row>
    <row r="116" spans="1:24" ht="12.75">
      <c r="A116" s="50">
        <v>2717</v>
      </c>
      <c r="B116" s="17" t="s">
        <v>104</v>
      </c>
      <c r="C116" s="18">
        <v>38999.1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19.11</v>
      </c>
      <c r="J116" s="18">
        <v>194.55200000000002</v>
      </c>
      <c r="K116" s="18">
        <f t="shared" si="18"/>
        <v>213.66200000000003</v>
      </c>
      <c r="L116" s="20">
        <v>38785.44</v>
      </c>
      <c r="M116" s="20">
        <v>251.11399999999998</v>
      </c>
      <c r="N116" s="86">
        <f t="shared" si="21"/>
        <v>0.6474439892908266</v>
      </c>
      <c r="O116" s="42"/>
      <c r="P116" s="18"/>
      <c r="Q116" s="18">
        <v>38785.44</v>
      </c>
      <c r="R116" s="18">
        <v>0</v>
      </c>
      <c r="S116" s="18">
        <v>0</v>
      </c>
      <c r="T116" s="39">
        <v>0</v>
      </c>
      <c r="U116" s="39">
        <v>0</v>
      </c>
      <c r="V116" s="39">
        <v>0</v>
      </c>
      <c r="W116" s="22">
        <f t="shared" si="22"/>
        <v>0</v>
      </c>
      <c r="X116" s="28">
        <v>85</v>
      </c>
    </row>
    <row r="117" spans="1:24" ht="12.75">
      <c r="A117" s="50">
        <v>2718</v>
      </c>
      <c r="B117" s="17" t="s">
        <v>105</v>
      </c>
      <c r="C117" s="18">
        <v>9888.300000000001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25.67</v>
      </c>
      <c r="J117" s="18">
        <v>270.02846</v>
      </c>
      <c r="K117" s="18">
        <f t="shared" si="18"/>
        <v>295.69846</v>
      </c>
      <c r="L117" s="20">
        <v>9592.619999999999</v>
      </c>
      <c r="M117" s="20">
        <v>6286.78399</v>
      </c>
      <c r="N117" s="86">
        <f t="shared" si="21"/>
        <v>65.53771534784032</v>
      </c>
      <c r="O117" s="42"/>
      <c r="P117" s="18"/>
      <c r="Q117" s="18">
        <v>9592.6</v>
      </c>
      <c r="R117" s="18">
        <v>0</v>
      </c>
      <c r="S117" s="18">
        <v>0</v>
      </c>
      <c r="T117" s="39">
        <v>0</v>
      </c>
      <c r="U117" s="39">
        <v>0</v>
      </c>
      <c r="V117" s="39">
        <v>0</v>
      </c>
      <c r="W117" s="22">
        <f t="shared" si="22"/>
        <v>0</v>
      </c>
      <c r="X117" s="28">
        <v>85</v>
      </c>
    </row>
    <row r="118" spans="1:24" ht="22.5">
      <c r="A118" s="50">
        <v>2719</v>
      </c>
      <c r="B118" s="17" t="s">
        <v>106</v>
      </c>
      <c r="C118" s="18">
        <v>13915.78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202.779</v>
      </c>
      <c r="K118" s="18">
        <f t="shared" si="18"/>
        <v>202.779</v>
      </c>
      <c r="L118" s="20">
        <v>14718.6</v>
      </c>
      <c r="M118" s="20">
        <v>6931.516999999999</v>
      </c>
      <c r="N118" s="86">
        <f t="shared" si="21"/>
        <v>47.093589064177294</v>
      </c>
      <c r="O118" s="42"/>
      <c r="P118" s="18"/>
      <c r="Q118" s="18">
        <v>13713</v>
      </c>
      <c r="R118" s="18">
        <v>0</v>
      </c>
      <c r="S118" s="18">
        <v>0</v>
      </c>
      <c r="T118" s="39">
        <v>0</v>
      </c>
      <c r="U118" s="39">
        <v>0</v>
      </c>
      <c r="V118" s="39">
        <v>0</v>
      </c>
      <c r="W118" s="22">
        <f t="shared" si="22"/>
        <v>0</v>
      </c>
      <c r="X118" s="28">
        <v>85</v>
      </c>
    </row>
    <row r="119" spans="1:24" ht="12.75">
      <c r="A119" s="50">
        <v>2748</v>
      </c>
      <c r="B119" s="17" t="s">
        <v>107</v>
      </c>
      <c r="C119" s="18">
        <v>10378.95</v>
      </c>
      <c r="D119" s="18">
        <v>0</v>
      </c>
      <c r="E119" s="18">
        <v>0</v>
      </c>
      <c r="F119" s="18">
        <v>0</v>
      </c>
      <c r="G119" s="18">
        <v>103.17</v>
      </c>
      <c r="H119" s="18">
        <v>106.824</v>
      </c>
      <c r="I119" s="18">
        <v>2366.1465900000003</v>
      </c>
      <c r="J119" s="18">
        <v>266.90897</v>
      </c>
      <c r="K119" s="18">
        <f t="shared" si="18"/>
        <v>2843.0495600000004</v>
      </c>
      <c r="L119" s="20">
        <v>7535.91</v>
      </c>
      <c r="M119" s="20">
        <v>6890.43816</v>
      </c>
      <c r="N119" s="86">
        <f t="shared" si="21"/>
        <v>91.43471936368667</v>
      </c>
      <c r="O119" s="42">
        <v>-4.519999999999982</v>
      </c>
      <c r="P119" s="18">
        <v>7531.389999999999</v>
      </c>
      <c r="Q119" s="18">
        <v>7535.9</v>
      </c>
      <c r="R119" s="18">
        <v>0</v>
      </c>
      <c r="S119" s="18">
        <v>0</v>
      </c>
      <c r="T119" s="39">
        <v>0</v>
      </c>
      <c r="U119" s="39">
        <v>0</v>
      </c>
      <c r="V119" s="39">
        <v>0</v>
      </c>
      <c r="W119" s="22">
        <f t="shared" si="22"/>
        <v>0</v>
      </c>
      <c r="X119" s="28">
        <v>85</v>
      </c>
    </row>
    <row r="120" spans="1:24" ht="22.5">
      <c r="A120" s="50">
        <v>2750</v>
      </c>
      <c r="B120" s="17" t="s">
        <v>108</v>
      </c>
      <c r="C120" s="18">
        <v>20705.17</v>
      </c>
      <c r="D120" s="18">
        <v>0</v>
      </c>
      <c r="E120" s="18">
        <v>0</v>
      </c>
      <c r="F120" s="18">
        <v>0</v>
      </c>
      <c r="G120" s="18">
        <v>0</v>
      </c>
      <c r="H120" s="18">
        <v>139.54399999999998</v>
      </c>
      <c r="I120" s="18">
        <v>122.45189000000002</v>
      </c>
      <c r="J120" s="18">
        <v>4051.07308</v>
      </c>
      <c r="K120" s="18">
        <f>SUM(D120:J120)+0.01</f>
        <v>4313.0789700000005</v>
      </c>
      <c r="L120" s="20">
        <v>16392.09</v>
      </c>
      <c r="M120" s="20">
        <v>16391.98062</v>
      </c>
      <c r="N120" s="86">
        <f t="shared" si="21"/>
        <v>99.9993327269433</v>
      </c>
      <c r="O120" s="42">
        <v>0</v>
      </c>
      <c r="P120" s="18">
        <v>16564.46</v>
      </c>
      <c r="Q120" s="18">
        <v>16392.09</v>
      </c>
      <c r="R120" s="18">
        <v>0</v>
      </c>
      <c r="S120" s="18">
        <v>0</v>
      </c>
      <c r="T120" s="39">
        <v>0</v>
      </c>
      <c r="U120" s="39">
        <v>0</v>
      </c>
      <c r="V120" s="39">
        <v>0</v>
      </c>
      <c r="W120" s="22">
        <f t="shared" si="22"/>
        <v>0</v>
      </c>
      <c r="X120" s="28">
        <v>85</v>
      </c>
    </row>
    <row r="121" spans="1:24" ht="22.5">
      <c r="A121" s="57">
        <v>2774</v>
      </c>
      <c r="B121" s="17" t="s">
        <v>109</v>
      </c>
      <c r="C121" s="18">
        <v>7159.25</v>
      </c>
      <c r="D121" s="18">
        <v>0</v>
      </c>
      <c r="E121" s="18">
        <v>0</v>
      </c>
      <c r="F121" s="18">
        <v>0</v>
      </c>
      <c r="G121" s="18">
        <v>177.02</v>
      </c>
      <c r="H121" s="18">
        <v>2753.6707400000005</v>
      </c>
      <c r="I121" s="18">
        <v>2311.97</v>
      </c>
      <c r="J121" s="18">
        <v>1911.5876799999994</v>
      </c>
      <c r="K121" s="18">
        <f t="shared" si="18"/>
        <v>7154.24842</v>
      </c>
      <c r="L121" s="20">
        <v>5</v>
      </c>
      <c r="M121" s="20">
        <v>0</v>
      </c>
      <c r="N121" s="86">
        <f t="shared" si="21"/>
        <v>0</v>
      </c>
      <c r="O121" s="42">
        <v>0</v>
      </c>
      <c r="P121" s="18">
        <v>5</v>
      </c>
      <c r="Q121" s="18">
        <v>5</v>
      </c>
      <c r="R121" s="18">
        <v>0</v>
      </c>
      <c r="S121" s="18">
        <v>0</v>
      </c>
      <c r="T121" s="39">
        <v>0</v>
      </c>
      <c r="U121" s="39">
        <v>0</v>
      </c>
      <c r="V121" s="39">
        <v>0</v>
      </c>
      <c r="W121" s="22">
        <f t="shared" si="22"/>
        <v>0</v>
      </c>
      <c r="X121" s="28">
        <v>85</v>
      </c>
    </row>
    <row r="122" spans="1:24" ht="22.5">
      <c r="A122" s="58">
        <v>2836</v>
      </c>
      <c r="B122" s="17" t="s">
        <v>110</v>
      </c>
      <c r="C122" s="18">
        <v>487666.64408000006</v>
      </c>
      <c r="D122" s="18">
        <v>26695.28</v>
      </c>
      <c r="E122" s="18">
        <v>95020.26</v>
      </c>
      <c r="F122" s="18">
        <v>130457.38</v>
      </c>
      <c r="G122" s="18">
        <v>150782.89</v>
      </c>
      <c r="H122" s="18">
        <v>67533.16803000004</v>
      </c>
      <c r="I122" s="18">
        <v>16751.992050000004</v>
      </c>
      <c r="J122" s="18">
        <v>5.6739999999999995</v>
      </c>
      <c r="K122" s="18">
        <f t="shared" si="18"/>
        <v>487246.64408000006</v>
      </c>
      <c r="L122" s="20">
        <v>416.61</v>
      </c>
      <c r="M122" s="20">
        <v>0</v>
      </c>
      <c r="N122" s="86">
        <f t="shared" si="21"/>
        <v>0</v>
      </c>
      <c r="O122" s="42">
        <v>0</v>
      </c>
      <c r="P122" s="18">
        <v>1096.44</v>
      </c>
      <c r="Q122" s="18">
        <v>420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22">
        <f t="shared" si="22"/>
        <v>0</v>
      </c>
      <c r="X122" s="28">
        <v>100</v>
      </c>
    </row>
    <row r="123" spans="1:24" ht="22.5">
      <c r="A123" s="58">
        <v>2837</v>
      </c>
      <c r="B123" s="17" t="s">
        <v>111</v>
      </c>
      <c r="C123" s="18">
        <v>163724.64672999998</v>
      </c>
      <c r="D123" s="18">
        <v>4419.39</v>
      </c>
      <c r="E123" s="18">
        <v>32295.87</v>
      </c>
      <c r="F123" s="18">
        <v>38410.7</v>
      </c>
      <c r="G123" s="18">
        <v>48382.92</v>
      </c>
      <c r="H123" s="18">
        <v>35064.978440000006</v>
      </c>
      <c r="I123" s="18">
        <v>5116.78829</v>
      </c>
      <c r="J123" s="18">
        <v>0</v>
      </c>
      <c r="K123" s="18">
        <f t="shared" si="18"/>
        <v>163690.64672999998</v>
      </c>
      <c r="L123" s="20">
        <v>33.61</v>
      </c>
      <c r="M123" s="20">
        <v>0</v>
      </c>
      <c r="N123" s="86">
        <f t="shared" si="21"/>
        <v>0</v>
      </c>
      <c r="O123" s="42">
        <v>0</v>
      </c>
      <c r="P123" s="18">
        <v>539.94</v>
      </c>
      <c r="Q123" s="18">
        <v>34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22">
        <f t="shared" si="22"/>
        <v>0</v>
      </c>
      <c r="X123" s="28">
        <v>100</v>
      </c>
    </row>
    <row r="124" spans="1:24" ht="22.5">
      <c r="A124" s="58">
        <v>2838</v>
      </c>
      <c r="B124" s="17" t="s">
        <v>112</v>
      </c>
      <c r="C124" s="18">
        <v>205012.27412000002</v>
      </c>
      <c r="D124" s="18">
        <v>7677.904009999999</v>
      </c>
      <c r="E124" s="18">
        <v>36840.41</v>
      </c>
      <c r="F124" s="18">
        <v>42449.59</v>
      </c>
      <c r="G124" s="18">
        <v>68817.44</v>
      </c>
      <c r="H124" s="18">
        <v>38116.895220000006</v>
      </c>
      <c r="I124" s="18">
        <v>10549.064890000001</v>
      </c>
      <c r="J124" s="18">
        <v>9.62</v>
      </c>
      <c r="K124" s="18">
        <f t="shared" si="18"/>
        <v>204460.92412</v>
      </c>
      <c r="L124" s="20">
        <v>548.21</v>
      </c>
      <c r="M124" s="20">
        <v>41.347</v>
      </c>
      <c r="N124" s="86">
        <f t="shared" si="21"/>
        <v>7.542182740190803</v>
      </c>
      <c r="O124" s="42">
        <v>36463.13</v>
      </c>
      <c r="P124" s="18">
        <v>37588.18</v>
      </c>
      <c r="Q124" s="18">
        <v>551.35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22">
        <f t="shared" si="22"/>
        <v>0</v>
      </c>
      <c r="X124" s="28">
        <v>100</v>
      </c>
    </row>
    <row r="125" spans="1:24" ht="12.75">
      <c r="A125" s="57">
        <v>2847</v>
      </c>
      <c r="B125" s="17" t="s">
        <v>113</v>
      </c>
      <c r="C125" s="18">
        <f>3405.97-535.82</f>
        <v>2870.1499999999996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1171.68361</v>
      </c>
      <c r="K125" s="18">
        <f t="shared" si="18"/>
        <v>1171.68361</v>
      </c>
      <c r="L125" s="20">
        <v>1698.4699999999998</v>
      </c>
      <c r="M125" s="20">
        <v>951.4498599999997</v>
      </c>
      <c r="N125" s="86">
        <f t="shared" si="21"/>
        <v>56.018055073095184</v>
      </c>
      <c r="O125" s="42"/>
      <c r="P125" s="18"/>
      <c r="Q125" s="18">
        <v>1698.4699999999998</v>
      </c>
      <c r="R125" s="18">
        <v>0</v>
      </c>
      <c r="S125" s="18">
        <v>0</v>
      </c>
      <c r="T125" s="39">
        <v>0</v>
      </c>
      <c r="U125" s="39">
        <v>0</v>
      </c>
      <c r="V125" s="39">
        <v>0</v>
      </c>
      <c r="W125" s="22">
        <f t="shared" si="22"/>
        <v>0</v>
      </c>
      <c r="X125" s="28">
        <v>100</v>
      </c>
    </row>
    <row r="126" spans="1:24" ht="22.5">
      <c r="A126" s="58">
        <v>2851</v>
      </c>
      <c r="B126" s="17" t="s">
        <v>114</v>
      </c>
      <c r="C126" s="18">
        <v>434729.9531700001</v>
      </c>
      <c r="D126" s="18">
        <v>0</v>
      </c>
      <c r="E126" s="18">
        <v>0</v>
      </c>
      <c r="F126" s="18">
        <v>32861.28</v>
      </c>
      <c r="G126" s="18">
        <v>75076.47</v>
      </c>
      <c r="H126" s="18">
        <v>100053.21</v>
      </c>
      <c r="I126" s="18">
        <v>111890.13704000003</v>
      </c>
      <c r="J126" s="18">
        <v>76848.85613000006</v>
      </c>
      <c r="K126" s="18">
        <f t="shared" si="18"/>
        <v>396729.9531700001</v>
      </c>
      <c r="L126" s="20">
        <v>41576.84</v>
      </c>
      <c r="M126" s="20">
        <v>27229.24055</v>
      </c>
      <c r="N126" s="86">
        <f t="shared" si="21"/>
        <v>65.49136622696675</v>
      </c>
      <c r="O126" s="42">
        <v>22625.47</v>
      </c>
      <c r="P126" s="18">
        <v>64202.32</v>
      </c>
      <c r="Q126" s="18">
        <v>38000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22">
        <f t="shared" si="22"/>
        <v>0</v>
      </c>
      <c r="X126" s="28">
        <v>100</v>
      </c>
    </row>
    <row r="127" spans="1:24" ht="22.5">
      <c r="A127" s="58">
        <v>2855</v>
      </c>
      <c r="B127" s="17" t="s">
        <v>115</v>
      </c>
      <c r="C127" s="18">
        <v>300485.0359899999</v>
      </c>
      <c r="D127" s="18">
        <v>0</v>
      </c>
      <c r="E127" s="18">
        <v>0</v>
      </c>
      <c r="F127" s="18">
        <v>0</v>
      </c>
      <c r="G127" s="18">
        <v>0</v>
      </c>
      <c r="H127" s="18">
        <v>83731.64801999996</v>
      </c>
      <c r="I127" s="18">
        <v>107588.20930999995</v>
      </c>
      <c r="J127" s="18">
        <v>84165.17866</v>
      </c>
      <c r="K127" s="18">
        <f t="shared" si="18"/>
        <v>275485.0359899999</v>
      </c>
      <c r="L127" s="20">
        <v>43095.479999999996</v>
      </c>
      <c r="M127" s="20">
        <v>23888.62166999999</v>
      </c>
      <c r="N127" s="86">
        <f t="shared" si="21"/>
        <v>55.43184962784958</v>
      </c>
      <c r="O127" s="42">
        <v>0</v>
      </c>
      <c r="P127" s="18">
        <v>43095.48999999999</v>
      </c>
      <c r="Q127" s="18">
        <v>25000</v>
      </c>
      <c r="R127" s="18">
        <v>0</v>
      </c>
      <c r="S127" s="39">
        <v>0</v>
      </c>
      <c r="T127" s="39">
        <v>0</v>
      </c>
      <c r="U127" s="39">
        <v>0</v>
      </c>
      <c r="V127" s="39">
        <v>0</v>
      </c>
      <c r="W127" s="22">
        <f t="shared" si="22"/>
        <v>0</v>
      </c>
      <c r="X127" s="28">
        <v>100</v>
      </c>
    </row>
    <row r="128" spans="1:24" ht="22.5">
      <c r="A128" s="58">
        <v>2856</v>
      </c>
      <c r="B128" s="17" t="s">
        <v>116</v>
      </c>
      <c r="C128" s="18">
        <v>96977.06917999999</v>
      </c>
      <c r="D128" s="18">
        <v>0</v>
      </c>
      <c r="E128" s="18">
        <v>0</v>
      </c>
      <c r="F128" s="18">
        <v>0</v>
      </c>
      <c r="G128" s="18">
        <v>0</v>
      </c>
      <c r="H128" s="18">
        <v>23811.95441</v>
      </c>
      <c r="I128" s="18">
        <v>29394.20917</v>
      </c>
      <c r="J128" s="18">
        <v>34070.90559999999</v>
      </c>
      <c r="K128" s="18">
        <f t="shared" si="18"/>
        <v>87277.06917999999</v>
      </c>
      <c r="L128" s="20">
        <v>13765.589999999998</v>
      </c>
      <c r="M128" s="20">
        <v>9638.813710000002</v>
      </c>
      <c r="N128" s="86">
        <f t="shared" si="21"/>
        <v>70.02107218070567</v>
      </c>
      <c r="O128" s="42">
        <v>0</v>
      </c>
      <c r="P128" s="18">
        <v>13765.580000000004</v>
      </c>
      <c r="Q128" s="18">
        <v>9700</v>
      </c>
      <c r="R128" s="18">
        <v>0</v>
      </c>
      <c r="S128" s="39">
        <v>0</v>
      </c>
      <c r="T128" s="39">
        <v>0</v>
      </c>
      <c r="U128" s="39">
        <v>0</v>
      </c>
      <c r="V128" s="39">
        <v>0</v>
      </c>
      <c r="W128" s="22">
        <f t="shared" si="22"/>
        <v>0</v>
      </c>
      <c r="X128" s="28">
        <v>100</v>
      </c>
    </row>
    <row r="129" spans="1:24" ht="22.5">
      <c r="A129" s="58">
        <v>2857</v>
      </c>
      <c r="B129" s="17" t="s">
        <v>117</v>
      </c>
      <c r="C129" s="18">
        <v>113426.58355</v>
      </c>
      <c r="D129" s="18">
        <v>0</v>
      </c>
      <c r="E129" s="18">
        <v>0</v>
      </c>
      <c r="F129" s="18">
        <v>0</v>
      </c>
      <c r="G129" s="18">
        <v>0</v>
      </c>
      <c r="H129" s="18">
        <v>22184.182</v>
      </c>
      <c r="I129" s="18">
        <v>39326.89029999999</v>
      </c>
      <c r="J129" s="18">
        <v>39615.51125</v>
      </c>
      <c r="K129" s="18">
        <f t="shared" si="18"/>
        <v>101126.58355</v>
      </c>
      <c r="L129" s="20">
        <v>25708.220000000012</v>
      </c>
      <c r="M129" s="20">
        <v>12269.988879999999</v>
      </c>
      <c r="N129" s="86">
        <f t="shared" si="21"/>
        <v>47.72788189925243</v>
      </c>
      <c r="O129" s="42">
        <v>0</v>
      </c>
      <c r="P129" s="18">
        <v>25708.219999999998</v>
      </c>
      <c r="Q129" s="18">
        <v>12300</v>
      </c>
      <c r="R129" s="18">
        <v>0</v>
      </c>
      <c r="S129" s="39">
        <v>0</v>
      </c>
      <c r="T129" s="39">
        <v>0</v>
      </c>
      <c r="U129" s="39">
        <v>0</v>
      </c>
      <c r="V129" s="39">
        <v>0</v>
      </c>
      <c r="W129" s="22">
        <f t="shared" si="22"/>
        <v>0</v>
      </c>
      <c r="X129" s="28">
        <v>100</v>
      </c>
    </row>
    <row r="130" spans="1:24" ht="33.75">
      <c r="A130" s="58">
        <v>2859</v>
      </c>
      <c r="B130" s="17" t="s">
        <v>118</v>
      </c>
      <c r="C130" s="18">
        <v>30372.1828</v>
      </c>
      <c r="D130" s="18">
        <v>0</v>
      </c>
      <c r="E130" s="18">
        <v>0</v>
      </c>
      <c r="F130" s="18">
        <v>0</v>
      </c>
      <c r="G130" s="18">
        <v>0</v>
      </c>
      <c r="H130" s="18">
        <v>6805.683999999999</v>
      </c>
      <c r="I130" s="18">
        <v>10526.092800000002</v>
      </c>
      <c r="J130" s="18">
        <v>7290.406</v>
      </c>
      <c r="K130" s="18">
        <f t="shared" si="18"/>
        <v>24622.1828</v>
      </c>
      <c r="L130" s="20">
        <v>8445.66</v>
      </c>
      <c r="M130" s="20">
        <v>4750.1635</v>
      </c>
      <c r="N130" s="86">
        <f t="shared" si="21"/>
        <v>56.2438400314481</v>
      </c>
      <c r="O130" s="42">
        <v>0</v>
      </c>
      <c r="P130" s="18">
        <v>8445.59</v>
      </c>
      <c r="Q130" s="18">
        <v>5750</v>
      </c>
      <c r="R130" s="18">
        <v>0</v>
      </c>
      <c r="S130" s="18">
        <v>0</v>
      </c>
      <c r="T130" s="39">
        <v>0</v>
      </c>
      <c r="U130" s="39">
        <v>0</v>
      </c>
      <c r="V130" s="39">
        <v>0</v>
      </c>
      <c r="W130" s="22">
        <f t="shared" si="22"/>
        <v>0</v>
      </c>
      <c r="X130" s="28">
        <v>100</v>
      </c>
    </row>
    <row r="131" spans="1:24" ht="33.75">
      <c r="A131" s="58">
        <v>2860</v>
      </c>
      <c r="B131" s="17" t="s">
        <v>119</v>
      </c>
      <c r="C131" s="18">
        <v>304.0641</v>
      </c>
      <c r="D131" s="18">
        <v>0</v>
      </c>
      <c r="E131" s="18">
        <v>0</v>
      </c>
      <c r="F131" s="18">
        <v>0</v>
      </c>
      <c r="G131" s="18">
        <v>0</v>
      </c>
      <c r="H131" s="18">
        <v>69.3171</v>
      </c>
      <c r="I131" s="18">
        <v>0</v>
      </c>
      <c r="J131" s="18">
        <v>154.74699999999999</v>
      </c>
      <c r="K131" s="18">
        <f t="shared" si="18"/>
        <v>224.0641</v>
      </c>
      <c r="L131" s="20">
        <v>250.01</v>
      </c>
      <c r="M131" s="20">
        <v>0</v>
      </c>
      <c r="N131" s="86">
        <f t="shared" si="21"/>
        <v>0</v>
      </c>
      <c r="O131" s="42"/>
      <c r="P131" s="18"/>
      <c r="Q131" s="18">
        <v>80</v>
      </c>
      <c r="R131" s="18">
        <v>0</v>
      </c>
      <c r="S131" s="39">
        <v>0</v>
      </c>
      <c r="T131" s="39">
        <v>0</v>
      </c>
      <c r="U131" s="39">
        <v>0</v>
      </c>
      <c r="V131" s="39">
        <v>0</v>
      </c>
      <c r="W131" s="22">
        <f t="shared" si="22"/>
        <v>0</v>
      </c>
      <c r="X131" s="28">
        <v>100</v>
      </c>
    </row>
    <row r="132" spans="1:24" ht="45">
      <c r="A132" s="58">
        <v>2862</v>
      </c>
      <c r="B132" s="17" t="s">
        <v>120</v>
      </c>
      <c r="C132" s="18">
        <v>172.973</v>
      </c>
      <c r="D132" s="18">
        <v>0</v>
      </c>
      <c r="E132" s="18">
        <v>0</v>
      </c>
      <c r="F132" s="18">
        <v>0</v>
      </c>
      <c r="G132" s="18">
        <v>0</v>
      </c>
      <c r="H132" s="18">
        <v>42.078</v>
      </c>
      <c r="I132" s="18">
        <v>16.997</v>
      </c>
      <c r="J132" s="18">
        <v>38.897999999999996</v>
      </c>
      <c r="K132" s="18">
        <f t="shared" si="18"/>
        <v>97.973</v>
      </c>
      <c r="L132" s="20">
        <v>244.76999999999998</v>
      </c>
      <c r="M132" s="20">
        <v>0</v>
      </c>
      <c r="N132" s="86">
        <f t="shared" si="21"/>
        <v>0</v>
      </c>
      <c r="O132" s="42"/>
      <c r="P132" s="18"/>
      <c r="Q132" s="18">
        <v>75</v>
      </c>
      <c r="R132" s="18">
        <v>0</v>
      </c>
      <c r="S132" s="39">
        <v>0</v>
      </c>
      <c r="T132" s="39">
        <v>0</v>
      </c>
      <c r="U132" s="39">
        <v>0</v>
      </c>
      <c r="V132" s="39">
        <v>0</v>
      </c>
      <c r="W132" s="22">
        <f t="shared" si="22"/>
        <v>0</v>
      </c>
      <c r="X132" s="28">
        <v>100</v>
      </c>
    </row>
    <row r="133" spans="1:24" ht="22.5">
      <c r="A133" s="57">
        <v>2863</v>
      </c>
      <c r="B133" s="17" t="s">
        <v>121</v>
      </c>
      <c r="C133" s="18">
        <v>231852.79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27126.91476</v>
      </c>
      <c r="J133" s="18">
        <v>135464.34596</v>
      </c>
      <c r="K133" s="18">
        <f t="shared" si="18"/>
        <v>162591.26072000002</v>
      </c>
      <c r="L133" s="20">
        <v>71506.95000000001</v>
      </c>
      <c r="M133" s="20">
        <v>34004.36861</v>
      </c>
      <c r="N133" s="86">
        <f t="shared" si="21"/>
        <v>47.553935120991724</v>
      </c>
      <c r="O133" s="42"/>
      <c r="P133" s="18"/>
      <c r="Q133" s="18">
        <f>71506.95-2245.42</f>
        <v>69261.53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22">
        <f t="shared" si="22"/>
        <v>0</v>
      </c>
      <c r="X133" s="28">
        <v>100</v>
      </c>
    </row>
    <row r="134" spans="1:24" ht="33.75">
      <c r="A134" s="50">
        <v>2929</v>
      </c>
      <c r="B134" s="17" t="s">
        <v>122</v>
      </c>
      <c r="C134" s="18">
        <f>K134+Q134</f>
        <v>24726.492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2046.7360000000003</v>
      </c>
      <c r="J134" s="18">
        <v>9005.785999999998</v>
      </c>
      <c r="K134" s="18">
        <f t="shared" si="18"/>
        <v>11052.521999999999</v>
      </c>
      <c r="L134" s="20">
        <v>13673.970000000001</v>
      </c>
      <c r="M134" s="20">
        <v>0</v>
      </c>
      <c r="N134" s="86">
        <f t="shared" si="21"/>
        <v>0</v>
      </c>
      <c r="O134" s="42"/>
      <c r="P134" s="18"/>
      <c r="Q134" s="18">
        <v>13673.970000000001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22">
        <f t="shared" si="22"/>
        <v>0</v>
      </c>
      <c r="X134" s="83">
        <v>55.02</v>
      </c>
    </row>
    <row r="135" spans="1:24" ht="22.5">
      <c r="A135" s="50">
        <v>2988</v>
      </c>
      <c r="B135" s="17" t="s">
        <v>123</v>
      </c>
      <c r="C135" s="18">
        <v>43065.25</v>
      </c>
      <c r="D135" s="18">
        <v>0</v>
      </c>
      <c r="E135" s="18">
        <v>595</v>
      </c>
      <c r="F135" s="18">
        <v>0</v>
      </c>
      <c r="G135" s="18">
        <v>198</v>
      </c>
      <c r="H135" s="18">
        <v>37273.593590000004</v>
      </c>
      <c r="I135" s="18">
        <v>4935.66</v>
      </c>
      <c r="J135" s="18">
        <v>0</v>
      </c>
      <c r="K135" s="18">
        <f t="shared" si="18"/>
        <v>43002.25359000001</v>
      </c>
      <c r="L135" s="20">
        <v>63</v>
      </c>
      <c r="M135" s="20">
        <v>0</v>
      </c>
      <c r="N135" s="86">
        <f t="shared" si="21"/>
        <v>0</v>
      </c>
      <c r="O135" s="42">
        <v>0</v>
      </c>
      <c r="P135" s="18">
        <v>63</v>
      </c>
      <c r="Q135" s="18">
        <v>63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22">
        <f t="shared" si="22"/>
        <v>0</v>
      </c>
      <c r="X135" s="28">
        <v>58.9</v>
      </c>
    </row>
    <row r="136" spans="1:24" ht="33.75">
      <c r="A136" s="50">
        <v>2990</v>
      </c>
      <c r="B136" s="17" t="s">
        <v>124</v>
      </c>
      <c r="C136" s="18">
        <v>20284.81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260.2739</v>
      </c>
      <c r="K136" s="18">
        <f t="shared" si="18"/>
        <v>260.2739</v>
      </c>
      <c r="L136" s="20">
        <v>20024.54</v>
      </c>
      <c r="M136" s="20">
        <v>18809.84083</v>
      </c>
      <c r="N136" s="86">
        <f t="shared" si="21"/>
        <v>93.93394719678953</v>
      </c>
      <c r="O136" s="42"/>
      <c r="P136" s="18"/>
      <c r="Q136" s="18">
        <v>20024.54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22">
        <f t="shared" si="22"/>
        <v>0</v>
      </c>
      <c r="X136" s="28">
        <v>90</v>
      </c>
    </row>
    <row r="137" spans="1:24" ht="22.5">
      <c r="A137" s="50">
        <v>2991</v>
      </c>
      <c r="B137" s="17" t="s">
        <v>125</v>
      </c>
      <c r="C137" s="18">
        <v>32454.57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f t="shared" si="18"/>
        <v>0</v>
      </c>
      <c r="L137" s="20">
        <v>32454.57</v>
      </c>
      <c r="M137" s="20">
        <v>25928.40559</v>
      </c>
      <c r="N137" s="86">
        <f t="shared" si="21"/>
        <v>79.89138537346204</v>
      </c>
      <c r="O137" s="42"/>
      <c r="P137" s="18"/>
      <c r="Q137" s="18">
        <v>32454.57</v>
      </c>
      <c r="R137" s="39">
        <v>0</v>
      </c>
      <c r="S137" s="39">
        <v>0</v>
      </c>
      <c r="T137" s="39">
        <v>0</v>
      </c>
      <c r="U137" s="39">
        <v>0</v>
      </c>
      <c r="V137" s="39">
        <v>0</v>
      </c>
      <c r="W137" s="22">
        <f t="shared" si="22"/>
        <v>0</v>
      </c>
      <c r="X137" s="28">
        <v>90</v>
      </c>
    </row>
    <row r="138" spans="1:24" ht="33.75">
      <c r="A138" s="50">
        <v>2992</v>
      </c>
      <c r="B138" s="17" t="s">
        <v>126</v>
      </c>
      <c r="C138" s="18">
        <v>12336.01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f t="shared" si="18"/>
        <v>0</v>
      </c>
      <c r="L138" s="20">
        <v>12336.01</v>
      </c>
      <c r="M138" s="20">
        <v>12253.429089999998</v>
      </c>
      <c r="N138" s="86">
        <f t="shared" si="21"/>
        <v>99.3305703383833</v>
      </c>
      <c r="O138" s="42"/>
      <c r="P138" s="18"/>
      <c r="Q138" s="18">
        <v>12336.01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22">
        <f t="shared" si="22"/>
        <v>0</v>
      </c>
      <c r="X138" s="28">
        <v>90</v>
      </c>
    </row>
    <row r="139" spans="1:24" ht="22.5">
      <c r="A139" s="50">
        <v>2993</v>
      </c>
      <c r="B139" s="17" t="s">
        <v>127</v>
      </c>
      <c r="C139" s="18">
        <v>26210.64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f t="shared" si="18"/>
        <v>0</v>
      </c>
      <c r="L139" s="20">
        <v>26210.640000000003</v>
      </c>
      <c r="M139" s="20">
        <v>26052.76553</v>
      </c>
      <c r="N139" s="86">
        <f t="shared" si="21"/>
        <v>99.39767029725331</v>
      </c>
      <c r="O139" s="42"/>
      <c r="P139" s="18"/>
      <c r="Q139" s="18">
        <v>26210.640000000003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22">
        <f t="shared" si="22"/>
        <v>0</v>
      </c>
      <c r="X139" s="28">
        <v>90</v>
      </c>
    </row>
    <row r="140" spans="1:24" ht="22.5">
      <c r="A140" s="50">
        <v>2994</v>
      </c>
      <c r="B140" s="17" t="s">
        <v>128</v>
      </c>
      <c r="C140" s="18">
        <v>48838.259999999995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f t="shared" si="18"/>
        <v>0</v>
      </c>
      <c r="L140" s="20">
        <v>48838.26</v>
      </c>
      <c r="M140" s="20">
        <v>46855.099839999995</v>
      </c>
      <c r="N140" s="86">
        <f t="shared" si="21"/>
        <v>95.93933084430115</v>
      </c>
      <c r="O140" s="42"/>
      <c r="P140" s="18"/>
      <c r="Q140" s="18">
        <v>48838.26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22">
        <f t="shared" si="22"/>
        <v>0</v>
      </c>
      <c r="X140" s="28">
        <v>90</v>
      </c>
    </row>
    <row r="141" spans="1:24" ht="22.5">
      <c r="A141" s="50">
        <v>2995</v>
      </c>
      <c r="B141" s="17" t="s">
        <v>129</v>
      </c>
      <c r="C141" s="18">
        <v>4954.03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1462.8569999999997</v>
      </c>
      <c r="K141" s="18">
        <f t="shared" si="18"/>
        <v>1462.8569999999997</v>
      </c>
      <c r="L141" s="20">
        <v>3491.1700000000005</v>
      </c>
      <c r="M141" s="20">
        <v>3452.6032399999995</v>
      </c>
      <c r="N141" s="86">
        <f t="shared" si="21"/>
        <v>98.89530558523357</v>
      </c>
      <c r="O141" s="42"/>
      <c r="P141" s="18"/>
      <c r="Q141" s="18">
        <v>3491.1700000000005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  <c r="W141" s="22">
        <f t="shared" si="22"/>
        <v>0</v>
      </c>
      <c r="X141" s="28">
        <v>90</v>
      </c>
    </row>
    <row r="142" spans="1:24" ht="12.75">
      <c r="A142" s="50">
        <v>2996</v>
      </c>
      <c r="B142" s="17" t="s">
        <v>130</v>
      </c>
      <c r="C142" s="18">
        <v>53476.01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f t="shared" si="18"/>
        <v>0</v>
      </c>
      <c r="L142" s="20">
        <v>53476.01</v>
      </c>
      <c r="M142" s="20">
        <v>41358.26928</v>
      </c>
      <c r="N142" s="86">
        <f t="shared" si="21"/>
        <v>77.33985628321933</v>
      </c>
      <c r="O142" s="42"/>
      <c r="P142" s="18"/>
      <c r="Q142" s="18">
        <v>53476.009999999995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22">
        <f t="shared" si="22"/>
        <v>0</v>
      </c>
      <c r="X142" s="28">
        <v>90</v>
      </c>
    </row>
    <row r="143" spans="1:24" ht="33.75">
      <c r="A143" s="50">
        <v>2997</v>
      </c>
      <c r="B143" s="17" t="s">
        <v>131</v>
      </c>
      <c r="C143" s="18">
        <v>28481.2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193.60000000000002</v>
      </c>
      <c r="K143" s="18">
        <f t="shared" si="18"/>
        <v>193.60000000000002</v>
      </c>
      <c r="L143" s="20">
        <v>28287.639999999996</v>
      </c>
      <c r="M143" s="20">
        <v>28071.99608</v>
      </c>
      <c r="N143" s="86">
        <f t="shared" si="21"/>
        <v>99.23767440479307</v>
      </c>
      <c r="O143" s="42"/>
      <c r="P143" s="18"/>
      <c r="Q143" s="18">
        <v>28287.6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  <c r="W143" s="22">
        <f t="shared" si="22"/>
        <v>0</v>
      </c>
      <c r="X143" s="28">
        <v>90</v>
      </c>
    </row>
    <row r="144" spans="1:24" ht="22.5">
      <c r="A144" s="50">
        <v>2998</v>
      </c>
      <c r="B144" s="17" t="s">
        <v>132</v>
      </c>
      <c r="C144" s="18">
        <v>3444.95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f t="shared" si="18"/>
        <v>0</v>
      </c>
      <c r="L144" s="20">
        <v>3444.9499999999994</v>
      </c>
      <c r="M144" s="20">
        <v>3435.85538</v>
      </c>
      <c r="N144" s="86">
        <f t="shared" si="21"/>
        <v>99.7360013933439</v>
      </c>
      <c r="O144" s="42"/>
      <c r="P144" s="18"/>
      <c r="Q144" s="18">
        <v>3444.9499999999994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22">
        <f t="shared" si="22"/>
        <v>0</v>
      </c>
      <c r="X144" s="28">
        <v>90</v>
      </c>
    </row>
    <row r="145" spans="1:24" ht="12.75">
      <c r="A145" s="50">
        <v>2999</v>
      </c>
      <c r="B145" s="17" t="s">
        <v>133</v>
      </c>
      <c r="C145" s="18">
        <v>23482.2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193.60000000000002</v>
      </c>
      <c r="K145" s="18">
        <f t="shared" si="18"/>
        <v>193.60000000000002</v>
      </c>
      <c r="L145" s="20">
        <v>23288.600000000002</v>
      </c>
      <c r="M145" s="20">
        <v>22982.678869999996</v>
      </c>
      <c r="N145" s="86">
        <f t="shared" si="21"/>
        <v>98.6863910668739</v>
      </c>
      <c r="O145" s="42"/>
      <c r="P145" s="18"/>
      <c r="Q145" s="18">
        <v>23288.600000000002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22">
        <f t="shared" si="22"/>
        <v>0</v>
      </c>
      <c r="X145" s="28">
        <v>90</v>
      </c>
    </row>
    <row r="146" spans="1:24" ht="22.5">
      <c r="A146" s="50">
        <v>3000</v>
      </c>
      <c r="B146" s="17" t="s">
        <v>134</v>
      </c>
      <c r="C146" s="18">
        <v>49783.8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f t="shared" si="18"/>
        <v>0</v>
      </c>
      <c r="L146" s="20">
        <v>49783.8</v>
      </c>
      <c r="M146" s="20">
        <v>44731.220140000005</v>
      </c>
      <c r="N146" s="86">
        <f t="shared" si="21"/>
        <v>89.85095581293514</v>
      </c>
      <c r="O146" s="42"/>
      <c r="P146" s="18"/>
      <c r="Q146" s="18">
        <v>49783.8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22">
        <f t="shared" si="22"/>
        <v>0</v>
      </c>
      <c r="X146" s="28">
        <v>90</v>
      </c>
    </row>
    <row r="147" spans="1:24" ht="33.75">
      <c r="A147" s="50">
        <v>3001</v>
      </c>
      <c r="B147" s="17" t="s">
        <v>135</v>
      </c>
      <c r="C147" s="18">
        <v>13497.529999999999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f t="shared" si="18"/>
        <v>0</v>
      </c>
      <c r="L147" s="20">
        <v>13497.54</v>
      </c>
      <c r="M147" s="20">
        <v>12998.416529999999</v>
      </c>
      <c r="N147" s="86">
        <f t="shared" si="21"/>
        <v>96.30211527433886</v>
      </c>
      <c r="O147" s="42"/>
      <c r="P147" s="18"/>
      <c r="Q147" s="18">
        <v>13497.53</v>
      </c>
      <c r="R147" s="39">
        <v>0</v>
      </c>
      <c r="S147" s="39">
        <v>0</v>
      </c>
      <c r="T147" s="39">
        <v>0</v>
      </c>
      <c r="U147" s="39">
        <v>0</v>
      </c>
      <c r="V147" s="39">
        <v>0</v>
      </c>
      <c r="W147" s="22">
        <f t="shared" si="22"/>
        <v>0</v>
      </c>
      <c r="X147" s="28">
        <v>90</v>
      </c>
    </row>
    <row r="148" spans="1:24" ht="22.5">
      <c r="A148" s="50">
        <v>3002</v>
      </c>
      <c r="B148" s="17" t="s">
        <v>136</v>
      </c>
      <c r="C148" s="18">
        <v>4768.4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3656.11257</v>
      </c>
      <c r="K148" s="18">
        <f>SUM(D148:J148)+0.01</f>
        <v>3656.12257</v>
      </c>
      <c r="L148" s="20">
        <v>1112.28</v>
      </c>
      <c r="M148" s="20">
        <v>1102.92996</v>
      </c>
      <c r="N148" s="86">
        <f t="shared" si="21"/>
        <v>99.15938073147049</v>
      </c>
      <c r="O148" s="42"/>
      <c r="P148" s="18"/>
      <c r="Q148" s="18">
        <v>1112.28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22">
        <f t="shared" si="22"/>
        <v>0</v>
      </c>
      <c r="X148" s="28">
        <v>90</v>
      </c>
    </row>
    <row r="149" spans="1:24" ht="12.75">
      <c r="A149" s="50">
        <v>3003</v>
      </c>
      <c r="B149" s="17" t="s">
        <v>137</v>
      </c>
      <c r="C149" s="18">
        <v>11789.85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1353.57792</v>
      </c>
      <c r="K149" s="18">
        <f>SUM(D149:J149)+0.01</f>
        <v>1353.58792</v>
      </c>
      <c r="L149" s="20">
        <v>10436.259999999998</v>
      </c>
      <c r="M149" s="20">
        <v>10348.22701</v>
      </c>
      <c r="N149" s="86">
        <f t="shared" si="21"/>
        <v>99.15646994229735</v>
      </c>
      <c r="O149" s="42"/>
      <c r="P149" s="18"/>
      <c r="Q149" s="18">
        <v>10436.25</v>
      </c>
      <c r="R149" s="39">
        <v>0</v>
      </c>
      <c r="S149" s="39">
        <v>0</v>
      </c>
      <c r="T149" s="39">
        <v>0</v>
      </c>
      <c r="U149" s="39">
        <v>0</v>
      </c>
      <c r="V149" s="39">
        <v>0</v>
      </c>
      <c r="W149" s="22">
        <f t="shared" si="22"/>
        <v>0</v>
      </c>
      <c r="X149" s="28">
        <v>90</v>
      </c>
    </row>
    <row r="150" spans="1:29" ht="22.5">
      <c r="A150" s="50">
        <v>3004</v>
      </c>
      <c r="B150" s="17" t="s">
        <v>138</v>
      </c>
      <c r="C150" s="18">
        <v>12510.210000000001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f t="shared" si="18"/>
        <v>0</v>
      </c>
      <c r="L150" s="20">
        <v>12510.220000000001</v>
      </c>
      <c r="M150" s="20">
        <v>12442.428069999998</v>
      </c>
      <c r="N150" s="86">
        <f t="shared" si="21"/>
        <v>99.45810761121705</v>
      </c>
      <c r="O150" s="42"/>
      <c r="P150" s="18"/>
      <c r="Q150" s="18">
        <v>12510.21</v>
      </c>
      <c r="R150" s="39">
        <v>0</v>
      </c>
      <c r="S150" s="39">
        <v>0</v>
      </c>
      <c r="T150" s="39">
        <v>0</v>
      </c>
      <c r="U150" s="39">
        <v>0</v>
      </c>
      <c r="V150" s="39">
        <v>0</v>
      </c>
      <c r="W150" s="22">
        <f t="shared" si="22"/>
        <v>0</v>
      </c>
      <c r="X150" s="28">
        <v>90</v>
      </c>
      <c r="Y150" s="35"/>
      <c r="Z150" s="35"/>
      <c r="AB150" s="35"/>
      <c r="AC150" s="35"/>
    </row>
    <row r="151" spans="1:24" ht="22.5">
      <c r="A151" s="50">
        <v>3005</v>
      </c>
      <c r="B151" s="17" t="s">
        <v>139</v>
      </c>
      <c r="C151" s="18">
        <v>11483.95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310.26966000000004</v>
      </c>
      <c r="K151" s="18">
        <f t="shared" si="18"/>
        <v>310.26966000000004</v>
      </c>
      <c r="L151" s="20">
        <v>11173.679999999998</v>
      </c>
      <c r="M151" s="20">
        <v>10766.92983</v>
      </c>
      <c r="N151" s="86">
        <f t="shared" si="21"/>
        <v>96.35974746010267</v>
      </c>
      <c r="O151" s="42"/>
      <c r="P151" s="18"/>
      <c r="Q151" s="18">
        <v>11173.679999999998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22">
        <f t="shared" si="22"/>
        <v>0</v>
      </c>
      <c r="X151" s="28">
        <v>90</v>
      </c>
    </row>
    <row r="152" spans="1:24" ht="12.75">
      <c r="A152" s="50">
        <v>3006</v>
      </c>
      <c r="B152" s="17" t="s">
        <v>140</v>
      </c>
      <c r="C152" s="18">
        <v>19426.07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f t="shared" si="18"/>
        <v>0</v>
      </c>
      <c r="L152" s="20">
        <v>19426.070000000007</v>
      </c>
      <c r="M152" s="20">
        <v>19333.630030000004</v>
      </c>
      <c r="N152" s="86">
        <f t="shared" si="21"/>
        <v>99.52414477040388</v>
      </c>
      <c r="O152" s="42"/>
      <c r="P152" s="18"/>
      <c r="Q152" s="18">
        <v>19426.070000000007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22">
        <f t="shared" si="22"/>
        <v>0</v>
      </c>
      <c r="X152" s="28">
        <v>90</v>
      </c>
    </row>
    <row r="153" spans="1:24" ht="12.75">
      <c r="A153" s="50">
        <v>3007</v>
      </c>
      <c r="B153" s="17" t="s">
        <v>141</v>
      </c>
      <c r="C153" s="18">
        <v>13174.26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193.60000000000002</v>
      </c>
      <c r="K153" s="18">
        <f t="shared" si="18"/>
        <v>193.60000000000002</v>
      </c>
      <c r="L153" s="20">
        <v>12980.660000000002</v>
      </c>
      <c r="M153" s="20">
        <v>11854.39858</v>
      </c>
      <c r="N153" s="86">
        <f t="shared" si="21"/>
        <v>91.32354271662611</v>
      </c>
      <c r="O153" s="42"/>
      <c r="P153" s="18"/>
      <c r="Q153" s="18">
        <v>12980.660000000002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  <c r="W153" s="22">
        <f t="shared" si="22"/>
        <v>0</v>
      </c>
      <c r="X153" s="28">
        <v>90</v>
      </c>
    </row>
    <row r="154" spans="1:24" ht="22.5">
      <c r="A154" s="50">
        <v>3008</v>
      </c>
      <c r="B154" s="17" t="s">
        <v>142</v>
      </c>
      <c r="C154" s="18">
        <v>3644.1500000000005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2975.224</v>
      </c>
      <c r="K154" s="18">
        <f t="shared" si="18"/>
        <v>2975.224</v>
      </c>
      <c r="L154" s="20">
        <v>668.9300000000001</v>
      </c>
      <c r="M154" s="20">
        <v>647.13503</v>
      </c>
      <c r="N154" s="86">
        <f t="shared" si="21"/>
        <v>96.74181603456266</v>
      </c>
      <c r="O154" s="42"/>
      <c r="P154" s="18"/>
      <c r="Q154" s="18">
        <v>668.9300000000001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22">
        <f t="shared" si="22"/>
        <v>0</v>
      </c>
      <c r="X154" s="28">
        <v>90</v>
      </c>
    </row>
    <row r="155" spans="1:24" ht="22.5">
      <c r="A155" s="50">
        <v>3009</v>
      </c>
      <c r="B155" s="17" t="s">
        <v>143</v>
      </c>
      <c r="C155" s="18">
        <v>17579.6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193.60000000000002</v>
      </c>
      <c r="K155" s="18">
        <f aca="true" t="shared" si="23" ref="K155:K197">SUM(D155:J155)</f>
        <v>193.60000000000002</v>
      </c>
      <c r="L155" s="20">
        <v>17386.000000000004</v>
      </c>
      <c r="M155" s="20">
        <v>17324.004390000002</v>
      </c>
      <c r="N155" s="86">
        <f t="shared" si="21"/>
        <v>99.64341648452776</v>
      </c>
      <c r="O155" s="42"/>
      <c r="P155" s="18"/>
      <c r="Q155" s="18">
        <v>17386.000000000004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22">
        <f t="shared" si="22"/>
        <v>0</v>
      </c>
      <c r="X155" s="28">
        <v>90</v>
      </c>
    </row>
    <row r="156" spans="1:24" ht="22.5">
      <c r="A156" s="50">
        <v>3010</v>
      </c>
      <c r="B156" s="17" t="s">
        <v>144</v>
      </c>
      <c r="C156" s="18">
        <v>5522.8099999999995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4638.81506</v>
      </c>
      <c r="K156" s="18">
        <f t="shared" si="23"/>
        <v>4638.81506</v>
      </c>
      <c r="L156" s="20">
        <v>883.99</v>
      </c>
      <c r="M156" s="20">
        <v>880.3317800000001</v>
      </c>
      <c r="N156" s="86">
        <f t="shared" si="21"/>
        <v>99.58616952680461</v>
      </c>
      <c r="O156" s="42"/>
      <c r="P156" s="18"/>
      <c r="Q156" s="18">
        <v>883.99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22">
        <f t="shared" si="22"/>
        <v>0</v>
      </c>
      <c r="X156" s="28">
        <v>90</v>
      </c>
    </row>
    <row r="157" spans="1:24" ht="22.5">
      <c r="A157" s="50">
        <v>3011</v>
      </c>
      <c r="B157" s="17" t="s">
        <v>145</v>
      </c>
      <c r="C157" s="18">
        <v>10516.269999999999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157.3</v>
      </c>
      <c r="K157" s="18">
        <f t="shared" si="23"/>
        <v>157.3</v>
      </c>
      <c r="L157" s="20">
        <v>10358.97</v>
      </c>
      <c r="M157" s="20">
        <v>10182.74889</v>
      </c>
      <c r="N157" s="86">
        <f t="shared" si="21"/>
        <v>98.29885490545877</v>
      </c>
      <c r="O157" s="42"/>
      <c r="P157" s="18"/>
      <c r="Q157" s="18">
        <v>10358.97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22">
        <f t="shared" si="22"/>
        <v>0</v>
      </c>
      <c r="X157" s="28">
        <v>90</v>
      </c>
    </row>
    <row r="158" spans="1:24" ht="22.5">
      <c r="A158" s="50">
        <v>3012</v>
      </c>
      <c r="B158" s="17" t="s">
        <v>146</v>
      </c>
      <c r="C158" s="18">
        <v>5555.280000000001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4252.34</v>
      </c>
      <c r="K158" s="18">
        <f>SUM(D158:J158)+0.01</f>
        <v>4252.35</v>
      </c>
      <c r="L158" s="20">
        <v>1302.93</v>
      </c>
      <c r="M158" s="20">
        <v>1291.627</v>
      </c>
      <c r="N158" s="86">
        <f t="shared" si="21"/>
        <v>99.13249368730476</v>
      </c>
      <c r="O158" s="42"/>
      <c r="P158" s="18"/>
      <c r="Q158" s="18">
        <v>1302.93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22">
        <f t="shared" si="22"/>
        <v>0</v>
      </c>
      <c r="X158" s="28">
        <v>90</v>
      </c>
    </row>
    <row r="159" spans="1:24" ht="22.5">
      <c r="A159" s="50">
        <v>3013</v>
      </c>
      <c r="B159" s="17" t="s">
        <v>147</v>
      </c>
      <c r="C159" s="18">
        <v>6066.2699999999995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f t="shared" si="23"/>
        <v>0</v>
      </c>
      <c r="L159" s="20">
        <v>6066.27</v>
      </c>
      <c r="M159" s="20">
        <v>5996.24364</v>
      </c>
      <c r="N159" s="86">
        <f t="shared" si="21"/>
        <v>98.84564386352733</v>
      </c>
      <c r="O159" s="42"/>
      <c r="P159" s="18"/>
      <c r="Q159" s="18">
        <v>6066.27</v>
      </c>
      <c r="R159" s="39">
        <v>0</v>
      </c>
      <c r="S159" s="39">
        <v>0</v>
      </c>
      <c r="T159" s="39">
        <v>0</v>
      </c>
      <c r="U159" s="39">
        <v>0</v>
      </c>
      <c r="V159" s="39">
        <v>0</v>
      </c>
      <c r="W159" s="22">
        <f t="shared" si="22"/>
        <v>0</v>
      </c>
      <c r="X159" s="28">
        <v>90</v>
      </c>
    </row>
    <row r="160" spans="1:24" ht="22.5">
      <c r="A160" s="50">
        <v>3014</v>
      </c>
      <c r="B160" s="17" t="s">
        <v>148</v>
      </c>
      <c r="C160" s="18">
        <v>4185.55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3576.7859999999996</v>
      </c>
      <c r="K160" s="18">
        <f t="shared" si="23"/>
        <v>3576.7859999999996</v>
      </c>
      <c r="L160" s="20">
        <v>608.76</v>
      </c>
      <c r="M160" s="20">
        <v>608.74474</v>
      </c>
      <c r="N160" s="86">
        <f t="shared" si="21"/>
        <v>99.9974932649977</v>
      </c>
      <c r="O160" s="42"/>
      <c r="P160" s="18"/>
      <c r="Q160" s="18">
        <v>608.76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22">
        <f t="shared" si="22"/>
        <v>0</v>
      </c>
      <c r="X160" s="28">
        <v>90</v>
      </c>
    </row>
    <row r="161" spans="1:24" ht="12.75">
      <c r="A161" s="50">
        <v>3015</v>
      </c>
      <c r="B161" s="17" t="s">
        <v>149</v>
      </c>
      <c r="C161" s="18">
        <v>3752.06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2898.42544</v>
      </c>
      <c r="K161" s="18">
        <f>SUM(D161:J161)-0.01</f>
        <v>2898.4154399999998</v>
      </c>
      <c r="L161" s="20">
        <v>853.64</v>
      </c>
      <c r="M161" s="20">
        <v>853.6184099999999</v>
      </c>
      <c r="N161" s="86">
        <f t="shared" si="21"/>
        <v>99.99747083079518</v>
      </c>
      <c r="O161" s="42"/>
      <c r="P161" s="18"/>
      <c r="Q161" s="18">
        <v>853.64</v>
      </c>
      <c r="R161" s="39">
        <v>0</v>
      </c>
      <c r="S161" s="39">
        <v>0</v>
      </c>
      <c r="T161" s="39">
        <v>0</v>
      </c>
      <c r="U161" s="39">
        <v>0</v>
      </c>
      <c r="V161" s="39">
        <v>0</v>
      </c>
      <c r="W161" s="22">
        <f t="shared" si="22"/>
        <v>0</v>
      </c>
      <c r="X161" s="28">
        <v>90</v>
      </c>
    </row>
    <row r="162" spans="1:24" ht="22.5">
      <c r="A162" s="50">
        <v>3016</v>
      </c>
      <c r="B162" s="17" t="s">
        <v>150</v>
      </c>
      <c r="C162" s="18">
        <v>7710.67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279.40656</v>
      </c>
      <c r="K162" s="18">
        <f t="shared" si="23"/>
        <v>279.40656</v>
      </c>
      <c r="L162" s="20">
        <v>7431.26</v>
      </c>
      <c r="M162" s="20">
        <v>7060.658530000001</v>
      </c>
      <c r="N162" s="86">
        <f t="shared" si="21"/>
        <v>95.0129389901578</v>
      </c>
      <c r="O162" s="42"/>
      <c r="P162" s="18"/>
      <c r="Q162" s="18">
        <v>7431.26</v>
      </c>
      <c r="R162" s="39">
        <v>0</v>
      </c>
      <c r="S162" s="39">
        <v>0</v>
      </c>
      <c r="T162" s="39">
        <v>0</v>
      </c>
      <c r="U162" s="39">
        <v>0</v>
      </c>
      <c r="V162" s="39">
        <v>0</v>
      </c>
      <c r="W162" s="22">
        <f t="shared" si="22"/>
        <v>0</v>
      </c>
      <c r="X162" s="28">
        <v>90</v>
      </c>
    </row>
    <row r="163" spans="1:24" ht="22.5">
      <c r="A163" s="50">
        <v>3017</v>
      </c>
      <c r="B163" s="17" t="s">
        <v>151</v>
      </c>
      <c r="C163" s="18">
        <v>11386.689999999999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f t="shared" si="23"/>
        <v>0</v>
      </c>
      <c r="L163" s="20">
        <v>11386.690000000002</v>
      </c>
      <c r="M163" s="20">
        <v>11214.453529999999</v>
      </c>
      <c r="N163" s="86">
        <f t="shared" si="21"/>
        <v>98.48738773076282</v>
      </c>
      <c r="O163" s="42"/>
      <c r="P163" s="18"/>
      <c r="Q163" s="18">
        <v>11386.69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22">
        <f t="shared" si="22"/>
        <v>0</v>
      </c>
      <c r="X163" s="28">
        <v>90</v>
      </c>
    </row>
    <row r="164" spans="1:24" ht="22.5">
      <c r="A164" s="50">
        <v>3018</v>
      </c>
      <c r="B164" s="17" t="s">
        <v>152</v>
      </c>
      <c r="C164" s="18">
        <v>3246.6099999999997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f t="shared" si="23"/>
        <v>0</v>
      </c>
      <c r="L164" s="20">
        <v>3246.61</v>
      </c>
      <c r="M164" s="20">
        <v>3246.19304</v>
      </c>
      <c r="N164" s="86">
        <f t="shared" si="21"/>
        <v>99.98715706536973</v>
      </c>
      <c r="O164" s="42"/>
      <c r="P164" s="18"/>
      <c r="Q164" s="18">
        <v>3246.6099999999997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22">
        <f t="shared" si="22"/>
        <v>0</v>
      </c>
      <c r="X164" s="28">
        <v>90</v>
      </c>
    </row>
    <row r="165" spans="1:29" ht="22.5">
      <c r="A165" s="50">
        <v>3019</v>
      </c>
      <c r="B165" s="17" t="s">
        <v>153</v>
      </c>
      <c r="C165" s="18">
        <v>16483.629999999997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f t="shared" si="23"/>
        <v>0</v>
      </c>
      <c r="L165" s="20">
        <v>16483.650000000005</v>
      </c>
      <c r="M165" s="20">
        <v>14859.76643</v>
      </c>
      <c r="N165" s="86">
        <f aca="true" t="shared" si="24" ref="N165:N218">M165/L165*100</f>
        <v>90.14851947232557</v>
      </c>
      <c r="O165" s="42"/>
      <c r="P165" s="18"/>
      <c r="Q165" s="18">
        <v>16483.63</v>
      </c>
      <c r="R165" s="39">
        <v>0</v>
      </c>
      <c r="S165" s="39">
        <v>0</v>
      </c>
      <c r="T165" s="39">
        <v>0</v>
      </c>
      <c r="U165" s="39">
        <v>0</v>
      </c>
      <c r="V165" s="39">
        <v>0</v>
      </c>
      <c r="W165" s="22">
        <f t="shared" si="22"/>
        <v>0</v>
      </c>
      <c r="X165" s="28">
        <v>90</v>
      </c>
      <c r="Y165" s="35"/>
      <c r="Z165" s="35"/>
      <c r="AB165" s="35"/>
      <c r="AC165" s="35"/>
    </row>
    <row r="166" spans="1:24" ht="33.75">
      <c r="A166" s="57">
        <v>3056</v>
      </c>
      <c r="B166" s="17" t="s">
        <v>154</v>
      </c>
      <c r="C166" s="18">
        <v>450.04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36.96</v>
      </c>
      <c r="J166" s="18">
        <v>223.97649</v>
      </c>
      <c r="K166" s="18">
        <f t="shared" si="23"/>
        <v>260.93649</v>
      </c>
      <c r="L166" s="20">
        <v>189.11999999999998</v>
      </c>
      <c r="M166" s="20">
        <v>119.81936999999998</v>
      </c>
      <c r="N166" s="86">
        <f t="shared" si="24"/>
        <v>63.35626586294416</v>
      </c>
      <c r="O166" s="42">
        <v>61</v>
      </c>
      <c r="P166" s="18">
        <v>250.12</v>
      </c>
      <c r="Q166" s="18">
        <v>189.1</v>
      </c>
      <c r="R166" s="39">
        <v>0</v>
      </c>
      <c r="S166" s="39">
        <v>0</v>
      </c>
      <c r="T166" s="18">
        <v>0</v>
      </c>
      <c r="U166" s="18">
        <v>0</v>
      </c>
      <c r="V166" s="18">
        <v>0</v>
      </c>
      <c r="W166" s="22">
        <f t="shared" si="22"/>
        <v>0</v>
      </c>
      <c r="X166" s="28">
        <v>100</v>
      </c>
    </row>
    <row r="167" spans="1:24" ht="12.75">
      <c r="A167" s="57">
        <v>3058</v>
      </c>
      <c r="B167" s="17" t="s">
        <v>155</v>
      </c>
      <c r="C167" s="18">
        <v>547.3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0.32</v>
      </c>
      <c r="J167" s="18">
        <v>272.93362</v>
      </c>
      <c r="K167" s="18">
        <f>SUM(D167:J167)+0.02</f>
        <v>273.27362</v>
      </c>
      <c r="L167" s="20">
        <v>274.03</v>
      </c>
      <c r="M167" s="20">
        <v>77.97054</v>
      </c>
      <c r="N167" s="86">
        <f t="shared" si="24"/>
        <v>28.453286136554397</v>
      </c>
      <c r="O167" s="42"/>
      <c r="P167" s="18"/>
      <c r="Q167" s="18">
        <v>274.03</v>
      </c>
      <c r="R167" s="39">
        <v>0</v>
      </c>
      <c r="S167" s="39">
        <v>0</v>
      </c>
      <c r="T167" s="18">
        <v>0</v>
      </c>
      <c r="U167" s="18">
        <v>0</v>
      </c>
      <c r="V167" s="18">
        <v>0</v>
      </c>
      <c r="W167" s="22">
        <f aca="true" t="shared" si="25" ref="W167:W200">SUM(R167:V167)</f>
        <v>0</v>
      </c>
      <c r="X167" s="28">
        <v>100</v>
      </c>
    </row>
    <row r="168" spans="1:24" ht="22.5">
      <c r="A168" s="57">
        <v>3059</v>
      </c>
      <c r="B168" s="17" t="s">
        <v>156</v>
      </c>
      <c r="C168" s="18">
        <v>790.21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53.12246</v>
      </c>
      <c r="J168" s="18">
        <v>213.18694000000002</v>
      </c>
      <c r="K168" s="18">
        <f>SUM(D168:J168)-0.01</f>
        <v>266.29940000000005</v>
      </c>
      <c r="L168" s="20">
        <v>523.91</v>
      </c>
      <c r="M168" s="20">
        <v>259.67</v>
      </c>
      <c r="N168" s="86">
        <f t="shared" si="24"/>
        <v>49.56385638754748</v>
      </c>
      <c r="O168" s="40"/>
      <c r="P168" s="18"/>
      <c r="Q168" s="18">
        <v>523.91</v>
      </c>
      <c r="R168" s="39">
        <v>0</v>
      </c>
      <c r="S168" s="39">
        <v>0</v>
      </c>
      <c r="T168" s="18">
        <v>0</v>
      </c>
      <c r="U168" s="18">
        <v>0</v>
      </c>
      <c r="V168" s="18">
        <v>0</v>
      </c>
      <c r="W168" s="22">
        <f t="shared" si="25"/>
        <v>0</v>
      </c>
      <c r="X168" s="28">
        <v>100</v>
      </c>
    </row>
    <row r="169" spans="1:29" ht="12.75">
      <c r="A169" s="57">
        <v>3060</v>
      </c>
      <c r="B169" s="17" t="s">
        <v>157</v>
      </c>
      <c r="C169" s="18">
        <f>1497.32+6.76</f>
        <v>1504.08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737.9794199999999</v>
      </c>
      <c r="K169" s="18">
        <f t="shared" si="23"/>
        <v>737.9794199999999</v>
      </c>
      <c r="L169" s="20">
        <v>767.41</v>
      </c>
      <c r="M169" s="20">
        <v>756.1727999999998</v>
      </c>
      <c r="N169" s="86">
        <f t="shared" si="24"/>
        <v>98.53569799715926</v>
      </c>
      <c r="O169" s="40"/>
      <c r="P169" s="18"/>
      <c r="Q169" s="18">
        <v>766.1</v>
      </c>
      <c r="R169" s="39">
        <v>0</v>
      </c>
      <c r="S169" s="39">
        <v>0</v>
      </c>
      <c r="T169" s="18">
        <v>0</v>
      </c>
      <c r="U169" s="18">
        <v>0</v>
      </c>
      <c r="V169" s="18">
        <v>0</v>
      </c>
      <c r="W169" s="22">
        <f t="shared" si="25"/>
        <v>0</v>
      </c>
      <c r="X169" s="28">
        <v>75</v>
      </c>
      <c r="Y169" s="35"/>
      <c r="Z169" s="35"/>
      <c r="AB169" s="35"/>
      <c r="AC169" s="35"/>
    </row>
    <row r="170" spans="1:29" ht="12.75">
      <c r="A170" s="57">
        <v>3061</v>
      </c>
      <c r="B170" s="17" t="s">
        <v>158</v>
      </c>
      <c r="C170" s="18">
        <v>424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f t="shared" si="23"/>
        <v>0</v>
      </c>
      <c r="L170" s="20">
        <v>424</v>
      </c>
      <c r="M170" s="20">
        <v>0</v>
      </c>
      <c r="N170" s="86">
        <f t="shared" si="24"/>
        <v>0</v>
      </c>
      <c r="O170" s="40"/>
      <c r="P170" s="18"/>
      <c r="Q170" s="18">
        <v>424</v>
      </c>
      <c r="R170" s="39">
        <v>0</v>
      </c>
      <c r="S170" s="39">
        <v>0</v>
      </c>
      <c r="T170" s="18">
        <v>0</v>
      </c>
      <c r="U170" s="18">
        <v>0</v>
      </c>
      <c r="V170" s="18">
        <v>0</v>
      </c>
      <c r="W170" s="22">
        <f t="shared" si="25"/>
        <v>0</v>
      </c>
      <c r="X170" s="28">
        <v>100</v>
      </c>
      <c r="Y170" s="35"/>
      <c r="Z170" s="35"/>
      <c r="AB170" s="35"/>
      <c r="AC170" s="35"/>
    </row>
    <row r="171" spans="1:24" ht="22.5">
      <c r="A171" s="57">
        <v>3121</v>
      </c>
      <c r="B171" s="17" t="s">
        <v>159</v>
      </c>
      <c r="C171" s="18">
        <v>431.3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128.41</v>
      </c>
      <c r="J171" s="18">
        <v>98.06429</v>
      </c>
      <c r="K171" s="18">
        <f t="shared" si="23"/>
        <v>226.47429</v>
      </c>
      <c r="L171" s="20">
        <v>204.83</v>
      </c>
      <c r="M171" s="20">
        <v>103.48463000000001</v>
      </c>
      <c r="N171" s="86">
        <f t="shared" si="24"/>
        <v>50.52220377874335</v>
      </c>
      <c r="O171" s="42"/>
      <c r="P171" s="18"/>
      <c r="Q171" s="18">
        <v>204.83</v>
      </c>
      <c r="R171" s="39">
        <v>0</v>
      </c>
      <c r="S171" s="39">
        <v>0</v>
      </c>
      <c r="T171" s="18">
        <v>0</v>
      </c>
      <c r="U171" s="18">
        <v>0</v>
      </c>
      <c r="V171" s="18">
        <v>0</v>
      </c>
      <c r="W171" s="22">
        <f t="shared" si="25"/>
        <v>0</v>
      </c>
      <c r="X171" s="28">
        <v>100</v>
      </c>
    </row>
    <row r="172" spans="1:24" ht="33.75">
      <c r="A172" s="36">
        <v>3217</v>
      </c>
      <c r="B172" s="56" t="s">
        <v>203</v>
      </c>
      <c r="C172" s="18">
        <v>135000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f t="shared" si="23"/>
        <v>0</v>
      </c>
      <c r="L172" s="20">
        <v>7457.15</v>
      </c>
      <c r="M172" s="20">
        <v>0</v>
      </c>
      <c r="N172" s="86">
        <f t="shared" si="24"/>
        <v>0</v>
      </c>
      <c r="O172" s="59"/>
      <c r="P172" s="18"/>
      <c r="Q172" s="18">
        <v>7457.15</v>
      </c>
      <c r="R172" s="18">
        <v>6000</v>
      </c>
      <c r="S172" s="18">
        <v>59042</v>
      </c>
      <c r="T172" s="18">
        <v>62500</v>
      </c>
      <c r="U172" s="39">
        <v>0</v>
      </c>
      <c r="V172" s="39">
        <v>0</v>
      </c>
      <c r="W172" s="22">
        <f t="shared" si="25"/>
        <v>127542</v>
      </c>
      <c r="X172" s="28" t="s">
        <v>239</v>
      </c>
    </row>
    <row r="173" spans="1:24" ht="12.75">
      <c r="A173" s="36">
        <v>3218</v>
      </c>
      <c r="B173" s="56" t="s">
        <v>204</v>
      </c>
      <c r="C173" s="18">
        <v>77000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f>SUM(D173:J173)</f>
        <v>0</v>
      </c>
      <c r="L173" s="20">
        <v>4196.099999999999</v>
      </c>
      <c r="M173" s="20">
        <v>0</v>
      </c>
      <c r="N173" s="86">
        <f aca="true" t="shared" si="26" ref="N173:N181">M173/L173*100</f>
        <v>0</v>
      </c>
      <c r="O173" s="59"/>
      <c r="P173" s="18"/>
      <c r="Q173" s="18">
        <v>4196</v>
      </c>
      <c r="R173" s="18">
        <v>3000</v>
      </c>
      <c r="S173" s="18">
        <v>49304</v>
      </c>
      <c r="T173" s="18">
        <v>20500</v>
      </c>
      <c r="U173" s="39">
        <v>0</v>
      </c>
      <c r="V173" s="39">
        <v>0</v>
      </c>
      <c r="W173" s="22">
        <f t="shared" si="25"/>
        <v>72804</v>
      </c>
      <c r="X173" s="28" t="s">
        <v>239</v>
      </c>
    </row>
    <row r="174" spans="1:24" ht="21">
      <c r="A174" s="36">
        <v>3219</v>
      </c>
      <c r="B174" s="91" t="s">
        <v>218</v>
      </c>
      <c r="C174" s="18">
        <v>50000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f aca="true" t="shared" si="27" ref="K174:K181">SUM(D174:J174)</f>
        <v>0</v>
      </c>
      <c r="L174" s="20">
        <v>2226.4</v>
      </c>
      <c r="M174" s="20">
        <v>0</v>
      </c>
      <c r="N174" s="86">
        <f t="shared" si="26"/>
        <v>0</v>
      </c>
      <c r="O174" s="59"/>
      <c r="P174" s="18"/>
      <c r="Q174" s="18">
        <v>2226</v>
      </c>
      <c r="R174" s="18">
        <v>4500</v>
      </c>
      <c r="S174" s="18">
        <v>30000</v>
      </c>
      <c r="T174" s="18">
        <v>13274</v>
      </c>
      <c r="U174" s="39">
        <v>0</v>
      </c>
      <c r="V174" s="39">
        <v>0</v>
      </c>
      <c r="W174" s="22">
        <f t="shared" si="25"/>
        <v>47774</v>
      </c>
      <c r="X174" s="28" t="s">
        <v>239</v>
      </c>
    </row>
    <row r="175" spans="1:24" ht="21">
      <c r="A175" s="36">
        <v>3220</v>
      </c>
      <c r="B175" s="91" t="s">
        <v>219</v>
      </c>
      <c r="C175" s="18">
        <v>30000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f t="shared" si="27"/>
        <v>0</v>
      </c>
      <c r="L175" s="20">
        <v>1403.39</v>
      </c>
      <c r="M175" s="20">
        <v>0</v>
      </c>
      <c r="N175" s="86">
        <f t="shared" si="26"/>
        <v>0</v>
      </c>
      <c r="O175" s="59"/>
      <c r="P175" s="18"/>
      <c r="Q175" s="18">
        <v>1403</v>
      </c>
      <c r="R175" s="18">
        <v>2097</v>
      </c>
      <c r="S175" s="18">
        <v>18500</v>
      </c>
      <c r="T175" s="18">
        <v>8000</v>
      </c>
      <c r="U175" s="39">
        <v>0</v>
      </c>
      <c r="V175" s="39">
        <v>0</v>
      </c>
      <c r="W175" s="22">
        <f t="shared" si="25"/>
        <v>28597</v>
      </c>
      <c r="X175" s="28" t="s">
        <v>239</v>
      </c>
    </row>
    <row r="176" spans="1:24" ht="21">
      <c r="A176" s="36">
        <v>3226</v>
      </c>
      <c r="B176" s="91" t="s">
        <v>220</v>
      </c>
      <c r="C176" s="18">
        <v>390968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f t="shared" si="27"/>
        <v>0</v>
      </c>
      <c r="L176" s="20">
        <v>18228</v>
      </c>
      <c r="M176" s="20">
        <v>0</v>
      </c>
      <c r="N176" s="86">
        <f t="shared" si="26"/>
        <v>0</v>
      </c>
      <c r="O176" s="59"/>
      <c r="P176" s="18"/>
      <c r="Q176" s="18">
        <v>18228</v>
      </c>
      <c r="R176" s="18">
        <v>20000</v>
      </c>
      <c r="S176" s="18">
        <v>352740</v>
      </c>
      <c r="T176" s="18">
        <v>0</v>
      </c>
      <c r="U176" s="39">
        <v>0</v>
      </c>
      <c r="V176" s="39">
        <v>0</v>
      </c>
      <c r="W176" s="22">
        <f t="shared" si="25"/>
        <v>372740</v>
      </c>
      <c r="X176" s="28" t="s">
        <v>240</v>
      </c>
    </row>
    <row r="177" spans="1:24" ht="21">
      <c r="A177" s="55">
        <v>3230</v>
      </c>
      <c r="B177" s="91" t="s">
        <v>221</v>
      </c>
      <c r="C177" s="18">
        <v>26500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f t="shared" si="27"/>
        <v>0</v>
      </c>
      <c r="L177" s="20">
        <v>300</v>
      </c>
      <c r="M177" s="20">
        <v>0</v>
      </c>
      <c r="N177" s="86">
        <f t="shared" si="26"/>
        <v>0</v>
      </c>
      <c r="O177" s="59"/>
      <c r="P177" s="18"/>
      <c r="Q177" s="18">
        <v>300</v>
      </c>
      <c r="R177" s="18">
        <v>5000</v>
      </c>
      <c r="S177" s="18">
        <v>5300</v>
      </c>
      <c r="T177" s="18">
        <v>5300</v>
      </c>
      <c r="U177" s="39">
        <v>5300</v>
      </c>
      <c r="V177" s="39">
        <v>5300</v>
      </c>
      <c r="W177" s="22">
        <f t="shared" si="25"/>
        <v>26200</v>
      </c>
      <c r="X177" s="28" t="s">
        <v>241</v>
      </c>
    </row>
    <row r="178" spans="1:24" ht="12.75">
      <c r="A178" s="36">
        <v>3286</v>
      </c>
      <c r="B178" s="91" t="s">
        <v>222</v>
      </c>
      <c r="C178" s="18">
        <v>20000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f t="shared" si="27"/>
        <v>0</v>
      </c>
      <c r="L178" s="20">
        <v>500</v>
      </c>
      <c r="M178" s="20">
        <v>0</v>
      </c>
      <c r="N178" s="86">
        <f t="shared" si="26"/>
        <v>0</v>
      </c>
      <c r="O178" s="59"/>
      <c r="P178" s="18"/>
      <c r="Q178" s="18">
        <v>500</v>
      </c>
      <c r="R178" s="18">
        <v>1500</v>
      </c>
      <c r="S178" s="18">
        <v>10000</v>
      </c>
      <c r="T178" s="18">
        <v>8000</v>
      </c>
      <c r="U178" s="39">
        <v>0</v>
      </c>
      <c r="V178" s="39">
        <v>0</v>
      </c>
      <c r="W178" s="22">
        <f t="shared" si="25"/>
        <v>19500</v>
      </c>
      <c r="X178" s="28" t="s">
        <v>239</v>
      </c>
    </row>
    <row r="179" spans="1:24" ht="12.75">
      <c r="A179" s="36">
        <v>3287</v>
      </c>
      <c r="B179" s="91" t="s">
        <v>223</v>
      </c>
      <c r="C179" s="18">
        <v>25000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f t="shared" si="27"/>
        <v>0</v>
      </c>
      <c r="L179" s="20">
        <v>500</v>
      </c>
      <c r="M179" s="20">
        <v>0</v>
      </c>
      <c r="N179" s="86">
        <f t="shared" si="26"/>
        <v>0</v>
      </c>
      <c r="O179" s="59"/>
      <c r="P179" s="18"/>
      <c r="Q179" s="18">
        <v>500</v>
      </c>
      <c r="R179" s="18">
        <v>1500</v>
      </c>
      <c r="S179" s="18">
        <v>10000</v>
      </c>
      <c r="T179" s="18">
        <v>13000</v>
      </c>
      <c r="U179" s="39">
        <v>0</v>
      </c>
      <c r="V179" s="39">
        <v>0</v>
      </c>
      <c r="W179" s="22">
        <f t="shared" si="25"/>
        <v>24500</v>
      </c>
      <c r="X179" s="28" t="s">
        <v>239</v>
      </c>
    </row>
    <row r="180" spans="1:24" ht="21">
      <c r="A180" s="36">
        <v>3288</v>
      </c>
      <c r="B180" s="91" t="s">
        <v>224</v>
      </c>
      <c r="C180" s="18">
        <v>20000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f t="shared" si="27"/>
        <v>0</v>
      </c>
      <c r="L180" s="20">
        <v>500</v>
      </c>
      <c r="M180" s="20">
        <v>0</v>
      </c>
      <c r="N180" s="86">
        <f t="shared" si="26"/>
        <v>0</v>
      </c>
      <c r="O180" s="59"/>
      <c r="P180" s="18"/>
      <c r="Q180" s="18">
        <v>500</v>
      </c>
      <c r="R180" s="18">
        <v>1500</v>
      </c>
      <c r="S180" s="18">
        <v>10000</v>
      </c>
      <c r="T180" s="18">
        <v>8000</v>
      </c>
      <c r="U180" s="39">
        <v>0</v>
      </c>
      <c r="V180" s="39">
        <v>0</v>
      </c>
      <c r="W180" s="22">
        <f t="shared" si="25"/>
        <v>19500</v>
      </c>
      <c r="X180" s="28" t="s">
        <v>239</v>
      </c>
    </row>
    <row r="181" spans="1:24" ht="12.75">
      <c r="A181" s="36">
        <v>3289</v>
      </c>
      <c r="B181" s="91" t="s">
        <v>225</v>
      </c>
      <c r="C181" s="18">
        <v>100000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f t="shared" si="27"/>
        <v>0</v>
      </c>
      <c r="L181" s="20">
        <v>500</v>
      </c>
      <c r="M181" s="20">
        <v>0</v>
      </c>
      <c r="N181" s="86">
        <f t="shared" si="26"/>
        <v>0</v>
      </c>
      <c r="O181" s="59"/>
      <c r="P181" s="18"/>
      <c r="Q181" s="18">
        <v>500</v>
      </c>
      <c r="R181" s="18">
        <v>1500</v>
      </c>
      <c r="S181" s="18">
        <v>30000</v>
      </c>
      <c r="T181" s="18">
        <v>68000</v>
      </c>
      <c r="U181" s="39">
        <v>0</v>
      </c>
      <c r="V181" s="39">
        <v>0</v>
      </c>
      <c r="W181" s="22">
        <f t="shared" si="25"/>
        <v>99500</v>
      </c>
      <c r="X181" s="28" t="s">
        <v>239</v>
      </c>
    </row>
    <row r="182" spans="1:24" s="35" customFormat="1" ht="12.75">
      <c r="A182" s="31"/>
      <c r="B182" s="32" t="s">
        <v>161</v>
      </c>
      <c r="C182" s="33">
        <f aca="true" t="shared" si="28" ref="C182:M182">SUM(C183:C201)</f>
        <v>1698808.5205099997</v>
      </c>
      <c r="D182" s="33">
        <f t="shared" si="28"/>
        <v>0</v>
      </c>
      <c r="E182" s="33">
        <f t="shared" si="28"/>
        <v>13751.941</v>
      </c>
      <c r="F182" s="33">
        <f t="shared" si="28"/>
        <v>1292.2399999999998</v>
      </c>
      <c r="G182" s="33">
        <f t="shared" si="28"/>
        <v>53224.48000000001</v>
      </c>
      <c r="H182" s="33">
        <f t="shared" si="28"/>
        <v>188519.51551</v>
      </c>
      <c r="I182" s="33">
        <f t="shared" si="28"/>
        <v>251886.91126</v>
      </c>
      <c r="J182" s="33">
        <f t="shared" si="28"/>
        <v>317640.97004999995</v>
      </c>
      <c r="K182" s="33">
        <f t="shared" si="28"/>
        <v>826316.0578199999</v>
      </c>
      <c r="L182" s="33">
        <f t="shared" si="28"/>
        <v>681697.8900000002</v>
      </c>
      <c r="M182" s="33">
        <f t="shared" si="28"/>
        <v>499823.39940999984</v>
      </c>
      <c r="N182" s="87">
        <f t="shared" si="24"/>
        <v>73.32036767929554</v>
      </c>
      <c r="O182" s="33">
        <v>-43006.26</v>
      </c>
      <c r="P182" s="33">
        <v>319857.7299999999</v>
      </c>
      <c r="Q182" s="33">
        <f aca="true" t="shared" si="29" ref="Q182:W182">SUM(Q183:Q201)</f>
        <v>681523.4500000001</v>
      </c>
      <c r="R182" s="33">
        <f t="shared" si="29"/>
        <v>10800</v>
      </c>
      <c r="S182" s="33">
        <f t="shared" si="29"/>
        <v>166169</v>
      </c>
      <c r="T182" s="33">
        <f t="shared" si="29"/>
        <v>14000</v>
      </c>
      <c r="U182" s="33">
        <f t="shared" si="29"/>
        <v>0</v>
      </c>
      <c r="V182" s="33">
        <f t="shared" si="29"/>
        <v>0</v>
      </c>
      <c r="W182" s="33">
        <f t="shared" si="29"/>
        <v>190969</v>
      </c>
      <c r="X182" s="34" t="s">
        <v>13</v>
      </c>
    </row>
    <row r="183" spans="1:24" ht="27.75" customHeight="1">
      <c r="A183" s="50">
        <v>2523</v>
      </c>
      <c r="B183" s="17" t="s">
        <v>162</v>
      </c>
      <c r="C183" s="18">
        <v>167984.48099999997</v>
      </c>
      <c r="D183" s="18">
        <v>0</v>
      </c>
      <c r="E183" s="18">
        <v>28.181</v>
      </c>
      <c r="F183" s="18">
        <v>382.25</v>
      </c>
      <c r="G183" s="18">
        <v>51847.62</v>
      </c>
      <c r="H183" s="18">
        <v>62003.73</v>
      </c>
      <c r="I183" s="18">
        <v>34664.64</v>
      </c>
      <c r="J183" s="19">
        <v>18858.0557</v>
      </c>
      <c r="K183" s="18">
        <f t="shared" si="23"/>
        <v>167784.4767</v>
      </c>
      <c r="L183" s="20">
        <v>200</v>
      </c>
      <c r="M183" s="20">
        <v>189.6675</v>
      </c>
      <c r="N183" s="86">
        <f t="shared" si="24"/>
        <v>94.83375</v>
      </c>
      <c r="O183" s="40">
        <v>-7600.26</v>
      </c>
      <c r="P183" s="18">
        <v>-7400.26</v>
      </c>
      <c r="Q183" s="18">
        <v>200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22">
        <f t="shared" si="25"/>
        <v>0</v>
      </c>
      <c r="X183" s="28">
        <v>92.5</v>
      </c>
    </row>
    <row r="184" spans="1:24" ht="25.5" customHeight="1">
      <c r="A184" s="50">
        <v>2527</v>
      </c>
      <c r="B184" s="17" t="s">
        <v>163</v>
      </c>
      <c r="C184" s="18">
        <v>467045.28</v>
      </c>
      <c r="D184" s="18">
        <v>0</v>
      </c>
      <c r="E184" s="18">
        <v>0</v>
      </c>
      <c r="F184" s="18">
        <v>909.64</v>
      </c>
      <c r="G184" s="18">
        <v>348.16</v>
      </c>
      <c r="H184" s="18">
        <v>8762.1885</v>
      </c>
      <c r="I184" s="18">
        <v>37753.223379999996</v>
      </c>
      <c r="J184" s="19">
        <v>107656.52423999998</v>
      </c>
      <c r="K184" s="18">
        <f t="shared" si="23"/>
        <v>155429.73612</v>
      </c>
      <c r="L184" s="20">
        <v>311782.66000000003</v>
      </c>
      <c r="M184" s="20">
        <v>246081.24046999996</v>
      </c>
      <c r="N184" s="86">
        <f t="shared" si="24"/>
        <v>78.9271733296521</v>
      </c>
      <c r="O184" s="40">
        <v>-35406</v>
      </c>
      <c r="P184" s="18">
        <v>286208.73</v>
      </c>
      <c r="Q184" s="18">
        <f>311782.66-167.12</f>
        <v>311615.54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22">
        <f t="shared" si="25"/>
        <v>0</v>
      </c>
      <c r="X184" s="84">
        <v>85</v>
      </c>
    </row>
    <row r="185" spans="1:24" ht="33.75">
      <c r="A185" s="50">
        <v>2528</v>
      </c>
      <c r="B185" s="17" t="s">
        <v>164</v>
      </c>
      <c r="C185" s="18">
        <v>46319.88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319.88</v>
      </c>
      <c r="J185" s="19">
        <v>193.6</v>
      </c>
      <c r="K185" s="18">
        <f t="shared" si="23"/>
        <v>513.48</v>
      </c>
      <c r="L185" s="20">
        <v>45806.4</v>
      </c>
      <c r="M185" s="20">
        <v>21572.79962</v>
      </c>
      <c r="N185" s="86">
        <f t="shared" si="24"/>
        <v>47.095601531663704</v>
      </c>
      <c r="O185" s="40"/>
      <c r="P185" s="18"/>
      <c r="Q185" s="18">
        <v>45806.4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22">
        <f t="shared" si="25"/>
        <v>0</v>
      </c>
      <c r="X185" s="28">
        <v>85</v>
      </c>
    </row>
    <row r="186" spans="1:24" ht="22.5">
      <c r="A186" s="50">
        <v>2529</v>
      </c>
      <c r="B186" s="17" t="s">
        <v>165</v>
      </c>
      <c r="C186" s="18">
        <v>46032.75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9">
        <v>275.307</v>
      </c>
      <c r="K186" s="18">
        <f t="shared" si="23"/>
        <v>275.307</v>
      </c>
      <c r="L186" s="20">
        <v>45757.439999999995</v>
      </c>
      <c r="M186" s="20">
        <v>45340.835</v>
      </c>
      <c r="N186" s="86">
        <f t="shared" si="24"/>
        <v>99.0895360404778</v>
      </c>
      <c r="O186" s="40"/>
      <c r="P186" s="18"/>
      <c r="Q186" s="18">
        <v>45757.439999999995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22">
        <f t="shared" si="25"/>
        <v>0</v>
      </c>
      <c r="X186" s="28">
        <v>85</v>
      </c>
    </row>
    <row r="187" spans="1:24" ht="12.75">
      <c r="A187" s="50">
        <v>2530</v>
      </c>
      <c r="B187" s="17" t="s">
        <v>166</v>
      </c>
      <c r="C187" s="18">
        <f>292236.99-2572.11-237.25</f>
        <v>289427.63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69166.08</v>
      </c>
      <c r="J187" s="19">
        <v>97344.429</v>
      </c>
      <c r="K187" s="18">
        <f t="shared" si="23"/>
        <v>166510.50900000002</v>
      </c>
      <c r="L187" s="20">
        <v>122917.12</v>
      </c>
      <c r="M187" s="20">
        <v>101383.19301999998</v>
      </c>
      <c r="N187" s="86">
        <f t="shared" si="24"/>
        <v>82.48093757810139</v>
      </c>
      <c r="O187" s="40"/>
      <c r="P187" s="18"/>
      <c r="Q187" s="18">
        <v>122917.12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22">
        <f t="shared" si="25"/>
        <v>0</v>
      </c>
      <c r="X187" s="28">
        <v>85</v>
      </c>
    </row>
    <row r="188" spans="1:29" ht="12.75">
      <c r="A188" s="50">
        <v>2531</v>
      </c>
      <c r="B188" s="17" t="s">
        <v>167</v>
      </c>
      <c r="C188" s="18">
        <v>91404.75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9">
        <v>223.85000000000002</v>
      </c>
      <c r="K188" s="18">
        <f t="shared" si="23"/>
        <v>223.85000000000002</v>
      </c>
      <c r="L188" s="20">
        <v>91180.90000000001</v>
      </c>
      <c r="M188" s="20">
        <v>66895.73329999999</v>
      </c>
      <c r="N188" s="86">
        <f t="shared" si="24"/>
        <v>73.36594977676243</v>
      </c>
      <c r="O188" s="40"/>
      <c r="P188" s="18"/>
      <c r="Q188" s="18">
        <v>91180.90000000001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22">
        <f t="shared" si="25"/>
        <v>0</v>
      </c>
      <c r="X188" s="28">
        <v>85</v>
      </c>
      <c r="Y188" s="35"/>
      <c r="Z188" s="35"/>
      <c r="AB188" s="35"/>
      <c r="AC188" s="35"/>
    </row>
    <row r="189" spans="1:29" ht="33.75">
      <c r="A189" s="50">
        <v>2535</v>
      </c>
      <c r="B189" s="17" t="s">
        <v>168</v>
      </c>
      <c r="C189" s="18">
        <v>29000.4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9">
        <v>165.50800000000004</v>
      </c>
      <c r="K189" s="18">
        <f t="shared" si="23"/>
        <v>165.50800000000004</v>
      </c>
      <c r="L189" s="20">
        <v>28834.89</v>
      </c>
      <c r="M189" s="20">
        <v>15619.128300000002</v>
      </c>
      <c r="N189" s="86">
        <f t="shared" si="24"/>
        <v>54.167462750854966</v>
      </c>
      <c r="O189" s="40"/>
      <c r="P189" s="18"/>
      <c r="Q189" s="18">
        <v>28834.89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22">
        <f t="shared" si="25"/>
        <v>0</v>
      </c>
      <c r="X189" s="28">
        <v>85</v>
      </c>
      <c r="Y189" s="35"/>
      <c r="Z189" s="35"/>
      <c r="AB189" s="35"/>
      <c r="AC189" s="35"/>
    </row>
    <row r="190" spans="1:24" ht="22.5">
      <c r="A190" s="50">
        <v>2538</v>
      </c>
      <c r="B190" s="17" t="s">
        <v>169</v>
      </c>
      <c r="C190" s="18">
        <v>400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9">
        <v>0</v>
      </c>
      <c r="K190" s="18">
        <f t="shared" si="23"/>
        <v>0</v>
      </c>
      <c r="L190" s="20">
        <v>400</v>
      </c>
      <c r="M190" s="20">
        <v>0</v>
      </c>
      <c r="N190" s="86">
        <f t="shared" si="24"/>
        <v>0</v>
      </c>
      <c r="O190" s="40"/>
      <c r="P190" s="18"/>
      <c r="Q190" s="18">
        <v>400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22">
        <f t="shared" si="25"/>
        <v>0</v>
      </c>
      <c r="X190" s="28">
        <v>85</v>
      </c>
    </row>
    <row r="191" spans="1:24" ht="22.5">
      <c r="A191" s="50">
        <v>2792</v>
      </c>
      <c r="B191" s="17" t="s">
        <v>170</v>
      </c>
      <c r="C191" s="18">
        <v>19685.11</v>
      </c>
      <c r="D191" s="18">
        <v>0</v>
      </c>
      <c r="E191" s="18">
        <v>0</v>
      </c>
      <c r="F191" s="18">
        <v>0</v>
      </c>
      <c r="G191" s="18">
        <v>82.32</v>
      </c>
      <c r="H191" s="18">
        <v>35.28</v>
      </c>
      <c r="I191" s="18">
        <v>907.51</v>
      </c>
      <c r="J191" s="19">
        <v>0</v>
      </c>
      <c r="K191" s="18">
        <f t="shared" si="23"/>
        <v>1025.11</v>
      </c>
      <c r="L191" s="20">
        <v>18660</v>
      </c>
      <c r="M191" s="20">
        <v>1938.9039999999998</v>
      </c>
      <c r="N191" s="86">
        <f t="shared" si="24"/>
        <v>10.39069667738478</v>
      </c>
      <c r="O191" s="40">
        <v>0</v>
      </c>
      <c r="P191" s="18">
        <v>34695</v>
      </c>
      <c r="Q191" s="18">
        <v>18660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22">
        <f t="shared" si="25"/>
        <v>0</v>
      </c>
      <c r="X191" s="28">
        <v>85</v>
      </c>
    </row>
    <row r="192" spans="1:24" ht="26.25" customHeight="1">
      <c r="A192" s="94">
        <v>2793</v>
      </c>
      <c r="B192" s="17" t="s">
        <v>198</v>
      </c>
      <c r="C192" s="18">
        <v>21140.3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459.24</v>
      </c>
      <c r="J192" s="18">
        <v>20104.84</v>
      </c>
      <c r="K192" s="18">
        <f t="shared" si="23"/>
        <v>20564.08</v>
      </c>
      <c r="L192" s="20">
        <v>582.9200000000001</v>
      </c>
      <c r="M192" s="20">
        <v>576.2199</v>
      </c>
      <c r="N192" s="86">
        <f t="shared" si="24"/>
        <v>98.85059699444177</v>
      </c>
      <c r="O192" s="40"/>
      <c r="P192" s="18"/>
      <c r="Q192" s="18">
        <v>576.22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22">
        <f t="shared" si="25"/>
        <v>0</v>
      </c>
      <c r="X192" s="28" t="s">
        <v>242</v>
      </c>
    </row>
    <row r="193" spans="1:24" ht="22.5">
      <c r="A193" s="50">
        <v>2916</v>
      </c>
      <c r="B193" s="17" t="s">
        <v>171</v>
      </c>
      <c r="C193" s="18">
        <f>K193+Q193</f>
        <v>149646.46951</v>
      </c>
      <c r="D193" s="18">
        <v>0</v>
      </c>
      <c r="E193" s="18">
        <v>13723.76</v>
      </c>
      <c r="F193" s="18">
        <v>0.35</v>
      </c>
      <c r="G193" s="18">
        <v>696.48</v>
      </c>
      <c r="H193" s="18">
        <v>61950.53317</v>
      </c>
      <c r="I193" s="18">
        <v>40982.644969999994</v>
      </c>
      <c r="J193" s="19">
        <v>26092.701370000006</v>
      </c>
      <c r="K193" s="18">
        <f t="shared" si="23"/>
        <v>143446.46951</v>
      </c>
      <c r="L193" s="20">
        <v>6200</v>
      </c>
      <c r="M193" s="20">
        <v>0</v>
      </c>
      <c r="N193" s="86">
        <f t="shared" si="24"/>
        <v>0</v>
      </c>
      <c r="O193" s="40">
        <v>0</v>
      </c>
      <c r="P193" s="18">
        <v>6200</v>
      </c>
      <c r="Q193" s="18">
        <v>6200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22">
        <f t="shared" si="25"/>
        <v>0</v>
      </c>
      <c r="X193" s="28" t="s">
        <v>242</v>
      </c>
    </row>
    <row r="194" spans="1:24" ht="22.5">
      <c r="A194" s="50">
        <v>2918</v>
      </c>
      <c r="B194" s="56" t="s">
        <v>172</v>
      </c>
      <c r="C194" s="18">
        <v>59060.68</v>
      </c>
      <c r="D194" s="18">
        <v>0</v>
      </c>
      <c r="E194" s="18">
        <v>0</v>
      </c>
      <c r="F194" s="18">
        <v>0</v>
      </c>
      <c r="G194" s="18">
        <v>0</v>
      </c>
      <c r="H194" s="18">
        <v>10338.63003</v>
      </c>
      <c r="I194" s="18">
        <v>28171.02</v>
      </c>
      <c r="J194" s="19">
        <v>20501.02799</v>
      </c>
      <c r="K194" s="18">
        <f t="shared" si="23"/>
        <v>59010.67802000001</v>
      </c>
      <c r="L194" s="20">
        <v>50</v>
      </c>
      <c r="M194" s="20">
        <v>12.1</v>
      </c>
      <c r="N194" s="86">
        <f t="shared" si="24"/>
        <v>24.2</v>
      </c>
      <c r="O194" s="40">
        <v>0</v>
      </c>
      <c r="P194" s="18">
        <v>50</v>
      </c>
      <c r="Q194" s="18">
        <v>50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22">
        <f t="shared" si="25"/>
        <v>0</v>
      </c>
      <c r="X194" s="28">
        <v>37.5</v>
      </c>
    </row>
    <row r="195" spans="1:24" ht="22.5">
      <c r="A195" s="50">
        <v>2919</v>
      </c>
      <c r="B195" s="56" t="s">
        <v>173</v>
      </c>
      <c r="C195" s="18">
        <v>61884.72</v>
      </c>
      <c r="D195" s="18">
        <v>0</v>
      </c>
      <c r="E195" s="18">
        <v>0</v>
      </c>
      <c r="F195" s="18">
        <v>0</v>
      </c>
      <c r="G195" s="18">
        <v>249.9</v>
      </c>
      <c r="H195" s="18">
        <v>45429.153809999996</v>
      </c>
      <c r="I195" s="18">
        <v>13037.70325</v>
      </c>
      <c r="J195" s="19">
        <v>3127.36474</v>
      </c>
      <c r="K195" s="18">
        <f t="shared" si="23"/>
        <v>61844.12179999999</v>
      </c>
      <c r="L195" s="20">
        <v>40.6</v>
      </c>
      <c r="M195" s="20">
        <v>12.1</v>
      </c>
      <c r="N195" s="86">
        <f t="shared" si="24"/>
        <v>29.802955665024626</v>
      </c>
      <c r="O195" s="40">
        <v>0</v>
      </c>
      <c r="P195" s="18">
        <v>40.6</v>
      </c>
      <c r="Q195" s="18">
        <v>40.6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22">
        <f t="shared" si="25"/>
        <v>0</v>
      </c>
      <c r="X195" s="28">
        <v>57.52</v>
      </c>
    </row>
    <row r="196" spans="1:29" ht="22.5">
      <c r="A196" s="46">
        <v>2927</v>
      </c>
      <c r="B196" s="17" t="s">
        <v>174</v>
      </c>
      <c r="C196" s="18">
        <v>49586.39000000001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26424.96966</v>
      </c>
      <c r="J196" s="19">
        <v>23097.762010000006</v>
      </c>
      <c r="K196" s="18">
        <f t="shared" si="23"/>
        <v>49522.73167000001</v>
      </c>
      <c r="L196" s="20">
        <v>63.66</v>
      </c>
      <c r="M196" s="20">
        <v>12.1</v>
      </c>
      <c r="N196" s="86">
        <f t="shared" si="24"/>
        <v>19.00722588752749</v>
      </c>
      <c r="O196" s="59">
        <v>0</v>
      </c>
      <c r="P196" s="18">
        <v>63.66</v>
      </c>
      <c r="Q196" s="18">
        <v>63.66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22">
        <f t="shared" si="25"/>
        <v>0</v>
      </c>
      <c r="X196" s="60">
        <v>60</v>
      </c>
      <c r="Y196" s="2"/>
      <c r="Z196" s="2"/>
      <c r="AB196" s="2"/>
      <c r="AC196" s="2"/>
    </row>
    <row r="197" spans="1:29" ht="22.5">
      <c r="A197" s="46">
        <v>3248</v>
      </c>
      <c r="B197" s="17" t="s">
        <v>226</v>
      </c>
      <c r="C197" s="18">
        <v>30000.3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f t="shared" si="23"/>
        <v>0</v>
      </c>
      <c r="L197" s="20">
        <v>1931.3</v>
      </c>
      <c r="M197" s="20">
        <v>0</v>
      </c>
      <c r="N197" s="86">
        <f t="shared" si="24"/>
        <v>0</v>
      </c>
      <c r="O197" s="59"/>
      <c r="P197" s="18"/>
      <c r="Q197" s="18">
        <v>1931.3</v>
      </c>
      <c r="R197" s="18">
        <v>200</v>
      </c>
      <c r="S197" s="18">
        <v>27869</v>
      </c>
      <c r="T197" s="18">
        <v>0</v>
      </c>
      <c r="U197" s="18">
        <v>0</v>
      </c>
      <c r="V197" s="18">
        <v>0</v>
      </c>
      <c r="W197" s="22">
        <f t="shared" si="25"/>
        <v>28069</v>
      </c>
      <c r="X197" s="28" t="s">
        <v>240</v>
      </c>
      <c r="Y197" s="2"/>
      <c r="Z197" s="2"/>
      <c r="AB197" s="2"/>
      <c r="AC197" s="2"/>
    </row>
    <row r="198" spans="1:29" ht="22.5">
      <c r="A198" s="46">
        <v>3249</v>
      </c>
      <c r="B198" s="56" t="s">
        <v>227</v>
      </c>
      <c r="C198" s="18">
        <v>131000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f>SUM(D198:J198)</f>
        <v>0</v>
      </c>
      <c r="L198" s="20">
        <v>5600.620000000001</v>
      </c>
      <c r="M198" s="20">
        <v>0</v>
      </c>
      <c r="N198" s="86">
        <f t="shared" si="24"/>
        <v>0</v>
      </c>
      <c r="O198" s="59"/>
      <c r="P198" s="18"/>
      <c r="Q198" s="18">
        <v>5600</v>
      </c>
      <c r="R198" s="18">
        <v>600</v>
      </c>
      <c r="S198" s="18">
        <v>124800</v>
      </c>
      <c r="T198" s="18">
        <v>0</v>
      </c>
      <c r="U198" s="18">
        <v>0</v>
      </c>
      <c r="V198" s="18">
        <v>0</v>
      </c>
      <c r="W198" s="22">
        <f t="shared" si="25"/>
        <v>125400</v>
      </c>
      <c r="X198" s="28" t="s">
        <v>240</v>
      </c>
      <c r="Y198" s="2"/>
      <c r="Z198" s="2"/>
      <c r="AB198" s="2"/>
      <c r="AC198" s="2"/>
    </row>
    <row r="199" spans="1:29" ht="44.25" customHeight="1">
      <c r="A199" s="46">
        <v>3260</v>
      </c>
      <c r="B199" s="56" t="s">
        <v>229</v>
      </c>
      <c r="C199" s="18">
        <v>9189.38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f>SUM(D199:J199)</f>
        <v>0</v>
      </c>
      <c r="L199" s="20">
        <v>189.38</v>
      </c>
      <c r="M199" s="20">
        <v>189.37830000000002</v>
      </c>
      <c r="N199" s="86">
        <f t="shared" si="24"/>
        <v>99.99910233393179</v>
      </c>
      <c r="O199" s="59"/>
      <c r="P199" s="18"/>
      <c r="Q199" s="18">
        <v>189.38</v>
      </c>
      <c r="R199" s="18">
        <v>9000</v>
      </c>
      <c r="S199" s="18">
        <v>0</v>
      </c>
      <c r="T199" s="18">
        <v>0</v>
      </c>
      <c r="U199" s="18">
        <v>0</v>
      </c>
      <c r="V199" s="18">
        <v>0</v>
      </c>
      <c r="W199" s="22">
        <f t="shared" si="25"/>
        <v>9000</v>
      </c>
      <c r="X199" s="28" t="s">
        <v>242</v>
      </c>
      <c r="Y199" s="2"/>
      <c r="Z199" s="2"/>
      <c r="AB199" s="2"/>
      <c r="AC199" s="2"/>
    </row>
    <row r="200" spans="1:29" ht="12.75">
      <c r="A200" s="46">
        <v>3292</v>
      </c>
      <c r="B200" s="17" t="s">
        <v>228</v>
      </c>
      <c r="C200" s="18">
        <v>30000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f>SUM(D200:J200)</f>
        <v>0</v>
      </c>
      <c r="L200" s="20">
        <v>1500</v>
      </c>
      <c r="M200" s="20">
        <v>0</v>
      </c>
      <c r="N200" s="86">
        <f t="shared" si="24"/>
        <v>0</v>
      </c>
      <c r="O200" s="59"/>
      <c r="P200" s="18"/>
      <c r="Q200" s="18">
        <v>1500</v>
      </c>
      <c r="R200" s="18">
        <v>1000</v>
      </c>
      <c r="S200" s="18">
        <v>13500</v>
      </c>
      <c r="T200" s="18">
        <v>14000</v>
      </c>
      <c r="U200" s="39">
        <v>0</v>
      </c>
      <c r="V200" s="39">
        <v>0</v>
      </c>
      <c r="W200" s="22">
        <f t="shared" si="25"/>
        <v>28500</v>
      </c>
      <c r="X200" s="28" t="s">
        <v>239</v>
      </c>
      <c r="Y200" s="2"/>
      <c r="Z200" s="2"/>
      <c r="AB200" s="2"/>
      <c r="AC200" s="2"/>
    </row>
    <row r="201" spans="1:24" ht="12.75" hidden="1">
      <c r="A201" s="36"/>
      <c r="B201" s="17" t="s">
        <v>160</v>
      </c>
      <c r="C201" s="18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/>
      <c r="K201" s="18">
        <v>0</v>
      </c>
      <c r="L201" s="20">
        <v>0</v>
      </c>
      <c r="M201" s="20">
        <v>0</v>
      </c>
      <c r="N201" s="86" t="e">
        <f t="shared" si="24"/>
        <v>#DIV/0!</v>
      </c>
      <c r="O201" s="59">
        <v>0</v>
      </c>
      <c r="P201" s="18">
        <v>0</v>
      </c>
      <c r="Q201" s="80">
        <v>0</v>
      </c>
      <c r="R201" s="18">
        <v>0</v>
      </c>
      <c r="S201" s="18">
        <v>0</v>
      </c>
      <c r="T201" s="18">
        <v>0</v>
      </c>
      <c r="U201" s="39"/>
      <c r="V201" s="39"/>
      <c r="W201" s="22">
        <v>0</v>
      </c>
      <c r="X201" s="60" t="s">
        <v>13</v>
      </c>
    </row>
    <row r="202" spans="1:29" s="35" customFormat="1" ht="12.75">
      <c r="A202" s="31"/>
      <c r="B202" s="32" t="s">
        <v>175</v>
      </c>
      <c r="C202" s="33">
        <f aca="true" t="shared" si="30" ref="C202:M202">SUM(C203:C205)</f>
        <v>56921.479999999996</v>
      </c>
      <c r="D202" s="33">
        <f t="shared" si="30"/>
        <v>0</v>
      </c>
      <c r="E202" s="33">
        <f t="shared" si="30"/>
        <v>0</v>
      </c>
      <c r="F202" s="33">
        <f t="shared" si="30"/>
        <v>0</v>
      </c>
      <c r="G202" s="33">
        <f t="shared" si="30"/>
        <v>0</v>
      </c>
      <c r="H202" s="33">
        <f t="shared" si="30"/>
        <v>201.6</v>
      </c>
      <c r="I202" s="33">
        <f t="shared" si="30"/>
        <v>1443.356</v>
      </c>
      <c r="J202" s="33">
        <f t="shared" si="30"/>
        <v>1766.3881999999999</v>
      </c>
      <c r="K202" s="33">
        <f t="shared" si="30"/>
        <v>3411.3442</v>
      </c>
      <c r="L202" s="33">
        <f t="shared" si="30"/>
        <v>53520.13</v>
      </c>
      <c r="M202" s="33">
        <f t="shared" si="30"/>
        <v>33318.786340000006</v>
      </c>
      <c r="N202" s="87">
        <f t="shared" si="24"/>
        <v>62.25468125731385</v>
      </c>
      <c r="O202" s="33">
        <v>680</v>
      </c>
      <c r="P202" s="33">
        <v>9994.35</v>
      </c>
      <c r="Q202" s="33">
        <f aca="true" t="shared" si="31" ref="Q202:W202">SUM(Q203:Q205)</f>
        <v>53510.13</v>
      </c>
      <c r="R202" s="33">
        <f t="shared" si="31"/>
        <v>0</v>
      </c>
      <c r="S202" s="33">
        <f t="shared" si="31"/>
        <v>0</v>
      </c>
      <c r="T202" s="33">
        <f t="shared" si="31"/>
        <v>0</v>
      </c>
      <c r="U202" s="33">
        <f t="shared" si="31"/>
        <v>0</v>
      </c>
      <c r="V202" s="33">
        <f t="shared" si="31"/>
        <v>0</v>
      </c>
      <c r="W202" s="33">
        <f t="shared" si="31"/>
        <v>0</v>
      </c>
      <c r="X202" s="61" t="s">
        <v>13</v>
      </c>
      <c r="Y202" s="1"/>
      <c r="Z202" s="1"/>
      <c r="AA202" s="1"/>
      <c r="AB202" s="1"/>
      <c r="AC202" s="1"/>
    </row>
    <row r="203" spans="1:24" ht="12.75">
      <c r="A203" s="46">
        <v>2552</v>
      </c>
      <c r="B203" s="17" t="s">
        <v>176</v>
      </c>
      <c r="C203" s="18">
        <f>50687.59-340.39</f>
        <v>50347.2</v>
      </c>
      <c r="D203" s="18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975.348</v>
      </c>
      <c r="J203" s="19">
        <v>1616.5102</v>
      </c>
      <c r="K203" s="18">
        <f aca="true" t="shared" si="32" ref="K203:K214">SUM(D203:J203)</f>
        <v>2591.8581999999997</v>
      </c>
      <c r="L203" s="20">
        <v>47755.34</v>
      </c>
      <c r="M203" s="20">
        <v>29603.662640000006</v>
      </c>
      <c r="N203" s="86">
        <f t="shared" si="24"/>
        <v>61.99026672200429</v>
      </c>
      <c r="O203" s="18"/>
      <c r="P203" s="18"/>
      <c r="Q203" s="18">
        <v>47755.34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22">
        <f aca="true" t="shared" si="33" ref="W203:W224">SUM(R203:V203)</f>
        <v>0</v>
      </c>
      <c r="X203" s="83">
        <v>85</v>
      </c>
    </row>
    <row r="204" spans="1:24" ht="22.5">
      <c r="A204" s="46">
        <v>2558</v>
      </c>
      <c r="B204" s="17" t="s">
        <v>177</v>
      </c>
      <c r="C204" s="18">
        <v>555.64</v>
      </c>
      <c r="D204" s="18">
        <v>0</v>
      </c>
      <c r="E204" s="40">
        <v>0</v>
      </c>
      <c r="F204" s="40">
        <v>0</v>
      </c>
      <c r="G204" s="40">
        <v>0</v>
      </c>
      <c r="H204" s="40">
        <v>201.6</v>
      </c>
      <c r="I204" s="40">
        <v>300.24</v>
      </c>
      <c r="J204" s="19">
        <v>0</v>
      </c>
      <c r="K204" s="18">
        <f t="shared" si="32"/>
        <v>501.84000000000003</v>
      </c>
      <c r="L204" s="20">
        <v>53.8</v>
      </c>
      <c r="M204" s="20">
        <v>0</v>
      </c>
      <c r="N204" s="86">
        <f t="shared" si="24"/>
        <v>0</v>
      </c>
      <c r="O204" s="18"/>
      <c r="P204" s="18"/>
      <c r="Q204" s="18">
        <v>53.8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22">
        <f t="shared" si="33"/>
        <v>0</v>
      </c>
      <c r="X204" s="83">
        <v>85</v>
      </c>
    </row>
    <row r="205" spans="1:24" ht="22.5">
      <c r="A205" s="46">
        <v>2560</v>
      </c>
      <c r="B205" s="17" t="s">
        <v>178</v>
      </c>
      <c r="C205" s="18">
        <v>6018.639999999999</v>
      </c>
      <c r="D205" s="18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167.76800000000003</v>
      </c>
      <c r="J205" s="19">
        <v>149.878</v>
      </c>
      <c r="K205" s="18">
        <f t="shared" si="32"/>
        <v>317.646</v>
      </c>
      <c r="L205" s="20">
        <v>5710.99</v>
      </c>
      <c r="M205" s="20">
        <v>3715.1237</v>
      </c>
      <c r="N205" s="86">
        <f t="shared" si="24"/>
        <v>65.0521835968895</v>
      </c>
      <c r="O205" s="18">
        <v>680</v>
      </c>
      <c r="P205" s="18">
        <v>9994.35</v>
      </c>
      <c r="Q205" s="18">
        <v>5700.99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22">
        <f t="shared" si="33"/>
        <v>0</v>
      </c>
      <c r="X205" s="83">
        <v>85</v>
      </c>
    </row>
    <row r="206" spans="1:29" s="35" customFormat="1" ht="33.75">
      <c r="A206" s="62"/>
      <c r="B206" s="32" t="s">
        <v>179</v>
      </c>
      <c r="C206" s="33">
        <f>SUM(C207:C216)</f>
        <v>231484.77</v>
      </c>
      <c r="D206" s="33">
        <f aca="true" t="shared" si="34" ref="D206:M206">SUM(D207:D216)</f>
        <v>0</v>
      </c>
      <c r="E206" s="33">
        <f t="shared" si="34"/>
        <v>0</v>
      </c>
      <c r="F206" s="33">
        <f t="shared" si="34"/>
        <v>1123.25</v>
      </c>
      <c r="G206" s="33">
        <f t="shared" si="34"/>
        <v>3742.431</v>
      </c>
      <c r="H206" s="33">
        <f t="shared" si="34"/>
        <v>2838.14</v>
      </c>
      <c r="I206" s="33">
        <f t="shared" si="34"/>
        <v>50338.770820000005</v>
      </c>
      <c r="J206" s="33">
        <f t="shared" si="34"/>
        <v>61330.999509999994</v>
      </c>
      <c r="K206" s="33">
        <f t="shared" si="34"/>
        <v>119373.59132999998</v>
      </c>
      <c r="L206" s="33">
        <f t="shared" si="34"/>
        <v>63318.48000000001</v>
      </c>
      <c r="M206" s="33">
        <f t="shared" si="34"/>
        <v>50083.63227999999</v>
      </c>
      <c r="N206" s="87">
        <f t="shared" si="24"/>
        <v>79.09796994495127</v>
      </c>
      <c r="O206" s="33">
        <v>-57448.759999999995</v>
      </c>
      <c r="P206" s="33">
        <v>12431.790000000006</v>
      </c>
      <c r="Q206" s="33">
        <f aca="true" t="shared" si="35" ref="Q206:W206">SUM(Q207:Q216)</f>
        <v>63318.18000000001</v>
      </c>
      <c r="R206" s="33">
        <f t="shared" si="35"/>
        <v>2200</v>
      </c>
      <c r="S206" s="33">
        <f t="shared" si="35"/>
        <v>35150</v>
      </c>
      <c r="T206" s="33">
        <f t="shared" si="35"/>
        <v>11443</v>
      </c>
      <c r="U206" s="33">
        <f t="shared" si="35"/>
        <v>0</v>
      </c>
      <c r="V206" s="33">
        <f t="shared" si="35"/>
        <v>0</v>
      </c>
      <c r="W206" s="33">
        <f t="shared" si="35"/>
        <v>48793</v>
      </c>
      <c r="X206" s="61" t="s">
        <v>13</v>
      </c>
      <c r="Y206" s="1"/>
      <c r="Z206" s="1"/>
      <c r="AA206" s="1"/>
      <c r="AB206" s="1"/>
      <c r="AC206" s="1"/>
    </row>
    <row r="207" spans="1:29" s="35" customFormat="1" ht="22.5">
      <c r="A207" s="50">
        <v>2772</v>
      </c>
      <c r="B207" s="27" t="s">
        <v>180</v>
      </c>
      <c r="C207" s="18">
        <v>12.86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9">
        <v>0</v>
      </c>
      <c r="K207" s="18">
        <f t="shared" si="32"/>
        <v>0</v>
      </c>
      <c r="L207" s="20">
        <v>12.86</v>
      </c>
      <c r="M207" s="20">
        <v>0</v>
      </c>
      <c r="N207" s="86">
        <f t="shared" si="24"/>
        <v>0</v>
      </c>
      <c r="O207" s="63"/>
      <c r="P207" s="18"/>
      <c r="Q207" s="18">
        <v>12.86</v>
      </c>
      <c r="R207" s="39">
        <v>0</v>
      </c>
      <c r="S207" s="39">
        <v>0</v>
      </c>
      <c r="T207" s="39">
        <v>0</v>
      </c>
      <c r="U207" s="39">
        <v>0</v>
      </c>
      <c r="V207" s="39">
        <v>0</v>
      </c>
      <c r="W207" s="22">
        <f t="shared" si="33"/>
        <v>0</v>
      </c>
      <c r="X207" s="28" t="s">
        <v>13</v>
      </c>
      <c r="Y207" s="1"/>
      <c r="Z207" s="1"/>
      <c r="AA207" s="1"/>
      <c r="AB207" s="1"/>
      <c r="AC207" s="1"/>
    </row>
    <row r="208" spans="1:29" ht="29.25" customHeight="1">
      <c r="A208" s="57">
        <v>2785</v>
      </c>
      <c r="B208" s="27" t="s">
        <v>181</v>
      </c>
      <c r="C208" s="18">
        <f>7603.12-1361.22</f>
        <v>6241.9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9">
        <v>709.9186000000002</v>
      </c>
      <c r="K208" s="18">
        <f t="shared" si="32"/>
        <v>709.9186000000002</v>
      </c>
      <c r="L208" s="20">
        <v>5531.980000000002</v>
      </c>
      <c r="M208" s="20">
        <v>3547.1529699999996</v>
      </c>
      <c r="N208" s="86">
        <f t="shared" si="24"/>
        <v>64.12085672760925</v>
      </c>
      <c r="O208" s="63">
        <v>-2294.57</v>
      </c>
      <c r="P208" s="18">
        <v>3237.3900000000017</v>
      </c>
      <c r="Q208" s="18">
        <v>5531.980000000002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22">
        <f t="shared" si="33"/>
        <v>0</v>
      </c>
      <c r="X208" s="28">
        <v>85</v>
      </c>
      <c r="Y208" s="35"/>
      <c r="Z208" s="35"/>
      <c r="AB208" s="35"/>
      <c r="AC208" s="35"/>
    </row>
    <row r="209" spans="1:29" ht="22.5">
      <c r="A209" s="57">
        <v>2787</v>
      </c>
      <c r="B209" s="30" t="s">
        <v>182</v>
      </c>
      <c r="C209" s="18">
        <f>9640.41-2962.94</f>
        <v>6677.469999999999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610.69082</v>
      </c>
      <c r="J209" s="19">
        <v>2522.49695</v>
      </c>
      <c r="K209" s="18">
        <f t="shared" si="32"/>
        <v>3133.1877700000005</v>
      </c>
      <c r="L209" s="20">
        <v>3544.2800000000007</v>
      </c>
      <c r="M209" s="20">
        <v>2396.1386</v>
      </c>
      <c r="N209" s="86">
        <f t="shared" si="24"/>
        <v>67.60579299603869</v>
      </c>
      <c r="O209" s="63"/>
      <c r="P209" s="18"/>
      <c r="Q209" s="18">
        <v>3544.2800000000007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22">
        <f t="shared" si="33"/>
        <v>0</v>
      </c>
      <c r="X209" s="28">
        <v>85</v>
      </c>
      <c r="Y209" s="35"/>
      <c r="Z209" s="35"/>
      <c r="AB209" s="35"/>
      <c r="AC209" s="35"/>
    </row>
    <row r="210" spans="1:29" ht="12.75">
      <c r="A210" s="50">
        <v>2789</v>
      </c>
      <c r="B210" s="30" t="s">
        <v>183</v>
      </c>
      <c r="C210" s="18">
        <v>14.85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9">
        <v>0</v>
      </c>
      <c r="K210" s="18">
        <f t="shared" si="32"/>
        <v>0</v>
      </c>
      <c r="L210" s="20">
        <v>14.85</v>
      </c>
      <c r="M210" s="20">
        <v>6.225</v>
      </c>
      <c r="N210" s="86">
        <f t="shared" si="24"/>
        <v>41.91919191919192</v>
      </c>
      <c r="O210" s="63"/>
      <c r="P210" s="18"/>
      <c r="Q210" s="18">
        <v>14.85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22">
        <f t="shared" si="33"/>
        <v>0</v>
      </c>
      <c r="X210" s="28" t="s">
        <v>13</v>
      </c>
      <c r="Y210" s="35"/>
      <c r="Z210" s="35"/>
      <c r="AB210" s="35"/>
      <c r="AC210" s="35"/>
    </row>
    <row r="211" spans="1:29" ht="22.5">
      <c r="A211" s="50">
        <v>2808</v>
      </c>
      <c r="B211" s="27" t="s">
        <v>184</v>
      </c>
      <c r="C211" s="18">
        <v>126196.38</v>
      </c>
      <c r="D211" s="18">
        <v>0</v>
      </c>
      <c r="E211" s="18">
        <v>0</v>
      </c>
      <c r="F211" s="18">
        <v>627.98</v>
      </c>
      <c r="G211" s="18">
        <v>2615.551</v>
      </c>
      <c r="H211" s="18">
        <v>2025.76</v>
      </c>
      <c r="I211" s="18">
        <v>48757.23</v>
      </c>
      <c r="J211" s="19">
        <v>57182.79375</v>
      </c>
      <c r="K211" s="18">
        <f t="shared" si="32"/>
        <v>111209.31474999999</v>
      </c>
      <c r="L211" s="20">
        <v>14987.070000000002</v>
      </c>
      <c r="M211" s="20">
        <v>14986.578199999998</v>
      </c>
      <c r="N211" s="86">
        <f t="shared" si="24"/>
        <v>99.99671850468434</v>
      </c>
      <c r="O211" s="63">
        <v>-55082.52</v>
      </c>
      <c r="P211" s="18">
        <v>-31265.329999999998</v>
      </c>
      <c r="Q211" s="18">
        <v>14987.070000000002</v>
      </c>
      <c r="R211" s="39">
        <v>0</v>
      </c>
      <c r="S211" s="39">
        <v>0</v>
      </c>
      <c r="T211" s="18">
        <v>0</v>
      </c>
      <c r="U211" s="18">
        <v>0</v>
      </c>
      <c r="V211" s="18">
        <v>0</v>
      </c>
      <c r="W211" s="22">
        <f t="shared" si="33"/>
        <v>0</v>
      </c>
      <c r="X211" s="28">
        <v>85</v>
      </c>
      <c r="Y211" s="35"/>
      <c r="Z211" s="35"/>
      <c r="AB211" s="35"/>
      <c r="AC211" s="35"/>
    </row>
    <row r="212" spans="1:24" ht="22.5">
      <c r="A212" s="50">
        <v>2809</v>
      </c>
      <c r="B212" s="30" t="s">
        <v>185</v>
      </c>
      <c r="C212" s="18">
        <v>27152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59.89</v>
      </c>
      <c r="J212" s="19">
        <v>0</v>
      </c>
      <c r="K212" s="18">
        <f t="shared" si="32"/>
        <v>59.89</v>
      </c>
      <c r="L212" s="20">
        <v>27092.110000000008</v>
      </c>
      <c r="M212" s="20">
        <v>27091.80416</v>
      </c>
      <c r="N212" s="86">
        <f t="shared" si="24"/>
        <v>99.99887111044504</v>
      </c>
      <c r="O212" s="63">
        <v>-71.67</v>
      </c>
      <c r="P212" s="18">
        <v>31868.33</v>
      </c>
      <c r="Q212" s="18">
        <v>27092.110000000008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22">
        <f t="shared" si="33"/>
        <v>0</v>
      </c>
      <c r="X212" s="28">
        <v>85</v>
      </c>
    </row>
    <row r="213" spans="1:24" ht="22.5">
      <c r="A213" s="50">
        <v>2885</v>
      </c>
      <c r="B213" s="30" t="s">
        <v>186</v>
      </c>
      <c r="C213" s="18">
        <v>4089.0099999999998</v>
      </c>
      <c r="D213" s="18">
        <v>0</v>
      </c>
      <c r="E213" s="18">
        <v>0</v>
      </c>
      <c r="F213" s="18">
        <v>495.27</v>
      </c>
      <c r="G213" s="18">
        <v>1126.88</v>
      </c>
      <c r="H213" s="18">
        <v>812.38</v>
      </c>
      <c r="I213" s="18">
        <v>826.26</v>
      </c>
      <c r="J213" s="19">
        <v>657.19021</v>
      </c>
      <c r="K213" s="18">
        <f t="shared" si="32"/>
        <v>3917.9802099999997</v>
      </c>
      <c r="L213" s="20">
        <v>171.03</v>
      </c>
      <c r="M213" s="20">
        <v>171.02776</v>
      </c>
      <c r="N213" s="86">
        <f t="shared" si="24"/>
        <v>99.99869028825353</v>
      </c>
      <c r="O213" s="63"/>
      <c r="P213" s="18"/>
      <c r="Q213" s="18">
        <v>171.03</v>
      </c>
      <c r="R213" s="39">
        <v>0</v>
      </c>
      <c r="S213" s="39">
        <v>0</v>
      </c>
      <c r="T213" s="18">
        <v>0</v>
      </c>
      <c r="U213" s="18">
        <v>0</v>
      </c>
      <c r="V213" s="18">
        <v>0</v>
      </c>
      <c r="W213" s="22">
        <f t="shared" si="33"/>
        <v>0</v>
      </c>
      <c r="X213" s="28">
        <v>90</v>
      </c>
    </row>
    <row r="214" spans="1:24" ht="22.5">
      <c r="A214" s="50">
        <v>2928</v>
      </c>
      <c r="B214" s="30" t="s">
        <v>187</v>
      </c>
      <c r="C214" s="18">
        <v>8900.3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84.7</v>
      </c>
      <c r="J214" s="19">
        <v>258.6</v>
      </c>
      <c r="K214" s="18">
        <f t="shared" si="32"/>
        <v>343.3</v>
      </c>
      <c r="L214" s="20">
        <v>8557</v>
      </c>
      <c r="M214" s="20">
        <v>1884.7055900000003</v>
      </c>
      <c r="N214" s="86">
        <f t="shared" si="24"/>
        <v>22.025307818160574</v>
      </c>
      <c r="O214" s="63">
        <v>0</v>
      </c>
      <c r="P214" s="18">
        <v>8591.4</v>
      </c>
      <c r="Q214" s="18">
        <v>8556.999999999998</v>
      </c>
      <c r="R214" s="39">
        <v>0</v>
      </c>
      <c r="S214" s="39">
        <v>0</v>
      </c>
      <c r="T214" s="18">
        <v>0</v>
      </c>
      <c r="U214" s="18">
        <v>0</v>
      </c>
      <c r="V214" s="18">
        <v>0</v>
      </c>
      <c r="W214" s="22">
        <f t="shared" si="33"/>
        <v>0</v>
      </c>
      <c r="X214" s="28">
        <v>90</v>
      </c>
    </row>
    <row r="215" spans="1:24" ht="22.5">
      <c r="A215" s="50">
        <v>3255</v>
      </c>
      <c r="B215" s="30" t="s">
        <v>194</v>
      </c>
      <c r="C215" s="18">
        <v>33200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9">
        <v>0</v>
      </c>
      <c r="K215" s="18">
        <f>SUM(D215:J215)</f>
        <v>0</v>
      </c>
      <c r="L215" s="20">
        <v>2957.3</v>
      </c>
      <c r="M215" s="20">
        <v>0</v>
      </c>
      <c r="N215" s="86">
        <f>M215/L215*100</f>
        <v>0</v>
      </c>
      <c r="O215" s="63"/>
      <c r="P215" s="18"/>
      <c r="Q215" s="18">
        <v>2957</v>
      </c>
      <c r="R215" s="39">
        <v>1200</v>
      </c>
      <c r="S215" s="39">
        <v>17600</v>
      </c>
      <c r="T215" s="18">
        <v>11443</v>
      </c>
      <c r="U215" s="18">
        <v>0</v>
      </c>
      <c r="V215" s="18">
        <v>0</v>
      </c>
      <c r="W215" s="22">
        <f t="shared" si="33"/>
        <v>30243</v>
      </c>
      <c r="X215" s="28" t="s">
        <v>201</v>
      </c>
    </row>
    <row r="216" spans="1:24" ht="24" customHeight="1">
      <c r="A216" s="50">
        <v>3263</v>
      </c>
      <c r="B216" s="91" t="s">
        <v>230</v>
      </c>
      <c r="C216" s="18">
        <v>19000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9">
        <v>0</v>
      </c>
      <c r="K216" s="18">
        <f>SUM(D216:J216)</f>
        <v>0</v>
      </c>
      <c r="L216" s="20">
        <v>450</v>
      </c>
      <c r="M216" s="20">
        <v>0</v>
      </c>
      <c r="N216" s="86">
        <f>M216/L216*100</f>
        <v>0</v>
      </c>
      <c r="O216" s="63"/>
      <c r="P216" s="18"/>
      <c r="Q216" s="18">
        <v>450</v>
      </c>
      <c r="R216" s="39">
        <v>1000</v>
      </c>
      <c r="S216" s="39">
        <v>17550</v>
      </c>
      <c r="T216" s="18">
        <v>0</v>
      </c>
      <c r="U216" s="39">
        <v>0</v>
      </c>
      <c r="V216" s="39">
        <v>0</v>
      </c>
      <c r="W216" s="22">
        <f t="shared" si="33"/>
        <v>18550</v>
      </c>
      <c r="X216" s="28" t="s">
        <v>201</v>
      </c>
    </row>
    <row r="217" spans="1:29" s="35" customFormat="1" ht="12.75">
      <c r="A217" s="62"/>
      <c r="B217" s="32" t="s">
        <v>188</v>
      </c>
      <c r="C217" s="33">
        <f>SUM(C218:C224)</f>
        <v>541114.06</v>
      </c>
      <c r="D217" s="33">
        <f aca="true" t="shared" si="36" ref="D217:M217">SUM(D218:D224)</f>
        <v>0</v>
      </c>
      <c r="E217" s="33">
        <f t="shared" si="36"/>
        <v>0</v>
      </c>
      <c r="F217" s="33">
        <f t="shared" si="36"/>
        <v>0</v>
      </c>
      <c r="G217" s="33">
        <f t="shared" si="36"/>
        <v>0</v>
      </c>
      <c r="H217" s="33">
        <f t="shared" si="36"/>
        <v>0</v>
      </c>
      <c r="I217" s="33">
        <f t="shared" si="36"/>
        <v>0</v>
      </c>
      <c r="J217" s="33">
        <f t="shared" si="36"/>
        <v>1036.7</v>
      </c>
      <c r="K217" s="33">
        <f t="shared" si="36"/>
        <v>1036.71</v>
      </c>
      <c r="L217" s="33">
        <f t="shared" si="36"/>
        <v>3527.3499999999995</v>
      </c>
      <c r="M217" s="33">
        <f t="shared" si="36"/>
        <v>1663.3478099999998</v>
      </c>
      <c r="N217" s="87">
        <f>SUM(N218:N224)</f>
        <v>184.03964479070817</v>
      </c>
      <c r="O217" s="33" t="e">
        <v>#REF!</v>
      </c>
      <c r="P217" s="33" t="e">
        <v>#REF!</v>
      </c>
      <c r="Q217" s="33">
        <f aca="true" t="shared" si="37" ref="Q217:W217">SUM(Q218:Q224)</f>
        <v>3527.3499999999995</v>
      </c>
      <c r="R217" s="33">
        <f t="shared" si="37"/>
        <v>511200</v>
      </c>
      <c r="S217" s="33">
        <f t="shared" si="37"/>
        <v>11800</v>
      </c>
      <c r="T217" s="33">
        <f t="shared" si="37"/>
        <v>13550</v>
      </c>
      <c r="U217" s="33">
        <f t="shared" si="37"/>
        <v>0</v>
      </c>
      <c r="V217" s="33">
        <f t="shared" si="37"/>
        <v>0</v>
      </c>
      <c r="W217" s="33">
        <f t="shared" si="37"/>
        <v>536550</v>
      </c>
      <c r="X217" s="61" t="s">
        <v>13</v>
      </c>
      <c r="Y217" s="78"/>
      <c r="Z217" s="79"/>
      <c r="AA217" s="79"/>
      <c r="AB217" s="1"/>
      <c r="AC217" s="78"/>
    </row>
    <row r="218" spans="1:29" s="35" customFormat="1" ht="22.5">
      <c r="A218" s="50">
        <v>2900</v>
      </c>
      <c r="B218" s="17" t="s">
        <v>189</v>
      </c>
      <c r="C218" s="18">
        <v>2202.66</v>
      </c>
      <c r="D218" s="18">
        <v>0</v>
      </c>
      <c r="E218" s="18">
        <v>0</v>
      </c>
      <c r="F218" s="38">
        <v>0</v>
      </c>
      <c r="G218" s="38">
        <v>0</v>
      </c>
      <c r="H218" s="38">
        <v>0</v>
      </c>
      <c r="I218" s="38">
        <v>0</v>
      </c>
      <c r="J218" s="19">
        <v>229.9</v>
      </c>
      <c r="K218" s="18">
        <f>SUM(D218:J218)+0.01</f>
        <v>229.91</v>
      </c>
      <c r="L218" s="20">
        <v>1972.7499999999998</v>
      </c>
      <c r="M218" s="20">
        <v>1658.7498099999998</v>
      </c>
      <c r="N218" s="86">
        <f t="shared" si="24"/>
        <v>84.08312305157774</v>
      </c>
      <c r="O218" s="63"/>
      <c r="P218" s="18"/>
      <c r="Q218" s="18">
        <v>1972.7499999999998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22">
        <f t="shared" si="33"/>
        <v>0</v>
      </c>
      <c r="X218" s="28">
        <v>90</v>
      </c>
      <c r="Y218" s="1"/>
      <c r="Z218" s="1"/>
      <c r="AB218" s="1"/>
      <c r="AC218" s="1"/>
    </row>
    <row r="219" spans="1:29" s="35" customFormat="1" ht="22.5">
      <c r="A219" s="50">
        <v>2912</v>
      </c>
      <c r="B219" s="17" t="s">
        <v>190</v>
      </c>
      <c r="C219" s="18">
        <v>811.4</v>
      </c>
      <c r="D219" s="18">
        <v>0</v>
      </c>
      <c r="E219" s="18">
        <v>0</v>
      </c>
      <c r="F219" s="38">
        <v>0</v>
      </c>
      <c r="G219" s="38">
        <v>0</v>
      </c>
      <c r="H219" s="38">
        <v>0</v>
      </c>
      <c r="I219" s="38">
        <v>0</v>
      </c>
      <c r="J219" s="19">
        <v>806.8</v>
      </c>
      <c r="K219" s="18">
        <f aca="true" t="shared" si="38" ref="K219:K224">SUM(D219:J219)</f>
        <v>806.8</v>
      </c>
      <c r="L219" s="20">
        <v>4.6</v>
      </c>
      <c r="M219" s="20">
        <v>4.598</v>
      </c>
      <c r="N219" s="86">
        <f aca="true" t="shared" si="39" ref="N219:N225">M219/L219*100</f>
        <v>99.95652173913044</v>
      </c>
      <c r="O219" s="42"/>
      <c r="P219" s="18"/>
      <c r="Q219" s="18">
        <v>4.6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22">
        <f t="shared" si="33"/>
        <v>0</v>
      </c>
      <c r="X219" s="83">
        <v>90</v>
      </c>
      <c r="Y219" s="1"/>
      <c r="Z219" s="1"/>
      <c r="AB219" s="1"/>
      <c r="AC219" s="1"/>
    </row>
    <row r="220" spans="1:29" s="35" customFormat="1" ht="21">
      <c r="A220" s="50">
        <v>3293</v>
      </c>
      <c r="B220" s="91" t="s">
        <v>231</v>
      </c>
      <c r="C220" s="18">
        <v>2000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f t="shared" si="38"/>
        <v>0</v>
      </c>
      <c r="L220" s="20">
        <v>200</v>
      </c>
      <c r="M220" s="20">
        <v>0</v>
      </c>
      <c r="N220" s="86">
        <f t="shared" si="39"/>
        <v>0</v>
      </c>
      <c r="O220" s="42"/>
      <c r="P220" s="18"/>
      <c r="Q220" s="18">
        <v>200</v>
      </c>
      <c r="R220" s="18">
        <v>500</v>
      </c>
      <c r="S220" s="18">
        <v>600</v>
      </c>
      <c r="T220" s="18">
        <v>700</v>
      </c>
      <c r="U220" s="39">
        <v>0</v>
      </c>
      <c r="V220" s="39">
        <v>0</v>
      </c>
      <c r="W220" s="22">
        <f t="shared" si="33"/>
        <v>1800</v>
      </c>
      <c r="X220" s="28" t="s">
        <v>240</v>
      </c>
      <c r="Y220" s="1"/>
      <c r="Z220" s="1"/>
      <c r="AB220" s="1"/>
      <c r="AC220" s="1"/>
    </row>
    <row r="221" spans="1:29" s="35" customFormat="1" ht="21">
      <c r="A221" s="50">
        <v>3294</v>
      </c>
      <c r="B221" s="91" t="s">
        <v>232</v>
      </c>
      <c r="C221" s="18">
        <v>8400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f t="shared" si="38"/>
        <v>0</v>
      </c>
      <c r="L221" s="20">
        <v>250</v>
      </c>
      <c r="M221" s="20">
        <v>0</v>
      </c>
      <c r="N221" s="86">
        <f t="shared" si="39"/>
        <v>0</v>
      </c>
      <c r="O221" s="42"/>
      <c r="P221" s="18"/>
      <c r="Q221" s="18">
        <v>250</v>
      </c>
      <c r="R221" s="18">
        <v>700</v>
      </c>
      <c r="S221" s="18">
        <v>3000</v>
      </c>
      <c r="T221" s="18">
        <v>4450</v>
      </c>
      <c r="U221" s="39">
        <v>0</v>
      </c>
      <c r="V221" s="39">
        <v>0</v>
      </c>
      <c r="W221" s="22">
        <f t="shared" si="33"/>
        <v>8150</v>
      </c>
      <c r="X221" s="28" t="s">
        <v>240</v>
      </c>
      <c r="Y221" s="1"/>
      <c r="Z221" s="1"/>
      <c r="AB221" s="1"/>
      <c r="AC221" s="1"/>
    </row>
    <row r="222" spans="1:29" s="35" customFormat="1" ht="21">
      <c r="A222" s="50">
        <v>3295</v>
      </c>
      <c r="B222" s="91" t="s">
        <v>233</v>
      </c>
      <c r="C222" s="18">
        <v>12400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f t="shared" si="38"/>
        <v>0</v>
      </c>
      <c r="L222" s="20">
        <v>500</v>
      </c>
      <c r="M222" s="20">
        <v>0</v>
      </c>
      <c r="N222" s="86">
        <f t="shared" si="39"/>
        <v>0</v>
      </c>
      <c r="O222" s="42"/>
      <c r="P222" s="18"/>
      <c r="Q222" s="18">
        <v>500</v>
      </c>
      <c r="R222" s="18">
        <v>500</v>
      </c>
      <c r="S222" s="18">
        <v>5600</v>
      </c>
      <c r="T222" s="18">
        <v>5800</v>
      </c>
      <c r="U222" s="39">
        <v>0</v>
      </c>
      <c r="V222" s="39">
        <v>0</v>
      </c>
      <c r="W222" s="22">
        <f t="shared" si="33"/>
        <v>11900</v>
      </c>
      <c r="X222" s="83" t="s">
        <v>243</v>
      </c>
      <c r="Y222" s="1"/>
      <c r="Z222" s="1"/>
      <c r="AB222" s="1"/>
      <c r="AC222" s="1"/>
    </row>
    <row r="223" spans="1:29" s="35" customFormat="1" ht="12.75">
      <c r="A223" s="50">
        <v>3296</v>
      </c>
      <c r="B223" s="91" t="s">
        <v>234</v>
      </c>
      <c r="C223" s="18">
        <v>5700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f t="shared" si="38"/>
        <v>0</v>
      </c>
      <c r="L223" s="20">
        <v>200</v>
      </c>
      <c r="M223" s="20">
        <v>0</v>
      </c>
      <c r="N223" s="86">
        <f t="shared" si="39"/>
        <v>0</v>
      </c>
      <c r="O223" s="42"/>
      <c r="P223" s="18"/>
      <c r="Q223" s="18">
        <v>200</v>
      </c>
      <c r="R223" s="18">
        <v>300</v>
      </c>
      <c r="S223" s="18">
        <v>2600</v>
      </c>
      <c r="T223" s="18">
        <v>2600</v>
      </c>
      <c r="U223" s="39">
        <v>0</v>
      </c>
      <c r="V223" s="39">
        <v>0</v>
      </c>
      <c r="W223" s="22">
        <f t="shared" si="33"/>
        <v>5500</v>
      </c>
      <c r="X223" s="83" t="s">
        <v>243</v>
      </c>
      <c r="Y223" s="1"/>
      <c r="Z223" s="1"/>
      <c r="AB223" s="1"/>
      <c r="AC223" s="1"/>
    </row>
    <row r="224" spans="1:29" s="35" customFormat="1" ht="26.25" thickBot="1">
      <c r="A224" s="50">
        <v>3298</v>
      </c>
      <c r="B224" s="93" t="s">
        <v>235</v>
      </c>
      <c r="C224" s="18">
        <v>509600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f t="shared" si="38"/>
        <v>0</v>
      </c>
      <c r="L224" s="20">
        <v>400</v>
      </c>
      <c r="M224" s="20">
        <v>0</v>
      </c>
      <c r="N224" s="86">
        <f t="shared" si="39"/>
        <v>0</v>
      </c>
      <c r="O224" s="42"/>
      <c r="P224" s="18"/>
      <c r="Q224" s="18">
        <v>400</v>
      </c>
      <c r="R224" s="18">
        <v>509200</v>
      </c>
      <c r="S224" s="18">
        <v>0</v>
      </c>
      <c r="T224" s="18">
        <v>0</v>
      </c>
      <c r="U224" s="39">
        <v>0</v>
      </c>
      <c r="V224" s="39">
        <v>0</v>
      </c>
      <c r="W224" s="22">
        <f t="shared" si="33"/>
        <v>509200</v>
      </c>
      <c r="X224" s="83" t="s">
        <v>244</v>
      </c>
      <c r="Y224" s="1"/>
      <c r="Z224" s="1"/>
      <c r="AB224" s="1"/>
      <c r="AC224" s="1"/>
    </row>
    <row r="225" spans="1:24" ht="13.5" thickBot="1">
      <c r="A225" s="64"/>
      <c r="B225" s="65" t="s">
        <v>192</v>
      </c>
      <c r="C225" s="66">
        <f>C217+C206+C202+C182+C100+C67+C58+C45+C36+C7</f>
        <v>13234086.662559997</v>
      </c>
      <c r="D225" s="66">
        <f aca="true" t="shared" si="40" ref="D225:M225">D217+D206+D202+D182+D100+D67+D58+D45+D36+D7</f>
        <v>38995.09400999999</v>
      </c>
      <c r="E225" s="66">
        <f t="shared" si="40"/>
        <v>188802.381</v>
      </c>
      <c r="F225" s="66">
        <f t="shared" si="40"/>
        <v>258402.40000000002</v>
      </c>
      <c r="G225" s="66">
        <f t="shared" si="40"/>
        <v>429000.06380000006</v>
      </c>
      <c r="H225" s="66">
        <f t="shared" si="40"/>
        <v>684979.65063</v>
      </c>
      <c r="I225" s="66">
        <f t="shared" si="40"/>
        <v>976793.6644099997</v>
      </c>
      <c r="J225" s="66">
        <f t="shared" si="40"/>
        <v>2184213.4996099994</v>
      </c>
      <c r="K225" s="66">
        <f t="shared" si="40"/>
        <v>4761186.863460001</v>
      </c>
      <c r="L225" s="66">
        <f t="shared" si="40"/>
        <v>5175034.98</v>
      </c>
      <c r="M225" s="66">
        <f t="shared" si="40"/>
        <v>3283925.40646</v>
      </c>
      <c r="N225" s="66">
        <f t="shared" si="39"/>
        <v>63.45706684401967</v>
      </c>
      <c r="O225" s="66" t="e">
        <v>#REF!</v>
      </c>
      <c r="P225" s="66" t="e">
        <v>#REF!</v>
      </c>
      <c r="Q225" s="66">
        <f aca="true" t="shared" si="41" ref="Q225:W225">Q217+Q206+Q202+Q182+Q100+Q67+Q58+Q45+Q36+Q7</f>
        <v>5126540.02</v>
      </c>
      <c r="R225" s="66">
        <f t="shared" si="41"/>
        <v>1046211</v>
      </c>
      <c r="S225" s="66">
        <f t="shared" si="41"/>
        <v>1674613</v>
      </c>
      <c r="T225" s="66">
        <f t="shared" si="41"/>
        <v>969134</v>
      </c>
      <c r="U225" s="66">
        <f t="shared" si="41"/>
        <v>115300</v>
      </c>
      <c r="V225" s="66">
        <f t="shared" si="41"/>
        <v>86041</v>
      </c>
      <c r="W225" s="66">
        <f t="shared" si="41"/>
        <v>3891299</v>
      </c>
      <c r="X225" s="67" t="s">
        <v>13</v>
      </c>
    </row>
    <row r="226" spans="2:24" ht="12.75"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9"/>
      <c r="M226" s="69"/>
      <c r="N226" s="69"/>
      <c r="O226" s="69"/>
      <c r="P226" s="69"/>
      <c r="Q226" s="69"/>
      <c r="R226" s="68"/>
      <c r="S226" s="68"/>
      <c r="T226" s="68"/>
      <c r="U226" s="68"/>
      <c r="V226" s="68"/>
      <c r="W226" s="68"/>
      <c r="X226" s="68"/>
    </row>
    <row r="227" spans="2:24" ht="12.75">
      <c r="B227" s="71" t="s">
        <v>251</v>
      </c>
      <c r="C227" s="68"/>
      <c r="D227" s="68"/>
      <c r="E227" s="68"/>
      <c r="F227" s="68"/>
      <c r="G227" s="68"/>
      <c r="H227" s="68"/>
      <c r="I227" s="68"/>
      <c r="J227" s="68"/>
      <c r="K227" s="68"/>
      <c r="L227" s="69"/>
      <c r="M227" s="69"/>
      <c r="N227" s="69"/>
      <c r="O227" s="69"/>
      <c r="P227" s="69"/>
      <c r="Q227" s="69"/>
      <c r="R227" s="68"/>
      <c r="S227" s="68"/>
      <c r="T227" s="68"/>
      <c r="U227" s="68"/>
      <c r="V227" s="68"/>
      <c r="W227" s="68"/>
      <c r="X227" s="68"/>
    </row>
    <row r="228" spans="2:24" s="2" customFormat="1" ht="12.75">
      <c r="B228" s="72" t="s">
        <v>191</v>
      </c>
      <c r="C228" s="70"/>
      <c r="D228" s="73"/>
      <c r="E228" s="73"/>
      <c r="F228" s="73"/>
      <c r="G228" s="73"/>
      <c r="H228" s="73"/>
      <c r="I228" s="73"/>
      <c r="J228" s="73"/>
      <c r="K228" s="73"/>
      <c r="L228" s="74"/>
      <c r="M228" s="74"/>
      <c r="N228" s="74"/>
      <c r="O228" s="74"/>
      <c r="P228" s="74"/>
      <c r="Q228" s="74"/>
      <c r="R228" s="73"/>
      <c r="S228" s="73"/>
      <c r="T228" s="73"/>
      <c r="U228" s="73"/>
      <c r="V228" s="73"/>
      <c r="W228" s="68"/>
      <c r="X228" s="70"/>
    </row>
    <row r="229" spans="2:23" ht="12.75">
      <c r="B229" s="72" t="s">
        <v>200</v>
      </c>
      <c r="D229" s="75"/>
      <c r="R229" s="23"/>
      <c r="S229" s="23"/>
      <c r="T229" s="23"/>
      <c r="U229" s="23"/>
      <c r="V229" s="23"/>
      <c r="W229" s="2"/>
    </row>
    <row r="230" spans="2:22" ht="12.75">
      <c r="B230" s="2"/>
      <c r="D230" s="24"/>
      <c r="E230" s="24"/>
      <c r="F230" s="24"/>
      <c r="G230" s="24"/>
      <c r="H230" s="24"/>
      <c r="I230" s="24"/>
      <c r="J230" s="24"/>
      <c r="K230" s="24"/>
      <c r="R230" s="24"/>
      <c r="S230" s="24"/>
      <c r="T230" s="24"/>
      <c r="U230" s="24"/>
      <c r="V230" s="24"/>
    </row>
    <row r="231" spans="18:22" ht="12.75">
      <c r="R231" s="24"/>
      <c r="S231" s="24"/>
      <c r="T231" s="24"/>
      <c r="U231" s="24"/>
      <c r="V231" s="24"/>
    </row>
    <row r="232" spans="18:22" ht="12.75">
      <c r="R232" s="24"/>
      <c r="S232" s="24"/>
      <c r="T232" s="24"/>
      <c r="U232" s="24"/>
      <c r="V232" s="24"/>
    </row>
    <row r="233" spans="18:22" ht="12.75">
      <c r="R233" s="24"/>
      <c r="S233" s="24"/>
      <c r="T233" s="24"/>
      <c r="U233" s="24"/>
      <c r="V233" s="24"/>
    </row>
    <row r="234" spans="18:22" ht="12.75">
      <c r="R234" s="24"/>
      <c r="S234" s="24"/>
      <c r="T234" s="24"/>
      <c r="U234" s="24"/>
      <c r="V234" s="24"/>
    </row>
  </sheetData>
  <sheetProtection/>
  <mergeCells count="11">
    <mergeCell ref="N5:N6"/>
    <mergeCell ref="Q5:Q6"/>
    <mergeCell ref="R5:W5"/>
    <mergeCell ref="X5:X6"/>
    <mergeCell ref="B3:X3"/>
    <mergeCell ref="A5:A6"/>
    <mergeCell ref="B5:B6"/>
    <mergeCell ref="C5:C6"/>
    <mergeCell ref="D5:K5"/>
    <mergeCell ref="L5:L6"/>
    <mergeCell ref="M5:M6"/>
  </mergeCells>
  <printOptions horizontalCentered="1"/>
  <pageMargins left="0.2362204724409449" right="0.2362204724409449" top="0.7480314960629921" bottom="0.15748031496062992" header="0.31496062992125984" footer="0.31496062992125984"/>
  <pageSetup horizontalDpi="600" verticalDpi="600" orientation="landscape" paperSize="9" scale="52" r:id="rId1"/>
  <headerFooter>
    <oddFooter>&amp;C&amp;P</oddFooter>
  </headerFooter>
  <rowBreaks count="5" manualBreakCount="5">
    <brk id="44" max="26" man="1"/>
    <brk id="91" max="26" man="1"/>
    <brk id="129" max="26" man="1"/>
    <brk id="161" max="26" man="1"/>
    <brk id="20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2015-12-02T09:05:06Z</dcterms:modified>
  <cp:category/>
  <cp:version/>
  <cp:contentType/>
  <cp:contentStatus/>
</cp:coreProperties>
</file>