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2285" tabRatio="981"/>
  </bookViews>
  <sheets>
    <sheet name="OBSAH" sheetId="1" r:id="rId1"/>
    <sheet name="Dotační programy 2016" sheetId="2" r:id="rId2"/>
    <sheet name="Akce spolufin. z evr.fin.zdrojů" sheetId="3" r:id="rId3"/>
    <sheet name="Akce EU-dle způsobu financování" sheetId="4" r:id="rId4"/>
    <sheet name="Přehled příjmů" sheetId="5" r:id="rId5"/>
    <sheet name="Graf 1. Rozpočet 2009 - 2016" sheetId="6" r:id="rId6"/>
    <sheet name="Zdrojová data I.s" sheetId="7" state="hidden" r:id="rId7"/>
    <sheet name="Graf 2. Příjmy 2009 - 2016" sheetId="8" r:id="rId8"/>
    <sheet name="Graf 3. Výdaje B+K 2009 - 2016" sheetId="9" r:id="rId9"/>
    <sheet name="Zdrojová data II. a III. s" sheetId="10" state="hidden" r:id="rId10"/>
    <sheet name="Graf 4. Příjmy 2016" sheetId="11" r:id="rId11"/>
    <sheet name="Zdrojová data IV." sheetId="12" state="hidden" r:id="rId12"/>
    <sheet name="Graf 5. Výdaje 2016" sheetId="13" r:id="rId13"/>
    <sheet name="Graf 6. Výdaje EU 2016" sheetId="14" r:id="rId14"/>
    <sheet name="Zdrojová data V.a VI." sheetId="15" state="hidden" r:id="rId15"/>
  </sheets>
  <definedNames>
    <definedName name="_xlnm._FilterDatabase" localSheetId="3" hidden="1">'Akce EU-dle způsobu financování'!$D$5:$E$173</definedName>
    <definedName name="_xlnm._FilterDatabase" localSheetId="4" hidden="1">'Přehled příjmů'!$A$16:$E$141</definedName>
    <definedName name="_xlnm.Print_Titles" localSheetId="3">'Akce EU-dle způsobu financování'!$3:$5</definedName>
    <definedName name="_xlnm.Print_Titles" localSheetId="2">'Akce spolufin. z evr.fin.zdrojů'!$2:$4</definedName>
    <definedName name="_xlnm.Print_Titles" localSheetId="4">'Přehled příjmů'!$4:$4</definedName>
    <definedName name="_xlnm.Print_Area" localSheetId="3">'Akce EU-dle způsobu financování'!$A$1:$J$177</definedName>
    <definedName name="_xlnm.Print_Area" localSheetId="2">'Akce spolufin. z evr.fin.zdrojů'!$A$1:$L$115</definedName>
    <definedName name="_xlnm.Print_Area" localSheetId="1">'Dotační programy 2016'!$A$1:$G$52</definedName>
    <definedName name="_xlnm.Print_Area" localSheetId="4">'Přehled příjmů'!$A$1:$D$143</definedName>
    <definedName name="Z_14FC9820_EF8C_4D55_8881_D5E51DC559B3_.wvu.Cols" localSheetId="1" hidden="1">'Dotační programy 2016'!#REF!</definedName>
    <definedName name="Z_14FC9820_EF8C_4D55_8881_D5E51DC559B3_.wvu.PrintArea" localSheetId="4" hidden="1">'Přehled příjmů'!$A$1:$D$144</definedName>
    <definedName name="Z_14FC9820_EF8C_4D55_8881_D5E51DC559B3_.wvu.PrintTitles" localSheetId="4" hidden="1">'Přehled příjmů'!$4:$4</definedName>
    <definedName name="Z_1A2744ED_3D3C_453B_8DEF_8F4E6984016E_.wvu.FilterData" localSheetId="3" hidden="1">'Akce EU-dle způsobu financování'!$D$5:$E$173</definedName>
    <definedName name="Z_1A2744ED_3D3C_453B_8DEF_8F4E6984016E_.wvu.PrintArea" localSheetId="3" hidden="1">'Akce EU-dle způsobu financování'!$A$1:$J$175</definedName>
    <definedName name="Z_1A2744ED_3D3C_453B_8DEF_8F4E6984016E_.wvu.PrintTitles" localSheetId="3" hidden="1">'Akce EU-dle způsobu financování'!$3:$5</definedName>
    <definedName name="Z_1E90A3DD_FCD1_4F3E_B827_11DA73B048E3_.wvu.FilterData" localSheetId="3" hidden="1">'Akce EU-dle způsobu financování'!$D$5:$E$173</definedName>
    <definedName name="Z_1E90A3DD_FCD1_4F3E_B827_11DA73B048E3_.wvu.PrintArea" localSheetId="3" hidden="1">'Akce EU-dle způsobu financování'!$A$1:$J$175</definedName>
    <definedName name="Z_1E90A3DD_FCD1_4F3E_B827_11DA73B048E3_.wvu.PrintArea" localSheetId="4" hidden="1">'Přehled příjmů'!$A$1:$D$143</definedName>
    <definedName name="Z_1E90A3DD_FCD1_4F3E_B827_11DA73B048E3_.wvu.PrintTitles" localSheetId="3" hidden="1">'Akce EU-dle způsobu financování'!$3:$5</definedName>
    <definedName name="Z_1E90A3DD_FCD1_4F3E_B827_11DA73B048E3_.wvu.PrintTitles" localSheetId="4" hidden="1">'Přehled příjmů'!$4:$4</definedName>
    <definedName name="Z_49829188_FED5_46AD_A01B_AD023612A570_.wvu.Cols" localSheetId="3" hidden="1">'Akce EU-dle způsobu financování'!#REF!,'Akce EU-dle způsobu financování'!#REF!</definedName>
    <definedName name="Z_49829188_FED5_46AD_A01B_AD023612A570_.wvu.PrintTitles" localSheetId="3" hidden="1">'Akce EU-dle způsobu financování'!$3:$5</definedName>
    <definedName name="Z_50FD6FFB_F825_4068_94B6_F113A32EAE23_.wvu.FilterData" localSheetId="3" hidden="1">'Akce EU-dle způsobu financování'!$D$5:$E$173</definedName>
    <definedName name="Z_50FD6FFB_F825_4068_94B6_F113A32EAE23_.wvu.PrintArea" localSheetId="3" hidden="1">'Akce EU-dle způsobu financování'!$A$1:$J$175</definedName>
    <definedName name="Z_50FD6FFB_F825_4068_94B6_F113A32EAE23_.wvu.PrintTitles" localSheetId="3" hidden="1">'Akce EU-dle způsobu financování'!$3:$5</definedName>
    <definedName name="Z_523D2DC6_8800_4565_9421_6A8DC10C67C8_.wvu.Cols" localSheetId="3" hidden="1">'Akce EU-dle způsobu financování'!#REF!,'Akce EU-dle způsobu financování'!#REF!</definedName>
    <definedName name="Z_523D2DC6_8800_4565_9421_6A8DC10C67C8_.wvu.PrintTitles" localSheetId="3" hidden="1">'Akce EU-dle způsobu financování'!$3:$5</definedName>
    <definedName name="Z_5731BF8D_466E_422F_9BA7_51FFB065F173_.wvu.PrintArea" localSheetId="4" hidden="1">'Přehled příjmů'!$A$1:$D$144</definedName>
    <definedName name="Z_5731BF8D_466E_422F_9BA7_51FFB065F173_.wvu.PrintTitles" localSheetId="4" hidden="1">'Přehled příjmů'!$4:$4</definedName>
    <definedName name="Z_632980EE_AB4F_49FA_B8D9_C4F0628108CE_.wvu.Cols" localSheetId="6" hidden="1">'Zdrojová data I.s'!$B:$E</definedName>
    <definedName name="Z_632980EE_AB4F_49FA_B8D9_C4F0628108CE_.wvu.Cols" localSheetId="9" hidden="1">'Zdrojová data II. a III. s'!$B:$E</definedName>
    <definedName name="Z_632980EE_AB4F_49FA_B8D9_C4F0628108CE_.wvu.Cols" localSheetId="11" hidden="1">'Zdrojová data IV.'!$B:$I</definedName>
    <definedName name="Z_632980EE_AB4F_49FA_B8D9_C4F0628108CE_.wvu.Cols" localSheetId="14" hidden="1">'Zdrojová data V.a VI.'!$B:$I</definedName>
    <definedName name="Z_632980EE_AB4F_49FA_B8D9_C4F0628108CE_.wvu.Rows" localSheetId="6" hidden="1">'Zdrojová data I.s'!$16:$30</definedName>
    <definedName name="Z_632980EE_AB4F_49FA_B8D9_C4F0628108CE_.wvu.Rows" localSheetId="14" hidden="1">'Zdrojová data V.a VI.'!$10:$10,'Zdrojová data V.a VI.'!$27:$27</definedName>
    <definedName name="Z_8135008D_FA09_47D0_A3D6_431443FF0074_.wvu.PrintArea" localSheetId="1" hidden="1">'Dotační programy 2016'!$A$1:$G$52</definedName>
    <definedName name="Z_816DCA7E_FC41_44AE_85AF_FE12F0BC4BE0_.wvu.PrintArea" localSheetId="1" hidden="1">'Dotační programy 2016'!$A$1:$G$52</definedName>
    <definedName name="Z_8DF5934D_271D_4996_8FBD_8BBE47175559_.wvu.Cols" localSheetId="2" hidden="1"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definedName>
    <definedName name="Z_8DF5934D_271D_4996_8FBD_8BBE47175559_.wvu.Cols" localSheetId="6" hidden="1">'Zdrojová data I.s'!$B:$E</definedName>
    <definedName name="Z_8DF5934D_271D_4996_8FBD_8BBE47175559_.wvu.Cols" localSheetId="9" hidden="1">'Zdrojová data II. a III. s'!$B:$E</definedName>
    <definedName name="Z_8DF5934D_271D_4996_8FBD_8BBE47175559_.wvu.Cols" localSheetId="11" hidden="1">'Zdrojová data IV.'!$B:$M</definedName>
    <definedName name="Z_8DF5934D_271D_4996_8FBD_8BBE47175559_.wvu.Cols" localSheetId="14" hidden="1">'Zdrojová data V.a VI.'!$B:$M</definedName>
    <definedName name="Z_8DF5934D_271D_4996_8FBD_8BBE47175559_.wvu.FilterData" localSheetId="3" hidden="1">'Akce EU-dle způsobu financování'!$D$5:$E$173</definedName>
    <definedName name="Z_8DF5934D_271D_4996_8FBD_8BBE47175559_.wvu.FilterData" localSheetId="4" hidden="1">'Přehled příjmů'!$A$16:$E$141</definedName>
    <definedName name="Z_8DF5934D_271D_4996_8FBD_8BBE47175559_.wvu.PrintArea" localSheetId="3" hidden="1">'Akce EU-dle způsobu financování'!$A$1:$J$177</definedName>
    <definedName name="Z_8DF5934D_271D_4996_8FBD_8BBE47175559_.wvu.PrintArea" localSheetId="2" hidden="1">'Akce spolufin. z evr.fin.zdrojů'!$A$1:$L$115</definedName>
    <definedName name="Z_8DF5934D_271D_4996_8FBD_8BBE47175559_.wvu.PrintArea" localSheetId="1" hidden="1">'Dotační programy 2016'!$A$1:$G$52</definedName>
    <definedName name="Z_8DF5934D_271D_4996_8FBD_8BBE47175559_.wvu.PrintArea" localSheetId="4" hidden="1">'Přehled příjmů'!$A$1:$D$143</definedName>
    <definedName name="Z_8DF5934D_271D_4996_8FBD_8BBE47175559_.wvu.PrintTitles" localSheetId="3" hidden="1">'Akce EU-dle způsobu financování'!$3:$5</definedName>
    <definedName name="Z_8DF5934D_271D_4996_8FBD_8BBE47175559_.wvu.PrintTitles" localSheetId="2" hidden="1">'Akce spolufin. z evr.fin.zdrojů'!$2:$4</definedName>
    <definedName name="Z_8DF5934D_271D_4996_8FBD_8BBE47175559_.wvu.PrintTitles" localSheetId="4" hidden="1">'Přehled příjmů'!$4:$4</definedName>
    <definedName name="Z_8DF5934D_271D_4996_8FBD_8BBE47175559_.wvu.Rows" localSheetId="6" hidden="1">'Zdrojová data I.s'!$16:$30</definedName>
    <definedName name="Z_8DF5934D_271D_4996_8FBD_8BBE47175559_.wvu.Rows" localSheetId="14" hidden="1">'Zdrojová data V.a VI.'!$10:$10,'Zdrojová data V.a VI.'!$27:$27</definedName>
    <definedName name="Z_AE6F0D81_F630_472F_8BD4_EE2E1E40DF28_.wvu.PrintArea" localSheetId="3" hidden="1">'Akce EU-dle způsobu financování'!$A$1:$I$175</definedName>
    <definedName name="Z_AE6F0D81_F630_472F_8BD4_EE2E1E40DF28_.wvu.PrintArea" localSheetId="1" hidden="1">'Dotační programy 2016'!$A$1:$G$52</definedName>
    <definedName name="Z_AE6F0D81_F630_472F_8BD4_EE2E1E40DF28_.wvu.PrintArea" localSheetId="4" hidden="1">'Přehled příjmů'!$A$1:$D$143</definedName>
    <definedName name="Z_AE6F0D81_F630_472F_8BD4_EE2E1E40DF28_.wvu.PrintTitles" localSheetId="3" hidden="1">'Akce EU-dle způsobu financování'!$3:$5</definedName>
    <definedName name="Z_AE6F0D81_F630_472F_8BD4_EE2E1E40DF28_.wvu.PrintTitles" localSheetId="4" hidden="1">'Přehled příjmů'!$4:$4</definedName>
    <definedName name="Z_AF65B0D2_A89B_4D75_B4AE_5BFEE1615BA9_.wvu.Cols" localSheetId="2" hidden="1">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definedName>
    <definedName name="Z_AF65B0D2_A89B_4D75_B4AE_5BFEE1615BA9_.wvu.PrintArea" localSheetId="1" hidden="1">'Dotační programy 2016'!$A$1:$G$52</definedName>
    <definedName name="Z_AF65B0D2_A89B_4D75_B4AE_5BFEE1615BA9_.wvu.PrintTitles" localSheetId="2" hidden="1">'Akce spolufin. z evr.fin.zdrojů'!$2:$4</definedName>
    <definedName name="Z_BC947331_EC23_47B8_95C2_52EE1CF909F4_.wvu.Cols" localSheetId="3" hidden="1">'Akce EU-dle způsobu financování'!#REF!,'Akce EU-dle způsobu financování'!#REF!</definedName>
    <definedName name="Z_BC947331_EC23_47B8_95C2_52EE1CF909F4_.wvu.PrintTitles" localSheetId="3" hidden="1">'Akce EU-dle způsobu financování'!$3:$5</definedName>
    <definedName name="Z_C49FCFC9_CF51_484E_9F6E_E5FACC7A48A4_.wvu.Cols" localSheetId="1" hidden="1">'Dotační programy 2016'!#REF!</definedName>
    <definedName name="Z_CD401C54_B1E7_4A40_A5B1_2308B06AE91E_.wvu.PrintArea" localSheetId="3" hidden="1">'Akce EU-dle způsobu financování'!$A$1:$I$175</definedName>
    <definedName name="Z_CD401C54_B1E7_4A40_A5B1_2308B06AE91E_.wvu.PrintTitles" localSheetId="3" hidden="1">'Akce EU-dle způsobu financování'!$3:$5</definedName>
    <definedName name="Z_E36FAFAE_B2F9_4A3A_BBF4_88C4AE97E161_.wvu.PrintArea" localSheetId="3" hidden="1">'Akce EU-dle způsobu financování'!$A$1:$I$175</definedName>
    <definedName name="Z_E36FAFAE_B2F9_4A3A_BBF4_88C4AE97E161_.wvu.PrintTitles" localSheetId="3" hidden="1">'Akce EU-dle způsobu financování'!$3:$5</definedName>
    <definedName name="Z_EBE613F2_32CB_4E3D_B0BB_2E9DFB67D43D_.wvu.Cols" localSheetId="3" hidden="1">'Akce EU-dle způsobu financování'!#REF!,'Akce EU-dle způsobu financování'!#REF!</definedName>
    <definedName name="Z_EBE613F2_32CB_4E3D_B0BB_2E9DFB67D43D_.wvu.PrintTitles" localSheetId="3" hidden="1">'Akce EU-dle způsobu financování'!$3:$5</definedName>
    <definedName name="Z_EFAD90BE_EFFB_4F0D_9A95_6915124B8751_.wvu.Cols" localSheetId="6" hidden="1">'Zdrojová data I.s'!$B:$E</definedName>
    <definedName name="Z_EFAD90BE_EFFB_4F0D_9A95_6915124B8751_.wvu.Cols" localSheetId="9" hidden="1">'Zdrojová data II. a III. s'!$B:$E</definedName>
    <definedName name="Z_EFAD90BE_EFFB_4F0D_9A95_6915124B8751_.wvu.Cols" localSheetId="11" hidden="1">'Zdrojová data IV.'!$B:$M</definedName>
    <definedName name="Z_EFAD90BE_EFFB_4F0D_9A95_6915124B8751_.wvu.Cols" localSheetId="14" hidden="1">'Zdrojová data V.a VI.'!$B:$M</definedName>
    <definedName name="Z_EFAD90BE_EFFB_4F0D_9A95_6915124B8751_.wvu.Rows" localSheetId="6" hidden="1">'Zdrojová data I.s'!$16:$30</definedName>
    <definedName name="Z_EFAD90BE_EFFB_4F0D_9A95_6915124B8751_.wvu.Rows" localSheetId="14" hidden="1">'Zdrojová data V.a VI.'!$10:$10,'Zdrojová data V.a VI.'!$27:$27</definedName>
    <definedName name="Z_F55F3396_F003_4C77_BF1B_160F1F658C4B_.wvu.Cols" localSheetId="1" hidden="1">'Dotační programy 2016'!#REF!</definedName>
    <definedName name="Z_F55F3396_F003_4C77_BF1B_160F1F658C4B_.wvu.PrintArea" localSheetId="1" hidden="1">'Dotační programy 2016'!$B$1:$L$52</definedName>
    <definedName name="Z_FE857634_B83D_4669_BE72_6E5297B7F9FE_.wvu.Rows" localSheetId="6" hidden="1">'Zdrojová data I.s'!$16:$30</definedName>
    <definedName name="Z_FFF09864_B75B_45CC_8A23_7ED56E2D3858_.wvu.Cols" localSheetId="2" hidden="1">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definedName>
    <definedName name="Z_FFF09864_B75B_45CC_8A23_7ED56E2D3858_.wvu.FilterData" localSheetId="3" hidden="1">'Akce EU-dle způsobu financování'!$D$5:$E$173</definedName>
    <definedName name="Z_FFF09864_B75B_45CC_8A23_7ED56E2D3858_.wvu.FilterData" localSheetId="4" hidden="1">'Přehled příjmů'!$A$57:$D$141</definedName>
    <definedName name="Z_FFF09864_B75B_45CC_8A23_7ED56E2D3858_.wvu.PrintArea" localSheetId="3" hidden="1">'Akce EU-dle způsobu financování'!$A$1:$J$175</definedName>
    <definedName name="Z_FFF09864_B75B_45CC_8A23_7ED56E2D3858_.wvu.PrintArea" localSheetId="1" hidden="1">'Dotační programy 2016'!$A$1:$G$52</definedName>
    <definedName name="Z_FFF09864_B75B_45CC_8A23_7ED56E2D3858_.wvu.PrintArea" localSheetId="4" hidden="1">'Přehled příjmů'!$A$1:$D$143</definedName>
    <definedName name="Z_FFF09864_B75B_45CC_8A23_7ED56E2D3858_.wvu.PrintTitles" localSheetId="3" hidden="1">'Akce EU-dle způsobu financování'!$3:$5</definedName>
    <definedName name="Z_FFF09864_B75B_45CC_8A23_7ED56E2D3858_.wvu.PrintTitles" localSheetId="2" hidden="1">'Akce spolufin. z evr.fin.zdrojů'!$2:$4</definedName>
    <definedName name="Z_FFF09864_B75B_45CC_8A23_7ED56E2D3858_.wvu.PrintTitles" localSheetId="4" hidden="1">'Přehled příjmů'!$4:$4</definedName>
  </definedNames>
  <calcPr calcId="145621"/>
  <customWorkbookViews>
    <customWorkbookView name="Metelka Tomáš – osobní zobrazení" guid="{8DF5934D-271D-4996-8FBD-8BBE47175559}" mergeInterval="0" personalView="1" maximized="1" windowWidth="1916" windowHeight="855" tabRatio="981" activeSheetId="1"/>
  </customWorkbookViews>
</workbook>
</file>

<file path=xl/calcChain.xml><?xml version="1.0" encoding="utf-8"?>
<calcChain xmlns="http://schemas.openxmlformats.org/spreadsheetml/2006/main">
  <c r="T3" i="15" l="1"/>
  <c r="I7" i="4" l="1"/>
  <c r="I8" i="4"/>
  <c r="I9" i="4"/>
  <c r="I10" i="4"/>
  <c r="I15" i="4"/>
  <c r="I16" i="4"/>
  <c r="I17" i="4"/>
  <c r="I18" i="4"/>
  <c r="I19" i="4"/>
  <c r="I20" i="4"/>
  <c r="C27" i="4"/>
  <c r="C175" i="4" s="1"/>
  <c r="D27" i="4"/>
  <c r="E27" i="4"/>
  <c r="E175" i="4" s="1"/>
  <c r="F27" i="4"/>
  <c r="G27" i="4"/>
  <c r="G175" i="4" s="1"/>
  <c r="H27" i="4"/>
  <c r="I27" i="4"/>
  <c r="J27" i="4"/>
  <c r="I29" i="4"/>
  <c r="I38" i="4" s="1"/>
  <c r="I30" i="4"/>
  <c r="I31" i="4"/>
  <c r="C38" i="4"/>
  <c r="D38" i="4"/>
  <c r="E38" i="4"/>
  <c r="F38" i="4"/>
  <c r="G38" i="4"/>
  <c r="H38" i="4"/>
  <c r="J38" i="4"/>
  <c r="I40" i="4"/>
  <c r="C48" i="4"/>
  <c r="D48" i="4"/>
  <c r="E48" i="4"/>
  <c r="F48" i="4"/>
  <c r="G48" i="4"/>
  <c r="H48" i="4"/>
  <c r="I48" i="4"/>
  <c r="J48" i="4"/>
  <c r="C55" i="4"/>
  <c r="D55" i="4"/>
  <c r="E55" i="4"/>
  <c r="F55" i="4"/>
  <c r="G55" i="4"/>
  <c r="H55" i="4"/>
  <c r="I55" i="4"/>
  <c r="J55" i="4"/>
  <c r="C67" i="4"/>
  <c r="D67" i="4"/>
  <c r="E67" i="4"/>
  <c r="F67" i="4"/>
  <c r="G67" i="4"/>
  <c r="H67" i="4"/>
  <c r="I67" i="4"/>
  <c r="J67" i="4"/>
  <c r="I74" i="4"/>
  <c r="I95" i="4" s="1"/>
  <c r="I78" i="4"/>
  <c r="I81" i="4"/>
  <c r="C95" i="4"/>
  <c r="D95" i="4"/>
  <c r="E95" i="4"/>
  <c r="F95" i="4"/>
  <c r="G95" i="4"/>
  <c r="H95" i="4"/>
  <c r="J95" i="4"/>
  <c r="I101" i="4"/>
  <c r="I105" i="4"/>
  <c r="I135" i="4" s="1"/>
  <c r="C135" i="4"/>
  <c r="D135" i="4"/>
  <c r="E135" i="4"/>
  <c r="F135" i="4"/>
  <c r="G135" i="4"/>
  <c r="H135" i="4"/>
  <c r="J135" i="4"/>
  <c r="I137" i="4"/>
  <c r="I141" i="4"/>
  <c r="I159" i="4" s="1"/>
  <c r="C159" i="4"/>
  <c r="D159" i="4"/>
  <c r="E159" i="4"/>
  <c r="F159" i="4"/>
  <c r="G159" i="4"/>
  <c r="H159" i="4"/>
  <c r="J159" i="4"/>
  <c r="C166" i="4"/>
  <c r="D166" i="4"/>
  <c r="E166" i="4"/>
  <c r="F166" i="4"/>
  <c r="G166" i="4"/>
  <c r="H166" i="4"/>
  <c r="I166" i="4"/>
  <c r="J166" i="4"/>
  <c r="C173" i="4"/>
  <c r="D173" i="4"/>
  <c r="E173" i="4"/>
  <c r="F173" i="4"/>
  <c r="G173" i="4"/>
  <c r="H173" i="4"/>
  <c r="I173" i="4"/>
  <c r="J173" i="4"/>
  <c r="D175" i="4"/>
  <c r="F175" i="4"/>
  <c r="H175" i="4"/>
  <c r="J175" i="4"/>
  <c r="I175" i="4" l="1"/>
  <c r="C12" i="5" l="1"/>
  <c r="C45" i="5"/>
  <c r="C53" i="5"/>
  <c r="C141" i="5"/>
  <c r="C143" i="5" s="1"/>
  <c r="P4" i="15" l="1"/>
  <c r="D5" i="15"/>
  <c r="D13" i="15" s="1"/>
  <c r="F5" i="15"/>
  <c r="F13" i="15" s="1"/>
  <c r="P5" i="15"/>
  <c r="R5" i="15"/>
  <c r="R13" i="15" s="1"/>
  <c r="S3" i="15" s="1"/>
  <c r="T5" i="15"/>
  <c r="D6" i="15"/>
  <c r="F6" i="15"/>
  <c r="B13" i="15"/>
  <c r="C2" i="15" s="1"/>
  <c r="H13" i="15"/>
  <c r="I4" i="15" s="1"/>
  <c r="J13" i="15"/>
  <c r="K2" i="15" s="1"/>
  <c r="L13" i="15"/>
  <c r="M3" i="15" s="1"/>
  <c r="N13" i="15"/>
  <c r="O3" i="15" s="1"/>
  <c r="T13" i="15"/>
  <c r="U9" i="15" s="1"/>
  <c r="D19" i="15"/>
  <c r="F19" i="15"/>
  <c r="G30" i="15" s="1"/>
  <c r="J19" i="15"/>
  <c r="K20" i="15" s="1"/>
  <c r="L19" i="15"/>
  <c r="M21" i="15" s="1"/>
  <c r="N19" i="15"/>
  <c r="O30" i="15" s="1"/>
  <c r="P19" i="15"/>
  <c r="Q24" i="15" s="1"/>
  <c r="R19" i="15"/>
  <c r="S25" i="15" s="1"/>
  <c r="T19" i="15"/>
  <c r="U21" i="15" s="1"/>
  <c r="B23" i="15"/>
  <c r="H25" i="15"/>
  <c r="H19" i="15" s="1"/>
  <c r="I26" i="15" s="1"/>
  <c r="K25" i="15"/>
  <c r="B26" i="15"/>
  <c r="H26" i="15"/>
  <c r="B30" i="15"/>
  <c r="J5" i="12"/>
  <c r="L5" i="12"/>
  <c r="L10" i="12" s="1"/>
  <c r="M3" i="12" s="1"/>
  <c r="N5" i="12"/>
  <c r="N10" i="12" s="1"/>
  <c r="P5" i="12"/>
  <c r="G6" i="12"/>
  <c r="E8" i="12"/>
  <c r="B10" i="12"/>
  <c r="C8" i="12" s="1"/>
  <c r="D10" i="12"/>
  <c r="E3" i="12" s="1"/>
  <c r="F10" i="12"/>
  <c r="H10" i="12"/>
  <c r="I2" i="12" s="1"/>
  <c r="J10" i="12"/>
  <c r="K6" i="12" s="1"/>
  <c r="R10" i="12"/>
  <c r="S2" i="12" s="1"/>
  <c r="T10" i="12"/>
  <c r="U3" i="12" s="1"/>
  <c r="D13" i="12"/>
  <c r="H13" i="12"/>
  <c r="J13" i="12"/>
  <c r="L13" i="12"/>
  <c r="R13" i="12"/>
  <c r="T13" i="12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B17" i="10"/>
  <c r="C17" i="10"/>
  <c r="D17" i="10"/>
  <c r="E17" i="10"/>
  <c r="F17" i="10"/>
  <c r="E10" i="7"/>
  <c r="H14" i="7"/>
  <c r="I14" i="7"/>
  <c r="C20" i="7"/>
  <c r="D20" i="7"/>
  <c r="B25" i="7"/>
  <c r="C25" i="7"/>
  <c r="D25" i="7"/>
  <c r="K26" i="15" l="1"/>
  <c r="S7" i="15"/>
  <c r="G26" i="15"/>
  <c r="M28" i="15"/>
  <c r="K27" i="15"/>
  <c r="S21" i="15"/>
  <c r="U29" i="15"/>
  <c r="C5" i="15"/>
  <c r="M29" i="15"/>
  <c r="U26" i="15"/>
  <c r="U24" i="15"/>
  <c r="K21" i="15"/>
  <c r="S11" i="15"/>
  <c r="K30" i="15"/>
  <c r="K29" i="15"/>
  <c r="M26" i="15"/>
  <c r="K23" i="15"/>
  <c r="C11" i="15"/>
  <c r="C6" i="15"/>
  <c r="U2" i="12"/>
  <c r="M7" i="12"/>
  <c r="M2" i="12"/>
  <c r="E7" i="12"/>
  <c r="G5" i="12"/>
  <c r="C2" i="12"/>
  <c r="B12" i="12"/>
  <c r="U8" i="12"/>
  <c r="C7" i="12"/>
  <c r="M5" i="12"/>
  <c r="E4" i="12"/>
  <c r="I30" i="15"/>
  <c r="U22" i="15"/>
  <c r="U20" i="15"/>
  <c r="I28" i="15"/>
  <c r="U23" i="15"/>
  <c r="U28" i="15"/>
  <c r="I27" i="15"/>
  <c r="I25" i="15"/>
  <c r="S23" i="15"/>
  <c r="M22" i="15"/>
  <c r="M20" i="15"/>
  <c r="S6" i="15"/>
  <c r="S9" i="15"/>
  <c r="O6" i="15"/>
  <c r="O5" i="15"/>
  <c r="O8" i="15"/>
  <c r="S5" i="15"/>
  <c r="Q30" i="15"/>
  <c r="G27" i="15"/>
  <c r="I21" i="15"/>
  <c r="K11" i="15"/>
  <c r="Q28" i="15"/>
  <c r="Q25" i="15"/>
  <c r="K9" i="15"/>
  <c r="K7" i="15"/>
  <c r="O4" i="15"/>
  <c r="C3" i="15"/>
  <c r="G28" i="15"/>
  <c r="G22" i="15"/>
  <c r="M9" i="15"/>
  <c r="K6" i="15"/>
  <c r="K3" i="15"/>
  <c r="Q27" i="15"/>
  <c r="Q23" i="15"/>
  <c r="Q26" i="15"/>
  <c r="M24" i="15"/>
  <c r="M23" i="15"/>
  <c r="Q22" i="15"/>
  <c r="Q21" i="15"/>
  <c r="Q20" i="15"/>
  <c r="O10" i="15"/>
  <c r="C9" i="15"/>
  <c r="K4" i="15"/>
  <c r="O2" i="15"/>
  <c r="I6" i="12"/>
  <c r="M8" i="12"/>
  <c r="I8" i="12"/>
  <c r="U6" i="12"/>
  <c r="E6" i="12"/>
  <c r="U4" i="12"/>
  <c r="G3" i="12"/>
  <c r="G2" i="12"/>
  <c r="I5" i="12"/>
  <c r="U7" i="12"/>
  <c r="I3" i="12"/>
  <c r="G8" i="12"/>
  <c r="I7" i="12"/>
  <c r="M6" i="12"/>
  <c r="G4" i="12"/>
  <c r="C3" i="12"/>
  <c r="E2" i="12"/>
  <c r="G3" i="15"/>
  <c r="E4" i="15"/>
  <c r="G9" i="15"/>
  <c r="G11" i="15"/>
  <c r="E2" i="15"/>
  <c r="G4" i="15"/>
  <c r="G6" i="15"/>
  <c r="E8" i="15"/>
  <c r="E10" i="15"/>
  <c r="G2" i="15"/>
  <c r="G10" i="15"/>
  <c r="E3" i="15"/>
  <c r="G5" i="15"/>
  <c r="G8" i="15"/>
  <c r="E6" i="15"/>
  <c r="E9" i="15"/>
  <c r="E11" i="15"/>
  <c r="O7" i="12"/>
  <c r="O3" i="12"/>
  <c r="O4" i="12"/>
  <c r="O2" i="12"/>
  <c r="O6" i="12"/>
  <c r="O8" i="12"/>
  <c r="S4" i="12"/>
  <c r="O20" i="15"/>
  <c r="O23" i="15"/>
  <c r="O26" i="15"/>
  <c r="O21" i="15"/>
  <c r="O25" i="15"/>
  <c r="U11" i="15"/>
  <c r="I10" i="15"/>
  <c r="I6" i="15"/>
  <c r="U3" i="15"/>
  <c r="I2" i="15"/>
  <c r="S5" i="12"/>
  <c r="K7" i="12"/>
  <c r="C5" i="12"/>
  <c r="M4" i="12"/>
  <c r="C4" i="12"/>
  <c r="K3" i="12"/>
  <c r="K2" i="12"/>
  <c r="S30" i="15"/>
  <c r="S29" i="15"/>
  <c r="G29" i="15"/>
  <c r="O28" i="15"/>
  <c r="S26" i="15"/>
  <c r="O24" i="15"/>
  <c r="B19" i="15"/>
  <c r="S20" i="15"/>
  <c r="P13" i="15"/>
  <c r="Q5" i="15" s="1"/>
  <c r="M11" i="15"/>
  <c r="I8" i="15"/>
  <c r="M7" i="15"/>
  <c r="I5" i="15"/>
  <c r="N13" i="12"/>
  <c r="S7" i="12"/>
  <c r="P10" i="12"/>
  <c r="P13" i="12"/>
  <c r="K5" i="12"/>
  <c r="K4" i="12"/>
  <c r="S3" i="12"/>
  <c r="O29" i="15"/>
  <c r="S27" i="15"/>
  <c r="I24" i="15"/>
  <c r="I29" i="15"/>
  <c r="I20" i="15"/>
  <c r="I23" i="15"/>
  <c r="I22" i="15"/>
  <c r="K22" i="15"/>
  <c r="K28" i="15"/>
  <c r="K24" i="15"/>
  <c r="S2" i="15"/>
  <c r="S4" i="15"/>
  <c r="S8" i="15"/>
  <c r="S10" i="15"/>
  <c r="S6" i="12"/>
  <c r="S8" i="12"/>
  <c r="O5" i="12"/>
  <c r="U6" i="15"/>
  <c r="U2" i="15"/>
  <c r="U4" i="15"/>
  <c r="U8" i="15"/>
  <c r="U10" i="15"/>
  <c r="I3" i="15"/>
  <c r="I7" i="15"/>
  <c r="I9" i="15"/>
  <c r="I11" i="15"/>
  <c r="U7" i="15"/>
  <c r="O27" i="15"/>
  <c r="O22" i="15"/>
  <c r="S22" i="15"/>
  <c r="S28" i="15"/>
  <c r="S24" i="15"/>
  <c r="G20" i="15"/>
  <c r="G23" i="15"/>
  <c r="G25" i="15"/>
  <c r="G21" i="15"/>
  <c r="M4" i="15"/>
  <c r="M6" i="15"/>
  <c r="M2" i="15"/>
  <c r="M5" i="15"/>
  <c r="M8" i="15"/>
  <c r="M10" i="15"/>
  <c r="U5" i="15"/>
  <c r="E5" i="15"/>
  <c r="K8" i="12"/>
  <c r="G7" i="12"/>
  <c r="U5" i="12"/>
  <c r="E5" i="12"/>
  <c r="I4" i="12"/>
  <c r="U30" i="15"/>
  <c r="M30" i="15"/>
  <c r="Q29" i="15"/>
  <c r="U27" i="15"/>
  <c r="M27" i="15"/>
  <c r="U25" i="15"/>
  <c r="M25" i="15"/>
  <c r="O11" i="15"/>
  <c r="K10" i="15"/>
  <c r="C10" i="15"/>
  <c r="O9" i="15"/>
  <c r="K8" i="15"/>
  <c r="C8" i="15"/>
  <c r="O7" i="15"/>
  <c r="K5" i="15"/>
  <c r="E10" i="12" l="1"/>
  <c r="I10" i="12"/>
  <c r="M10" i="12"/>
  <c r="Q19" i="15"/>
  <c r="G10" i="12"/>
  <c r="U19" i="15"/>
  <c r="C13" i="15"/>
  <c r="O13" i="15"/>
  <c r="M19" i="15"/>
  <c r="M13" i="15"/>
  <c r="K13" i="15"/>
  <c r="K19" i="15"/>
  <c r="S10" i="12"/>
  <c r="U10" i="12"/>
  <c r="S19" i="15"/>
  <c r="K10" i="12"/>
  <c r="E13" i="15"/>
  <c r="C21" i="15"/>
  <c r="C27" i="15"/>
  <c r="C22" i="15"/>
  <c r="C23" i="15"/>
  <c r="C26" i="15"/>
  <c r="C29" i="15"/>
  <c r="C20" i="15"/>
  <c r="C28" i="15"/>
  <c r="C25" i="15"/>
  <c r="C30" i="15"/>
  <c r="G19" i="15"/>
  <c r="U13" i="15"/>
  <c r="I19" i="15"/>
  <c r="C10" i="12"/>
  <c r="S13" i="15"/>
  <c r="Q2" i="12"/>
  <c r="Q4" i="12"/>
  <c r="Q7" i="12"/>
  <c r="Q8" i="12"/>
  <c r="Q6" i="12"/>
  <c r="Q5" i="12"/>
  <c r="Q3" i="12"/>
  <c r="Q3" i="15"/>
  <c r="Q7" i="15"/>
  <c r="Q9" i="15"/>
  <c r="Q11" i="15"/>
  <c r="Q6" i="15"/>
  <c r="Q2" i="15"/>
  <c r="Q10" i="15"/>
  <c r="Q8" i="15"/>
  <c r="I13" i="15"/>
  <c r="Q4" i="15"/>
  <c r="O10" i="12"/>
  <c r="G13" i="15"/>
  <c r="O19" i="15"/>
  <c r="C19" i="15" l="1"/>
  <c r="Q13" i="15"/>
  <c r="Q10" i="12"/>
  <c r="A109" i="3" l="1"/>
  <c r="A110" i="3" s="1"/>
  <c r="A111" i="3" s="1"/>
  <c r="A112" i="3" s="1"/>
  <c r="A102" i="3"/>
  <c r="A103" i="3" s="1"/>
  <c r="A104" i="3" s="1"/>
  <c r="A105" i="3" s="1"/>
  <c r="A84" i="3"/>
  <c r="A85" i="3" s="1"/>
  <c r="A86" i="3" s="1"/>
  <c r="A87" i="3" s="1"/>
  <c r="A88" i="3" s="1"/>
  <c r="A89" i="3" s="1"/>
  <c r="A90" i="3" s="1"/>
  <c r="A91" i="3" s="1"/>
  <c r="A92" i="3" s="1"/>
  <c r="A93" i="3" s="1"/>
  <c r="A58" i="3"/>
  <c r="A59" i="3" s="1"/>
  <c r="A60" i="3" s="1"/>
  <c r="A61" i="3" s="1"/>
  <c r="A62" i="3" s="1"/>
  <c r="A63" i="3" s="1"/>
  <c r="A64" i="3" s="1"/>
  <c r="A65" i="3" s="1"/>
  <c r="A44" i="3"/>
  <c r="A45" i="3" s="1"/>
  <c r="A46" i="3" s="1"/>
  <c r="A33" i="3"/>
  <c r="A34" i="3" s="1"/>
  <c r="A35" i="3" s="1"/>
  <c r="A27" i="3"/>
  <c r="A28" i="3" s="1"/>
  <c r="A29" i="3" s="1"/>
  <c r="A19" i="3"/>
  <c r="A20" i="3" s="1"/>
  <c r="A21" i="3" s="1"/>
  <c r="A22" i="3" s="1"/>
  <c r="A23" i="3" s="1"/>
  <c r="A15" i="3"/>
  <c r="A7" i="3"/>
  <c r="A8" i="3" s="1"/>
  <c r="A9" i="3" s="1"/>
  <c r="A10" i="3" s="1"/>
  <c r="A11" i="3" s="1"/>
  <c r="A39" i="2"/>
  <c r="A38" i="2"/>
  <c r="A35" i="2"/>
  <c r="A29" i="2"/>
  <c r="A30" i="2" s="1"/>
  <c r="A31" i="2" s="1"/>
  <c r="A32" i="2" s="1"/>
  <c r="A25" i="2"/>
  <c r="A22" i="2"/>
  <c r="A23" i="2" s="1"/>
  <c r="A24" i="2" s="1"/>
  <c r="A21" i="2"/>
  <c r="A16" i="2"/>
  <c r="A17" i="2" s="1"/>
  <c r="A15" i="2"/>
  <c r="A9" i="2"/>
  <c r="A10" i="2" s="1"/>
  <c r="A11" i="2" s="1"/>
  <c r="A8" i="2"/>
  <c r="A5" i="2"/>
  <c r="A4" i="2"/>
  <c r="A94" i="3" l="1"/>
  <c r="A95" i="3" s="1"/>
  <c r="A96" i="3" s="1"/>
  <c r="A97" i="3" s="1"/>
  <c r="A98" i="3" s="1"/>
  <c r="A66" i="3"/>
  <c r="A67" i="3" s="1"/>
  <c r="A68" i="3" s="1"/>
  <c r="A69" i="3" s="1"/>
  <c r="A70" i="3" s="1"/>
  <c r="A71" i="3" s="1"/>
  <c r="A72" i="3" s="1"/>
  <c r="A73" i="3" s="1"/>
  <c r="A47" i="3"/>
  <c r="A48" i="3" s="1"/>
  <c r="A49" i="3" s="1"/>
  <c r="A50" i="3" s="1"/>
  <c r="A36" i="3"/>
  <c r="A37" i="3" s="1"/>
  <c r="A26" i="2"/>
  <c r="A38" i="3" l="1"/>
  <c r="A39" i="3" s="1"/>
  <c r="A40" i="3" s="1"/>
  <c r="A51" i="3"/>
  <c r="A52" i="3" s="1"/>
  <c r="A53" i="3" s="1"/>
  <c r="A54" i="3" s="1"/>
  <c r="A74" i="3"/>
  <c r="A75" i="3" s="1"/>
  <c r="A76" i="3" s="1"/>
  <c r="A77" i="3" s="1"/>
  <c r="G3" i="2"/>
  <c r="G4" i="2"/>
  <c r="G5" i="2"/>
  <c r="C6" i="2"/>
  <c r="C45" i="2" s="1"/>
  <c r="D6" i="2"/>
  <c r="D45" i="2" s="1"/>
  <c r="E6" i="2"/>
  <c r="E45" i="2" s="1"/>
  <c r="F6" i="2"/>
  <c r="F45" i="2" s="1"/>
  <c r="G7" i="2"/>
  <c r="G8" i="2"/>
  <c r="G9" i="2"/>
  <c r="G10" i="2"/>
  <c r="G11" i="2"/>
  <c r="C13" i="2"/>
  <c r="D13" i="2"/>
  <c r="E13" i="2"/>
  <c r="E46" i="2" s="1"/>
  <c r="F13" i="2"/>
  <c r="G14" i="2"/>
  <c r="G15" i="2"/>
  <c r="G16" i="2"/>
  <c r="D17" i="2"/>
  <c r="E17" i="2"/>
  <c r="G17" i="2"/>
  <c r="C19" i="2"/>
  <c r="C47" i="2" s="1"/>
  <c r="D19" i="2"/>
  <c r="E19" i="2"/>
  <c r="F19" i="2"/>
  <c r="F47" i="2" s="1"/>
  <c r="G19" i="2"/>
  <c r="G20" i="2"/>
  <c r="G21" i="2"/>
  <c r="G22" i="2"/>
  <c r="G23" i="2"/>
  <c r="C24" i="2"/>
  <c r="G24" i="2" s="1"/>
  <c r="G25" i="2"/>
  <c r="D26" i="2"/>
  <c r="D27" i="2" s="1"/>
  <c r="E26" i="2"/>
  <c r="E27" i="2" s="1"/>
  <c r="G26" i="2"/>
  <c r="F27" i="2"/>
  <c r="G28" i="2"/>
  <c r="G29" i="2"/>
  <c r="C33" i="2"/>
  <c r="D33" i="2"/>
  <c r="D49" i="2" s="1"/>
  <c r="E33" i="2"/>
  <c r="E49" i="2" s="1"/>
  <c r="F33" i="2"/>
  <c r="F49" i="2" s="1"/>
  <c r="G34" i="2"/>
  <c r="C36" i="2"/>
  <c r="C50" i="2" s="1"/>
  <c r="D36" i="2"/>
  <c r="D50" i="2" s="1"/>
  <c r="E36" i="2"/>
  <c r="E50" i="2" s="1"/>
  <c r="F36" i="2"/>
  <c r="G37" i="2"/>
  <c r="G38" i="2"/>
  <c r="G39" i="2"/>
  <c r="C41" i="2"/>
  <c r="C51" i="2" s="1"/>
  <c r="D41" i="2"/>
  <c r="D51" i="2" s="1"/>
  <c r="E41" i="2"/>
  <c r="F41" i="2"/>
  <c r="C46" i="2"/>
  <c r="D46" i="2"/>
  <c r="F46" i="2"/>
  <c r="D47" i="2"/>
  <c r="E47" i="2"/>
  <c r="F50" i="2"/>
  <c r="E51" i="2"/>
  <c r="F51" i="2"/>
  <c r="A78" i="3" l="1"/>
  <c r="A79" i="3" s="1"/>
  <c r="A80" i="3" s="1"/>
  <c r="G27" i="2"/>
  <c r="G47" i="2"/>
  <c r="G33" i="2"/>
  <c r="C27" i="2"/>
  <c r="C48" i="2" s="1"/>
  <c r="C52" i="2" s="1"/>
  <c r="G6" i="2"/>
  <c r="G45" i="2"/>
  <c r="G51" i="2"/>
  <c r="G50" i="2"/>
  <c r="G36" i="2"/>
  <c r="C49" i="2"/>
  <c r="G49" i="2" s="1"/>
  <c r="G41" i="2"/>
  <c r="G46" i="2"/>
  <c r="G13" i="2"/>
  <c r="E42" i="2"/>
  <c r="E48" i="2"/>
  <c r="E52" i="2" s="1"/>
  <c r="D48" i="2"/>
  <c r="D52" i="2" s="1"/>
  <c r="D42" i="2"/>
  <c r="C42" i="2"/>
  <c r="F48" i="2"/>
  <c r="F42" i="2"/>
  <c r="G48" i="2" l="1"/>
  <c r="F52" i="2"/>
  <c r="G52" i="2" s="1"/>
  <c r="G42" i="2"/>
  <c r="D12" i="3"/>
  <c r="E12" i="3"/>
  <c r="F12" i="3"/>
  <c r="G12" i="3"/>
  <c r="H12" i="3"/>
  <c r="I12" i="3"/>
  <c r="J12" i="3"/>
  <c r="K12" i="3"/>
  <c r="D16" i="3"/>
  <c r="E16" i="3"/>
  <c r="F16" i="3"/>
  <c r="G16" i="3"/>
  <c r="H16" i="3"/>
  <c r="I16" i="3"/>
  <c r="J16" i="3"/>
  <c r="K16" i="3"/>
  <c r="D24" i="3"/>
  <c r="E24" i="3"/>
  <c r="F24" i="3"/>
  <c r="G24" i="3"/>
  <c r="H24" i="3"/>
  <c r="I24" i="3"/>
  <c r="J24" i="3"/>
  <c r="K24" i="3"/>
  <c r="D29" i="3"/>
  <c r="D30" i="3" s="1"/>
  <c r="E30" i="3"/>
  <c r="F30" i="3"/>
  <c r="G30" i="3"/>
  <c r="H30" i="3"/>
  <c r="I30" i="3"/>
  <c r="J30" i="3"/>
  <c r="K30" i="3"/>
  <c r="D41" i="3"/>
  <c r="E41" i="3"/>
  <c r="F41" i="3"/>
  <c r="G41" i="3"/>
  <c r="H41" i="3"/>
  <c r="I41" i="3"/>
  <c r="J41" i="3"/>
  <c r="K41" i="3"/>
  <c r="D55" i="3"/>
  <c r="E55" i="3"/>
  <c r="F55" i="3"/>
  <c r="G55" i="3"/>
  <c r="H55" i="3"/>
  <c r="I55" i="3"/>
  <c r="J55" i="3"/>
  <c r="K55" i="3"/>
  <c r="D81" i="3"/>
  <c r="E81" i="3"/>
  <c r="F81" i="3"/>
  <c r="G81" i="3"/>
  <c r="H81" i="3"/>
  <c r="I81" i="3"/>
  <c r="J81" i="3"/>
  <c r="K81" i="3"/>
  <c r="D99" i="3"/>
  <c r="E99" i="3"/>
  <c r="F99" i="3"/>
  <c r="G99" i="3"/>
  <c r="H99" i="3"/>
  <c r="I99" i="3"/>
  <c r="J99" i="3"/>
  <c r="K99" i="3"/>
  <c r="D106" i="3"/>
  <c r="E106" i="3"/>
  <c r="F106" i="3"/>
  <c r="G106" i="3"/>
  <c r="H106" i="3"/>
  <c r="I106" i="3"/>
  <c r="J106" i="3"/>
  <c r="K106" i="3"/>
  <c r="D113" i="3"/>
  <c r="E113" i="3"/>
  <c r="F113" i="3"/>
  <c r="G113" i="3"/>
  <c r="H113" i="3"/>
  <c r="H115" i="3" s="1"/>
  <c r="I113" i="3"/>
  <c r="J113" i="3"/>
  <c r="K113" i="3"/>
  <c r="G115" i="3" l="1"/>
  <c r="F115" i="3"/>
  <c r="E115" i="3"/>
  <c r="K115" i="3"/>
  <c r="I115" i="3"/>
  <c r="J115" i="3"/>
  <c r="D115" i="3"/>
</calcChain>
</file>

<file path=xl/sharedStrings.xml><?xml version="1.0" encoding="utf-8"?>
<sst xmlns="http://schemas.openxmlformats.org/spreadsheetml/2006/main" count="814" uniqueCount="474">
  <si>
    <t>Obsah:</t>
  </si>
  <si>
    <t>CELKEM</t>
  </si>
  <si>
    <t>VLASTNÍ SPRÁVNÍ ČINNOST KRAJE A ČINNOST ZASTUPITELSTVA KRAJE CELKEM</t>
  </si>
  <si>
    <t>Projekt bude financován systémem zálohových plateb. Výdaje jsou určeny na úhradu podílu kraje, neuznatelných výdajů a předfinancování výdajů na konci projektu.</t>
  </si>
  <si>
    <t>3266</t>
  </si>
  <si>
    <t>Vzděláváním v samosprávě ke zlepšení kvality činnosti územních samosprávných celků</t>
  </si>
  <si>
    <t xml:space="preserve"> -</t>
  </si>
  <si>
    <t>Rozvoj architektury ICT Moravskoslezského kraje</t>
  </si>
  <si>
    <t>3265</t>
  </si>
  <si>
    <t>Příměstské tábory pro děti zaměstnanců KÚ MSK</t>
  </si>
  <si>
    <t>3263</t>
  </si>
  <si>
    <t>Jednotný personální a mzdový systém pro Moravskoslezský kraj</t>
  </si>
  <si>
    <t>3264</t>
  </si>
  <si>
    <t>Efektivní veřejná správa</t>
  </si>
  <si>
    <t>VLASTNÍ SPRÁVNÍ ČINNOST KRAJE A ČINNOST ZASTUPITELSTVA KRAJE:</t>
  </si>
  <si>
    <t>ODVĚTVÍ ŽIVOTNÍHO PROSTŘEDÍ CELKEM</t>
  </si>
  <si>
    <t>Kotlíkové dotace v Moravskoslezském kraji - 1. grantové schéma</t>
  </si>
  <si>
    <t>3296</t>
  </si>
  <si>
    <t>Vybudování tůní na Krnovsku</t>
  </si>
  <si>
    <t>3295</t>
  </si>
  <si>
    <t>Tvorba tůní ve vybraných evropsky významných lokalitách</t>
  </si>
  <si>
    <t>3294</t>
  </si>
  <si>
    <t>Tvorba biotopu páchníka hnědého v evropsky významných lokalitách</t>
  </si>
  <si>
    <t>3293</t>
  </si>
  <si>
    <t>Implementace soustavy Natura 2000 v Moravskoslezském kraji, 2. vlna</t>
  </si>
  <si>
    <t>ODVĚTVÍ ŽIVOTNÍHO PROSTŘEDÍ:</t>
  </si>
  <si>
    <t>ODVĚTVÍ ZDRAVOTNICTVÍ CELKEM</t>
  </si>
  <si>
    <t>Částka 9.189 tis. Kč představuje financování projektu z rozpočtu MSK, zbývající prostředky budou hrazeny z Programu Švýcarsko-české spolupráce, státního rozpočtu a vlastních zdrojů nemocnice.</t>
  </si>
  <si>
    <t>Vybudování centra komplexní paliativní a geriatrické péče v LDN a OOP v Městě Albrechtice (Sdružené zdravotnické zařízení Krnov, příspěvková organizace)</t>
  </si>
  <si>
    <t>Zvýšení bezpečí pacientů, ochrany osobních údajů i kvality péče v nemocnicích MSK</t>
  </si>
  <si>
    <t>Vyžádaná a koordinovaná péče mezi poskytovateli v MSK</t>
  </si>
  <si>
    <t>Vybavení psychiatrické ambulance Krnov</t>
  </si>
  <si>
    <t>Pořízení přístrojové techniky a vybavení pro účely mikrobiologie</t>
  </si>
  <si>
    <t>Modernizace vybavení pro základní obory návazné péče v nemocnicích zřízených MSK</t>
  </si>
  <si>
    <t>Modernizace vybavení pro další obory návazné péče v nemocnicích zřízených MSK</t>
  </si>
  <si>
    <t>Modernizace a pořízení ITC systémů zajišťující ochranu a zabezpečení dat, síťového provozu pro nemocnice MSK</t>
  </si>
  <si>
    <t>Digitalizace krajské radiosítě</t>
  </si>
  <si>
    <t>Zateplení vybraných objektů Slezské nemocnice v Opavě - II. etapa</t>
  </si>
  <si>
    <t>Zateplení vybraných objektů Nemocnice ve Frýdku-Místku – II. etapa</t>
  </si>
  <si>
    <t>3292</t>
  </si>
  <si>
    <t>Výstavba výjezdového stanoviště Nový Jičín</t>
  </si>
  <si>
    <t>3291</t>
  </si>
  <si>
    <t>Revitalizace vybraných objektů areálu Nemocnice s poliklinikou Karviná-Ráj</t>
  </si>
  <si>
    <t>Modernizace a rekonstrukce pavilonu (oddělení) psychiatrie Nemocnice s poliklinikou Havířov, p. o.</t>
  </si>
  <si>
    <t>3290</t>
  </si>
  <si>
    <t>Energetické úspory ve vybraných objektech Zdravotnické záchranné služby Moravskoslezského kraje</t>
  </si>
  <si>
    <t>ODVĚTVÍ ZDRAVOTNICTVÍ:</t>
  </si>
  <si>
    <t>ODVĚTVÍ ŠKOLSTVÍ CELKEM</t>
  </si>
  <si>
    <t>Využití terapií ve vzdělávání žáků se zdravotním postižením</t>
  </si>
  <si>
    <t>3286</t>
  </si>
  <si>
    <t>Učebny CAD/CAM programování</t>
  </si>
  <si>
    <t>Spaces for learning</t>
  </si>
  <si>
    <t>Rozvoj přirozených dovedností žáků v přírodních vědách</t>
  </si>
  <si>
    <t>Podpora výuky CNC obrábění</t>
  </si>
  <si>
    <t>3285</t>
  </si>
  <si>
    <t>Podpora strojírenských oborů II</t>
  </si>
  <si>
    <t>3283</t>
  </si>
  <si>
    <t>Podpora inkluze v Moravskoslezském kraji</t>
  </si>
  <si>
    <t>3275</t>
  </si>
  <si>
    <t>Napříč Evropou s mládeží</t>
  </si>
  <si>
    <t>MSKariéra</t>
  </si>
  <si>
    <t>Modernizace výuky svařování</t>
  </si>
  <si>
    <t>Modernizace výuky přírodovědných předmětů</t>
  </si>
  <si>
    <t>3289</t>
  </si>
  <si>
    <t>3287</t>
  </si>
  <si>
    <t xml:space="preserve">Laboratoře virtuální reality </t>
  </si>
  <si>
    <t>Laboratoře technických měření</t>
  </si>
  <si>
    <t>Krajský akční plán rozvoje vzdělávání Moravskoslezského kraje</t>
  </si>
  <si>
    <t>3284</t>
  </si>
  <si>
    <t xml:space="preserve">Jazykové učebny a laboratoře SŠ MSK,zlepšování podmínek výuky jazyků ve SŠ MSK </t>
  </si>
  <si>
    <t>Elektrolaboratoře</t>
  </si>
  <si>
    <t>Cooperation in vocational education for European labour market</t>
  </si>
  <si>
    <t>3288</t>
  </si>
  <si>
    <t>Aditivní technologie a 3D tisk do škol v Moravskoslezském kraji</t>
  </si>
  <si>
    <t>Vybudování dílen pro praktické vyučování, Střední odborná škola, Frýdek-Místek, příspěvková organizace</t>
  </si>
  <si>
    <t>Modernizace Školního statku v Opavě</t>
  </si>
  <si>
    <t>Energetické úspory ve školách a školských zařízeních zřizovaných Moravskoslezským krajem – IV. etapa</t>
  </si>
  <si>
    <t>Dílny pro Střední školu stavební a dřevozpracující, Ostrava, příspěvková organizace</t>
  </si>
  <si>
    <t>Budova dílen pro obor Opravář zemědělských strojů ve Střední odborné škole Bruntál</t>
  </si>
  <si>
    <t>ODVĚTVÍ ŠKOLSTVÍ:</t>
  </si>
  <si>
    <t>ODVĚTVÍ SOCIÁLNÍCH VĚCÍ CELKEM</t>
  </si>
  <si>
    <t>Podporujeme hrdinství, které není vidět</t>
  </si>
  <si>
    <t>Podpora zkvalitnění a rozvoje služeb pro osoby s duševním onemocněním</t>
  </si>
  <si>
    <t>Podpora transformace v MSK III</t>
  </si>
  <si>
    <t>Podpora služeb sociální prevence 1</t>
  </si>
  <si>
    <t>Podpora rozvoje rodičovských kompetencí</t>
  </si>
  <si>
    <t>Podpora komunitní práce na území MSK</t>
  </si>
  <si>
    <t>Podpora a rozvoj náhradní rodinné péče v Moravskoslezském kraji</t>
  </si>
  <si>
    <t>Projekty budou financovány systémem zálohových plateb. Výdaje jsou určeny na úhradu podílu kraje, neuznatelných výdajů a předfinancování výdajů na konci projektů.</t>
  </si>
  <si>
    <t>Efektivní naplňování střednědobého plánu v podmínkách MSK</t>
  </si>
  <si>
    <t>3282</t>
  </si>
  <si>
    <t>Zateplení budovy Domova Duha v Novém Jičíně</t>
  </si>
  <si>
    <t>Sociálně terapeutické dílny a zázemí pro vedení organizace Sagapo v Bruntále</t>
  </si>
  <si>
    <t>Chráněné bydlení organizace Sagapo v Bruntále</t>
  </si>
  <si>
    <t>Domov pro osoby se zdravotním postižením organizace Sagapo v Bruntále</t>
  </si>
  <si>
    <t>ODVĚTVÍ SOCIÁLNÍCH VĚCÍ:</t>
  </si>
  <si>
    <t>ODVĚTVÍ CESTOVNÍHO RUCHU CELKEM</t>
  </si>
  <si>
    <t>3278</t>
  </si>
  <si>
    <t>TECHNO TRASA</t>
  </si>
  <si>
    <t>3277</t>
  </si>
  <si>
    <t>Přeshraniční páteřní síť cyklotras</t>
  </si>
  <si>
    <t>3276</t>
  </si>
  <si>
    <t>Přeshraniční lyžařské běžecké trasy</t>
  </si>
  <si>
    <t>Kulturní a přírodní dědictví pro rozvoj polsko-českého pohraničí "Společné dědictví"</t>
  </si>
  <si>
    <t>3274</t>
  </si>
  <si>
    <t>Chutě a vůně bez hranic</t>
  </si>
  <si>
    <t>3273</t>
  </si>
  <si>
    <t>Historické poznání kraje - folklór a tradice</t>
  </si>
  <si>
    <t>3272</t>
  </si>
  <si>
    <t>Gastroturistika</t>
  </si>
  <si>
    <t>3271</t>
  </si>
  <si>
    <t>Cyklovýlety na hrady a zámky v Moravskoslezském a Žilinském kraji</t>
  </si>
  <si>
    <t>3270</t>
  </si>
  <si>
    <t>Bez bariér se nám žije snáz</t>
  </si>
  <si>
    <t>ODVĚTVÍ CESTOVNÍHO RUCHU:</t>
  </si>
  <si>
    <t>ODVĚTVÍ REGIONÁLNÍHO ROZVOJE CELKEM</t>
  </si>
  <si>
    <t>Technická pomoc - Podpora aktivit v rámci Programu Interreg V-A ČR - PR</t>
  </si>
  <si>
    <t>Celkové výdaje uvedeny jen pro rok 2016.</t>
  </si>
  <si>
    <t>x</t>
  </si>
  <si>
    <t>3998</t>
  </si>
  <si>
    <t>Prostředky na přípravu projektů</t>
  </si>
  <si>
    <t>Smart akcelerátor RIS 3 strategie</t>
  </si>
  <si>
    <t>3279</t>
  </si>
  <si>
    <t>Duhové variace</t>
  </si>
  <si>
    <t>ODVĚTVÍ REGIONÁLNÍHO ROZVOJE:</t>
  </si>
  <si>
    <t>ODVĚTVÍ KULTURY CELKEM</t>
  </si>
  <si>
    <t>3267</t>
  </si>
  <si>
    <t>Revitalizace zámku ve Frýdku včetně obnovy expozice</t>
  </si>
  <si>
    <t>Revitalizace Hradu Hukvaldy</t>
  </si>
  <si>
    <t>3268</t>
  </si>
  <si>
    <t>Přístavba Domu umění - Galerie 21. století</t>
  </si>
  <si>
    <t>NKP Zámek Bruntál - Revitalizace objektu „saly terreny"</t>
  </si>
  <si>
    <t>J. A. Komenský a jeho životní štěstí ve Fulneku</t>
  </si>
  <si>
    <t xml:space="preserve">Hrad Sovinec - záchrana a revitalizace unikátní kulturní památky  </t>
  </si>
  <si>
    <t>ODVĚTVÍ KULTURY:</t>
  </si>
  <si>
    <t>ODVĚTVÍ KRIZOVÉHO ŘÍZENÍ CELKEM</t>
  </si>
  <si>
    <t>Vybudování komunikační platformy krizového řízení</t>
  </si>
  <si>
    <t>Rozvoj ICT a služeb v prostředí IZS</t>
  </si>
  <si>
    <t>ODVĚTVÍ KRIZOVÉHO ŘÍZENÍ:</t>
  </si>
  <si>
    <t>ODVĚTVÍ DOPRAVY CELKEM</t>
  </si>
  <si>
    <t>Příprava staveb a vypořádání pozemků (Správa silnic Moravskoslezského kraje, příspěvková organizace, Ostrava)</t>
  </si>
  <si>
    <t>Předpoklad čerpání výdajů v roce 2020 je ve výši 741 tis. Kč.</t>
  </si>
  <si>
    <t>3262</t>
  </si>
  <si>
    <t>RESOLVE - Sustainable mobility and the transition to a low-carbon retailing economy -  RESOLVE - Udržitelná mobilita a přechod k nízkouhlíkové ekonomice služeb (obchodu)</t>
  </si>
  <si>
    <t>Rekonstrukce silnice II/477 Frýdek - Místek - Lískovec</t>
  </si>
  <si>
    <t>Rekonstrukce silnice II/475 Horní Suchá - průtah</t>
  </si>
  <si>
    <t>Rekonstrukce MÚK Bazaly – I. etapa</t>
  </si>
  <si>
    <t>3261</t>
  </si>
  <si>
    <t>Rekonstrukce a modernizace silnic II. a III. tříd - IROP 2015</t>
  </si>
  <si>
    <t>ODVĚTVÍ DOPRAVY:</t>
  </si>
  <si>
    <t>2019</t>
  </si>
  <si>
    <t>2018</t>
  </si>
  <si>
    <t>Poznámka</t>
  </si>
  <si>
    <t>Rozpočtový výhled</t>
  </si>
  <si>
    <t>Návrh
na rok 2016</t>
  </si>
  <si>
    <t>Předpokl. výdaje
r. 2015</t>
  </si>
  <si>
    <t>Skutečné výdaje
před r. 2015</t>
  </si>
  <si>
    <t>Podíl MSK
na celkových výdajích</t>
  </si>
  <si>
    <t>Celkové výdaje
na akci</t>
  </si>
  <si>
    <t>Název akce</t>
  </si>
  <si>
    <t>Str. přílohy č. 2</t>
  </si>
  <si>
    <t>v tis. Kč</t>
  </si>
  <si>
    <t>Celkový součet</t>
  </si>
  <si>
    <t>Životní prostředí</t>
  </si>
  <si>
    <t>Zdravotnictví</t>
  </si>
  <si>
    <t>Školství</t>
  </si>
  <si>
    <t>Sociální věci</t>
  </si>
  <si>
    <t>Cestovní ruch</t>
  </si>
  <si>
    <t>Regionální rozvoj</t>
  </si>
  <si>
    <t>Kultura</t>
  </si>
  <si>
    <t>% 2016/
SR 2015</t>
  </si>
  <si>
    <t>Rok 2016</t>
  </si>
  <si>
    <t>Čerpání
k 9/2015</t>
  </si>
  <si>
    <t>Upravený rozpočet 9/2015</t>
  </si>
  <si>
    <t>Schválený rozpočet 2015</t>
  </si>
  <si>
    <t>Rekapitulace dotačních programů dle odvětví</t>
  </si>
  <si>
    <t>Odvětví životního prostředí celkem</t>
  </si>
  <si>
    <t>Dotační programy nezařazené do rozpočtu na rok 2016 (odvětví životního prostředí)</t>
  </si>
  <si>
    <t>Podpora dobrovolných aktivit v oblasti udržitelného rozvoje</t>
  </si>
  <si>
    <t>Podpora hospodaření v lesích v Moravskoslezském kraji</t>
  </si>
  <si>
    <t>Drobné vodohospodářské akce</t>
  </si>
  <si>
    <t>Odvětví zdravotnictví celkem</t>
  </si>
  <si>
    <t>Specializační vzdělávání všeobecných praktických lékařů pro dospělé a praktických lékařů pro děti a dorost</t>
  </si>
  <si>
    <t>Program na podporu projektů ve zdravotnictví</t>
  </si>
  <si>
    <t>Odvětví školství celkem</t>
  </si>
  <si>
    <t>Podpora environmentálního vzdělávání, výchovy a osvěty (EVVO)</t>
  </si>
  <si>
    <t>Podpora aktivit v oblasti prevence rizikových projevů chování</t>
  </si>
  <si>
    <t xml:space="preserve">Podpora aktivit v oblastech využití volného času dětí a mládeže a celoživotního vzdělávání osob se zdravotním postižením </t>
  </si>
  <si>
    <t>Podpora sportu v Moravskoslezském kraji</t>
  </si>
  <si>
    <t>Odvětví sociálních věcí celkem</t>
  </si>
  <si>
    <t>Program zajištění dostupnosti vybraných sociálních služeb v Moravskoslezském kraji</t>
  </si>
  <si>
    <t>Program na podporu komunitní práce a na zmírňování následků sociálního vyloučení v sociálně vyloučených lokalitách Moravskoslezského kraje</t>
  </si>
  <si>
    <t>Program na podporu financování běžných výdajů souvisejících s poskytováním sociálních služeb včetně realizace protidrogové politiky kraje</t>
  </si>
  <si>
    <t>Program podpory činností v oblasti sociálně právní ochrany dětí a navazujících činností v sociálních službách</t>
  </si>
  <si>
    <t xml:space="preserve">Program na podporu zvýšení kvality sociálních služeb poskytovaných v Moravskoslezském kraji </t>
  </si>
  <si>
    <t>Program realizace specifických aktivit Moravskoslezského krajského plánu vyrovnávání příležitostí pro občany se zdravotním postižením</t>
  </si>
  <si>
    <t xml:space="preserve">Program na podporu neinvestičních aktivit z oblasti  prevence kriminality </t>
  </si>
  <si>
    <t>Odvětví cestovního ruchu celkem</t>
  </si>
  <si>
    <t>Dotační programy nezařazené do rozpočtu na rok 2016 (odvětví cestovního ruchu)</t>
  </si>
  <si>
    <t>Program na podporu technických atraktivit</t>
  </si>
  <si>
    <t>Podpora turistických oblastí v Moravskoslezském kraji</t>
  </si>
  <si>
    <t>Podpora turistických informačních center v Moravskoslezském kraji</t>
  </si>
  <si>
    <t>Úprava lyžařských běžeckých tras v Moravskoslezském kraji</t>
  </si>
  <si>
    <t>Odvětví regionálního rozvoje celkem</t>
  </si>
  <si>
    <t>Dotační programy nezařazené do rozpočtu na rok 2016 (odvětví regionálního rozvoje)</t>
  </si>
  <si>
    <t>Program podpory financování akcí s podporou EU pro obce do 2 tis. obyvatel</t>
  </si>
  <si>
    <t>Podpora podnikání</t>
  </si>
  <si>
    <t>Podpora vědy a výzkumu v Moravskoslezském kraji</t>
  </si>
  <si>
    <t>Program na podporu přípravy projektové dokumentace</t>
  </si>
  <si>
    <t>Podpora obnovy a rozvoje venkova Moravskoslezského kraje</t>
  </si>
  <si>
    <t>Odvětví kultury celkem</t>
  </si>
  <si>
    <t>Program podpory aktivit příslušníků národnostních menšin žijících na území Moravskoslezského kraje</t>
  </si>
  <si>
    <t>Program podpory aktivit v oblasti kultury</t>
  </si>
  <si>
    <t>Program obnovy kulturních památek a památkově chráněných nemovitostí v Moravskoslezském kraji</t>
  </si>
  <si>
    <t>DOTAČNÍ PROGRAMY
(v tis. Kč)</t>
  </si>
  <si>
    <t>PŘEHLED DOTAČNÍCH PROGRAMŮ NAVRŽENÝCH K FINANCOVÁNÍ Z ROZPOČTU
NA ROK 2016 (v tis. Kč)</t>
  </si>
  <si>
    <t>Podpora volnočasových aktivit směřující k „Naplňování Koncepce podpory mládeže na krajské úrovni“</t>
  </si>
  <si>
    <t>str.</t>
  </si>
  <si>
    <t>Přehled dotačních programů navržených k financování z rozpočtu
na rok 2016</t>
  </si>
  <si>
    <t>Přehled akcí spolufinancovaných z evropských finančních zdrojů
z pohledu způsobu financování v roce 2016</t>
  </si>
  <si>
    <t>Přehled příjmů zařazených do návrhu rozpočtu na rok 2016</t>
  </si>
  <si>
    <t xml:space="preserve"> PŘEHLED AKCÍ SPOLUFINANCOVANÝCH Z EVROPSKÝCH FINANČNÍCH ZDROJŮ VČETNĚ ZÁVAZKŮ KRAJE VYVOLANÝCH
PRO ROK 2017 A DALŠÍ LÉTA (v tis. Kč)             </t>
  </si>
  <si>
    <t>Přehled akcí spolufinancovaných z evropských finančních zdrojů včetně závazků kraje vyvolaných pro rok 2017 a další léta</t>
  </si>
  <si>
    <t>Rozborové tabulky a grafy k návrhu rozpočtu kraje
na rok 2016</t>
  </si>
  <si>
    <t>Modernizace IT vybavení škol zřizovaných Moravskoslezským krajem</t>
  </si>
  <si>
    <t>OBLAST VLASTNÍ SPRÁVNÍ ČINNOST KRAJE
A ČINNOST ZASTUPITELSTVA KRAJE CELKEM</t>
  </si>
  <si>
    <t>Pořízení náhradních zdrojů na všechna VS ZZS MSK</t>
  </si>
  <si>
    <t>Vybudování pavilonu interních oborů v Opavě</t>
  </si>
  <si>
    <t>Sanitní vozy a služby eHealth</t>
  </si>
  <si>
    <t>Rekonstrukce geriatrického oddělení  v Nemocnici s poliklinikou Havířov, p.o</t>
  </si>
  <si>
    <t>Pavilon chirurgických oborů v Nemocnici ve Frýdku – Místku, p.o.</t>
  </si>
  <si>
    <t>Krajský standardizovaný projekt zdravotnické záchranné služby Moravskoslezského kraje</t>
  </si>
  <si>
    <t>Modernizace IT vybavení škol zřizovaných MSK</t>
  </si>
  <si>
    <t>Aditivní technologie a 3D tisk do škol MSK</t>
  </si>
  <si>
    <t>Výstavba fóliovníků v Opavě</t>
  </si>
  <si>
    <t>Vybudování dílen ve Střední škole technické a zemědělské, Nový Jičín</t>
  </si>
  <si>
    <t>Přírodovědné učebny a laboratoře ve středních odborných školách</t>
  </si>
  <si>
    <t>Přírodovědné laboratoře v gymnáziích</t>
  </si>
  <si>
    <t>Přírodovědné laboratoře</t>
  </si>
  <si>
    <t>Podpora strojírenských oborů</t>
  </si>
  <si>
    <t>Podpora přírodovědných předmětů</t>
  </si>
  <si>
    <t>Modernizace, rekonstrukce a výstavba sportovišť vzdělávacích zařízení V</t>
  </si>
  <si>
    <t>Modernizace, rekonstrukce a výstavba sportovišť vzdělávacích zařízení IV</t>
  </si>
  <si>
    <t>Modernizace, rekonstrukce a výstavba sportovišť vzdělávacích zařízení II</t>
  </si>
  <si>
    <t>Modernizace výuky ve zdravotnických oborech</t>
  </si>
  <si>
    <t>Modernizace výuky a podmínek pro výuku v základních uměleckých školách</t>
  </si>
  <si>
    <t>Jazykové učebny středních odborných škol</t>
  </si>
  <si>
    <t>Atraktivnější výuka zahradnických oborů</t>
  </si>
  <si>
    <t>Transformace zámku Nová Horka</t>
  </si>
  <si>
    <t>Transformace zámku Dolní Životice A</t>
  </si>
  <si>
    <t>Rekonstrukce domova pro osoby se zdravotním postižením ve Frýdku-Místku</t>
  </si>
  <si>
    <t>Rekonstrukce objektu v Českém Těšíně na chráněné bydlení</t>
  </si>
  <si>
    <t>Pořízení vozidel do objektů sociálních zařízení</t>
  </si>
  <si>
    <t>Poradna pro pěstounskou péči v Ostravě</t>
  </si>
  <si>
    <t>Novostavba domova pro osoby se zdravotním postižením v Havířově</t>
  </si>
  <si>
    <t>Nákup lůžek a matrací pro sociální zařízení</t>
  </si>
  <si>
    <t>Humanizace domova pro seniory na ul. Rooseveltově v Opavě</t>
  </si>
  <si>
    <t>4. etapa transformace organizace Marianum</t>
  </si>
  <si>
    <t>3. etapa transformace organizace Marianum B</t>
  </si>
  <si>
    <t>Cestuj a poznávej Moravskoslezský kraj - s chutí</t>
  </si>
  <si>
    <t>Příprava projektů</t>
  </si>
  <si>
    <t>Hrad Sovinec – zpřístupnění barokního opevnění a podzemní chodby</t>
  </si>
  <si>
    <t>Archeopark Chotěbuz – 2. část</t>
  </si>
  <si>
    <t>Výstavba integrovaného výjezdového centra v Třinci</t>
  </si>
  <si>
    <t>Výjezdové centrum jednotky Sboru dobrovolných hasičů Města Albrechtice a Zdravotnické záchranné služby MSK</t>
  </si>
  <si>
    <t>Nákup hasičské výškové techniky</t>
  </si>
  <si>
    <t>Nákup dopravních automobilů pro JPO</t>
  </si>
  <si>
    <t>Integrované výjezdové centrum Ostrava-Jih</t>
  </si>
  <si>
    <t>Silnice 2015 - Mariánskohorská</t>
  </si>
  <si>
    <t>Silnice 2015 - 7 staveb</t>
  </si>
  <si>
    <t>Silnice 2014 - VI. etapa</t>
  </si>
  <si>
    <t>Silnice 2014 - V. etapa</t>
  </si>
  <si>
    <t>Silnice 2014 - IV. etapa</t>
  </si>
  <si>
    <t>Silnice 2014 - III. etapa</t>
  </si>
  <si>
    <t>Silnice 2014 - II. etapa</t>
  </si>
  <si>
    <t>Silnice 2014 - I. etapa</t>
  </si>
  <si>
    <t>Silnice 2013 - IV. etapa</t>
  </si>
  <si>
    <t>Silnice 2013 - I. etapa</t>
  </si>
  <si>
    <t>Silnice III/4785 prodloužená Bílovecká</t>
  </si>
  <si>
    <t>Silnice II/462 Vítkov - Větřkovice</t>
  </si>
  <si>
    <t>Silnice II/452 Bruntál - Mezina</t>
  </si>
  <si>
    <t>Letiště Leoše Janáčka Ostrava, integrované výjezdové centrum</t>
  </si>
  <si>
    <t>z toho
na splátku
za akce financované z úvěru ČSOB</t>
  </si>
  <si>
    <t>z toho
na splátku
za akce financované z úvěru České spořitelny</t>
  </si>
  <si>
    <t>celkem</t>
  </si>
  <si>
    <t>z toho financováno z úvěru ČSOB</t>
  </si>
  <si>
    <t>Návrh příjmů
na rok 2016</t>
  </si>
  <si>
    <t>Evropské finanční zdroje
a státní rozpočet</t>
  </si>
  <si>
    <t>Podíl MSK</t>
  </si>
  <si>
    <t>Návrh výdajů
na rok 2016 celkem</t>
  </si>
  <si>
    <t>Celkové výdaje na projekt</t>
  </si>
  <si>
    <t>z pohledu způsobu financování na rok 2016 v členění dle odvětví (v tis. Kč)</t>
  </si>
  <si>
    <t xml:space="preserve"> PŘEHLED AKCÍ SPOLUFINANCOVANÝCH Z EVROPSKÝCH FINANČNÍCH ZDROJŮ                  </t>
  </si>
  <si>
    <t xml:space="preserve">Jazykové učebny a laboratoře SŠ MSK, zlepšování podmínek výuky jazyků ve SŠ MSK </t>
  </si>
  <si>
    <t>Graf č. 1 - Rozpočet Moravskoslezského kraje v letech 2009 až 2015, návrh rozpočtu Moravskoslezského kraje na rok 2016</t>
  </si>
  <si>
    <t>Graf č. 2 - Schválený rozpočet příjmů Moravskoslezského kraje v letech 2009 až 2015, návrh rozpočtu příjmů Moravskoslezského kraje na rok 2016 v členění na přijaté dotace, daňové, nedaňové a kapitálové příjmy</t>
  </si>
  <si>
    <t>Graf č. 3 - Schválený rozpočet výdajů Moravskoslezského kraje v letech 2009 až 2015, návrh rozpočtu výdajů Moravskoslezského kraje na rok 2016 v členění na běžné a kapitálové výdaje</t>
  </si>
  <si>
    <t>Graf č. 4 - Struktura návrhu rozpočtu Moravskoslezského kraje na rok 2016 - PŘÍJMY</t>
  </si>
  <si>
    <t>Graf č. 5 - Struktura návrhu rozpočtu Moravskoslezského kraje na rok 2016 - VÝDAJE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</si>
  <si>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</si>
  <si>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</si>
  <si>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</si>
  <si>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</si>
  <si>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</si>
  <si>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</si>
  <si>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</si>
  <si>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</si>
  <si>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</si>
  <si>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</si>
  <si>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</si>
  <si>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</si>
  <si>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</si>
  <si>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</si>
  <si>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</si>
  <si>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</si>
  <si>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</si>
  <si>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</si>
  <si>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</si>
  <si>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</si>
  <si>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k 9/14(dle kalk.)</t>
  </si>
  <si>
    <t>Schválený rozpočet</t>
  </si>
  <si>
    <t>Příjmy po konsolidaci</t>
  </si>
  <si>
    <t>Přijaté dotace</t>
  </si>
  <si>
    <t>Kapitálové příjmy</t>
  </si>
  <si>
    <t>Nedaňové příjmy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</si>
  <si>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</si>
  <si>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</si>
  <si>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</si>
  <si>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</si>
  <si>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</si>
  <si>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</si>
  <si>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</si>
  <si>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</si>
  <si>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</si>
  <si>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Daňové příjmy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</si>
  <si>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</si>
  <si>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</si>
  <si>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</si>
  <si>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</si>
  <si>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</si>
  <si>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</si>
  <si>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</si>
  <si>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</si>
  <si>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</si>
  <si>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</si>
  <si>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</si>
  <si>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Krajský úřad</t>
  </si>
  <si>
    <t>Územní plánování a stavební řád</t>
  </si>
  <si>
    <t xml:space="preserve">Regionální rozvoj </t>
  </si>
  <si>
    <t>Krizové řízení</t>
  </si>
  <si>
    <t>Doprava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</si>
  <si>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</si>
  <si>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</si>
  <si>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</si>
  <si>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</si>
  <si>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</si>
  <si>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akce EU</t>
  </si>
  <si>
    <t>Návratné finanční výpomoci</t>
  </si>
  <si>
    <t>Příspěvky PO celkem - provoz</t>
  </si>
  <si>
    <t>Samosprávné činnosti celkem</t>
  </si>
  <si>
    <t>Finance a správa majetku</t>
  </si>
  <si>
    <t>Běžné výdaje na zastupitelstvo kraje a krajský úřad</t>
  </si>
  <si>
    <t>Činnost zastupitelstva</t>
  </si>
  <si>
    <t>VÝDAJE</t>
  </si>
  <si>
    <t>PŘÍJMY CELKEM</t>
  </si>
  <si>
    <t>Přijaté dotace celkem</t>
  </si>
  <si>
    <t>Nákup prvosledových hasičských vozidel se speciální IT technikou</t>
  </si>
  <si>
    <t>Vybudování dílen ve Střední škole technické a zemědělské, Nový Jičín, příspěvkové organizaci</t>
  </si>
  <si>
    <t xml:space="preserve">Silnice II/462 Vítkov - Větřkovice </t>
  </si>
  <si>
    <t xml:space="preserve">Silnice II/452 Bruntál - Mezina </t>
  </si>
  <si>
    <t>Investiční přijaté transfery od regionálních rad</t>
  </si>
  <si>
    <t>Archeopark Chotěbuz - 2. část</t>
  </si>
  <si>
    <t>Nákup hasičských vozidel se zařízením pro výrobu a dopravu pěny</t>
  </si>
  <si>
    <t>Rekonstrukce geriatrického oddělení  v Nemocnici s poliklinikou Havířov, příspěvková organizace</t>
  </si>
  <si>
    <t xml:space="preserve">Přírodovědné učebny a laboratoře ve středních odborných školách </t>
  </si>
  <si>
    <t>Rekonstrukce gynekologicko-porodního oddělení v Nemocnici s poliklinikou Karviná - Ráj, p.o.</t>
  </si>
  <si>
    <t>Pavilon chirurgických oborů v Nemocnici ve Frýdku-Místku, p.o.</t>
  </si>
  <si>
    <t>Investiční přijaté transfery od obcí</t>
  </si>
  <si>
    <t>3. etapa transformace organizace Marianum A</t>
  </si>
  <si>
    <t>Ostatní investiční přijaté transfery ze státního rozpočtu</t>
  </si>
  <si>
    <t>Neinvestiční přijaté transfery od regionálních rad</t>
  </si>
  <si>
    <t>Dotační program – Program zajištění dostupnosti vybraných sociálních služeb v Moravskoslezském kraji  (udržitelnost projektů)</t>
  </si>
  <si>
    <t>Dopravní obslužnost - linková doprava</t>
  </si>
  <si>
    <t>Neinvestiční přijaté transfery od obcí</t>
  </si>
  <si>
    <t>Neinvestiční převody z Národního fondu</t>
  </si>
  <si>
    <t>Podpora procesu transformace pobytových sociálních služeb v Moravskoslezském kraji II</t>
  </si>
  <si>
    <t>Partnerstvím ke zvýšení zaměstnanosti</t>
  </si>
  <si>
    <t>Evaluace poskytování sociálních služeb v Moravskoslezském kraji</t>
  </si>
  <si>
    <t>Dopravní obslužnost - drážní doprava</t>
  </si>
  <si>
    <t>Ostatní neinvestiční přijaté transfery ze státního rozpočtu</t>
  </si>
  <si>
    <t>Neinvestiční přijaté transfery z státního rozpočtu v rámci souhrnného dotačního vztahu</t>
  </si>
  <si>
    <t>Komentář</t>
  </si>
  <si>
    <t>Příjem
(v tis. Kč)</t>
  </si>
  <si>
    <t>Název položky</t>
  </si>
  <si>
    <t>Položka</t>
  </si>
  <si>
    <t>Kapitálové příjmy celkem</t>
  </si>
  <si>
    <t>Ostatní investiční příjmy jinde nezařazené</t>
  </si>
  <si>
    <t>Příjmy z prodeje ostatních nemovitostí a jejich částí</t>
  </si>
  <si>
    <t>Příjmy z prodeje pozemků</t>
  </si>
  <si>
    <t>Nedaňové příjmy celkem</t>
  </si>
  <si>
    <t>Splátky půjčených prostředků od příspěvkových organizací</t>
  </si>
  <si>
    <t>Splátky půjčených prostředků od obecně prospěšných společností a podobných subjektů</t>
  </si>
  <si>
    <t>2420</t>
  </si>
  <si>
    <t>Vratka návratné finanční výpomoci poskytnuté krajské destinační společnosti Moravian-Silesian Tourism, s.r.o. na realizaci projektu "Podpora tvorby a marketingu produktů cestovního ruchu na území Moravskoslezského kraje" na základě smlouvy č. 02666/2015/RRC.</t>
  </si>
  <si>
    <t>2412</t>
  </si>
  <si>
    <t>Platby za odebrané množství podzemní vody</t>
  </si>
  <si>
    <t>Ostatní nedaňové příjmy jinde nezařazené</t>
  </si>
  <si>
    <t>Na základě přípravy  návrhu nového zákona o prevenci závažných havárií bude kraj hradit výdaje spojené se zpracováním posudku, stanovením zóny havarijního plánování, zpracováním a poskytováním informací veřejnosti a s tím souvisejících činností. Náklady na posuzování budou kompenzovány novými správními poplatky. Účinnost zákona je plánovaná od roku 2016.</t>
  </si>
  <si>
    <t>Příjmy z inkasovaných dobropisů, vratky přeplatků záloh, náhrady za škody způsobené zaměstnanci.</t>
  </si>
  <si>
    <t>Přijaté nekapitálové příspěvky a náhrady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</si>
  <si>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</si>
  <si>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Sankční platby přijaté od jiných subjektů</t>
  </si>
  <si>
    <t>Sankční platby přijaté od státu, obcí a krajů</t>
  </si>
  <si>
    <t>Příjmy z úroků (část)</t>
  </si>
  <si>
    <t>Příjmy z umístění zařízení v budově A krajského úřadu na základě smluv uzavřených s Telefónicou Czech Republic, Copy Star a Automaty Kavamat Vending.</t>
  </si>
  <si>
    <t>Ostatní příjmy z pronájmu majetku</t>
  </si>
  <si>
    <t>Příjmy z pronájmu nebytových prostor v budovách krajského úřadu na základě smluv uzavřených s Regionální radou regionu soudržnosti Moravskoslezsko, Agenturou pro podporu podnikání a investic CzechInvest, Českou poštou a Sodexem.</t>
  </si>
  <si>
    <t>Pronájem podniku Nemocnice v Novém Jičíně - na základě usnesení ZK č. 21/1723 ze dne 21. 9. 2011 a smlouvy o nájmu podniku č. 02262/2011/ZDR.</t>
  </si>
  <si>
    <t>Pronájem podniku společnost Letiště Ostrava a. s. - na základě usnesení RK č. 43/3413 z 28.6.2004 a smlouvy č. 0671/2004/POR včetně dodatků.</t>
  </si>
  <si>
    <t>Příjmy z pronájmu ostatních nemovitostí a jejich částí</t>
  </si>
  <si>
    <t>Příjmy z pronájmu pozemků</t>
  </si>
  <si>
    <t>Odvody příspěvkových organizací</t>
  </si>
  <si>
    <t>Ostatní příjmy z vlastní činnosti</t>
  </si>
  <si>
    <t>Příjem z přefakturovaných nákladů na základě smlouvy č. 456/2008/KH v rámci projektu Integrované bezpečnostní centrum MSK.</t>
  </si>
  <si>
    <t>Příjmy z refakturovaných nákladů za dodávky energií a poskytnuté služby související s užíváním nebytových prostor v budovách krajského úřadu cizími subjekty na základě uzavřených smluv.</t>
  </si>
  <si>
    <t>Příjmy z poskytování služeb a výrobků</t>
  </si>
  <si>
    <t>Daňové příjmy celkem</t>
  </si>
  <si>
    <t>Správní poplatky</t>
  </si>
  <si>
    <t>Daň z přidané hodnoty</t>
  </si>
  <si>
    <t>Daň z příjmů právnických osob za kraje</t>
  </si>
  <si>
    <t>Daň z příjmů právnických osob</t>
  </si>
  <si>
    <t>Daň z příjmů fyzických osob z kapitálových výnosů</t>
  </si>
  <si>
    <t>Daň z příjmů fyzických osob ze samostatné výdělečné činnosti</t>
  </si>
  <si>
    <t>Daň z příjmů fyzických osob ze závislé činnosti a funkčních požitků</t>
  </si>
  <si>
    <t>PŘEHLED PŘÍJMŮ ZAŘAZENÝCH DO NÁVRHU ROZPOČTU NA ROK 2016 (v tis. Kč)</t>
  </si>
  <si>
    <t>Přijaté nekapitálové příspěvky a náhrady - náklady za správní řízení podle zákona č. 500/2004 Sb., správní řád, z titulu reklamací vůči České poště.</t>
  </si>
  <si>
    <t>Příjmy za odebrané množství podzemní vody - kraj je příjemcem části zálohových plateb vybraných celním úřadem na poplatcích za odběr podzemní vody v souladu se zákonem č. 254/2001 Sb., o vodách.</t>
  </si>
  <si>
    <t>Vratka návratné finanční výpomoci na zajištění běžného chodu organizací v odvětví sociálních věcí.</t>
  </si>
  <si>
    <t>Splátky půjčených prostředků od podnikatelských nefinančních subjektů - právnických osob</t>
  </si>
  <si>
    <t>Příjmy za věcná břemena - dle obecně platných právních předpisů.</t>
  </si>
  <si>
    <t>Odvod z investičního fondu příspěvkové organizace Domov Jistoty, Bohumín na realizaci akce Úpravy objektu na ul. Šunychelská včetně vybudování bydlení komunitního typu.</t>
  </si>
  <si>
    <t>Odvod z investičního fondu příspěvkové organizace Střední škola gastronomie, oděvnictví a služeb, Frýdek-Místek na realizaci akce Rekonstrukce sociálních zařízení v budově E.</t>
  </si>
  <si>
    <t xml:space="preserve">Odvod z investičního fondu příspěvkové organizace Gymnázium Petra Bezruče,  Frýdek- Místek na realizaci akce Rekonstrukce elektroinstalace. </t>
  </si>
  <si>
    <t>Odvod z investičního fondu příspěvkové organizace Gymnázium, Ostrava - Hrabůvka na realizaci akce Rekonstrukce střechy gymnázia.</t>
  </si>
  <si>
    <t>Odvod z investičního fondu příspěvkové organizace Střední škola elektrostavební a dřevozpracující, Frýdek-Místek na realizaci akce Rekonstrukce elektroinstalace budovy C.</t>
  </si>
  <si>
    <t>Odvod z investičního fondu příspěvkové organizace Gymnázium, Český Těšín na realizaci akce Celková rekonstrukce elektroinstalace školy.</t>
  </si>
  <si>
    <t>Odvod z investičního fondu příspěvkové organizace Střední škola technických oborů, Havířov-Šumbark, Lidická 1a/ 600 na realizaci akce Zateplení spojovacího koridoru.</t>
  </si>
  <si>
    <t>Pronájem pozemků v k. ú. Mošnov a Sedlnice za účelem výstavby Multimodálního logistického centra Ostrava-Mošnov na základě smlouvy č. 02049/2008/DSH.</t>
  </si>
  <si>
    <t>Prodej pozemků - v souladu s požadavky Moravskoslezského kraje a § 36 zákona č. 129/2000 Sb., o krajích.</t>
  </si>
  <si>
    <t>Prodej ostatních nemovitostí a jejich částí - v souladu s požadavky Moravskoslezského kraje a § 36 zákona č. 129/2000 Sb., o krajích.</t>
  </si>
  <si>
    <t>Příspěvek společnosti Hyundai Motor Manufacturing Czech s.r.o. na zabezpečení úkolů JPO IV -  příspěvek poskytován na základě smlouvy č. 01865/2008/KH.</t>
  </si>
  <si>
    <t>Splátka návratné finanční výpomoci od Krajské energetické agentury Moravskoslezského kraje, o.p.s., poskytnuté za účelem zajištění provozu a činnosti společnosti v roce 2015 poskytnuté na základě smlouvy č. 00623/2015/ŽPZ.</t>
  </si>
  <si>
    <t>Příspěvek společnosti Hyundai Motor Manufacturing Czech s.r.o na zabezpečení úkolů JPO IV - příspěvek poskytován na základě smlouvy č. 01865/2008/KH.</t>
  </si>
  <si>
    <t>Zpracování posudků EIA - příjem kraje od žadatele za zprostředkování zpracování posudku krajským úřadem na základě zákona č. 100/2001 Sb., o posuzování vlivů na životní prostředí.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</si>
  <si>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</si>
  <si>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sankční platby - pokuty podle zákona č. 117/2001 Sb., o veřejných sbírkách.</t>
  </si>
  <si>
    <t>Úroky - přijaté úroky z bankovních účtů zřízených Moravskoslezským krajem.</t>
  </si>
  <si>
    <t>Daň z příjmů fyzických osob ze závislé činnosti a funkčních požitků - na základě zákona č. 243/2000 Sb., o rozpočtovém určení daní.</t>
  </si>
  <si>
    <t>Daň z příjmů fyzických osob ze samostatné výdělečné činnosti - na základě zákona č. 243/2000 Sb., o rozpočtovém určení daní.</t>
  </si>
  <si>
    <t>Daň z příjmů fyzických osob z kapitálových výnosů - na základě zákona č. 243/2000 Sb., o rozpočtovém určení daní.</t>
  </si>
  <si>
    <t>Daň z příjmů právnických osob - na základě zákona č. 243/2000 Sb., o rozpočtovém určení daní.</t>
  </si>
  <si>
    <t>Daň z příjmů právnických osob za kraj - na základě zákona č. 243/2000 Sb., o rozpočtovém určení daní.</t>
  </si>
  <si>
    <t>Daň z přidané hodnoty -  na základě zákona č. 243/2000 Sb., o rozpočtovém určení daní.</t>
  </si>
  <si>
    <t>Správní poplatky - poplatky vybírané převážně na základě zákona č. 634/2004 Sb., o správních poplatcích, zákona č. 160/1992 Sb., o zdravotní péči v nestátních zdravotnických zařízeních a zákona č. 13/1997 Sb., o pozemních komunikacích.</t>
  </si>
  <si>
    <t>Souhrnný dotační vztah - na základě zákona o státním rozpočtu.</t>
  </si>
  <si>
    <t>Graf č. 6 - Struktura návrhu rozpočtu Moravskoslezského kraje na rok 2016 - Objemy výdajů na akce spolufinancované z evropských finančních zdrojů pro rok 2016 v členění dle odvětví</t>
  </si>
  <si>
    <t>Počet stran přílohy: 27</t>
  </si>
  <si>
    <t xml:space="preserve">Rekonstrukce gynekologicko-porodního oddělení v Nemocnici s poliklinikou Karviná - Ráj, p.o. </t>
  </si>
  <si>
    <t>2. etapa transformace organizace Marianum A</t>
  </si>
  <si>
    <t>přebytkový - příjmy - nepřičítat převody!</t>
  </si>
  <si>
    <r>
      <t xml:space="preserve">Očekávané účelové dotace a </t>
    </r>
    <r>
      <rPr>
        <b/>
        <sz val="12"/>
        <color rgb="FFFF0000"/>
        <rFont val="Times New Roman CE"/>
        <charset val="238"/>
      </rPr>
      <t>zálohové platby</t>
    </r>
  </si>
  <si>
    <t>při schodkovém</t>
  </si>
  <si>
    <t>Pozn.: Proloženým písmem jsou označeny projekty realizované v programovém období 2007 - 2013.</t>
  </si>
  <si>
    <t>Příloha č. 8 k materiálu č.: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</si>
</sst>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i/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0" tint="-0.499984740745262"/>
      <name val="Tahoma"/>
      <family val="2"/>
      <charset val="238"/>
    </font>
    <font>
      <sz val="8"/>
      <name val="Arial"/>
      <family val="2"/>
      <charset val="238"/>
    </font>
    <font>
      <sz val="9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51"/>
      <name val="Tahoma"/>
      <family val="2"/>
      <charset val="238"/>
    </font>
    <font>
      <sz val="12"/>
      <name val="Times New Roman"/>
      <family val="1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2"/>
      <color indexed="1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i/>
      <sz val="8"/>
      <color indexed="8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b/>
      <sz val="12"/>
      <color rgb="FFFF0000"/>
      <name val="Times New Roman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</borders>
  <cellStyleXfs count="2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8" fillId="0" borderId="0"/>
    <xf numFmtId="0" fontId="26" fillId="0" borderId="0"/>
  </cellStyleXfs>
  <cellXfs count="475">
    <xf numFmtId="0" fontId="0" fillId="0" borderId="0" xfId="0"/>
    <xf numFmtId="0" fontId="2" fillId="0" borderId="0" xfId="13" applyFont="1" applyAlignment="1">
      <alignment vertical="center"/>
    </xf>
    <xf numFmtId="0" fontId="9" fillId="0" borderId="0" xfId="12" applyFont="1"/>
    <xf numFmtId="4" fontId="2" fillId="0" borderId="0" xfId="13" applyNumberFormat="1" applyFont="1" applyAlignment="1">
      <alignment vertical="center"/>
    </xf>
    <xf numFmtId="0" fontId="2" fillId="0" borderId="0" xfId="13" applyFont="1" applyFill="1" applyAlignment="1">
      <alignment vertical="center"/>
    </xf>
    <xf numFmtId="0" fontId="10" fillId="0" borderId="0" xfId="11" applyFont="1" applyFill="1" applyAlignment="1">
      <alignment vertical="center"/>
    </xf>
    <xf numFmtId="4" fontId="11" fillId="0" borderId="0" xfId="13" applyNumberFormat="1" applyFont="1" applyFill="1" applyBorder="1" applyAlignment="1">
      <alignment horizontal="right" vertical="center"/>
    </xf>
    <xf numFmtId="4" fontId="12" fillId="0" borderId="0" xfId="13" applyNumberFormat="1" applyFont="1" applyFill="1" applyAlignment="1">
      <alignment vertical="center"/>
    </xf>
    <xf numFmtId="3" fontId="2" fillId="0" borderId="0" xfId="13" applyNumberFormat="1" applyFont="1" applyAlignment="1">
      <alignment vertical="center"/>
    </xf>
    <xf numFmtId="49" fontId="12" fillId="10" borderId="2" xfId="13" applyNumberFormat="1" applyFont="1" applyFill="1" applyBorder="1" applyAlignment="1">
      <alignment horizontal="justify" vertical="center"/>
    </xf>
    <xf numFmtId="3" fontId="11" fillId="10" borderId="3" xfId="13" applyNumberFormat="1" applyFont="1" applyFill="1" applyBorder="1" applyAlignment="1">
      <alignment vertical="center" wrapText="1"/>
    </xf>
    <xf numFmtId="49" fontId="12" fillId="0" borderId="5" xfId="13" applyNumberFormat="1" applyFont="1" applyFill="1" applyBorder="1" applyAlignment="1">
      <alignment horizontal="justify" vertical="center"/>
    </xf>
    <xf numFmtId="0" fontId="12" fillId="0" borderId="6" xfId="13" applyFont="1" applyBorder="1" applyAlignment="1">
      <alignment vertical="center" wrapText="1"/>
    </xf>
    <xf numFmtId="3" fontId="12" fillId="0" borderId="6" xfId="13" applyNumberFormat="1" applyFont="1" applyBorder="1" applyAlignment="1">
      <alignment vertical="center" wrapText="1"/>
    </xf>
    <xf numFmtId="0" fontId="12" fillId="0" borderId="6" xfId="13" applyFont="1" applyFill="1" applyBorder="1" applyAlignment="1">
      <alignment vertical="center" wrapText="1"/>
    </xf>
    <xf numFmtId="0" fontId="12" fillId="10" borderId="8" xfId="13" applyFont="1" applyFill="1" applyBorder="1" applyAlignment="1">
      <alignment horizontal="justify" vertical="center"/>
    </xf>
    <xf numFmtId="3" fontId="11" fillId="10" borderId="9" xfId="13" applyNumberFormat="1" applyFont="1" applyFill="1" applyBorder="1" applyAlignment="1">
      <alignment vertical="center" wrapText="1"/>
    </xf>
    <xf numFmtId="0" fontId="12" fillId="0" borderId="12" xfId="13" applyFont="1" applyBorder="1" applyAlignment="1">
      <alignment horizontal="center" vertical="center" wrapText="1"/>
    </xf>
    <xf numFmtId="49" fontId="12" fillId="0" borderId="13" xfId="13" applyNumberFormat="1" applyFont="1" applyFill="1" applyBorder="1" applyAlignment="1">
      <alignment horizontal="justify" vertical="center"/>
    </xf>
    <xf numFmtId="3" fontId="12" fillId="0" borderId="14" xfId="13" applyNumberFormat="1" applyFont="1" applyFill="1" applyBorder="1" applyAlignment="1">
      <alignment horizontal="right" vertical="center"/>
    </xf>
    <xf numFmtId="3" fontId="12" fillId="0" borderId="15" xfId="13" applyNumberFormat="1" applyFont="1" applyFill="1" applyBorder="1" applyAlignment="1">
      <alignment horizontal="right" vertical="center"/>
    </xf>
    <xf numFmtId="3" fontId="12" fillId="10" borderId="15" xfId="13" applyNumberFormat="1" applyFont="1" applyFill="1" applyBorder="1" applyAlignment="1">
      <alignment horizontal="right" vertical="center"/>
    </xf>
    <xf numFmtId="0" fontId="12" fillId="0" borderId="16" xfId="13" applyFont="1" applyFill="1" applyBorder="1" applyAlignment="1">
      <alignment vertical="center" wrapText="1"/>
    </xf>
    <xf numFmtId="0" fontId="12" fillId="0" borderId="17" xfId="13" applyFont="1" applyBorder="1" applyAlignment="1">
      <alignment horizontal="center" vertical="center" wrapText="1"/>
    </xf>
    <xf numFmtId="0" fontId="12" fillId="0" borderId="15" xfId="13" applyFont="1" applyFill="1" applyBorder="1" applyAlignment="1">
      <alignment horizontal="left" vertical="center" wrapText="1"/>
    </xf>
    <xf numFmtId="0" fontId="12" fillId="10" borderId="13" xfId="13" applyFont="1" applyFill="1" applyBorder="1" applyAlignment="1">
      <alignment horizontal="justify" vertical="center"/>
    </xf>
    <xf numFmtId="3" fontId="11" fillId="10" borderId="15" xfId="13" applyNumberFormat="1" applyFont="1" applyFill="1" applyBorder="1" applyAlignment="1">
      <alignment vertical="center" wrapText="1"/>
    </xf>
    <xf numFmtId="0" fontId="12" fillId="0" borderId="12" xfId="13" applyFont="1" applyBorder="1" applyAlignment="1">
      <alignment horizontal="center" vertical="center"/>
    </xf>
    <xf numFmtId="0" fontId="13" fillId="0" borderId="17" xfId="13" applyFont="1" applyBorder="1" applyAlignment="1">
      <alignment horizontal="center" vertical="center" wrapText="1"/>
    </xf>
    <xf numFmtId="0" fontId="12" fillId="0" borderId="15" xfId="13" applyFont="1" applyFill="1" applyBorder="1" applyAlignment="1">
      <alignment vertical="center" wrapText="1"/>
    </xf>
    <xf numFmtId="3" fontId="11" fillId="10" borderId="15" xfId="13" applyNumberFormat="1" applyFont="1" applyFill="1" applyBorder="1" applyAlignment="1">
      <alignment horizontal="right" vertical="center" wrapText="1"/>
    </xf>
    <xf numFmtId="0" fontId="12" fillId="0" borderId="0" xfId="13" applyFont="1" applyBorder="1" applyAlignment="1">
      <alignment horizontal="center" vertical="center" wrapText="1"/>
    </xf>
    <xf numFmtId="3" fontId="12" fillId="11" borderId="15" xfId="13" applyNumberFormat="1" applyFont="1" applyFill="1" applyBorder="1" applyAlignment="1">
      <alignment horizontal="right" vertical="center"/>
    </xf>
    <xf numFmtId="0" fontId="13" fillId="0" borderId="12" xfId="13" applyFont="1" applyBorder="1" applyAlignment="1">
      <alignment horizontal="center" vertical="center"/>
    </xf>
    <xf numFmtId="3" fontId="12" fillId="10" borderId="9" xfId="13" applyNumberFormat="1" applyFont="1" applyFill="1" applyBorder="1" applyAlignment="1">
      <alignment horizontal="right" vertical="center"/>
    </xf>
    <xf numFmtId="49" fontId="11" fillId="10" borderId="16" xfId="15" applyNumberFormat="1" applyFont="1" applyFill="1" applyBorder="1" applyAlignment="1">
      <alignment horizontal="center" vertical="center" wrapText="1"/>
    </xf>
    <xf numFmtId="49" fontId="11" fillId="10" borderId="15" xfId="15" applyNumberFormat="1" applyFont="1" applyFill="1" applyBorder="1" applyAlignment="1">
      <alignment horizontal="center" vertical="center" wrapText="1"/>
    </xf>
    <xf numFmtId="49" fontId="11" fillId="10" borderId="23" xfId="9" applyNumberFormat="1" applyFont="1" applyFill="1" applyBorder="1" applyAlignment="1">
      <alignment horizontal="center" vertical="center"/>
    </xf>
    <xf numFmtId="0" fontId="11" fillId="10" borderId="15" xfId="13" applyFont="1" applyFill="1" applyBorder="1" applyAlignment="1">
      <alignment horizontal="center" vertical="center" wrapText="1"/>
    </xf>
    <xf numFmtId="0" fontId="11" fillId="10" borderId="28" xfId="13" applyFont="1" applyFill="1" applyBorder="1" applyAlignment="1">
      <alignment horizontal="center" vertical="center" wrapText="1"/>
    </xf>
    <xf numFmtId="4" fontId="11" fillId="0" borderId="0" xfId="13" applyNumberFormat="1" applyFont="1" applyAlignment="1">
      <alignment horizontal="right" vertical="center"/>
    </xf>
    <xf numFmtId="4" fontId="11" fillId="0" borderId="0" xfId="13" applyNumberFormat="1" applyFont="1" applyAlignment="1">
      <alignment vertical="center"/>
    </xf>
    <xf numFmtId="0" fontId="11" fillId="0" borderId="0" xfId="13" applyFont="1" applyAlignment="1">
      <alignment vertical="center" wrapText="1"/>
    </xf>
    <xf numFmtId="0" fontId="12" fillId="0" borderId="0" xfId="9" applyFont="1"/>
    <xf numFmtId="0" fontId="12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0" fontId="12" fillId="12" borderId="0" xfId="9" applyFont="1" applyFill="1" applyBorder="1"/>
    <xf numFmtId="0" fontId="12" fillId="0" borderId="0" xfId="9" applyFont="1" applyBorder="1"/>
    <xf numFmtId="0" fontId="12" fillId="0" borderId="0" xfId="9" applyFont="1" applyBorder="1" applyAlignment="1">
      <alignment vertical="center"/>
    </xf>
    <xf numFmtId="0" fontId="16" fillId="0" borderId="0" xfId="9" applyFont="1" applyBorder="1" applyAlignment="1">
      <alignment vertical="center"/>
    </xf>
    <xf numFmtId="0" fontId="7" fillId="0" borderId="0" xfId="9" applyBorder="1" applyAlignment="1"/>
    <xf numFmtId="0" fontId="12" fillId="12" borderId="0" xfId="9" applyFont="1" applyFill="1" applyBorder="1" applyAlignment="1"/>
    <xf numFmtId="0" fontId="7" fillId="0" borderId="31" xfId="9" applyBorder="1" applyAlignment="1"/>
    <xf numFmtId="164" fontId="11" fillId="10" borderId="15" xfId="9" applyNumberFormat="1" applyFont="1" applyFill="1" applyBorder="1" applyAlignment="1">
      <alignment vertical="center"/>
    </xf>
    <xf numFmtId="3" fontId="11" fillId="10" borderId="15" xfId="9" applyNumberFormat="1" applyFont="1" applyFill="1" applyBorder="1" applyAlignment="1">
      <alignment vertical="center" wrapText="1"/>
    </xf>
    <xf numFmtId="164" fontId="12" fillId="0" borderId="15" xfId="9" applyNumberFormat="1" applyFont="1" applyFill="1" applyBorder="1" applyAlignment="1">
      <alignment vertical="center"/>
    </xf>
    <xf numFmtId="3" fontId="12" fillId="10" borderId="15" xfId="9" applyNumberFormat="1" applyFont="1" applyFill="1" applyBorder="1" applyAlignment="1">
      <alignment vertical="center" wrapText="1"/>
    </xf>
    <xf numFmtId="3" fontId="12" fillId="0" borderId="15" xfId="9" applyNumberFormat="1" applyFont="1" applyBorder="1" applyAlignment="1">
      <alignment vertical="center" wrapText="1"/>
    </xf>
    <xf numFmtId="0" fontId="11" fillId="10" borderId="15" xfId="9" applyFont="1" applyFill="1" applyBorder="1" applyAlignment="1">
      <alignment horizontal="center" vertical="center" wrapText="1"/>
    </xf>
    <xf numFmtId="4" fontId="11" fillId="0" borderId="0" xfId="9" applyNumberFormat="1" applyFont="1" applyFill="1" applyBorder="1" applyAlignment="1">
      <alignment vertical="center"/>
    </xf>
    <xf numFmtId="4" fontId="11" fillId="0" borderId="0" xfId="9" applyNumberFormat="1" applyFont="1" applyFill="1" applyBorder="1" applyAlignment="1">
      <alignment vertical="center" wrapText="1"/>
    </xf>
    <xf numFmtId="4" fontId="18" fillId="0" borderId="0" xfId="9" applyNumberFormat="1" applyFont="1" applyFill="1" applyBorder="1" applyAlignment="1">
      <alignment vertical="center" wrapText="1"/>
    </xf>
    <xf numFmtId="0" fontId="11" fillId="0" borderId="0" xfId="9" applyFont="1" applyFill="1" applyBorder="1" applyAlignment="1">
      <alignment horizontal="left" vertical="center"/>
    </xf>
    <xf numFmtId="164" fontId="11" fillId="0" borderId="15" xfId="9" applyNumberFormat="1" applyFont="1" applyBorder="1" applyAlignment="1">
      <alignment vertical="center"/>
    </xf>
    <xf numFmtId="3" fontId="11" fillId="0" borderId="15" xfId="9" applyNumberFormat="1" applyFont="1" applyFill="1" applyBorder="1" applyAlignment="1">
      <alignment vertical="center" wrapText="1"/>
    </xf>
    <xf numFmtId="164" fontId="12" fillId="0" borderId="15" xfId="9" applyNumberFormat="1" applyFont="1" applyBorder="1" applyAlignment="1">
      <alignment horizontal="right" vertical="center"/>
    </xf>
    <xf numFmtId="3" fontId="12" fillId="0" borderId="15" xfId="9" applyNumberFormat="1" applyFont="1" applyFill="1" applyBorder="1" applyAlignment="1">
      <alignment vertical="center" wrapText="1"/>
    </xf>
    <xf numFmtId="164" fontId="12" fillId="0" borderId="15" xfId="9" applyNumberFormat="1" applyFont="1" applyBorder="1" applyAlignment="1">
      <alignment vertical="center"/>
    </xf>
    <xf numFmtId="0" fontId="12" fillId="0" borderId="15" xfId="9" applyFont="1" applyFill="1" applyBorder="1" applyAlignment="1">
      <alignment vertical="center" wrapText="1"/>
    </xf>
    <xf numFmtId="3" fontId="12" fillId="0" borderId="0" xfId="9" applyNumberFormat="1" applyFont="1" applyAlignment="1">
      <alignment vertical="center"/>
    </xf>
    <xf numFmtId="0" fontId="12" fillId="0" borderId="16" xfId="9" applyFont="1" applyFill="1" applyBorder="1" applyAlignment="1">
      <alignment vertical="center" wrapText="1"/>
    </xf>
    <xf numFmtId="0" fontId="12" fillId="0" borderId="16" xfId="9" applyFont="1" applyFill="1" applyBorder="1" applyAlignment="1">
      <alignment horizontal="left" vertical="center" wrapText="1"/>
    </xf>
    <xf numFmtId="0" fontId="12" fillId="0" borderId="16" xfId="9" applyFont="1" applyFill="1" applyBorder="1" applyAlignment="1">
      <alignment vertical="center"/>
    </xf>
    <xf numFmtId="0" fontId="12" fillId="0" borderId="0" xfId="9" applyFont="1" applyFill="1" applyAlignment="1">
      <alignment vertical="center"/>
    </xf>
    <xf numFmtId="3" fontId="11" fillId="0" borderId="15" xfId="9" applyNumberFormat="1" applyFont="1" applyBorder="1" applyAlignment="1">
      <alignment vertical="center" wrapText="1"/>
    </xf>
    <xf numFmtId="0" fontId="19" fillId="0" borderId="0" xfId="9" applyFont="1"/>
    <xf numFmtId="0" fontId="11" fillId="10" borderId="15" xfId="9" applyFont="1" applyFill="1" applyBorder="1" applyAlignment="1">
      <alignment horizontal="center" wrapText="1"/>
    </xf>
    <xf numFmtId="0" fontId="11" fillId="10" borderId="16" xfId="13" applyFont="1" applyFill="1" applyBorder="1" applyAlignment="1">
      <alignment vertical="center" wrapText="1"/>
    </xf>
    <xf numFmtId="0" fontId="11" fillId="10" borderId="10" xfId="13" applyFont="1" applyFill="1" applyBorder="1" applyAlignment="1">
      <alignment vertical="center" wrapText="1"/>
    </xf>
    <xf numFmtId="0" fontId="12" fillId="0" borderId="0" xfId="13" applyFont="1" applyAlignment="1">
      <alignment vertical="center"/>
    </xf>
    <xf numFmtId="3" fontId="12" fillId="0" borderId="0" xfId="13" applyNumberFormat="1" applyFont="1" applyAlignment="1">
      <alignment vertical="center"/>
    </xf>
    <xf numFmtId="0" fontId="13" fillId="0" borderId="0" xfId="13" applyFont="1" applyAlignment="1">
      <alignment vertical="center"/>
    </xf>
    <xf numFmtId="0" fontId="12" fillId="0" borderId="15" xfId="13" applyFont="1" applyBorder="1" applyAlignment="1">
      <alignment vertical="center"/>
    </xf>
    <xf numFmtId="0" fontId="12" fillId="0" borderId="7" xfId="13" applyFont="1" applyBorder="1" applyAlignment="1">
      <alignment vertical="center"/>
    </xf>
    <xf numFmtId="0" fontId="12" fillId="0" borderId="3" xfId="13" applyFont="1" applyBorder="1" applyAlignment="1">
      <alignment vertical="center"/>
    </xf>
    <xf numFmtId="0" fontId="12" fillId="0" borderId="16" xfId="13" applyFont="1" applyFill="1" applyBorder="1" applyAlignment="1">
      <alignment horizontal="left" vertical="center" wrapText="1"/>
    </xf>
    <xf numFmtId="0" fontId="15" fillId="0" borderId="0" xfId="9" applyFont="1" applyFill="1"/>
    <xf numFmtId="0" fontId="15" fillId="0" borderId="0" xfId="9" applyFont="1"/>
    <xf numFmtId="0" fontId="20" fillId="0" borderId="0" xfId="9" applyFont="1" applyFill="1"/>
    <xf numFmtId="0" fontId="21" fillId="0" borderId="0" xfId="9" applyFont="1" applyAlignment="1"/>
    <xf numFmtId="0" fontId="22" fillId="0" borderId="0" xfId="9" applyFont="1"/>
    <xf numFmtId="0" fontId="1" fillId="0" borderId="0" xfId="9" applyFont="1"/>
    <xf numFmtId="0" fontId="4" fillId="0" borderId="0" xfId="9" applyFont="1"/>
    <xf numFmtId="0" fontId="1" fillId="0" borderId="0" xfId="9" applyFont="1" applyAlignment="1">
      <alignment horizontal="right"/>
    </xf>
    <xf numFmtId="0" fontId="1" fillId="0" borderId="0" xfId="9" applyFont="1" applyFill="1" applyAlignment="1"/>
    <xf numFmtId="0" fontId="1" fillId="0" borderId="0" xfId="9" applyFont="1" applyAlignment="1">
      <alignment horizontal="left"/>
    </xf>
    <xf numFmtId="0" fontId="23" fillId="0" borderId="0" xfId="9" applyFont="1" applyFill="1" applyAlignment="1"/>
    <xf numFmtId="0" fontId="1" fillId="0" borderId="0" xfId="9" applyFont="1" applyFill="1" applyAlignment="1">
      <alignment horizontal="left" wrapText="1"/>
    </xf>
    <xf numFmtId="0" fontId="23" fillId="0" borderId="0" xfId="9" applyFont="1"/>
    <xf numFmtId="0" fontId="20" fillId="0" borderId="0" xfId="9" applyFont="1"/>
    <xf numFmtId="9" fontId="11" fillId="10" borderId="40" xfId="15" applyFont="1" applyFill="1" applyBorder="1" applyAlignment="1">
      <alignment horizontal="center" vertical="center" wrapText="1"/>
    </xf>
    <xf numFmtId="9" fontId="11" fillId="10" borderId="41" xfId="15" applyFont="1" applyFill="1" applyBorder="1" applyAlignment="1">
      <alignment horizontal="center" vertical="center" wrapText="1"/>
    </xf>
    <xf numFmtId="3" fontId="26" fillId="0" borderId="0" xfId="18" applyNumberFormat="1"/>
    <xf numFmtId="3" fontId="26" fillId="0" borderId="0" xfId="18" applyNumberFormat="1" applyAlignment="1">
      <alignment horizontal="center"/>
    </xf>
    <xf numFmtId="3" fontId="27" fillId="0" borderId="0" xfId="18" applyNumberFormat="1" applyFont="1" applyAlignment="1">
      <alignment horizontal="center"/>
    </xf>
    <xf numFmtId="3" fontId="28" fillId="0" borderId="0" xfId="18" applyNumberFormat="1" applyFont="1"/>
    <xf numFmtId="3" fontId="27" fillId="0" borderId="15" xfId="18" applyNumberFormat="1" applyFont="1" applyBorder="1" applyAlignment="1">
      <alignment horizontal="center"/>
    </xf>
    <xf numFmtId="3" fontId="28" fillId="0" borderId="15" xfId="18" applyNumberFormat="1" applyFont="1" applyBorder="1"/>
    <xf numFmtId="49" fontId="28" fillId="0" borderId="15" xfId="18" applyNumberFormat="1" applyFont="1" applyBorder="1" applyAlignment="1">
      <alignment horizontal="center"/>
    </xf>
    <xf numFmtId="3" fontId="27" fillId="0" borderId="0" xfId="18" applyNumberFormat="1" applyFont="1"/>
    <xf numFmtId="49" fontId="28" fillId="0" borderId="15" xfId="18" applyNumberFormat="1" applyFont="1" applyBorder="1"/>
    <xf numFmtId="3" fontId="26" fillId="13" borderId="0" xfId="18" applyNumberFormat="1" applyFill="1"/>
    <xf numFmtId="3" fontId="26" fillId="0" borderId="0" xfId="18" applyNumberFormat="1" applyFill="1"/>
    <xf numFmtId="3" fontId="26" fillId="0" borderId="0" xfId="18" applyNumberFormat="1" applyFill="1" applyAlignment="1">
      <alignment horizontal="center"/>
    </xf>
    <xf numFmtId="3" fontId="26" fillId="0" borderId="0" xfId="18" applyNumberFormat="1" applyFont="1"/>
    <xf numFmtId="3" fontId="29" fillId="0" borderId="0" xfId="18" applyNumberFormat="1" applyFont="1"/>
    <xf numFmtId="3" fontId="29" fillId="0" borderId="0" xfId="18" applyNumberFormat="1" applyFont="1" applyAlignment="1">
      <alignment horizontal="center"/>
    </xf>
    <xf numFmtId="3" fontId="26" fillId="0" borderId="0" xfId="18" applyNumberFormat="1" applyFill="1" applyBorder="1"/>
    <xf numFmtId="3" fontId="30" fillId="0" borderId="0" xfId="18" applyNumberFormat="1" applyFont="1" applyBorder="1"/>
    <xf numFmtId="3" fontId="26" fillId="14" borderId="15" xfId="18" applyNumberFormat="1" applyFont="1" applyFill="1" applyBorder="1"/>
    <xf numFmtId="3" fontId="26" fillId="0" borderId="15" xfId="18" applyNumberFormat="1" applyFont="1" applyFill="1" applyBorder="1"/>
    <xf numFmtId="3" fontId="26" fillId="0" borderId="15" xfId="18" applyNumberFormat="1" applyFill="1" applyBorder="1"/>
    <xf numFmtId="3" fontId="29" fillId="0" borderId="15" xfId="18" applyNumberFormat="1" applyFont="1" applyBorder="1" applyAlignment="1">
      <alignment horizontal="center"/>
    </xf>
    <xf numFmtId="3" fontId="26" fillId="0" borderId="15" xfId="18" applyNumberFormat="1" applyBorder="1" applyAlignment="1">
      <alignment horizontal="center"/>
    </xf>
    <xf numFmtId="3" fontId="30" fillId="15" borderId="15" xfId="18" applyNumberFormat="1" applyFont="1" applyFill="1" applyBorder="1"/>
    <xf numFmtId="3" fontId="26" fillId="15" borderId="15" xfId="18" applyNumberFormat="1" applyFill="1" applyBorder="1"/>
    <xf numFmtId="3" fontId="26" fillId="0" borderId="15" xfId="18" applyNumberFormat="1" applyFill="1" applyBorder="1" applyAlignment="1">
      <alignment horizontal="center"/>
    </xf>
    <xf numFmtId="3" fontId="26" fillId="0" borderId="15" xfId="18" applyNumberFormat="1" applyFont="1" applyBorder="1" applyAlignment="1">
      <alignment horizontal="center"/>
    </xf>
    <xf numFmtId="3" fontId="30" fillId="0" borderId="15" xfId="18" applyNumberFormat="1" applyFont="1" applyBorder="1"/>
    <xf numFmtId="3" fontId="26" fillId="16" borderId="15" xfId="18" applyNumberFormat="1" applyFill="1" applyBorder="1"/>
    <xf numFmtId="49" fontId="30" fillId="0" borderId="15" xfId="18" applyNumberFormat="1" applyFont="1" applyBorder="1" applyAlignment="1">
      <alignment horizontal="center"/>
    </xf>
    <xf numFmtId="3" fontId="26" fillId="0" borderId="0" xfId="18" applyNumberFormat="1" applyBorder="1"/>
    <xf numFmtId="3" fontId="26" fillId="0" borderId="15" xfId="18" applyNumberFormat="1" applyBorder="1"/>
    <xf numFmtId="3" fontId="30" fillId="0" borderId="0" xfId="18" applyNumberFormat="1" applyFont="1"/>
    <xf numFmtId="0" fontId="26" fillId="0" borderId="0" xfId="18"/>
    <xf numFmtId="3" fontId="31" fillId="16" borderId="15" xfId="18" applyNumberFormat="1" applyFont="1" applyFill="1" applyBorder="1"/>
    <xf numFmtId="3" fontId="31" fillId="0" borderId="15" xfId="18" applyNumberFormat="1" applyFont="1" applyFill="1" applyBorder="1"/>
    <xf numFmtId="3" fontId="30" fillId="0" borderId="15" xfId="19" applyNumberFormat="1" applyFont="1" applyFill="1" applyBorder="1" applyAlignment="1">
      <alignment horizontal="right" vertical="center"/>
    </xf>
    <xf numFmtId="0" fontId="30" fillId="0" borderId="15" xfId="19" applyFont="1" applyFill="1" applyBorder="1" applyAlignment="1">
      <alignment vertical="center"/>
    </xf>
    <xf numFmtId="3" fontId="26" fillId="0" borderId="15" xfId="18" applyNumberFormat="1" applyFont="1" applyBorder="1"/>
    <xf numFmtId="3" fontId="20" fillId="0" borderId="15" xfId="18" applyNumberFormat="1" applyFont="1" applyBorder="1" applyAlignment="1">
      <alignment horizontal="right"/>
    </xf>
    <xf numFmtId="3" fontId="32" fillId="0" borderId="15" xfId="19" applyNumberFormat="1" applyFont="1" applyFill="1" applyBorder="1" applyAlignment="1">
      <alignment horizontal="right"/>
    </xf>
    <xf numFmtId="3" fontId="32" fillId="0" borderId="15" xfId="19" applyNumberFormat="1" applyFont="1" applyFill="1" applyBorder="1"/>
    <xf numFmtId="0" fontId="32" fillId="0" borderId="15" xfId="19" applyFont="1" applyFill="1" applyBorder="1"/>
    <xf numFmtId="0" fontId="32" fillId="0" borderId="15" xfId="19" applyFont="1" applyFill="1" applyBorder="1" applyAlignment="1">
      <alignment horizontal="right"/>
    </xf>
    <xf numFmtId="3" fontId="26" fillId="16" borderId="15" xfId="18" applyNumberFormat="1" applyFont="1" applyFill="1" applyBorder="1"/>
    <xf numFmtId="0" fontId="31" fillId="16" borderId="15" xfId="18" applyFont="1" applyFill="1" applyBorder="1" applyAlignment="1">
      <alignment horizontal="center"/>
    </xf>
    <xf numFmtId="0" fontId="31" fillId="0" borderId="15" xfId="18" applyFont="1" applyFill="1" applyBorder="1" applyAlignment="1">
      <alignment horizontal="center"/>
    </xf>
    <xf numFmtId="0" fontId="30" fillId="0" borderId="9" xfId="18" applyFont="1" applyBorder="1" applyAlignment="1">
      <alignment horizontal="center"/>
    </xf>
    <xf numFmtId="0" fontId="26" fillId="0" borderId="9" xfId="18" applyFont="1" applyBorder="1"/>
    <xf numFmtId="3" fontId="33" fillId="0" borderId="15" xfId="18" applyNumberFormat="1" applyFont="1" applyFill="1" applyBorder="1" applyAlignment="1">
      <alignment vertical="center"/>
    </xf>
    <xf numFmtId="0" fontId="33" fillId="0" borderId="15" xfId="18" applyFont="1" applyFill="1" applyBorder="1" applyAlignment="1">
      <alignment vertical="center"/>
    </xf>
    <xf numFmtId="3" fontId="32" fillId="0" borderId="15" xfId="18" applyNumberFormat="1" applyFont="1" applyFill="1" applyBorder="1" applyAlignment="1">
      <alignment horizontal="right"/>
    </xf>
    <xf numFmtId="3" fontId="32" fillId="0" borderId="15" xfId="18" applyNumberFormat="1" applyFont="1" applyFill="1" applyBorder="1"/>
    <xf numFmtId="0" fontId="32" fillId="0" borderId="15" xfId="18" applyFont="1" applyFill="1" applyBorder="1"/>
    <xf numFmtId="0" fontId="30" fillId="0" borderId="15" xfId="18" applyFont="1" applyBorder="1" applyAlignment="1">
      <alignment horizontal="center"/>
    </xf>
    <xf numFmtId="0" fontId="26" fillId="0" borderId="15" xfId="18" applyBorder="1"/>
    <xf numFmtId="0" fontId="26" fillId="0" borderId="0" xfId="18" applyFill="1"/>
    <xf numFmtId="4" fontId="30" fillId="16" borderId="15" xfId="18" applyNumberFormat="1" applyFont="1" applyFill="1" applyBorder="1" applyAlignment="1">
      <alignment horizontal="right"/>
    </xf>
    <xf numFmtId="3" fontId="34" fillId="16" borderId="15" xfId="18" applyNumberFormat="1" applyFont="1" applyFill="1" applyBorder="1" applyAlignment="1">
      <alignment wrapText="1"/>
    </xf>
    <xf numFmtId="4" fontId="30" fillId="0" borderId="15" xfId="18" applyNumberFormat="1" applyFont="1" applyFill="1" applyBorder="1" applyAlignment="1">
      <alignment horizontal="right"/>
    </xf>
    <xf numFmtId="3" fontId="34" fillId="0" borderId="15" xfId="18" applyNumberFormat="1" applyFont="1" applyFill="1" applyBorder="1" applyAlignment="1">
      <alignment wrapText="1"/>
    </xf>
    <xf numFmtId="4" fontId="30" fillId="0" borderId="15" xfId="18" applyNumberFormat="1" applyFont="1" applyBorder="1" applyAlignment="1">
      <alignment horizontal="right"/>
    </xf>
    <xf numFmtId="3" fontId="34" fillId="0" borderId="15" xfId="18" applyNumberFormat="1" applyFont="1" applyBorder="1" applyAlignment="1">
      <alignment wrapText="1"/>
    </xf>
    <xf numFmtId="0" fontId="30" fillId="0" borderId="15" xfId="18" applyFont="1" applyBorder="1" applyAlignment="1">
      <alignment wrapText="1"/>
    </xf>
    <xf numFmtId="3" fontId="35" fillId="0" borderId="0" xfId="18" applyNumberFormat="1" applyFont="1"/>
    <xf numFmtId="3" fontId="35" fillId="0" borderId="0" xfId="18" applyNumberFormat="1" applyFont="1" applyFill="1"/>
    <xf numFmtId="4" fontId="32" fillId="16" borderId="15" xfId="18" applyNumberFormat="1" applyFont="1" applyFill="1" applyBorder="1" applyAlignment="1">
      <alignment horizontal="right"/>
    </xf>
    <xf numFmtId="3" fontId="32" fillId="16" borderId="15" xfId="18" applyNumberFormat="1" applyFont="1" applyFill="1" applyBorder="1" applyAlignment="1">
      <alignment wrapText="1"/>
    </xf>
    <xf numFmtId="4" fontId="32" fillId="0" borderId="15" xfId="18" applyNumberFormat="1" applyFont="1" applyFill="1" applyBorder="1" applyAlignment="1">
      <alignment horizontal="right"/>
    </xf>
    <xf numFmtId="3" fontId="32" fillId="0" borderId="15" xfId="18" applyNumberFormat="1" applyFont="1" applyFill="1" applyBorder="1" applyAlignment="1">
      <alignment wrapText="1"/>
    </xf>
    <xf numFmtId="4" fontId="32" fillId="0" borderId="15" xfId="18" applyNumberFormat="1" applyFont="1" applyBorder="1" applyAlignment="1">
      <alignment horizontal="right"/>
    </xf>
    <xf numFmtId="3" fontId="32" fillId="0" borderId="15" xfId="18" applyNumberFormat="1" applyFont="1" applyBorder="1" applyAlignment="1">
      <alignment wrapText="1"/>
    </xf>
    <xf numFmtId="0" fontId="32" fillId="0" borderId="15" xfId="18" applyFont="1" applyBorder="1" applyAlignment="1">
      <alignment wrapText="1"/>
    </xf>
    <xf numFmtId="3" fontId="32" fillId="12" borderId="15" xfId="18" applyNumberFormat="1" applyFont="1" applyFill="1" applyBorder="1" applyAlignment="1">
      <alignment wrapText="1"/>
    </xf>
    <xf numFmtId="0" fontId="32" fillId="0" borderId="15" xfId="18" applyFont="1" applyFill="1" applyBorder="1" applyAlignment="1">
      <alignment wrapText="1"/>
    </xf>
    <xf numFmtId="3" fontId="32" fillId="16" borderId="15" xfId="18" applyNumberFormat="1" applyFont="1" applyFill="1" applyBorder="1" applyAlignment="1"/>
    <xf numFmtId="3" fontId="32" fillId="0" borderId="15" xfId="18" applyNumberFormat="1" applyFont="1" applyFill="1" applyBorder="1" applyAlignment="1"/>
    <xf numFmtId="3" fontId="32" fillId="12" borderId="15" xfId="18" applyNumberFormat="1" applyFont="1" applyFill="1" applyBorder="1" applyAlignment="1"/>
    <xf numFmtId="0" fontId="32" fillId="0" borderId="15" xfId="18" applyFont="1" applyBorder="1" applyAlignment="1"/>
    <xf numFmtId="4" fontId="32" fillId="0" borderId="15" xfId="18" applyNumberFormat="1" applyFont="1" applyBorder="1" applyAlignment="1">
      <alignment wrapText="1"/>
    </xf>
    <xf numFmtId="4" fontId="30" fillId="16" borderId="15" xfId="18" applyNumberFormat="1" applyFont="1" applyFill="1" applyBorder="1" applyAlignment="1">
      <alignment horizontal="center" vertical="center" wrapText="1"/>
    </xf>
    <xf numFmtId="4" fontId="30" fillId="0" borderId="15" xfId="18" applyNumberFormat="1" applyFont="1" applyFill="1" applyBorder="1" applyAlignment="1">
      <alignment horizontal="center" vertical="center" wrapText="1"/>
    </xf>
    <xf numFmtId="4" fontId="30" fillId="0" borderId="15" xfId="18" applyNumberFormat="1" applyFont="1" applyBorder="1" applyAlignment="1">
      <alignment horizontal="center" vertical="center" wrapText="1"/>
    </xf>
    <xf numFmtId="0" fontId="30" fillId="0" borderId="15" xfId="18" applyFont="1" applyBorder="1" applyAlignment="1">
      <alignment horizontal="center" vertical="center" wrapText="1"/>
    </xf>
    <xf numFmtId="4" fontId="36" fillId="0" borderId="0" xfId="18" applyNumberFormat="1" applyFont="1"/>
    <xf numFmtId="4" fontId="36" fillId="0" borderId="0" xfId="18" applyNumberFormat="1" applyFont="1" applyFill="1"/>
    <xf numFmtId="3" fontId="2" fillId="16" borderId="14" xfId="17" applyNumberFormat="1" applyFont="1" applyFill="1" applyBorder="1"/>
    <xf numFmtId="4" fontId="36" fillId="16" borderId="46" xfId="17" applyNumberFormat="1" applyFont="1" applyFill="1" applyBorder="1"/>
    <xf numFmtId="4" fontId="36" fillId="0" borderId="46" xfId="17" applyNumberFormat="1" applyFont="1" applyFill="1" applyBorder="1"/>
    <xf numFmtId="4" fontId="20" fillId="0" borderId="15" xfId="16" applyNumberFormat="1" applyFont="1" applyFill="1" applyBorder="1"/>
    <xf numFmtId="0" fontId="20" fillId="0" borderId="12" xfId="16" applyFont="1" applyFill="1" applyBorder="1" applyAlignment="1">
      <alignment horizontal="left"/>
    </xf>
    <xf numFmtId="4" fontId="36" fillId="16" borderId="14" xfId="17" applyNumberFormat="1" applyFont="1" applyFill="1" applyBorder="1"/>
    <xf numFmtId="4" fontId="36" fillId="0" borderId="14" xfId="17" applyNumberFormat="1" applyFont="1" applyFill="1" applyBorder="1"/>
    <xf numFmtId="3" fontId="2" fillId="16" borderId="47" xfId="17" applyNumberFormat="1" applyFont="1" applyFill="1" applyBorder="1"/>
    <xf numFmtId="4" fontId="36" fillId="16" borderId="15" xfId="16" applyNumberFormat="1" applyFont="1" applyFill="1" applyBorder="1"/>
    <xf numFmtId="4" fontId="36" fillId="0" borderId="15" xfId="16" applyNumberFormat="1" applyFont="1" applyFill="1" applyBorder="1"/>
    <xf numFmtId="4" fontId="37" fillId="16" borderId="15" xfId="16" applyNumberFormat="1" applyFont="1" applyFill="1" applyBorder="1"/>
    <xf numFmtId="4" fontId="37" fillId="0" borderId="15" xfId="16" applyNumberFormat="1" applyFont="1" applyFill="1" applyBorder="1"/>
    <xf numFmtId="4" fontId="38" fillId="0" borderId="15" xfId="16" applyNumberFormat="1" applyFont="1" applyFill="1" applyBorder="1"/>
    <xf numFmtId="0" fontId="38" fillId="0" borderId="12" xfId="16" applyFont="1" applyFill="1" applyBorder="1" applyAlignment="1">
      <alignment horizontal="left"/>
    </xf>
    <xf numFmtId="49" fontId="37" fillId="0" borderId="0" xfId="18" applyNumberFormat="1" applyFont="1" applyAlignment="1">
      <alignment horizontal="right"/>
    </xf>
    <xf numFmtId="49" fontId="37" fillId="0" borderId="0" xfId="18" applyNumberFormat="1" applyFont="1" applyFill="1" applyAlignment="1">
      <alignment horizontal="right"/>
    </xf>
    <xf numFmtId="0" fontId="31" fillId="0" borderId="0" xfId="18" applyFont="1" applyFill="1"/>
    <xf numFmtId="0" fontId="31" fillId="0" borderId="0" xfId="18" applyFont="1"/>
    <xf numFmtId="3" fontId="37" fillId="16" borderId="15" xfId="18" applyNumberFormat="1" applyFont="1" applyFill="1" applyBorder="1" applyAlignment="1">
      <alignment wrapText="1"/>
    </xf>
    <xf numFmtId="3" fontId="37" fillId="0" borderId="15" xfId="18" applyNumberFormat="1" applyFont="1" applyFill="1" applyBorder="1" applyAlignment="1">
      <alignment wrapText="1"/>
    </xf>
    <xf numFmtId="3" fontId="30" fillId="0" borderId="15" xfId="18" applyNumberFormat="1" applyFont="1" applyFill="1" applyBorder="1" applyAlignment="1">
      <alignment wrapText="1"/>
    </xf>
    <xf numFmtId="3" fontId="30" fillId="0" borderId="15" xfId="18" applyNumberFormat="1" applyFont="1" applyBorder="1" applyAlignment="1">
      <alignment wrapText="1"/>
    </xf>
    <xf numFmtId="3" fontId="36" fillId="0" borderId="0" xfId="18" applyNumberFormat="1" applyFont="1" applyFill="1"/>
    <xf numFmtId="3" fontId="36" fillId="16" borderId="15" xfId="18" applyNumberFormat="1" applyFont="1" applyFill="1" applyBorder="1" applyAlignment="1">
      <alignment wrapText="1"/>
    </xf>
    <xf numFmtId="3" fontId="36" fillId="0" borderId="15" xfId="18" applyNumberFormat="1" applyFont="1" applyFill="1" applyBorder="1" applyAlignment="1">
      <alignment wrapText="1"/>
    </xf>
    <xf numFmtId="3" fontId="36" fillId="16" borderId="15" xfId="18" applyNumberFormat="1" applyFont="1" applyFill="1" applyBorder="1" applyAlignment="1"/>
    <xf numFmtId="3" fontId="36" fillId="0" borderId="15" xfId="18" applyNumberFormat="1" applyFont="1" applyFill="1" applyBorder="1" applyAlignment="1"/>
    <xf numFmtId="3" fontId="32" fillId="0" borderId="15" xfId="18" applyNumberFormat="1" applyFont="1" applyBorder="1" applyAlignment="1"/>
    <xf numFmtId="4" fontId="37" fillId="16" borderId="15" xfId="18" applyNumberFormat="1" applyFont="1" applyFill="1" applyBorder="1" applyAlignment="1">
      <alignment horizontal="center" vertical="center" wrapText="1"/>
    </xf>
    <xf numFmtId="4" fontId="37" fillId="0" borderId="15" xfId="18" applyNumberFormat="1" applyFont="1" applyFill="1" applyBorder="1" applyAlignment="1">
      <alignment horizontal="center" vertical="center" wrapText="1"/>
    </xf>
    <xf numFmtId="0" fontId="1" fillId="0" borderId="0" xfId="9" applyFont="1" applyFill="1"/>
    <xf numFmtId="0" fontId="1" fillId="0" borderId="0" xfId="9" applyFont="1" applyFill="1" applyAlignment="1">
      <alignment horizontal="left"/>
    </xf>
    <xf numFmtId="0" fontId="10" fillId="0" borderId="0" xfId="20" applyFont="1" applyFill="1" applyAlignment="1">
      <alignment vertical="center"/>
    </xf>
    <xf numFmtId="3" fontId="11" fillId="10" borderId="32" xfId="9" applyNumberFormat="1" applyFont="1" applyFill="1" applyBorder="1" applyAlignment="1">
      <alignment vertical="center" wrapText="1"/>
    </xf>
    <xf numFmtId="3" fontId="11" fillId="10" borderId="33" xfId="9" applyNumberFormat="1" applyFont="1" applyFill="1" applyBorder="1" applyAlignment="1">
      <alignment vertical="center" wrapText="1"/>
    </xf>
    <xf numFmtId="4" fontId="11" fillId="10" borderId="34" xfId="9" applyNumberFormat="1" applyFont="1" applyFill="1" applyBorder="1" applyAlignment="1">
      <alignment horizontal="right" vertical="center"/>
    </xf>
    <xf numFmtId="0" fontId="11" fillId="10" borderId="35" xfId="9" applyFont="1" applyFill="1" applyBorder="1" applyAlignment="1">
      <alignment horizontal="left" vertical="center" wrapText="1"/>
    </xf>
    <xf numFmtId="0" fontId="12" fillId="0" borderId="36" xfId="9" applyFont="1" applyBorder="1" applyAlignment="1">
      <alignment vertical="center"/>
    </xf>
    <xf numFmtId="0" fontId="12" fillId="0" borderId="37" xfId="9" applyFont="1" applyBorder="1" applyAlignment="1">
      <alignment vertical="center"/>
    </xf>
    <xf numFmtId="0" fontId="12" fillId="0" borderId="19" xfId="9" applyFont="1" applyBorder="1" applyAlignment="1">
      <alignment vertical="center" wrapText="1"/>
    </xf>
    <xf numFmtId="3" fontId="12" fillId="0" borderId="19" xfId="9" applyNumberFormat="1" applyFont="1" applyFill="1" applyBorder="1" applyAlignment="1">
      <alignment vertical="center" wrapText="1"/>
    </xf>
    <xf numFmtId="3" fontId="12" fillId="0" borderId="19" xfId="9" applyNumberFormat="1" applyFont="1" applyBorder="1" applyAlignment="1">
      <alignment vertical="center" wrapText="1"/>
    </xf>
    <xf numFmtId="0" fontId="12" fillId="0" borderId="17" xfId="9" applyFont="1" applyFill="1" applyBorder="1" applyAlignment="1">
      <alignment vertical="center" wrapText="1"/>
    </xf>
    <xf numFmtId="3" fontId="11" fillId="10" borderId="13" xfId="9" applyNumberFormat="1" applyFont="1" applyFill="1" applyBorder="1" applyAlignment="1">
      <alignment vertical="center" wrapText="1"/>
    </xf>
    <xf numFmtId="0" fontId="11" fillId="10" borderId="15" xfId="9" applyFont="1" applyFill="1" applyBorder="1" applyAlignment="1">
      <alignment horizontal="right" vertical="center" wrapText="1"/>
    </xf>
    <xf numFmtId="0" fontId="11" fillId="10" borderId="12" xfId="9" applyFont="1" applyFill="1" applyBorder="1" applyAlignment="1">
      <alignment horizontal="left" vertical="center" wrapText="1"/>
    </xf>
    <xf numFmtId="3" fontId="10" fillId="10" borderId="18" xfId="9" applyNumberFormat="1" applyFont="1" applyFill="1" applyBorder="1" applyAlignment="1">
      <alignment horizontal="right" vertical="center"/>
    </xf>
    <xf numFmtId="3" fontId="10" fillId="10" borderId="15" xfId="9" applyNumberFormat="1" applyFont="1" applyFill="1" applyBorder="1" applyAlignment="1">
      <alignment horizontal="right" vertical="center"/>
    </xf>
    <xf numFmtId="3" fontId="10" fillId="0" borderId="15" xfId="9" applyNumberFormat="1" applyFont="1" applyFill="1" applyBorder="1" applyAlignment="1">
      <alignment horizontal="right" vertical="center"/>
    </xf>
    <xf numFmtId="0" fontId="10" fillId="0" borderId="17" xfId="9" applyFont="1" applyFill="1" applyBorder="1" applyAlignment="1">
      <alignment vertical="center" wrapText="1"/>
    </xf>
    <xf numFmtId="3" fontId="12" fillId="0" borderId="36" xfId="9" applyNumberFormat="1" applyFont="1" applyBorder="1" applyAlignment="1">
      <alignment vertical="center"/>
    </xf>
    <xf numFmtId="0" fontId="10" fillId="0" borderId="12" xfId="9" applyFont="1" applyFill="1" applyBorder="1" applyAlignment="1">
      <alignment horizontal="left" vertical="center" wrapText="1"/>
    </xf>
    <xf numFmtId="0" fontId="10" fillId="0" borderId="17" xfId="9" applyFont="1" applyFill="1" applyBorder="1" applyAlignment="1">
      <alignment horizontal="left" vertical="center" wrapText="1"/>
    </xf>
    <xf numFmtId="3" fontId="12" fillId="10" borderId="18" xfId="9" applyNumberFormat="1" applyFont="1" applyFill="1" applyBorder="1" applyAlignment="1">
      <alignment horizontal="right" vertical="center"/>
    </xf>
    <xf numFmtId="3" fontId="12" fillId="10" borderId="15" xfId="9" applyNumberFormat="1" applyFont="1" applyFill="1" applyBorder="1" applyAlignment="1">
      <alignment horizontal="right" vertical="center"/>
    </xf>
    <xf numFmtId="3" fontId="12" fillId="0" borderId="15" xfId="9" applyNumberFormat="1" applyFont="1" applyFill="1" applyBorder="1" applyAlignment="1">
      <alignment horizontal="right" vertical="center"/>
    </xf>
    <xf numFmtId="0" fontId="12" fillId="0" borderId="17" xfId="9" applyFont="1" applyFill="1" applyBorder="1" applyAlignment="1">
      <alignment horizontal="left" vertical="center" wrapText="1"/>
    </xf>
    <xf numFmtId="0" fontId="12" fillId="0" borderId="12" xfId="9" applyFont="1" applyFill="1" applyBorder="1" applyAlignment="1">
      <alignment horizontal="left" vertical="center" wrapText="1"/>
    </xf>
    <xf numFmtId="3" fontId="10" fillId="0" borderId="23" xfId="9" applyNumberFormat="1" applyFont="1" applyFill="1" applyBorder="1" applyAlignment="1">
      <alignment horizontal="right" vertical="center"/>
    </xf>
    <xf numFmtId="3" fontId="10" fillId="10" borderId="23" xfId="9" applyNumberFormat="1" applyFont="1" applyFill="1" applyBorder="1" applyAlignment="1">
      <alignment horizontal="right" vertical="center"/>
    </xf>
    <xf numFmtId="0" fontId="10" fillId="0" borderId="12" xfId="9" applyFont="1" applyBorder="1" applyAlignment="1">
      <alignment vertical="center" wrapText="1"/>
    </xf>
    <xf numFmtId="3" fontId="12" fillId="0" borderId="23" xfId="9" applyNumberFormat="1" applyFont="1" applyFill="1" applyBorder="1" applyAlignment="1">
      <alignment horizontal="right" vertical="center"/>
    </xf>
    <xf numFmtId="3" fontId="12" fillId="10" borderId="23" xfId="9" applyNumberFormat="1" applyFont="1" applyFill="1" applyBorder="1" applyAlignment="1">
      <alignment horizontal="right" vertical="center"/>
    </xf>
    <xf numFmtId="0" fontId="12" fillId="0" borderId="12" xfId="9" applyFont="1" applyBorder="1" applyAlignment="1">
      <alignment vertical="center" wrapText="1"/>
    </xf>
    <xf numFmtId="0" fontId="12" fillId="0" borderId="12" xfId="9" applyFont="1" applyFill="1" applyBorder="1" applyAlignment="1">
      <alignment vertical="center" wrapText="1"/>
    </xf>
    <xf numFmtId="0" fontId="10" fillId="0" borderId="12" xfId="9" applyFont="1" applyFill="1" applyBorder="1" applyAlignment="1">
      <alignment vertical="center" wrapText="1"/>
    </xf>
    <xf numFmtId="3" fontId="11" fillId="10" borderId="13" xfId="9" applyNumberFormat="1" applyFont="1" applyFill="1" applyBorder="1" applyAlignment="1">
      <alignment horizontal="right" vertical="center"/>
    </xf>
    <xf numFmtId="3" fontId="11" fillId="10" borderId="15" xfId="9" applyNumberFormat="1" applyFont="1" applyFill="1" applyBorder="1" applyAlignment="1">
      <alignment horizontal="right" vertical="center"/>
    </xf>
    <xf numFmtId="3" fontId="11" fillId="10" borderId="23" xfId="9" applyNumberFormat="1" applyFont="1" applyFill="1" applyBorder="1" applyAlignment="1">
      <alignment horizontal="right" vertical="center"/>
    </xf>
    <xf numFmtId="0" fontId="10" fillId="10" borderId="18" xfId="9" applyFont="1" applyFill="1" applyBorder="1" applyAlignment="1">
      <alignment vertical="center"/>
    </xf>
    <xf numFmtId="0" fontId="10" fillId="10" borderId="15" xfId="9" applyFont="1" applyFill="1" applyBorder="1" applyAlignment="1">
      <alignment vertical="center"/>
    </xf>
    <xf numFmtId="3" fontId="11" fillId="10" borderId="13" xfId="9" applyNumberFormat="1" applyFont="1" applyFill="1" applyBorder="1" applyAlignment="1">
      <alignment horizontal="right" vertical="center" wrapText="1"/>
    </xf>
    <xf numFmtId="3" fontId="11" fillId="10" borderId="15" xfId="9" applyNumberFormat="1" applyFont="1" applyFill="1" applyBorder="1" applyAlignment="1">
      <alignment horizontal="right" vertical="center" wrapText="1"/>
    </xf>
    <xf numFmtId="0" fontId="24" fillId="0" borderId="0" xfId="9" applyFont="1" applyAlignment="1">
      <alignment vertical="center"/>
    </xf>
    <xf numFmtId="3" fontId="39" fillId="10" borderId="15" xfId="9" applyNumberFormat="1" applyFont="1" applyFill="1" applyBorder="1" applyAlignment="1">
      <alignment horizontal="right" vertical="center"/>
    </xf>
    <xf numFmtId="3" fontId="10" fillId="0" borderId="15" xfId="9" applyNumberFormat="1" applyFont="1" applyBorder="1" applyAlignment="1">
      <alignment horizontal="right" vertical="center"/>
    </xf>
    <xf numFmtId="3" fontId="25" fillId="10" borderId="15" xfId="9" applyNumberFormat="1" applyFont="1" applyFill="1" applyBorder="1" applyAlignment="1">
      <alignment horizontal="right" vertical="center"/>
    </xf>
    <xf numFmtId="3" fontId="12" fillId="0" borderId="15" xfId="9" applyNumberFormat="1" applyFont="1" applyBorder="1" applyAlignment="1">
      <alignment horizontal="right" vertical="center"/>
    </xf>
    <xf numFmtId="4" fontId="11" fillId="10" borderId="42" xfId="9" applyNumberFormat="1" applyFont="1" applyFill="1" applyBorder="1" applyAlignment="1">
      <alignment horizontal="center" vertical="center" wrapText="1"/>
    </xf>
    <xf numFmtId="4" fontId="11" fillId="0" borderId="41" xfId="9" applyNumberFormat="1" applyFont="1" applyFill="1" applyBorder="1" applyAlignment="1">
      <alignment horizontal="center" vertical="center" wrapText="1"/>
    </xf>
    <xf numFmtId="4" fontId="11" fillId="10" borderId="41" xfId="9" applyNumberFormat="1" applyFont="1" applyFill="1" applyBorder="1" applyAlignment="1">
      <alignment horizontal="center" vertical="center" wrapText="1"/>
    </xf>
    <xf numFmtId="4" fontId="11" fillId="0" borderId="41" xfId="9" applyNumberFormat="1" applyFont="1" applyFill="1" applyBorder="1" applyAlignment="1">
      <alignment horizontal="center" vertical="center"/>
    </xf>
    <xf numFmtId="4" fontId="11" fillId="0" borderId="0" xfId="9" applyNumberFormat="1" applyFont="1" applyAlignment="1">
      <alignment horizontal="right" vertical="center"/>
    </xf>
    <xf numFmtId="4" fontId="11" fillId="0" borderId="0" xfId="9" applyNumberFormat="1" applyFont="1" applyAlignment="1">
      <alignment vertical="center"/>
    </xf>
    <xf numFmtId="0" fontId="11" fillId="0" borderId="0" xfId="9" applyFont="1" applyAlignment="1">
      <alignment vertical="center" wrapText="1"/>
    </xf>
    <xf numFmtId="0" fontId="40" fillId="0" borderId="0" xfId="21" applyFont="1"/>
    <xf numFmtId="0" fontId="40" fillId="0" borderId="0" xfId="9" applyFont="1" applyAlignment="1">
      <alignment wrapText="1"/>
    </xf>
    <xf numFmtId="3" fontId="40" fillId="0" borderId="0" xfId="21" applyNumberFormat="1" applyFont="1"/>
    <xf numFmtId="0" fontId="40" fillId="0" borderId="0" xfId="21" applyFont="1" applyAlignment="1"/>
    <xf numFmtId="0" fontId="40" fillId="0" borderId="0" xfId="21" applyFont="1" applyAlignment="1">
      <alignment horizontal="center"/>
    </xf>
    <xf numFmtId="0" fontId="40" fillId="0" borderId="0" xfId="21" applyFont="1" applyBorder="1" applyAlignment="1"/>
    <xf numFmtId="0" fontId="41" fillId="0" borderId="0" xfId="21" applyFont="1" applyFill="1"/>
    <xf numFmtId="0" fontId="41" fillId="0" borderId="32" xfId="9" applyFont="1" applyFill="1" applyBorder="1" applyAlignment="1">
      <alignment wrapText="1"/>
    </xf>
    <xf numFmtId="3" fontId="11" fillId="0" borderId="48" xfId="21" applyNumberFormat="1" applyFont="1" applyFill="1" applyBorder="1"/>
    <xf numFmtId="0" fontId="41" fillId="0" borderId="0" xfId="9" applyFont="1" applyFill="1" applyBorder="1" applyAlignment="1">
      <alignment wrapText="1"/>
    </xf>
    <xf numFmtId="3" fontId="41" fillId="0" borderId="0" xfId="21" applyNumberFormat="1" applyFont="1" applyFill="1" applyBorder="1"/>
    <xf numFmtId="0" fontId="42" fillId="0" borderId="0" xfId="9" applyFont="1" applyBorder="1" applyAlignment="1">
      <alignment horizontal="left"/>
    </xf>
    <xf numFmtId="0" fontId="41" fillId="0" borderId="0" xfId="21" applyFont="1" applyFill="1" applyBorder="1" applyAlignment="1">
      <alignment horizontal="left"/>
    </xf>
    <xf numFmtId="0" fontId="41" fillId="0" borderId="2" xfId="9" applyFont="1" applyFill="1" applyBorder="1" applyAlignment="1">
      <alignment wrapText="1"/>
    </xf>
    <xf numFmtId="3" fontId="11" fillId="0" borderId="3" xfId="21" applyNumberFormat="1" applyFont="1" applyFill="1" applyBorder="1"/>
    <xf numFmtId="0" fontId="12" fillId="0" borderId="49" xfId="9" applyFont="1" applyFill="1" applyBorder="1" applyAlignment="1">
      <alignment horizontal="justify" vertical="center"/>
    </xf>
    <xf numFmtId="3" fontId="12" fillId="0" borderId="50" xfId="21" applyNumberFormat="1" applyFont="1" applyFill="1" applyBorder="1" applyAlignment="1">
      <alignment vertical="center"/>
    </xf>
    <xf numFmtId="0" fontId="12" fillId="0" borderId="13" xfId="9" applyFont="1" applyFill="1" applyBorder="1" applyAlignment="1">
      <alignment horizontal="justify" vertical="center"/>
    </xf>
    <xf numFmtId="3" fontId="12" fillId="0" borderId="15" xfId="21" applyNumberFormat="1" applyFont="1" applyFill="1" applyBorder="1" applyAlignment="1">
      <alignment vertical="center"/>
    </xf>
    <xf numFmtId="0" fontId="12" fillId="0" borderId="20" xfId="9" applyFont="1" applyFill="1" applyBorder="1" applyAlignment="1">
      <alignment horizontal="justify" vertical="center"/>
    </xf>
    <xf numFmtId="3" fontId="12" fillId="0" borderId="23" xfId="21" applyNumberFormat="1" applyFont="1" applyFill="1" applyBorder="1" applyAlignment="1">
      <alignment vertical="center"/>
    </xf>
    <xf numFmtId="0" fontId="12" fillId="0" borderId="15" xfId="22" applyFont="1" applyFill="1" applyBorder="1" applyAlignment="1">
      <alignment horizontal="left" vertical="center" wrapText="1"/>
    </xf>
    <xf numFmtId="0" fontId="12" fillId="0" borderId="12" xfId="21" applyFont="1" applyFill="1" applyBorder="1" applyAlignment="1">
      <alignment horizontal="center" vertical="center"/>
    </xf>
    <xf numFmtId="0" fontId="40" fillId="0" borderId="0" xfId="21" applyFont="1" applyFill="1" applyAlignment="1"/>
    <xf numFmtId="0" fontId="12" fillId="0" borderId="56" xfId="9" applyFont="1" applyFill="1" applyBorder="1" applyAlignment="1">
      <alignment horizontal="justify" vertical="center" wrapText="1"/>
    </xf>
    <xf numFmtId="3" fontId="12" fillId="0" borderId="57" xfId="21" applyNumberFormat="1" applyFont="1" applyFill="1" applyBorder="1" applyAlignment="1">
      <alignment vertical="center"/>
    </xf>
    <xf numFmtId="0" fontId="12" fillId="0" borderId="58" xfId="22" applyFont="1" applyFill="1" applyBorder="1" applyAlignment="1">
      <alignment horizontal="left" vertical="center" wrapText="1"/>
    </xf>
    <xf numFmtId="0" fontId="12" fillId="0" borderId="59" xfId="21" applyFont="1" applyFill="1" applyBorder="1" applyAlignment="1">
      <alignment horizontal="center" vertical="center"/>
    </xf>
    <xf numFmtId="0" fontId="40" fillId="0" borderId="0" xfId="21" applyFont="1" applyFill="1"/>
    <xf numFmtId="0" fontId="11" fillId="0" borderId="60" xfId="9" applyFont="1" applyBorder="1" applyAlignment="1">
      <alignment horizontal="center" vertical="center" wrapText="1"/>
    </xf>
    <xf numFmtId="3" fontId="11" fillId="0" borderId="29" xfId="21" applyNumberFormat="1" applyFont="1" applyBorder="1" applyAlignment="1">
      <alignment horizontal="center" vertical="center" wrapText="1"/>
    </xf>
    <xf numFmtId="0" fontId="11" fillId="0" borderId="28" xfId="21" applyFont="1" applyBorder="1" applyAlignment="1">
      <alignment horizontal="center" vertical="center" wrapText="1"/>
    </xf>
    <xf numFmtId="0" fontId="11" fillId="0" borderId="30" xfId="21" applyFont="1" applyBorder="1" applyAlignment="1">
      <alignment horizontal="center" vertical="center" wrapText="1"/>
    </xf>
    <xf numFmtId="0" fontId="40" fillId="0" borderId="0" xfId="9" applyFont="1" applyFill="1" applyBorder="1" applyAlignment="1">
      <alignment wrapText="1"/>
    </xf>
    <xf numFmtId="0" fontId="11" fillId="0" borderId="0" xfId="21" applyFont="1" applyFill="1" applyBorder="1" applyAlignment="1"/>
    <xf numFmtId="0" fontId="11" fillId="0" borderId="0" xfId="21" applyFont="1" applyFill="1" applyBorder="1" applyAlignment="1">
      <alignment horizontal="left"/>
    </xf>
    <xf numFmtId="0" fontId="41" fillId="0" borderId="0" xfId="21" applyFont="1" applyFill="1" applyBorder="1" applyAlignment="1"/>
    <xf numFmtId="0" fontId="41" fillId="0" borderId="0" xfId="21" applyFont="1" applyFill="1" applyBorder="1" applyAlignment="1">
      <alignment horizontal="center"/>
    </xf>
    <xf numFmtId="0" fontId="40" fillId="0" borderId="43" xfId="9" applyFont="1" applyFill="1" applyBorder="1" applyAlignment="1">
      <alignment wrapText="1"/>
    </xf>
    <xf numFmtId="3" fontId="41" fillId="0" borderId="43" xfId="21" applyNumberFormat="1" applyFont="1" applyFill="1" applyBorder="1"/>
    <xf numFmtId="0" fontId="41" fillId="0" borderId="43" xfId="21" applyFont="1" applyFill="1" applyBorder="1" applyAlignment="1"/>
    <xf numFmtId="0" fontId="41" fillId="0" borderId="43" xfId="21" applyFont="1" applyFill="1" applyBorder="1" applyAlignment="1">
      <alignment horizontal="center"/>
    </xf>
    <xf numFmtId="0" fontId="41" fillId="0" borderId="3" xfId="21" applyFont="1" applyFill="1" applyBorder="1" applyAlignment="1"/>
    <xf numFmtId="0" fontId="11" fillId="0" borderId="4" xfId="21" applyFont="1" applyFill="1" applyBorder="1" applyAlignment="1">
      <alignment horizontal="left"/>
    </xf>
    <xf numFmtId="0" fontId="12" fillId="0" borderId="49" xfId="9" applyFont="1" applyFill="1" applyBorder="1" applyAlignment="1">
      <alignment horizontal="justify" vertical="center" wrapText="1"/>
    </xf>
    <xf numFmtId="0" fontId="12" fillId="0" borderId="50" xfId="22" applyFont="1" applyFill="1" applyBorder="1" applyAlignment="1">
      <alignment horizontal="left" vertical="center" wrapText="1"/>
    </xf>
    <xf numFmtId="0" fontId="12" fillId="0" borderId="61" xfId="21" applyFont="1" applyFill="1" applyBorder="1" applyAlignment="1">
      <alignment horizontal="center" vertical="center"/>
    </xf>
    <xf numFmtId="0" fontId="12" fillId="0" borderId="13" xfId="9" applyFont="1" applyFill="1" applyBorder="1" applyAlignment="1">
      <alignment horizontal="justify" vertical="center" wrapText="1"/>
    </xf>
    <xf numFmtId="0" fontId="11" fillId="0" borderId="62" xfId="9" applyFont="1" applyBorder="1" applyAlignment="1">
      <alignment horizontal="center" vertical="center" wrapText="1"/>
    </xf>
    <xf numFmtId="3" fontId="11" fillId="0" borderId="63" xfId="21" applyNumberFormat="1" applyFont="1" applyBorder="1" applyAlignment="1">
      <alignment horizontal="center" vertical="center" wrapText="1"/>
    </xf>
    <xf numFmtId="0" fontId="11" fillId="0" borderId="63" xfId="21" applyFont="1" applyBorder="1" applyAlignment="1">
      <alignment horizontal="center" vertical="center" wrapText="1"/>
    </xf>
    <xf numFmtId="0" fontId="11" fillId="0" borderId="64" xfId="21" applyFont="1" applyBorder="1" applyAlignment="1">
      <alignment horizontal="center" vertical="center" wrapText="1"/>
    </xf>
    <xf numFmtId="0" fontId="12" fillId="0" borderId="65" xfId="9" applyFont="1" applyFill="1" applyBorder="1" applyAlignment="1">
      <alignment wrapText="1"/>
    </xf>
    <xf numFmtId="3" fontId="11" fillId="0" borderId="65" xfId="21" applyNumberFormat="1" applyFont="1" applyFill="1" applyBorder="1"/>
    <xf numFmtId="0" fontId="11" fillId="0" borderId="65" xfId="21" applyFont="1" applyFill="1" applyBorder="1" applyAlignment="1"/>
    <xf numFmtId="0" fontId="11" fillId="0" borderId="65" xfId="21" applyFont="1" applyFill="1" applyBorder="1" applyAlignment="1">
      <alignment horizontal="left"/>
    </xf>
    <xf numFmtId="0" fontId="41" fillId="0" borderId="0" xfId="21" applyFont="1"/>
    <xf numFmtId="0" fontId="41" fillId="0" borderId="43" xfId="9" applyFont="1" applyFill="1" applyBorder="1" applyAlignment="1">
      <alignment wrapText="1"/>
    </xf>
    <xf numFmtId="0" fontId="12" fillId="0" borderId="61" xfId="21" applyFont="1" applyFill="1" applyBorder="1" applyAlignment="1">
      <alignment horizontal="center" vertical="center" wrapText="1"/>
    </xf>
    <xf numFmtId="0" fontId="12" fillId="0" borderId="20" xfId="9" applyFont="1" applyFill="1" applyBorder="1" applyAlignment="1">
      <alignment horizontal="justify" vertical="center" wrapText="1"/>
    </xf>
    <xf numFmtId="0" fontId="12" fillId="0" borderId="23" xfId="22" applyFont="1" applyFill="1" applyBorder="1" applyAlignment="1">
      <alignment horizontal="left" vertical="center" wrapText="1"/>
    </xf>
    <xf numFmtId="0" fontId="12" fillId="0" borderId="55" xfId="2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wrapText="1"/>
    </xf>
    <xf numFmtId="3" fontId="11" fillId="0" borderId="0" xfId="21" applyNumberFormat="1" applyFont="1" applyFill="1" applyBorder="1"/>
    <xf numFmtId="0" fontId="41" fillId="0" borderId="66" xfId="9" applyFont="1" applyFill="1" applyBorder="1" applyAlignment="1">
      <alignment wrapText="1"/>
    </xf>
    <xf numFmtId="3" fontId="11" fillId="0" borderId="67" xfId="9" applyNumberFormat="1" applyFont="1" applyFill="1" applyBorder="1" applyAlignment="1">
      <alignment wrapText="1"/>
    </xf>
    <xf numFmtId="0" fontId="11" fillId="0" borderId="68" xfId="21" applyFont="1" applyFill="1" applyBorder="1" applyAlignment="1"/>
    <xf numFmtId="0" fontId="11" fillId="0" borderId="69" xfId="21" applyFont="1" applyFill="1" applyBorder="1" applyAlignment="1">
      <alignment horizontal="left"/>
    </xf>
    <xf numFmtId="0" fontId="12" fillId="0" borderId="70" xfId="9" applyFont="1" applyFill="1" applyBorder="1" applyAlignment="1">
      <alignment horizontal="justify" vertical="center" wrapText="1"/>
    </xf>
    <xf numFmtId="0" fontId="12" fillId="0" borderId="50" xfId="9" applyFont="1" applyFill="1" applyBorder="1" applyAlignment="1">
      <alignment horizontal="left" vertical="center" wrapText="1"/>
    </xf>
    <xf numFmtId="0" fontId="12" fillId="0" borderId="61" xfId="9" applyFont="1" applyFill="1" applyBorder="1" applyAlignment="1">
      <alignment horizontal="center" vertical="center"/>
    </xf>
    <xf numFmtId="0" fontId="12" fillId="0" borderId="18" xfId="9" applyFont="1" applyFill="1" applyBorder="1" applyAlignment="1">
      <alignment horizontal="justify" vertical="center" wrapText="1"/>
    </xf>
    <xf numFmtId="0" fontId="12" fillId="0" borderId="12" xfId="21" applyNumberFormat="1" applyFont="1" applyFill="1" applyBorder="1" applyAlignment="1">
      <alignment horizontal="center" vertical="center"/>
    </xf>
    <xf numFmtId="0" fontId="12" fillId="0" borderId="36" xfId="9" applyFont="1" applyFill="1" applyBorder="1" applyAlignment="1">
      <alignment horizontal="justify" vertical="center" wrapText="1"/>
    </xf>
    <xf numFmtId="0" fontId="12" fillId="0" borderId="9" xfId="22" applyFont="1" applyFill="1" applyBorder="1" applyAlignment="1">
      <alignment horizontal="left" vertical="center" wrapText="1"/>
    </xf>
    <xf numFmtId="0" fontId="12" fillId="0" borderId="71" xfId="21" applyNumberFormat="1" applyFont="1" applyFill="1" applyBorder="1" applyAlignment="1">
      <alignment horizontal="center" vertical="center"/>
    </xf>
    <xf numFmtId="3" fontId="11" fillId="0" borderId="72" xfId="21" applyNumberFormat="1" applyFont="1" applyBorder="1" applyAlignment="1">
      <alignment horizontal="center" vertical="center" wrapText="1"/>
    </xf>
    <xf numFmtId="0" fontId="11" fillId="0" borderId="0" xfId="21" applyFont="1" applyAlignment="1">
      <alignment horizontal="left"/>
    </xf>
    <xf numFmtId="0" fontId="42" fillId="0" borderId="0" xfId="21" applyFont="1"/>
    <xf numFmtId="0" fontId="43" fillId="0" borderId="0" xfId="21" applyFont="1" applyAlignment="1">
      <alignment horizontal="center"/>
    </xf>
    <xf numFmtId="0" fontId="12" fillId="0" borderId="12" xfId="21" applyFont="1" applyFill="1" applyBorder="1" applyAlignment="1">
      <alignment horizontal="center" vertical="center" wrapText="1"/>
    </xf>
    <xf numFmtId="0" fontId="12" fillId="0" borderId="15" xfId="9" applyFont="1" applyFill="1" applyBorder="1" applyAlignment="1">
      <alignment horizontal="center" vertical="center"/>
    </xf>
    <xf numFmtId="0" fontId="12" fillId="0" borderId="12" xfId="13" applyFont="1" applyFill="1" applyBorder="1" applyAlignment="1">
      <alignment horizontal="center" vertical="center"/>
    </xf>
    <xf numFmtId="0" fontId="12" fillId="0" borderId="17" xfId="13" applyFont="1" applyFill="1" applyBorder="1" applyAlignment="1">
      <alignment horizontal="center" vertical="center" wrapText="1"/>
    </xf>
    <xf numFmtId="0" fontId="12" fillId="0" borderId="12" xfId="13" applyFont="1" applyFill="1" applyBorder="1" applyAlignment="1">
      <alignment horizontal="center" vertical="center" wrapText="1"/>
    </xf>
    <xf numFmtId="0" fontId="12" fillId="10" borderId="18" xfId="9" applyFont="1" applyFill="1" applyBorder="1" applyAlignment="1">
      <alignment vertical="center"/>
    </xf>
    <xf numFmtId="0" fontId="12" fillId="10" borderId="15" xfId="9" applyFont="1" applyFill="1" applyBorder="1" applyAlignment="1">
      <alignment vertical="center"/>
    </xf>
    <xf numFmtId="3" fontId="11" fillId="0" borderId="0" xfId="9" applyNumberFormat="1" applyFont="1" applyFill="1" applyAlignment="1">
      <alignment vertical="center"/>
    </xf>
    <xf numFmtId="3" fontId="26" fillId="0" borderId="0" xfId="18" applyNumberFormat="1" applyAlignment="1">
      <alignment horizontal="right"/>
    </xf>
    <xf numFmtId="3" fontId="10" fillId="10" borderId="9" xfId="9" applyNumberFormat="1" applyFont="1" applyFill="1" applyBorder="1" applyAlignment="1">
      <alignment horizontal="right" vertical="center"/>
    </xf>
    <xf numFmtId="3" fontId="10" fillId="10" borderId="13" xfId="9" applyNumberFormat="1" applyFont="1" applyFill="1" applyBorder="1" applyAlignment="1">
      <alignment horizontal="right" vertical="center"/>
    </xf>
    <xf numFmtId="0" fontId="10" fillId="0" borderId="0" xfId="9" applyFont="1" applyAlignment="1">
      <alignment vertical="center"/>
    </xf>
    <xf numFmtId="3" fontId="10" fillId="0" borderId="0" xfId="9" applyNumberFormat="1" applyFont="1" applyAlignment="1">
      <alignment vertical="center"/>
    </xf>
    <xf numFmtId="0" fontId="10" fillId="0" borderId="38" xfId="9" applyFont="1" applyFill="1" applyBorder="1" applyAlignment="1">
      <alignment horizontal="left" vertical="center" wrapText="1"/>
    </xf>
    <xf numFmtId="0" fontId="10" fillId="0" borderId="38" xfId="9" applyFont="1" applyFill="1" applyBorder="1" applyAlignment="1">
      <alignment vertical="center" wrapText="1"/>
    </xf>
    <xf numFmtId="0" fontId="12" fillId="0" borderId="38" xfId="9" applyFont="1" applyBorder="1" applyAlignment="1">
      <alignment vertical="center" wrapText="1"/>
    </xf>
    <xf numFmtId="4" fontId="11" fillId="10" borderId="3" xfId="9" applyNumberFormat="1" applyFont="1" applyFill="1" applyBorder="1" applyAlignment="1">
      <alignment horizontal="center" vertical="center"/>
    </xf>
    <xf numFmtId="0" fontId="3" fillId="0" borderId="0" xfId="9" applyFont="1" applyAlignment="1">
      <alignment horizontal="center" wrapText="1"/>
    </xf>
    <xf numFmtId="0" fontId="3" fillId="0" borderId="0" xfId="9" applyFont="1" applyAlignment="1">
      <alignment horizontal="center"/>
    </xf>
    <xf numFmtId="0" fontId="1" fillId="0" borderId="0" xfId="9" applyFont="1" applyAlignment="1">
      <alignment horizontal="left" wrapText="1"/>
    </xf>
    <xf numFmtId="0" fontId="1" fillId="0" borderId="0" xfId="9" applyFont="1" applyFill="1" applyAlignment="1">
      <alignment horizontal="left" wrapText="1"/>
    </xf>
    <xf numFmtId="0" fontId="11" fillId="12" borderId="14" xfId="9" applyFont="1" applyFill="1" applyBorder="1" applyAlignment="1">
      <alignment vertical="center" wrapText="1"/>
    </xf>
    <xf numFmtId="0" fontId="11" fillId="0" borderId="16" xfId="9" applyFont="1" applyBorder="1" applyAlignment="1">
      <alignment vertical="center" wrapText="1"/>
    </xf>
    <xf numFmtId="0" fontId="12" fillId="12" borderId="14" xfId="9" applyFont="1" applyFill="1" applyBorder="1" applyAlignment="1">
      <alignment vertical="center" wrapText="1"/>
    </xf>
    <xf numFmtId="0" fontId="7" fillId="0" borderId="16" xfId="9" applyBorder="1" applyAlignment="1">
      <alignment vertical="center" wrapText="1"/>
    </xf>
    <xf numFmtId="0" fontId="12" fillId="0" borderId="14" xfId="9" applyFont="1" applyBorder="1" applyAlignment="1">
      <alignment horizontal="left" vertical="center" wrapText="1"/>
    </xf>
    <xf numFmtId="0" fontId="7" fillId="0" borderId="16" xfId="9" applyBorder="1" applyAlignment="1">
      <alignment wrapText="1"/>
    </xf>
    <xf numFmtId="0" fontId="11" fillId="10" borderId="14" xfId="9" applyFont="1" applyFill="1" applyBorder="1" applyAlignment="1">
      <alignment wrapText="1"/>
    </xf>
    <xf numFmtId="0" fontId="11" fillId="10" borderId="16" xfId="9" applyFont="1" applyFill="1" applyBorder="1" applyAlignment="1">
      <alignment wrapText="1"/>
    </xf>
    <xf numFmtId="0" fontId="11" fillId="10" borderId="14" xfId="9" applyFont="1" applyFill="1" applyBorder="1" applyAlignment="1">
      <alignment vertical="center" wrapText="1"/>
    </xf>
    <xf numFmtId="0" fontId="11" fillId="10" borderId="16" xfId="9" applyFont="1" applyFill="1" applyBorder="1" applyAlignment="1">
      <alignment vertical="center" wrapText="1"/>
    </xf>
    <xf numFmtId="0" fontId="11" fillId="10" borderId="14" xfId="9" applyFont="1" applyFill="1" applyBorder="1" applyAlignment="1">
      <alignment horizontal="center" vertical="center" wrapText="1"/>
    </xf>
    <xf numFmtId="0" fontId="17" fillId="0" borderId="16" xfId="9" applyFont="1" applyBorder="1" applyAlignment="1">
      <alignment horizontal="center" vertical="center" wrapText="1"/>
    </xf>
    <xf numFmtId="0" fontId="11" fillId="12" borderId="14" xfId="9" applyFont="1" applyFill="1" applyBorder="1" applyAlignment="1">
      <alignment vertical="center" shrinkToFit="1"/>
    </xf>
    <xf numFmtId="0" fontId="11" fillId="0" borderId="16" xfId="9" applyFont="1" applyBorder="1" applyAlignment="1">
      <alignment vertical="center" shrinkToFit="1"/>
    </xf>
    <xf numFmtId="2" fontId="4" fillId="0" borderId="0" xfId="9" applyNumberFormat="1" applyFont="1" applyBorder="1" applyAlignment="1">
      <alignment horizontal="center" vertical="center" wrapText="1"/>
    </xf>
    <xf numFmtId="0" fontId="1" fillId="0" borderId="0" xfId="9" applyFont="1" applyBorder="1" applyAlignment="1">
      <alignment wrapText="1"/>
    </xf>
    <xf numFmtId="0" fontId="12" fillId="0" borderId="16" xfId="9" applyFont="1" applyBorder="1" applyAlignment="1">
      <alignment vertical="center" wrapText="1"/>
    </xf>
    <xf numFmtId="0" fontId="11" fillId="10" borderId="4" xfId="13" applyFont="1" applyFill="1" applyBorder="1" applyAlignment="1">
      <alignment horizontal="left" vertical="center" wrapText="1"/>
    </xf>
    <xf numFmtId="0" fontId="12" fillId="0" borderId="3" xfId="13" applyFont="1" applyBorder="1" applyAlignment="1">
      <alignment vertical="center"/>
    </xf>
    <xf numFmtId="0" fontId="11" fillId="0" borderId="17" xfId="13" applyFont="1" applyFill="1" applyBorder="1" applyAlignment="1">
      <alignment vertical="center" wrapText="1"/>
    </xf>
    <xf numFmtId="0" fontId="11" fillId="0" borderId="19" xfId="13" applyFont="1" applyFill="1" applyBorder="1" applyAlignment="1">
      <alignment vertical="center" wrapText="1"/>
    </xf>
    <xf numFmtId="0" fontId="11" fillId="0" borderId="18" xfId="13" applyFont="1" applyFill="1" applyBorder="1" applyAlignment="1">
      <alignment vertical="center" wrapText="1"/>
    </xf>
    <xf numFmtId="0" fontId="11" fillId="10" borderId="12" xfId="13" applyFont="1" applyFill="1" applyBorder="1" applyAlignment="1">
      <alignment vertical="center" wrapText="1"/>
    </xf>
    <xf numFmtId="0" fontId="12" fillId="0" borderId="15" xfId="13" applyFont="1" applyBorder="1" applyAlignment="1">
      <alignment vertical="center"/>
    </xf>
    <xf numFmtId="0" fontId="11" fillId="10" borderId="17" xfId="13" applyFont="1" applyFill="1" applyBorder="1" applyAlignment="1">
      <alignment vertical="center" wrapText="1"/>
    </xf>
    <xf numFmtId="0" fontId="11" fillId="10" borderId="16" xfId="13" applyFont="1" applyFill="1" applyBorder="1" applyAlignment="1">
      <alignment vertical="center" wrapText="1"/>
    </xf>
    <xf numFmtId="0" fontId="11" fillId="0" borderId="17" xfId="13" applyFont="1" applyFill="1" applyBorder="1" applyAlignment="1">
      <alignment vertical="center"/>
    </xf>
    <xf numFmtId="0" fontId="11" fillId="0" borderId="19" xfId="13" applyFont="1" applyFill="1" applyBorder="1" applyAlignment="1">
      <alignment vertical="center"/>
    </xf>
    <xf numFmtId="0" fontId="11" fillId="0" borderId="18" xfId="13" applyFont="1" applyFill="1" applyBorder="1" applyAlignment="1">
      <alignment vertical="center"/>
    </xf>
    <xf numFmtId="0" fontId="11" fillId="10" borderId="11" xfId="13" applyFont="1" applyFill="1" applyBorder="1" applyAlignment="1">
      <alignment vertical="center" wrapText="1"/>
    </xf>
    <xf numFmtId="0" fontId="11" fillId="10" borderId="10" xfId="13" applyFont="1" applyFill="1" applyBorder="1" applyAlignment="1">
      <alignment vertical="center" wrapText="1"/>
    </xf>
    <xf numFmtId="49" fontId="12" fillId="0" borderId="8" xfId="13" applyNumberFormat="1" applyFont="1" applyFill="1" applyBorder="1" applyAlignment="1">
      <alignment horizontal="justify" vertical="center"/>
    </xf>
    <xf numFmtId="0" fontId="14" fillId="0" borderId="21" xfId="9" applyFont="1" applyBorder="1" applyAlignment="1">
      <alignment horizontal="justify" vertical="center"/>
    </xf>
    <xf numFmtId="0" fontId="14" fillId="0" borderId="20" xfId="9" applyFont="1" applyBorder="1" applyAlignment="1">
      <alignment horizontal="justify" vertical="center"/>
    </xf>
    <xf numFmtId="0" fontId="11" fillId="0" borderId="17" xfId="13" applyFont="1" applyBorder="1" applyAlignment="1">
      <alignment vertical="center" wrapText="1"/>
    </xf>
    <xf numFmtId="0" fontId="11" fillId="0" borderId="19" xfId="13" applyFont="1" applyBorder="1" applyAlignment="1">
      <alignment vertical="center" wrapText="1"/>
    </xf>
    <xf numFmtId="0" fontId="11" fillId="0" borderId="22" xfId="13" applyFont="1" applyBorder="1" applyAlignment="1">
      <alignment vertical="center" wrapText="1"/>
    </xf>
    <xf numFmtId="0" fontId="11" fillId="0" borderId="18" xfId="13" applyFont="1" applyBorder="1" applyAlignment="1">
      <alignment vertical="center" wrapText="1"/>
    </xf>
    <xf numFmtId="0" fontId="4" fillId="0" borderId="0" xfId="13" applyFont="1" applyAlignment="1">
      <alignment horizontal="center" vertical="center" wrapText="1"/>
    </xf>
    <xf numFmtId="0" fontId="11" fillId="10" borderId="30" xfId="13" applyFont="1" applyFill="1" applyBorder="1" applyAlignment="1">
      <alignment horizontal="center" vertical="center" wrapText="1"/>
    </xf>
    <xf numFmtId="0" fontId="11" fillId="10" borderId="12" xfId="13" applyFont="1" applyFill="1" applyBorder="1" applyAlignment="1">
      <alignment horizontal="center" vertical="center" wrapText="1"/>
    </xf>
    <xf numFmtId="0" fontId="11" fillId="10" borderId="28" xfId="13" applyFont="1" applyFill="1" applyBorder="1" applyAlignment="1">
      <alignment horizontal="center" vertical="center" wrapText="1"/>
    </xf>
    <xf numFmtId="0" fontId="11" fillId="10" borderId="15" xfId="13" applyFont="1" applyFill="1" applyBorder="1" applyAlignment="1">
      <alignment horizontal="center" vertical="center" wrapText="1"/>
    </xf>
    <xf numFmtId="4" fontId="11" fillId="10" borderId="28" xfId="13" applyNumberFormat="1" applyFont="1" applyFill="1" applyBorder="1" applyAlignment="1">
      <alignment horizontal="center" vertical="center" wrapText="1"/>
    </xf>
    <xf numFmtId="4" fontId="11" fillId="10" borderId="15" xfId="13" applyNumberFormat="1" applyFont="1" applyFill="1" applyBorder="1" applyAlignment="1">
      <alignment horizontal="center" vertical="center" wrapText="1"/>
    </xf>
    <xf numFmtId="0" fontId="2" fillId="10" borderId="15" xfId="13" applyFont="1" applyFill="1" applyBorder="1" applyAlignment="1">
      <alignment horizontal="center" vertical="center" wrapText="1"/>
    </xf>
    <xf numFmtId="4" fontId="11" fillId="10" borderId="29" xfId="13" applyNumberFormat="1" applyFont="1" applyFill="1" applyBorder="1" applyAlignment="1">
      <alignment horizontal="center" vertical="center" wrapText="1"/>
    </xf>
    <xf numFmtId="4" fontId="11" fillId="10" borderId="23" xfId="13" applyNumberFormat="1" applyFont="1" applyFill="1" applyBorder="1" applyAlignment="1">
      <alignment horizontal="center" vertical="center" wrapText="1"/>
    </xf>
    <xf numFmtId="4" fontId="11" fillId="10" borderId="15" xfId="13" applyNumberFormat="1" applyFont="1" applyFill="1" applyBorder="1" applyAlignment="1">
      <alignment horizontal="center" vertical="center"/>
    </xf>
    <xf numFmtId="4" fontId="11" fillId="10" borderId="27" xfId="9" applyNumberFormat="1" applyFont="1" applyFill="1" applyBorder="1" applyAlignment="1">
      <alignment horizontal="center" vertical="center" wrapText="1"/>
    </xf>
    <xf numFmtId="0" fontId="14" fillId="0" borderId="26" xfId="9" applyFont="1" applyBorder="1" applyAlignment="1">
      <alignment vertical="center"/>
    </xf>
    <xf numFmtId="0" fontId="7" fillId="0" borderId="25" xfId="9" applyBorder="1" applyAlignment="1">
      <alignment vertical="center"/>
    </xf>
    <xf numFmtId="0" fontId="11" fillId="10" borderId="24" xfId="13" applyFont="1" applyFill="1" applyBorder="1" applyAlignment="1">
      <alignment horizontal="center" vertical="center"/>
    </xf>
    <xf numFmtId="0" fontId="11" fillId="10" borderId="18" xfId="13" applyFont="1" applyFill="1" applyBorder="1" applyAlignment="1">
      <alignment horizontal="center" vertical="center"/>
    </xf>
    <xf numFmtId="0" fontId="21" fillId="0" borderId="0" xfId="9" applyFont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11" fillId="0" borderId="45" xfId="9" applyFont="1" applyBorder="1" applyAlignment="1">
      <alignment horizontal="center" vertical="center" wrapText="1"/>
    </xf>
    <xf numFmtId="0" fontId="11" fillId="0" borderId="4" xfId="9" applyFont="1" applyBorder="1" applyAlignment="1">
      <alignment horizontal="center" vertical="center" wrapText="1"/>
    </xf>
    <xf numFmtId="4" fontId="11" fillId="0" borderId="29" xfId="9" applyNumberFormat="1" applyFont="1" applyBorder="1" applyAlignment="1">
      <alignment horizontal="center" vertical="center" wrapText="1"/>
    </xf>
    <xf numFmtId="4" fontId="11" fillId="0" borderId="3" xfId="9" applyNumberFormat="1" applyFont="1" applyBorder="1" applyAlignment="1">
      <alignment horizontal="center" vertical="center" wrapText="1"/>
    </xf>
    <xf numFmtId="4" fontId="11" fillId="10" borderId="29" xfId="9" applyNumberFormat="1" applyFont="1" applyFill="1" applyBorder="1" applyAlignment="1">
      <alignment horizontal="center" vertical="center" wrapText="1"/>
    </xf>
    <xf numFmtId="4" fontId="11" fillId="10" borderId="3" xfId="9" applyNumberFormat="1" applyFont="1" applyFill="1" applyBorder="1" applyAlignment="1">
      <alignment horizontal="center" vertical="center"/>
    </xf>
    <xf numFmtId="4" fontId="11" fillId="0" borderId="44" xfId="9" applyNumberFormat="1" applyFont="1" applyFill="1" applyBorder="1" applyAlignment="1">
      <alignment horizontal="center" vertical="center" wrapText="1"/>
    </xf>
    <xf numFmtId="4" fontId="11" fillId="0" borderId="43" xfId="9" applyNumberFormat="1" applyFont="1" applyFill="1" applyBorder="1" applyAlignment="1">
      <alignment horizontal="center" vertical="center" wrapText="1"/>
    </xf>
    <xf numFmtId="4" fontId="11" fillId="0" borderId="27" xfId="9" applyNumberFormat="1" applyFont="1" applyFill="1" applyBorder="1" applyAlignment="1">
      <alignment horizontal="center" vertical="center" wrapText="1"/>
    </xf>
    <xf numFmtId="0" fontId="14" fillId="0" borderId="26" xfId="9" applyFont="1" applyBorder="1" applyAlignment="1">
      <alignment horizontal="center" vertical="center"/>
    </xf>
    <xf numFmtId="0" fontId="7" fillId="0" borderId="24" xfId="9" applyBorder="1" applyAlignment="1">
      <alignment vertical="center"/>
    </xf>
    <xf numFmtId="0" fontId="11" fillId="0" borderId="17" xfId="9" applyFont="1" applyFill="1" applyBorder="1" applyAlignment="1">
      <alignment horizontal="left" vertical="center" wrapText="1"/>
    </xf>
    <xf numFmtId="0" fontId="11" fillId="0" borderId="19" xfId="9" applyFont="1" applyFill="1" applyBorder="1" applyAlignment="1">
      <alignment horizontal="left" vertical="center" wrapText="1"/>
    </xf>
    <xf numFmtId="0" fontId="11" fillId="0" borderId="16" xfId="9" applyFont="1" applyFill="1" applyBorder="1" applyAlignment="1">
      <alignment horizontal="left" vertical="center" wrapText="1"/>
    </xf>
    <xf numFmtId="0" fontId="11" fillId="0" borderId="17" xfId="9" applyFont="1" applyFill="1" applyBorder="1" applyAlignment="1">
      <alignment horizontal="left" vertical="center"/>
    </xf>
    <xf numFmtId="0" fontId="11" fillId="0" borderId="19" xfId="9" applyFont="1" applyFill="1" applyBorder="1" applyAlignment="1">
      <alignment horizontal="left" vertical="center"/>
    </xf>
    <xf numFmtId="0" fontId="11" fillId="0" borderId="16" xfId="9" applyFont="1" applyFill="1" applyBorder="1" applyAlignment="1">
      <alignment horizontal="left" vertical="center"/>
    </xf>
    <xf numFmtId="0" fontId="11" fillId="0" borderId="39" xfId="9" applyFont="1" applyBorder="1" applyAlignment="1">
      <alignment horizontal="left" vertical="center" wrapText="1"/>
    </xf>
    <xf numFmtId="0" fontId="11" fillId="0" borderId="26" xfId="9" applyFont="1" applyBorder="1" applyAlignment="1">
      <alignment horizontal="left" vertical="center" wrapText="1"/>
    </xf>
    <xf numFmtId="0" fontId="7" fillId="0" borderId="18" xfId="9" applyBorder="1" applyAlignment="1">
      <alignment vertical="center"/>
    </xf>
    <xf numFmtId="0" fontId="11" fillId="0" borderId="7" xfId="21" applyFont="1" applyFill="1" applyBorder="1" applyAlignment="1">
      <alignment horizontal="left"/>
    </xf>
    <xf numFmtId="0" fontId="11" fillId="0" borderId="34" xfId="21" applyFont="1" applyFill="1" applyBorder="1" applyAlignment="1">
      <alignment horizontal="left"/>
    </xf>
    <xf numFmtId="0" fontId="11" fillId="0" borderId="4" xfId="21" applyFont="1" applyFill="1" applyBorder="1" applyAlignment="1">
      <alignment horizontal="left"/>
    </xf>
    <xf numFmtId="0" fontId="2" fillId="0" borderId="3" xfId="9" applyFont="1" applyBorder="1" applyAlignment="1">
      <alignment horizontal="left"/>
    </xf>
    <xf numFmtId="0" fontId="12" fillId="0" borderId="38" xfId="21" applyFont="1" applyFill="1" applyBorder="1" applyAlignment="1">
      <alignment horizontal="center" vertical="center"/>
    </xf>
    <xf numFmtId="0" fontId="12" fillId="0" borderId="54" xfId="21" applyFont="1" applyFill="1" applyBorder="1" applyAlignment="1">
      <alignment horizontal="center" vertical="center"/>
    </xf>
    <xf numFmtId="0" fontId="12" fillId="0" borderId="52" xfId="21" applyFont="1" applyFill="1" applyBorder="1" applyAlignment="1">
      <alignment horizontal="center" vertical="center"/>
    </xf>
    <xf numFmtId="0" fontId="12" fillId="0" borderId="9" xfId="22" applyFont="1" applyFill="1" applyBorder="1" applyAlignment="1">
      <alignment horizontal="left" vertical="center" wrapText="1"/>
    </xf>
    <xf numFmtId="0" fontId="12" fillId="0" borderId="53" xfId="22" applyFont="1" applyFill="1" applyBorder="1" applyAlignment="1">
      <alignment horizontal="left" vertical="center" wrapText="1"/>
    </xf>
    <xf numFmtId="0" fontId="12" fillId="0" borderId="51" xfId="22" applyFont="1" applyFill="1" applyBorder="1" applyAlignment="1">
      <alignment horizontal="left" vertical="center" wrapText="1"/>
    </xf>
    <xf numFmtId="0" fontId="7" fillId="0" borderId="55" xfId="9" applyFont="1" applyBorder="1" applyAlignment="1">
      <alignment horizontal="center" vertical="center"/>
    </xf>
    <xf numFmtId="0" fontId="7" fillId="0" borderId="23" xfId="9" applyFont="1" applyBorder="1" applyAlignment="1">
      <alignment horizontal="left" vertical="center" wrapText="1"/>
    </xf>
    <xf numFmtId="0" fontId="2" fillId="0" borderId="54" xfId="9" applyFont="1" applyBorder="1" applyAlignment="1">
      <alignment horizontal="center" vertical="center"/>
    </xf>
    <xf numFmtId="0" fontId="7" fillId="0" borderId="54" xfId="9" applyFont="1" applyBorder="1" applyAlignment="1">
      <alignment horizontal="center" vertical="center"/>
    </xf>
    <xf numFmtId="0" fontId="2" fillId="0" borderId="53" xfId="9" applyFont="1" applyBorder="1" applyAlignment="1">
      <alignment horizontal="left" vertical="center" wrapText="1"/>
    </xf>
    <xf numFmtId="0" fontId="7" fillId="0" borderId="53" xfId="9" applyFont="1" applyBorder="1" applyAlignment="1">
      <alignment horizontal="left" vertical="center" wrapText="1"/>
    </xf>
    <xf numFmtId="0" fontId="12" fillId="0" borderId="38" xfId="21" applyFont="1" applyFill="1" applyBorder="1" applyAlignment="1">
      <alignment horizontal="center" vertical="center" wrapText="1"/>
    </xf>
    <xf numFmtId="0" fontId="12" fillId="0" borderId="54" xfId="21" applyFont="1" applyFill="1" applyBorder="1" applyAlignment="1">
      <alignment horizontal="center" vertical="center" wrapText="1"/>
    </xf>
    <xf numFmtId="0" fontId="12" fillId="0" borderId="12" xfId="21" applyFont="1" applyFill="1" applyBorder="1" applyAlignment="1">
      <alignment horizontal="center" vertical="center"/>
    </xf>
    <xf numFmtId="0" fontId="12" fillId="0" borderId="15" xfId="22" applyFont="1" applyFill="1" applyBorder="1" applyAlignment="1">
      <alignment horizontal="left" vertical="center" wrapText="1"/>
    </xf>
    <xf numFmtId="0" fontId="12" fillId="0" borderId="23" xfId="22" applyFont="1" applyFill="1" applyBorder="1" applyAlignment="1">
      <alignment horizontal="left" vertical="center" wrapText="1"/>
    </xf>
    <xf numFmtId="0" fontId="4" fillId="0" borderId="0" xfId="21" applyFont="1" applyAlignment="1">
      <alignment horizontal="center"/>
    </xf>
    <xf numFmtId="0" fontId="12" fillId="0" borderId="59" xfId="21" applyFont="1" applyFill="1" applyBorder="1" applyAlignment="1">
      <alignment horizontal="center" vertical="center"/>
    </xf>
    <xf numFmtId="0" fontId="12" fillId="0" borderId="55" xfId="21" applyFont="1" applyFill="1" applyBorder="1" applyAlignment="1">
      <alignment horizontal="center" vertical="center"/>
    </xf>
    <xf numFmtId="0" fontId="12" fillId="0" borderId="58" xfId="22" applyFont="1" applyFill="1" applyBorder="1" applyAlignment="1">
      <alignment horizontal="left" vertical="center" wrapText="1"/>
    </xf>
    <xf numFmtId="0" fontId="30" fillId="0" borderId="22" xfId="18" applyFont="1" applyBorder="1" applyAlignment="1">
      <alignment horizontal="center"/>
    </xf>
  </cellXfs>
  <cellStyles count="23">
    <cellStyle name="20 % – Zvýraznění1 2" xfId="1"/>
    <cellStyle name="20 % – Zvýraznění2 2" xfId="2"/>
    <cellStyle name="20 % – Zvýraznění3 2" xfId="3"/>
    <cellStyle name="20 % – Zvýraznění4 2" xfId="4"/>
    <cellStyle name="40 % – Zvýraznění3 2" xfId="5"/>
    <cellStyle name="60 % – Zvýraznění3 2" xfId="6"/>
    <cellStyle name="60 % – Zvýraznění4 2" xfId="7"/>
    <cellStyle name="60 % – Zvýraznění6 2" xfId="8"/>
    <cellStyle name="Normální" xfId="0" builtinId="0"/>
    <cellStyle name="Normální 2" xfId="9"/>
    <cellStyle name="Normální 3" xfId="10"/>
    <cellStyle name="Normální 4" xfId="16"/>
    <cellStyle name="normální_10_BILANCEE" xfId="17"/>
    <cellStyle name="normální_Akce EU - tabulka" xfId="11"/>
    <cellStyle name="normální_Akce EU - tabulka(tom)-final" xfId="12"/>
    <cellStyle name="normální_EU akce-upr 2" xfId="13"/>
    <cellStyle name="normální_Metodika k RS od 1.5.2005" xfId="22"/>
    <cellStyle name="normální_Rozborová tab. příjmů" xfId="21"/>
    <cellStyle name="normální_Rozpočet 12-2005 - Grafy" xfId="18"/>
    <cellStyle name="normální_Výroční zpráva 2002" xfId="19"/>
    <cellStyle name="normální_Z002_002_05_str_12-14" xfId="20"/>
    <cellStyle name="Poznámka 2" xfId="14"/>
    <cellStyle name="Procent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7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33408"/>
        <c:axId val="138055680"/>
      </c:barChart>
      <c:catAx>
        <c:axId val="13803340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55680"/>
        <c:crosses val="autoZero"/>
        <c:auto val="1"/>
        <c:lblAlgn val="ctr"/>
        <c:lblOffset val="100"/>
        <c:tickMarkSkip val="1"/>
        <c:noMultiLvlLbl val="0"/>
      </c:catAx>
      <c:valAx>
        <c:axId val="13805568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03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2009 až 2015, 
návrh rozpočtu Moravskoslezského kraje na rok 2016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16385295496524E-2"/>
                  <c:y val="-2.218049303375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03765418962496E-2"/>
                  <c:y val="-1.0070271590842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159050581660463E-2"/>
                  <c:y val="-3.3353101202914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'Zdrojová data I.s'!$J$8:$Q$8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'Zdrojová data I.s'!$J$9:$Q$9</c:f>
              <c:numCache>
                <c:formatCode>#,##0</c:formatCode>
                <c:ptCount val="8"/>
                <c:pt idx="0">
                  <c:v>7540749</c:v>
                </c:pt>
                <c:pt idx="1">
                  <c:v>7428164</c:v>
                </c:pt>
                <c:pt idx="2">
                  <c:v>8304059</c:v>
                </c:pt>
                <c:pt idx="3">
                  <c:v>9019403</c:v>
                </c:pt>
                <c:pt idx="4">
                  <c:v>7609322</c:v>
                </c:pt>
                <c:pt idx="5">
                  <c:v>8278538</c:v>
                </c:pt>
                <c:pt idx="6">
                  <c:v>9696615</c:v>
                </c:pt>
                <c:pt idx="7">
                  <c:v>8053332</c:v>
                </c:pt>
              </c:numCache>
            </c:numRef>
          </c:val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26689013361011E-2"/>
                  <c:y val="-8.152289139146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607181208460294E-2"/>
                  <c:y val="-5.6592348461991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42169833505506E-2"/>
                  <c:y val="-4.18018414848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'Zdrojová data I.s'!$J$8:$Q$8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'Zdrojová data I.s'!$J$10:$Q$10</c:f>
              <c:numCache>
                <c:formatCode>#,##0</c:formatCode>
                <c:ptCount val="8"/>
                <c:pt idx="0">
                  <c:v>11166878</c:v>
                </c:pt>
                <c:pt idx="1">
                  <c:v>10908903</c:v>
                </c:pt>
                <c:pt idx="2">
                  <c:v>10288015</c:v>
                </c:pt>
                <c:pt idx="3">
                  <c:v>9686464</c:v>
                </c:pt>
                <c:pt idx="4">
                  <c:v>10919480</c:v>
                </c:pt>
                <c:pt idx="5">
                  <c:v>11432941</c:v>
                </c:pt>
                <c:pt idx="6">
                  <c:v>12743727</c:v>
                </c:pt>
              </c:numCache>
            </c:numRef>
          </c:val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zálohové platby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'Zdrojová data I.s'!$J$8:$Q$8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strCache>
            </c:strRef>
          </c:cat>
          <c:val>
            <c:numRef>
              <c:f>'Zdrojová data I.s'!$J$11:$Q$11</c:f>
              <c:numCache>
                <c:formatCode>#,##0</c:formatCode>
                <c:ptCount val="8"/>
                <c:pt idx="7">
                  <c:v>11190114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8062464"/>
        <c:axId val="88772992"/>
        <c:axId val="0"/>
      </c:bar3DChart>
      <c:catAx>
        <c:axId val="13806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887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7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38062464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2009 až 2015,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2016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49321959755092E-2"/>
                  <c:y val="-6.478255980208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67191625774727E-2"/>
                  <c:y val="-3.60517279201136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660583573018365E-2"/>
                  <c:y val="-7.32286857669418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985958468437937E-2"/>
                  <c:y val="-4.593209858575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4313478753023493E-3"/>
                  <c:y val="-6.7707249959356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s'!$J$9:$Q$9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s'!$J$10:$Q$10</c:f>
              <c:numCache>
                <c:formatCode>#,##0</c:formatCode>
                <c:ptCount val="8"/>
                <c:pt idx="0">
                  <c:v>4532498</c:v>
                </c:pt>
                <c:pt idx="1">
                  <c:v>4121475</c:v>
                </c:pt>
                <c:pt idx="2">
                  <c:v>4416300</c:v>
                </c:pt>
                <c:pt idx="3">
                  <c:v>4543700</c:v>
                </c:pt>
                <c:pt idx="4">
                  <c:v>4302600</c:v>
                </c:pt>
                <c:pt idx="5">
                  <c:v>4498900</c:v>
                </c:pt>
                <c:pt idx="6">
                  <c:v>4776650</c:v>
                </c:pt>
                <c:pt idx="7">
                  <c:v>5330950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256881489648878E-2"/>
                  <c:y val="-6.6963403050310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746549205167597E-2"/>
                  <c:y val="-7.1903818569121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475247624528638E-2"/>
                  <c:y val="-7.2491129025933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339720939484601E-2"/>
                  <c:y val="-7.742987604912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9497192898593174E-2"/>
                  <c:y val="-8.23686230723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s'!$J$9:$Q$9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s'!$J$11:$Q$11</c:f>
              <c:numCache>
                <c:formatCode>#,##0</c:formatCode>
                <c:ptCount val="8"/>
                <c:pt idx="0">
                  <c:v>183697</c:v>
                </c:pt>
                <c:pt idx="1">
                  <c:v>169579</c:v>
                </c:pt>
                <c:pt idx="2">
                  <c:v>291031</c:v>
                </c:pt>
                <c:pt idx="3">
                  <c:v>169400</c:v>
                </c:pt>
                <c:pt idx="4">
                  <c:v>184620</c:v>
                </c:pt>
                <c:pt idx="5">
                  <c:v>191852</c:v>
                </c:pt>
                <c:pt idx="6">
                  <c:v>162937</c:v>
                </c:pt>
                <c:pt idx="7">
                  <c:v>140391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668316438001E-2"/>
                  <c:y val="1.1257339920776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363452102702646E-2"/>
                  <c:y val="2.31520451668437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416008989033826E-2"/>
                  <c:y val="1.37817737877002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225469381925069E-2"/>
                  <c:y val="-2.7963986523227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s'!$J$9:$Q$9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s'!$J$12:$Q$12</c:f>
              <c:numCache>
                <c:formatCode>#,##0</c:formatCode>
                <c:ptCount val="8"/>
                <c:pt idx="0">
                  <c:v>58500</c:v>
                </c:pt>
                <c:pt idx="1">
                  <c:v>45730</c:v>
                </c:pt>
                <c:pt idx="2">
                  <c:v>60230</c:v>
                </c:pt>
                <c:pt idx="3">
                  <c:v>79409</c:v>
                </c:pt>
                <c:pt idx="4">
                  <c:v>85980</c:v>
                </c:pt>
                <c:pt idx="5">
                  <c:v>85980</c:v>
                </c:pt>
                <c:pt idx="6">
                  <c:v>55980</c:v>
                </c:pt>
                <c:pt idx="7">
                  <c:v>40980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964020122484751E-2"/>
                  <c:y val="-2.459417824953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080872386696703E-3"/>
                  <c:y val="-2.9534623360340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887350309649781E-3"/>
                  <c:y val="-1.763984265239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051010882926334E-3"/>
                  <c:y val="-7.23182079240324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s'!$J$9:$Q$9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s'!$J$13:$Q$13</c:f>
              <c:numCache>
                <c:formatCode>#,##0</c:formatCode>
                <c:ptCount val="8"/>
                <c:pt idx="0">
                  <c:v>2098388</c:v>
                </c:pt>
                <c:pt idx="1">
                  <c:v>1689276</c:v>
                </c:pt>
                <c:pt idx="2">
                  <c:v>2313905</c:v>
                </c:pt>
                <c:pt idx="3">
                  <c:v>2139590</c:v>
                </c:pt>
                <c:pt idx="4">
                  <c:v>1706993</c:v>
                </c:pt>
                <c:pt idx="5">
                  <c:v>2169460</c:v>
                </c:pt>
                <c:pt idx="6">
                  <c:v>3565454</c:v>
                </c:pt>
                <c:pt idx="7">
                  <c:v>2541011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138601984"/>
        <c:axId val="138603904"/>
        <c:axId val="0"/>
      </c:bar3DChart>
      <c:catAx>
        <c:axId val="138601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386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38601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2009 až 2015,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2016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4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88088412904931E-2"/>
                  <c:y val="-8.0867470632208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267961363278377E-2"/>
                  <c:y val="-3.095447184830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047572178477715E-2"/>
                  <c:y val="-6.5214871681719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732461449045851E-2"/>
                  <c:y val="-6.5804652985479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55008748906389E-2"/>
                  <c:y val="-8.3232440197087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s'!$J$2:$Q$2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s'!$J$3:$Q$3</c:f>
              <c:numCache>
                <c:formatCode>#,##0</c:formatCode>
                <c:ptCount val="8"/>
                <c:pt idx="0">
                  <c:v>4386633</c:v>
                </c:pt>
                <c:pt idx="1">
                  <c:v>4426857</c:v>
                </c:pt>
                <c:pt idx="2">
                  <c:v>4548788</c:v>
                </c:pt>
                <c:pt idx="3">
                  <c:v>4787612</c:v>
                </c:pt>
                <c:pt idx="4">
                  <c:v>4674368</c:v>
                </c:pt>
                <c:pt idx="5">
                  <c:v>4749050</c:v>
                </c:pt>
                <c:pt idx="6">
                  <c:v>5225653</c:v>
                </c:pt>
                <c:pt idx="7">
                  <c:v>5123867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8761273808660558E-2"/>
                  <c:y val="-6.4201999004686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4454396325459323E-2"/>
                  <c:y val="-1.152969500842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402340332458434E-2"/>
                  <c:y val="-1.83229178367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07327209098851E-2"/>
                  <c:y val="-1.1647950176462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74584426946599E-2"/>
                  <c:y val="-1.5073992617151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s'!$J$2:$Q$2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'Zdrojová data II. a III. s'!$J$4:$Q$4</c:f>
              <c:numCache>
                <c:formatCode>#,##0</c:formatCode>
                <c:ptCount val="8"/>
                <c:pt idx="0">
                  <c:v>3154116</c:v>
                </c:pt>
                <c:pt idx="1">
                  <c:v>3001307</c:v>
                </c:pt>
                <c:pt idx="2">
                  <c:v>3755271</c:v>
                </c:pt>
                <c:pt idx="3">
                  <c:v>4231791</c:v>
                </c:pt>
                <c:pt idx="4">
                  <c:v>2934954</c:v>
                </c:pt>
                <c:pt idx="5">
                  <c:v>3529488</c:v>
                </c:pt>
                <c:pt idx="6">
                  <c:v>4470962</c:v>
                </c:pt>
                <c:pt idx="7">
                  <c:v>1689119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626368"/>
        <c:axId val="88674304"/>
        <c:axId val="0"/>
      </c:bar3DChart>
      <c:catAx>
        <c:axId val="139626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886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74304"/>
        <c:scaling>
          <c:orientation val="minMax"/>
          <c:max val="6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139626368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318656"/>
        <c:axId val="145320576"/>
      </c:barChart>
      <c:catAx>
        <c:axId val="145318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2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32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1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121664"/>
        <c:axId val="145123584"/>
        <c:axId val="0"/>
      </c:bar3DChart>
      <c:catAx>
        <c:axId val="14512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2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21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2016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2796485093236691E-2"/>
                  <c:y val="-0.157062833709551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9226815398075935E-3"/>
                  <c:y val="-5.0876960788312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8950131233594781E-3"/>
                  <c:y val="-5.4460053339866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Kapitálové příjmy
0</a:t>
                    </a:r>
                    <a:r>
                      <a:rPr lang="cs-CZ"/>
                      <a:t>,5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303805774278195E-2"/>
                  <c:y val="3.4243126448233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402110673665792"/>
                  <c:y val="0.129696102379158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1249999999999997E-3"/>
                  <c:y val="0.20248238986212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6788057742782156E-3"/>
                  <c:y val="4.2554351539672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přijaté dotace
</a:t>
                    </a:r>
                    <a:r>
                      <a:rPr lang="cs-CZ"/>
                      <a:t>0,5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IV.'!$T$2:$T$8</c:f>
              <c:numCache>
                <c:formatCode>#,##0</c:formatCode>
                <c:ptCount val="7"/>
                <c:pt idx="0">
                  <c:v>140391</c:v>
                </c:pt>
                <c:pt idx="1">
                  <c:v>5330950</c:v>
                </c:pt>
                <c:pt idx="2">
                  <c:v>40980</c:v>
                </c:pt>
                <c:pt idx="3">
                  <c:v>2170452</c:v>
                </c:pt>
                <c:pt idx="4">
                  <c:v>208810</c:v>
                </c:pt>
                <c:pt idx="5">
                  <c:v>116831</c:v>
                </c:pt>
                <c:pt idx="6">
                  <c:v>44918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IV.'!$U$2:$U$8</c:f>
              <c:numCache>
                <c:formatCode>#,##0.00</c:formatCode>
                <c:ptCount val="7"/>
                <c:pt idx="0">
                  <c:v>1.7432660170970227</c:v>
                </c:pt>
                <c:pt idx="1">
                  <c:v>66.19558215158645</c:v>
                </c:pt>
                <c:pt idx="2">
                  <c:v>0.50885770014200338</c:v>
                </c:pt>
                <c:pt idx="3">
                  <c:v>26.950981283275048</c:v>
                </c:pt>
                <c:pt idx="4">
                  <c:v>2.5928398332516278</c:v>
                </c:pt>
                <c:pt idx="5">
                  <c:v>1.450716299787467</c:v>
                </c:pt>
                <c:pt idx="6">
                  <c:v>0.55775671486038325</c:v>
                </c:pt>
              </c:numCache>
            </c:numRef>
          </c:val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2016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3794214785651793"/>
                  <c:y val="-5.66509844596562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Běžné výdaje na zastupitelstvo kraje a krajský úřad
7,1%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312554680664885E-2"/>
                  <c:y val="-9.48951313670528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Finance a správa majetku
4,2%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978565179352479E-2"/>
                  <c:y val="0.134274953452416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Samosprávné činnosti celkem
33,5%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026246719160105E-3"/>
                  <c:y val="1.957069656569290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Příspěvky PO celkem - provoz
30,6%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2085520559929933E-3"/>
                  <c:y val="8.794209583261491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Návratné finanční výpomoci
1,0%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44444444444441E-3"/>
                  <c:y val="-5.634408427033325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Reprodukce majetku kraje vyjma akcí EU
6,5%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8293963254592921E-3"/>
                  <c:y val="-6.274231916188503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Akce spolufinancované z evropských finančních zdrojů
17,1%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</c:v>
                </c:pt>
                <c:pt idx="5">
                  <c:v>Reprodukce majetku kraje vyjma akce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VI.'!$T$3:$T$9</c:f>
              <c:numCache>
                <c:formatCode>#,##0</c:formatCode>
                <c:ptCount val="7"/>
                <c:pt idx="0">
                  <c:v>487864</c:v>
                </c:pt>
                <c:pt idx="1">
                  <c:v>284745</c:v>
                </c:pt>
                <c:pt idx="2">
                  <c:v>2280733</c:v>
                </c:pt>
                <c:pt idx="3">
                  <c:v>2082143</c:v>
                </c:pt>
                <c:pt idx="4">
                  <c:v>70000</c:v>
                </c:pt>
                <c:pt idx="5">
                  <c:v>441415</c:v>
                </c:pt>
                <c:pt idx="6">
                  <c:v>1166086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Příspěvky PO celkem - provoz</c:v>
                </c:pt>
                <c:pt idx="4">
                  <c:v>Návratné finanční výpomoci</c:v>
                </c:pt>
                <c:pt idx="5">
                  <c:v>Reprodukce majetku kraje vyjma akce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VI.'!$U$3:$U$9</c:f>
              <c:numCache>
                <c:formatCode>#,##0.00</c:formatCode>
                <c:ptCount val="7"/>
                <c:pt idx="0">
                  <c:v>7.1607955748037648</c:v>
                </c:pt>
                <c:pt idx="1">
                  <c:v>4.1794449599632228</c:v>
                </c:pt>
                <c:pt idx="2">
                  <c:v>33.476261363226051</c:v>
                </c:pt>
                <c:pt idx="3">
                  <c:v>30.561386739969816</c:v>
                </c:pt>
                <c:pt idx="4">
                  <c:v>1.0274496380882039</c:v>
                </c:pt>
                <c:pt idx="5">
                  <c:v>6.4790240285243508</c:v>
                </c:pt>
                <c:pt idx="6">
                  <c:v>17.115637695424589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2016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2016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488517060367453E-2"/>
                  <c:y val="-6.14782408231864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Doprava
386,5 mil. Kč
33,1%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741513560804899"/>
                  <c:y val="2.088348181236588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Krizové řízení
7,0 mil. Kč
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100174978127735E-2"/>
                  <c:y val="-1.221690412808648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Kultura
60,0 mil. Kč
5,1%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885608048993874E-2"/>
                  <c:y val="-2.8642828591952853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Regionální rozvoj
65,1 mil. Kč
5,6%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829833770778653E-2"/>
                  <c:y val="-6.147555928793791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Cestovní ruch
7,2 mil. Kč
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314632545931758E-2"/>
                  <c:y val="-3.7741159676533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Sociální věci
13,5 mil. Kč
1,2%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1899496937882765E-2"/>
                  <c:y val="-2.788411802463348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Školství
76,0 mil. Kč
6,5%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546697287839023E-2"/>
                  <c:y val="2.433149031219010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Zdravotnictví
36,8 mil. Kč
3,2%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567366579177627E-2"/>
                  <c:y val="8.058465092823741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Životní prostředí
511,2 mil. Kč
43,8%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9759186351706036E-2"/>
                  <c:y val="6.316401695401166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cs-CZ"/>
                      <a:t>Krajský úřad
2,8 mil. Kč
0,2%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'Zdrojová data V.a VI.'!$A$20:$A$30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VI.'!$T$20:$T$30</c:f>
              <c:numCache>
                <c:formatCode>#,##0</c:formatCode>
                <c:ptCount val="10"/>
                <c:pt idx="0">
                  <c:v>386450</c:v>
                </c:pt>
                <c:pt idx="1">
                  <c:v>7000</c:v>
                </c:pt>
                <c:pt idx="2">
                  <c:v>60000</c:v>
                </c:pt>
                <c:pt idx="3">
                  <c:v>65098</c:v>
                </c:pt>
                <c:pt idx="4">
                  <c:v>7150</c:v>
                </c:pt>
                <c:pt idx="5">
                  <c:v>13535</c:v>
                </c:pt>
                <c:pt idx="6">
                  <c:v>76028</c:v>
                </c:pt>
                <c:pt idx="7">
                  <c:v>36800</c:v>
                </c:pt>
                <c:pt idx="8">
                  <c:v>511200</c:v>
                </c:pt>
                <c:pt idx="9">
                  <c:v>2825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3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'Zdrojová data V.a VI.'!$A$20:$A$30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Cestovní ruch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VI.'!$U$20:$U$30</c:f>
              <c:numCache>
                <c:formatCode>#,##0.00</c:formatCode>
                <c:ptCount val="10"/>
                <c:pt idx="0">
                  <c:v>33.140780354107676</c:v>
                </c:pt>
                <c:pt idx="1">
                  <c:v>0.60029877727714764</c:v>
                </c:pt>
                <c:pt idx="2">
                  <c:v>5.14541809094698</c:v>
                </c:pt>
                <c:pt idx="3">
                  <c:v>5.5826071147411085</c:v>
                </c:pt>
                <c:pt idx="4">
                  <c:v>0.61316232250451508</c:v>
                </c:pt>
                <c:pt idx="5">
                  <c:v>1.1607205643494563</c:v>
                </c:pt>
                <c:pt idx="6">
                  <c:v>6.5199307769752828</c:v>
                </c:pt>
                <c:pt idx="7">
                  <c:v>3.1558564291141478</c:v>
                </c:pt>
                <c:pt idx="8">
                  <c:v>43.838962134868268</c:v>
                </c:pt>
                <c:pt idx="9">
                  <c:v>0.24226343511542028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customSheetViews>
    <customSheetView guid="{8DF5934D-271D-4996-8FBD-8BBE47175559}" scale="131" zoomToFit="1">
      <pageMargins left="0.78740157480314965" right="0.78740157480314965" top="0.98425196850393704" bottom="0.59055118110236227" header="0.51181102362204722" footer="0.31496062992125984"/>
      <pageSetup paperSize="9" firstPageNumber="22" orientation="landscape" useFirstPageNumber="1" horizontalDpi="4294967295" r:id="rId1"/>
      <headerFooter alignWithMargins="0">
        <oddHeader>&amp;L&amp;"Tahoma,Kurzíva"&amp;9Návrh rozpočtu na rok 2016
Příloha č. 8&amp;R&amp;"Tahoma,Kurzíva"&amp;9Graf č. 1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2" orientation="landscape" useFirstPageNumber="1" horizontalDpi="4294967295" r:id="rId2"/>
  <headerFooter alignWithMargins="0">
    <oddHeader>&amp;L&amp;"Tahoma,Kurzíva"&amp;9Návrh rozpočtu na rok 2016
Příloha č. 8&amp;R&amp;"Tahoma,Kurzíva"&amp;9Graf č. 1</oddHeader>
    <oddFooter>&amp;C&amp;"Tahoma,Obyčejné"&amp;P</oddFooter>
  </headerFooter>
  <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3" orientation="landscape" useFirstPageNumber="1" r:id="rId1"/>
      <headerFooter alignWithMargins="0">
        <oddHeader>&amp;L&amp;"Tahoma,Kurzíva"&amp;9Návrh rozpočtu na rok 2016
Příloha č. 8&amp;R&amp;"Tahoma,Kurzíva"&amp;9Graf č. 2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3" orientation="landscape" useFirstPageNumber="1" r:id="rId2"/>
  <headerFooter alignWithMargins="0">
    <oddHeader>&amp;L&amp;"Tahoma,Kurzíva"&amp;9Návrh rozpočtu na rok 2016
Příloha č. 8&amp;R&amp;"Tahoma,Kurzíva"&amp;9Graf č. 2</oddHeader>
    <oddFooter>&amp;C&amp;"Tahoma,Obyčejné"&amp;P</oddFooter>
  </headerFooter>
  <drawing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4" orientation="landscape" useFirstPageNumber="1" r:id="rId1"/>
      <headerFooter alignWithMargins="0">
        <oddHeader>&amp;L&amp;"Tahoma,Kurzíva"&amp;9Návrh rozpočtu na rok 2016
Příloha č. 8&amp;R&amp;"Tahoma,Kurzíva"&amp;9Graf č. 3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4" orientation="landscape" useFirstPageNumber="1" r:id="rId2"/>
  <headerFooter alignWithMargins="0">
    <oddHeader>&amp;L&amp;"Tahoma,Kurzíva"&amp;9Návrh rozpočtu na rok 2016
Příloha č. 8&amp;R&amp;"Tahoma,Kurzíva"&amp;9Graf č. 3</oddHeader>
    <oddFooter>&amp;C&amp;"Tahoma,Obyčejné"&amp;P</oddFooter>
  </headerFooter>
  <drawing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5" orientation="landscape" useFirstPageNumber="1" r:id="rId1"/>
      <headerFooter alignWithMargins="0">
        <oddHeader>&amp;L&amp;"Tahoma,Kurzíva"&amp;9Návrh rozpočtu na rok 2016
Příloha č. 8&amp;R&amp;"Tahoma,Kurzíva"&amp;9Graf č. 4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5" orientation="landscape" useFirstPageNumber="1" r:id="rId2"/>
  <headerFooter alignWithMargins="0">
    <oddHeader>&amp;L&amp;"Tahoma,Kurzíva"&amp;9Návrh rozpočtu na rok 2016
Příloha č. 8&amp;R&amp;"Tahoma,Kurzíva"&amp;9Graf č. 4</oddHeader>
    <oddFooter>&amp;C&amp;"Tahoma,Obyčejné"&amp;P</oddFooter>
  </headerFooter>
  <drawing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6" orientation="landscape" useFirstPageNumber="1" r:id="rId1"/>
      <headerFooter alignWithMargins="0">
        <oddHeader>&amp;L&amp;"Tahoma,Kurzíva"&amp;9Návrh rozpočtu na rok 2016
Příloha č. 8&amp;R&amp;"Tahoma,Kurzíva"&amp;9Graf č. 5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6" orientation="landscape" useFirstPageNumber="1" r:id="rId2"/>
  <headerFooter alignWithMargins="0">
    <oddHeader>&amp;L&amp;"Tahoma,Kurzíva"&amp;9Návrh rozpočtu na rok 2016
Příloha č. 8&amp;R&amp;"Tahoma,Kurzíva"&amp;9Graf č. 5</oddHeader>
    <oddFooter>&amp;C&amp;"Tahoma,Obyčejné"&amp;P</oddFooter>
  </headerFooter>
  <drawing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customSheetViews>
    <customSheetView guid="{8DF5934D-271D-4996-8FBD-8BBE47175559}" scale="130">
      <pageMargins left="0.78740157480314965" right="0.78740157480314965" top="0.98425196850393704" bottom="0.59055118110236227" header="0.51181102362204722" footer="0.31496062992125984"/>
      <pageSetup paperSize="9" firstPageNumber="27" orientation="landscape" useFirstPageNumber="1" r:id="rId1"/>
      <headerFooter alignWithMargins="0">
        <oddHeader>&amp;L&amp;"Tahoma,Kurzíva"&amp;9Návrh rozpočtu na rok 2016
Příloha č. 8&amp;R&amp;"Tahoma,Kurzíva"&amp;9Graf č. 6</oddHeader>
        <oddFooter>&amp;C&amp;"Tahoma,Obyčejné"&amp;P</oddFooter>
      </headerFooter>
    </customSheetView>
  </customSheetViews>
  <pageMargins left="0.78740157480314965" right="0.78740157480314965" top="0.98425196850393704" bottom="0.59055118110236227" header="0.51181102362204722" footer="0.31496062992125984"/>
  <pageSetup paperSize="9" firstPageNumber="27" orientation="landscape" useFirstPageNumber="1" r:id="rId2"/>
  <headerFooter alignWithMargins="0">
    <oddHeader>&amp;L&amp;"Tahoma,Kurzíva"&amp;9Návrh rozpočtu na rok 2016
Příloha č. 8&amp;R&amp;"Tahoma,Kurzíva"&amp;9Graf č. 6</oddHeader>
    <oddFooter>&amp;C&amp;"Tahoma,Obyčejné"&amp;P</oddFooter>
  </headerFooter>
  <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2366" cy="5991298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29346" cy="599342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70CF5D4-7F35-400A-8538-E204D8E43794}" diskRevisions="1" revisionId="48" version="4">
  <header guid="{A90ACEDC-C225-416D-9A78-63880D19E968}" dateTime="2015-12-02T12:40:37" maxSheetId="16" userName="Metelka Tomáš" r:id="rId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ACE77FE-7DBD-48B7-8BF9-19053BEE7EBA}" dateTime="2015-12-02T12:41:40" maxSheetId="16" userName="Metelka Tomáš" r:id="rId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89864F5-DF27-42D8-9CD3-B1F412B124C1}" dateTime="2015-12-02T14:57:42" maxSheetId="16" userName="Metelka Tomáš" r:id="rId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70CF5D4-7F35-400A-8538-E204D8E43794}" dateTime="2015-12-02T15:01:27" maxSheetId="16" userName="Metelka Tomáš" r:id="rId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F5934D-271D-4996-8FBD-8BBE47175559}" action="delete"/>
  <rdn rId="0" localSheetId="2" customView="1" name="Z_8DF5934D_271D_4996_8FBD_8BBE47175559_.wvu.PrintArea" hidden="1" oldHidden="1">
    <formula>'Dotační programy 2016'!$A$1:$G$52</formula>
    <oldFormula>'Dotační programy 2016'!$A$1:$G$52</oldFormula>
  </rdn>
  <rdn rId="0" localSheetId="3" customView="1" name="Z_8DF5934D_271D_4996_8FBD_8BBE47175559_.wvu.PrintArea" hidden="1" oldHidden="1">
    <formula>'Akce spolufin. z evr.fin.zdrojů'!$A$1:$L$115</formula>
    <oldFormula>'Akce spolufin. z evr.fin.zdrojů'!$A$1:$L$115</oldFormula>
  </rdn>
  <rdn rId="0" localSheetId="3" customView="1" name="Z_8DF5934D_271D_4996_8FBD_8BBE47175559_.wvu.PrintTitles" hidden="1" oldHidden="1">
    <formula>'Akce spolufin. z evr.fin.zdrojů'!$2:$4</formula>
    <oldFormula>'Akce spolufin. z evr.fin.zdrojů'!$2:$4</oldFormula>
  </rdn>
  <rdn rId="0" localSheetId="3" customView="1" name="Z_8DF5934D_271D_4996_8FBD_8BBE47175559_.wvu.Cols" hidden="1" oldHidden="1">
    <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formula>
    <old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oldFormula>
  </rdn>
  <rdn rId="0" localSheetId="4" customView="1" name="Z_8DF5934D_271D_4996_8FBD_8BBE47175559_.wvu.PrintArea" hidden="1" oldHidden="1">
    <formula>'Akce EU-dle způsobu financování'!$A$1:$J$177</formula>
    <oldFormula>'Akce EU-dle způsobu financování'!$A$1:$J$177</oldFormula>
  </rdn>
  <rdn rId="0" localSheetId="4" customView="1" name="Z_8DF5934D_271D_4996_8FBD_8BBE47175559_.wvu.PrintTitles" hidden="1" oldHidden="1">
    <formula>'Akce EU-dle způsobu financování'!$3:$5</formula>
    <oldFormula>'Akce EU-dle způsobu financování'!$3:$5</oldFormula>
  </rdn>
  <rdn rId="0" localSheetId="4" customView="1" name="Z_8DF5934D_271D_4996_8FBD_8BBE47175559_.wvu.FilterData" hidden="1" oldHidden="1">
    <formula>'Akce EU-dle způsobu financování'!$D$5:$E$173</formula>
    <oldFormula>'Akce EU-dle způsobu financování'!$D$5:$E$173</oldFormula>
  </rdn>
  <rdn rId="0" localSheetId="5" customView="1" name="Z_8DF5934D_271D_4996_8FBD_8BBE47175559_.wvu.PrintArea" hidden="1" oldHidden="1">
    <formula>'Přehled příjmů'!$A$1:$D$143</formula>
    <oldFormula>'Přehled příjmů'!$A$1:$D$143</oldFormula>
  </rdn>
  <rdn rId="0" localSheetId="5" customView="1" name="Z_8DF5934D_271D_4996_8FBD_8BBE47175559_.wvu.PrintTitles" hidden="1" oldHidden="1">
    <formula>'Přehled příjmů'!$4:$4</formula>
    <oldFormula>'Přehled příjmů'!$4:$4</oldFormula>
  </rdn>
  <rdn rId="0" localSheetId="5" customView="1" name="Z_8DF5934D_271D_4996_8FBD_8BBE47175559_.wvu.FilterData" hidden="1" oldHidden="1">
    <formula>'Přehled příjmů'!$A$16:$E$141</formula>
    <oldFormula>'Přehled příjmů'!$A$16:$E$141</oldFormula>
  </rdn>
  <rdn rId="0" localSheetId="7" customView="1" name="Z_8DF5934D_271D_4996_8FBD_8BBE47175559_.wvu.Rows" hidden="1" oldHidden="1">
    <formula>'Zdrojová data I.s'!$16:$30</formula>
    <oldFormula>'Zdrojová data I.s'!$16:$30</oldFormula>
  </rdn>
  <rdn rId="0" localSheetId="7" customView="1" name="Z_8DF5934D_271D_4996_8FBD_8BBE47175559_.wvu.Cols" hidden="1" oldHidden="1">
    <formula>'Zdrojová data I.s'!$B:$E</formula>
    <oldFormula>'Zdrojová data I.s'!$B:$E</oldFormula>
  </rdn>
  <rdn rId="0" localSheetId="10" customView="1" name="Z_8DF5934D_271D_4996_8FBD_8BBE47175559_.wvu.Cols" hidden="1" oldHidden="1">
    <formula>'Zdrojová data II. a III. s'!$B:$E</formula>
    <oldFormula>'Zdrojová data II. a III. s'!$B:$E</oldFormula>
  </rdn>
  <rdn rId="0" localSheetId="12" customView="1" name="Z_8DF5934D_271D_4996_8FBD_8BBE47175559_.wvu.Cols" hidden="1" oldHidden="1">
    <formula>'Zdrojová data IV.'!$B:$M</formula>
    <oldFormula>'Zdrojová data IV.'!$B:$M</oldFormula>
  </rdn>
  <rdn rId="0" localSheetId="15" customView="1" name="Z_8DF5934D_271D_4996_8FBD_8BBE47175559_.wvu.Rows" hidden="1" oldHidden="1">
    <formula>'Zdrojová data V.a VI.'!$10:$10,'Zdrojová data V.a VI.'!$27:$27</formula>
    <oldFormula>'Zdrojová data V.a VI.'!$10:$10,'Zdrojová data V.a VI.'!$27:$27</oldFormula>
  </rdn>
  <rdn rId="0" localSheetId="15" customView="1" name="Z_8DF5934D_271D_4996_8FBD_8BBE47175559_.wvu.Cols" hidden="1" oldHidden="1">
    <formula>'Zdrojová data V.a VI.'!$B:$M</formula>
    <oldFormula>'Zdrojová data V.a VI.'!$B:$M</oldFormula>
  </rdn>
  <rcv guid="{8DF5934D-271D-4996-8FBD-8BBE4717555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4:J175" start="0" length="0">
    <dxf>
      <border>
        <right style="medium">
          <color indexed="64"/>
        </right>
      </border>
    </dxf>
  </rfmt>
  <rcv guid="{8DF5934D-271D-4996-8FBD-8BBE47175559}" action="delete"/>
  <rdn rId="0" localSheetId="2" customView="1" name="Z_8DF5934D_271D_4996_8FBD_8BBE47175559_.wvu.PrintArea" hidden="1" oldHidden="1">
    <formula>'Dotační programy 2016'!$A$1:$G$52</formula>
    <oldFormula>'Dotační programy 2016'!$A$1:$G$52</oldFormula>
  </rdn>
  <rdn rId="0" localSheetId="3" customView="1" name="Z_8DF5934D_271D_4996_8FBD_8BBE47175559_.wvu.PrintArea" hidden="1" oldHidden="1">
    <formula>'Akce spolufin. z evr.fin.zdrojů'!$A$1:$L$115</formula>
    <oldFormula>'Akce spolufin. z evr.fin.zdrojů'!$A$1:$L$115</oldFormula>
  </rdn>
  <rdn rId="0" localSheetId="3" customView="1" name="Z_8DF5934D_271D_4996_8FBD_8BBE47175559_.wvu.PrintTitles" hidden="1" oldHidden="1">
    <formula>'Akce spolufin. z evr.fin.zdrojů'!$2:$4</formula>
    <oldFormula>'Akce spolufin. z evr.fin.zdrojů'!$2:$4</oldFormula>
  </rdn>
  <rdn rId="0" localSheetId="3" customView="1" name="Z_8DF5934D_271D_4996_8FBD_8BBE47175559_.wvu.Cols" hidden="1" oldHidden="1">
    <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formula>
    <old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oldFormula>
  </rdn>
  <rdn rId="0" localSheetId="4" customView="1" name="Z_8DF5934D_271D_4996_8FBD_8BBE47175559_.wvu.PrintArea" hidden="1" oldHidden="1">
    <formula>'Akce EU-dle způsobu financování'!$A$1:$J$177</formula>
    <oldFormula>'Akce EU-dle způsobu financování'!$A$1:$J$177</oldFormula>
  </rdn>
  <rdn rId="0" localSheetId="4" customView="1" name="Z_8DF5934D_271D_4996_8FBD_8BBE47175559_.wvu.PrintTitles" hidden="1" oldHidden="1">
    <formula>'Akce EU-dle způsobu financování'!$3:$5</formula>
    <oldFormula>'Akce EU-dle způsobu financování'!$3:$5</oldFormula>
  </rdn>
  <rdn rId="0" localSheetId="4" customView="1" name="Z_8DF5934D_271D_4996_8FBD_8BBE47175559_.wvu.FilterData" hidden="1" oldHidden="1">
    <formula>'Akce EU-dle způsobu financování'!$D$5:$E$173</formula>
    <oldFormula>'Akce EU-dle způsobu financování'!$D$5:$E$173</oldFormula>
  </rdn>
  <rdn rId="0" localSheetId="5" customView="1" name="Z_8DF5934D_271D_4996_8FBD_8BBE47175559_.wvu.PrintArea" hidden="1" oldHidden="1">
    <formula>'Přehled příjmů'!$A$1:$D$143</formula>
    <oldFormula>'Přehled příjmů'!$A$1:$D$143</oldFormula>
  </rdn>
  <rdn rId="0" localSheetId="5" customView="1" name="Z_8DF5934D_271D_4996_8FBD_8BBE47175559_.wvu.PrintTitles" hidden="1" oldHidden="1">
    <formula>'Přehled příjmů'!$4:$4</formula>
    <oldFormula>'Přehled příjmů'!$4:$4</oldFormula>
  </rdn>
  <rdn rId="0" localSheetId="5" customView="1" name="Z_8DF5934D_271D_4996_8FBD_8BBE47175559_.wvu.FilterData" hidden="1" oldHidden="1">
    <formula>'Přehled příjmů'!$A$16:$E$141</formula>
    <oldFormula>'Přehled příjmů'!$A$16:$E$141</oldFormula>
  </rdn>
  <rdn rId="0" localSheetId="7" customView="1" name="Z_8DF5934D_271D_4996_8FBD_8BBE47175559_.wvu.Rows" hidden="1" oldHidden="1">
    <formula>'Zdrojová data I.s'!$16:$30</formula>
    <oldFormula>'Zdrojová data I.s'!$16:$30</oldFormula>
  </rdn>
  <rdn rId="0" localSheetId="7" customView="1" name="Z_8DF5934D_271D_4996_8FBD_8BBE47175559_.wvu.Cols" hidden="1" oldHidden="1">
    <formula>'Zdrojová data I.s'!$B:$E</formula>
    <oldFormula>'Zdrojová data I.s'!$B:$E</oldFormula>
  </rdn>
  <rdn rId="0" localSheetId="10" customView="1" name="Z_8DF5934D_271D_4996_8FBD_8BBE47175559_.wvu.Cols" hidden="1" oldHidden="1">
    <formula>'Zdrojová data II. a III. s'!$B:$E</formula>
    <oldFormula>'Zdrojová data II. a III. s'!$B:$E</oldFormula>
  </rdn>
  <rdn rId="0" localSheetId="12" customView="1" name="Z_8DF5934D_271D_4996_8FBD_8BBE47175559_.wvu.Cols" hidden="1" oldHidden="1">
    <formula>'Zdrojová data IV.'!$B:$M</formula>
    <oldFormula>'Zdrojová data IV.'!$B:$M</oldFormula>
  </rdn>
  <rdn rId="0" localSheetId="15" customView="1" name="Z_8DF5934D_271D_4996_8FBD_8BBE47175559_.wvu.Rows" hidden="1" oldHidden="1">
    <formula>'Zdrojová data V.a VI.'!$10:$10,'Zdrojová data V.a VI.'!$27:$27</formula>
    <oldFormula>'Zdrojová data V.a VI.'!$10:$10,'Zdrojová data V.a VI.'!$27:$27</oldFormula>
  </rdn>
  <rdn rId="0" localSheetId="15" customView="1" name="Z_8DF5934D_271D_4996_8FBD_8BBE47175559_.wvu.Cols" hidden="1" oldHidden="1">
    <formula>'Zdrojová data V.a VI.'!$B:$M</formula>
    <oldFormula>'Zdrojová data V.a VI.'!$B:$M</oldFormula>
  </rdn>
  <rcv guid="{8DF5934D-271D-4996-8FBD-8BBE4717555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DF5934D-271D-4996-8FBD-8BBE47175559}" action="delete"/>
  <rdn rId="0" localSheetId="2" customView="1" name="Z_8DF5934D_271D_4996_8FBD_8BBE47175559_.wvu.PrintArea" hidden="1" oldHidden="1">
    <formula>'Dotační programy 2016'!$A$1:$G$52</formula>
    <oldFormula>'Dotační programy 2016'!$A$1:$G$52</oldFormula>
  </rdn>
  <rdn rId="0" localSheetId="3" customView="1" name="Z_8DF5934D_271D_4996_8FBD_8BBE47175559_.wvu.PrintArea" hidden="1" oldHidden="1">
    <formula>'Akce spolufin. z evr.fin.zdrojů'!$A$1:$L$115</formula>
    <oldFormula>'Akce spolufin. z evr.fin.zdrojů'!$A$1:$L$115</oldFormula>
  </rdn>
  <rdn rId="0" localSheetId="3" customView="1" name="Z_8DF5934D_271D_4996_8FBD_8BBE47175559_.wvu.PrintTitles" hidden="1" oldHidden="1">
    <formula>'Akce spolufin. z evr.fin.zdrojů'!$2:$4</formula>
    <oldFormula>'Akce spolufin. z evr.fin.zdrojů'!$2:$4</oldFormula>
  </rdn>
  <rdn rId="0" localSheetId="3" customView="1" name="Z_8DF5934D_271D_4996_8FBD_8BBE47175559_.wvu.Cols" hidden="1" oldHidden="1">
    <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formula>
    <oldFormula>'Akce spolufin. z evr.fin.zdrojů'!$C:$C,'Akce spolufin. z evr.fin.zdrojů'!$F:$F,'Akce spolufin. z evr.fin.zdrojů'!$M:$M,'Akce spolufin. z evr.fin.zdrojů'!$JI:$JI,'Akce spolufin. z evr.fin.zdrojů'!$TE:$TE,'Akce spolufin. z evr.fin.zdrojů'!$ADA:$ADA,'Akce spolufin. z evr.fin.zdrojů'!$AMW:$AMW,'Akce spolufin. z evr.fin.zdrojů'!$AWS:$AWS,'Akce spolufin. z evr.fin.zdrojů'!$BGO:$BGO,'Akce spolufin. z evr.fin.zdrojů'!$BQK:$BQK,'Akce spolufin. z evr.fin.zdrojů'!$CAG:$CAG,'Akce spolufin. z evr.fin.zdrojů'!$CKC:$CKC,'Akce spolufin. z evr.fin.zdrojů'!$CTY:$CTY,'Akce spolufin. z evr.fin.zdrojů'!$DDU:$DDU,'Akce spolufin. z evr.fin.zdrojů'!$DNQ:$DNQ,'Akce spolufin. z evr.fin.zdrojů'!$DXM:$DXM,'Akce spolufin. z evr.fin.zdrojů'!$EHI:$EHI,'Akce spolufin. z evr.fin.zdrojů'!$ERE:$ERE,'Akce spolufin. z evr.fin.zdrojů'!$FBA:$FBA,'Akce spolufin. z evr.fin.zdrojů'!$FKW:$FKW,'Akce spolufin. z evr.fin.zdrojů'!$FUS:$FUS,'Akce spolufin. z evr.fin.zdrojů'!$GEO:$GEO,'Akce spolufin. z evr.fin.zdrojů'!$GOK:$GOK,'Akce spolufin. z evr.fin.zdrojů'!$GYG:$GYG,'Akce spolufin. z evr.fin.zdrojů'!$HIC:$HIC,'Akce spolufin. z evr.fin.zdrojů'!$HRY:$HRY,'Akce spolufin. z evr.fin.zdrojů'!$IBU:$IBU,'Akce spolufin. z evr.fin.zdrojů'!$ILQ:$ILQ,'Akce spolufin. z evr.fin.zdrojů'!$IVM:$IVM,'Akce spolufin. z evr.fin.zdrojů'!$JFI:$JFI,'Akce spolufin. z evr.fin.zdrojů'!$JPE:$JPE,'Akce spolufin. z evr.fin.zdrojů'!$JZA:$JZA,'Akce spolufin. z evr.fin.zdrojů'!$KIW:$KIW,'Akce spolufin. z evr.fin.zdrojů'!$KSS:$KSS,'Akce spolufin. z evr.fin.zdrojů'!$LCO:$LCO,'Akce spolufin. z evr.fin.zdrojů'!$LMK:$LMK,'Akce spolufin. z evr.fin.zdrojů'!$LWG:$LWG,'Akce spolufin. z evr.fin.zdrojů'!$MGC:$MGC,'Akce spolufin. z evr.fin.zdrojů'!$MPY:$MPY,'Akce spolufin. z evr.fin.zdrojů'!$MZU:$MZU,'Akce spolufin. z evr.fin.zdrojů'!$NJQ:$NJQ,'Akce spolufin. z evr.fin.zdrojů'!$NTM:$NTM,'Akce spolufin. z evr.fin.zdrojů'!$ODI:$ODI,'Akce spolufin. z evr.fin.zdrojů'!$ONE:$ONE,'Akce spolufin. z evr.fin.zdrojů'!$OXA:$OXA,'Akce spolufin. z evr.fin.zdrojů'!$PGW:$PGW,'Akce spolufin. z evr.fin.zdrojů'!$PQS:$PQS,'Akce spolufin. z evr.fin.zdrojů'!$QAO:$QAO,'Akce spolufin. z evr.fin.zdrojů'!$QKK:$QKK,'Akce spolufin. z evr.fin.zdrojů'!$QUG:$QUG,'Akce spolufin. z evr.fin.zdrojů'!$REC:$REC,'Akce spolufin. z evr.fin.zdrojů'!$RNY:$RNY,'Akce spolufin. z evr.fin.zdrojů'!$RXU:$RXU,'Akce spolufin. z evr.fin.zdrojů'!$SHQ:$SHQ,'Akce spolufin. z evr.fin.zdrojů'!$SRM:$SRM,'Akce spolufin. z evr.fin.zdrojů'!$TBI:$TBI,'Akce spolufin. z evr.fin.zdrojů'!$TLE:$TLE,'Akce spolufin. z evr.fin.zdrojů'!$TVA:$TVA,'Akce spolufin. z evr.fin.zdrojů'!$UEW:$UEW,'Akce spolufin. z evr.fin.zdrojů'!$UOS:$UOS,'Akce spolufin. z evr.fin.zdrojů'!$UYO:$UYO,'Akce spolufin. z evr.fin.zdrojů'!$VIK:$VIK,'Akce spolufin. z evr.fin.zdrojů'!$VSG:$VSG,'Akce spolufin. z evr.fin.zdrojů'!$WCC:$WCC,'Akce spolufin. z evr.fin.zdrojů'!$WLY:$WLY,'Akce spolufin. z evr.fin.zdrojů'!$WVU:$WVU</oldFormula>
  </rdn>
  <rdn rId="0" localSheetId="4" customView="1" name="Z_8DF5934D_271D_4996_8FBD_8BBE47175559_.wvu.PrintArea" hidden="1" oldHidden="1">
    <formula>'Akce EU-dle způsobu financování'!$A$1:$J$177</formula>
    <oldFormula>'Akce EU-dle způsobu financování'!$A$1:$J$177</oldFormula>
  </rdn>
  <rdn rId="0" localSheetId="4" customView="1" name="Z_8DF5934D_271D_4996_8FBD_8BBE47175559_.wvu.PrintTitles" hidden="1" oldHidden="1">
    <formula>'Akce EU-dle způsobu financování'!$3:$5</formula>
    <oldFormula>'Akce EU-dle způsobu financování'!$3:$5</oldFormula>
  </rdn>
  <rdn rId="0" localSheetId="4" customView="1" name="Z_8DF5934D_271D_4996_8FBD_8BBE47175559_.wvu.FilterData" hidden="1" oldHidden="1">
    <formula>'Akce EU-dle způsobu financování'!$D$5:$E$173</formula>
    <oldFormula>'Akce EU-dle způsobu financování'!$D$5:$E$173</oldFormula>
  </rdn>
  <rdn rId="0" localSheetId="5" customView="1" name="Z_8DF5934D_271D_4996_8FBD_8BBE47175559_.wvu.PrintArea" hidden="1" oldHidden="1">
    <formula>'Přehled příjmů'!$A$1:$D$143</formula>
    <oldFormula>'Přehled příjmů'!$A$1:$D$143</oldFormula>
  </rdn>
  <rdn rId="0" localSheetId="5" customView="1" name="Z_8DF5934D_271D_4996_8FBD_8BBE47175559_.wvu.PrintTitles" hidden="1" oldHidden="1">
    <formula>'Přehled příjmů'!$4:$4</formula>
    <oldFormula>'Přehled příjmů'!$4:$4</oldFormula>
  </rdn>
  <rdn rId="0" localSheetId="5" customView="1" name="Z_8DF5934D_271D_4996_8FBD_8BBE47175559_.wvu.FilterData" hidden="1" oldHidden="1">
    <formula>'Přehled příjmů'!$A$16:$E$141</formula>
    <oldFormula>'Přehled příjmů'!$A$16:$E$141</oldFormula>
  </rdn>
  <rdn rId="0" localSheetId="7" customView="1" name="Z_8DF5934D_271D_4996_8FBD_8BBE47175559_.wvu.Rows" hidden="1" oldHidden="1">
    <formula>'Zdrojová data I.s'!$16:$30</formula>
    <oldFormula>'Zdrojová data I.s'!$16:$30</oldFormula>
  </rdn>
  <rdn rId="0" localSheetId="7" customView="1" name="Z_8DF5934D_271D_4996_8FBD_8BBE47175559_.wvu.Cols" hidden="1" oldHidden="1">
    <formula>'Zdrojová data I.s'!$B:$E</formula>
    <oldFormula>'Zdrojová data I.s'!$B:$E</oldFormula>
  </rdn>
  <rdn rId="0" localSheetId="10" customView="1" name="Z_8DF5934D_271D_4996_8FBD_8BBE47175559_.wvu.Cols" hidden="1" oldHidden="1">
    <formula>'Zdrojová data II. a III. s'!$B:$E</formula>
    <oldFormula>'Zdrojová data II. a III. s'!$B:$E</oldFormula>
  </rdn>
  <rdn rId="0" localSheetId="12" customView="1" name="Z_8DF5934D_271D_4996_8FBD_8BBE47175559_.wvu.Cols" hidden="1" oldHidden="1">
    <formula>'Zdrojová data IV.'!$B:$M</formula>
    <oldFormula>'Zdrojová data IV.'!$B:$M</oldFormula>
  </rdn>
  <rdn rId="0" localSheetId="15" customView="1" name="Z_8DF5934D_271D_4996_8FBD_8BBE47175559_.wvu.Rows" hidden="1" oldHidden="1">
    <formula>'Zdrojová data V.a VI.'!$10:$10,'Zdrojová data V.a VI.'!$27:$27</formula>
    <oldFormula>'Zdrojová data V.a VI.'!$10:$10,'Zdrojová data V.a VI.'!$27:$27</oldFormula>
  </rdn>
  <rdn rId="0" localSheetId="15" customView="1" name="Z_8DF5934D_271D_4996_8FBD_8BBE47175559_.wvu.Cols" hidden="1" oldHidden="1">
    <formula>'Zdrojová data V.a VI.'!$B:$M</formula>
    <oldFormula>'Zdrojová data V.a VI.'!$B:$M</oldFormula>
  </rdn>
  <rcv guid="{8DF5934D-271D-4996-8FBD-8BBE4717555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H3" sqref="H3"/>
    </sheetView>
  </sheetViews>
  <sheetFormatPr defaultRowHeight="15.75" x14ac:dyDescent="0.25"/>
  <cols>
    <col min="1" max="4" width="9.140625" style="99"/>
    <col min="5" max="5" width="38.5703125" style="99" customWidth="1"/>
    <col min="6" max="16384" width="9.140625" style="99"/>
  </cols>
  <sheetData>
    <row r="1" spans="1:10" s="87" customFormat="1" ht="15.75" customHeight="1" x14ac:dyDescent="0.15">
      <c r="A1" s="86" t="s">
        <v>473</v>
      </c>
      <c r="C1" s="86"/>
    </row>
    <row r="2" spans="1:10" s="87" customFormat="1" ht="13.5" customHeight="1" x14ac:dyDescent="0.15">
      <c r="A2" s="86" t="s">
        <v>466</v>
      </c>
    </row>
    <row r="3" spans="1:10" s="88" customFormat="1" ht="18" customHeight="1" x14ac:dyDescent="0.25"/>
    <row r="4" spans="1:10" s="90" customFormat="1" ht="42" customHeight="1" x14ac:dyDescent="0.25">
      <c r="A4" s="369" t="s">
        <v>223</v>
      </c>
      <c r="B4" s="370"/>
      <c r="C4" s="370"/>
      <c r="D4" s="370"/>
      <c r="E4" s="370"/>
      <c r="F4" s="370"/>
      <c r="G4" s="89"/>
      <c r="H4" s="89"/>
      <c r="I4" s="89"/>
      <c r="J4" s="89"/>
    </row>
    <row r="5" spans="1:10" s="91" customFormat="1" ht="36" customHeight="1" x14ac:dyDescent="0.2"/>
    <row r="6" spans="1:10" s="91" customFormat="1" ht="15.75" customHeight="1" x14ac:dyDescent="0.2">
      <c r="A6" s="92" t="s">
        <v>0</v>
      </c>
      <c r="F6" s="93" t="s">
        <v>217</v>
      </c>
    </row>
    <row r="7" spans="1:10" s="91" customFormat="1" ht="15" x14ac:dyDescent="0.2"/>
    <row r="8" spans="1:10" s="91" customFormat="1" ht="31.5" customHeight="1" x14ac:dyDescent="0.2">
      <c r="A8" s="371" t="s">
        <v>218</v>
      </c>
      <c r="B8" s="371"/>
      <c r="C8" s="371"/>
      <c r="D8" s="371"/>
      <c r="E8" s="371"/>
      <c r="F8" s="94">
        <v>2</v>
      </c>
    </row>
    <row r="9" spans="1:10" s="91" customFormat="1" ht="15" x14ac:dyDescent="0.2">
      <c r="A9" s="95"/>
      <c r="B9" s="95"/>
      <c r="C9" s="95"/>
      <c r="D9" s="95"/>
      <c r="E9" s="95"/>
      <c r="F9" s="96"/>
    </row>
    <row r="10" spans="1:10" s="91" customFormat="1" ht="31.5" customHeight="1" x14ac:dyDescent="0.2">
      <c r="A10" s="372" t="s">
        <v>222</v>
      </c>
      <c r="B10" s="372"/>
      <c r="C10" s="372"/>
      <c r="D10" s="372"/>
      <c r="E10" s="372"/>
      <c r="F10" s="94">
        <v>3</v>
      </c>
    </row>
    <row r="11" spans="1:10" s="91" customFormat="1" ht="15" x14ac:dyDescent="0.2">
      <c r="A11" s="95"/>
      <c r="B11" s="95"/>
      <c r="C11" s="95"/>
      <c r="D11" s="95"/>
      <c r="E11" s="95"/>
      <c r="F11" s="96"/>
    </row>
    <row r="12" spans="1:10" s="91" customFormat="1" ht="31.9" customHeight="1" x14ac:dyDescent="0.2">
      <c r="A12" s="372" t="s">
        <v>219</v>
      </c>
      <c r="B12" s="372"/>
      <c r="C12" s="372"/>
      <c r="D12" s="372"/>
      <c r="E12" s="372"/>
      <c r="F12" s="94">
        <v>9</v>
      </c>
    </row>
    <row r="13" spans="1:10" s="91" customFormat="1" ht="15" customHeight="1" x14ac:dyDescent="0.2">
      <c r="A13" s="97"/>
      <c r="B13" s="97"/>
      <c r="C13" s="97"/>
      <c r="D13" s="97"/>
      <c r="E13" s="97"/>
      <c r="F13" s="96"/>
    </row>
    <row r="14" spans="1:10" s="91" customFormat="1" ht="16.899999999999999" customHeight="1" x14ac:dyDescent="0.2">
      <c r="A14" s="94" t="s">
        <v>220</v>
      </c>
      <c r="B14" s="94"/>
      <c r="C14" s="94"/>
      <c r="D14" s="94"/>
      <c r="E14" s="94"/>
      <c r="F14" s="94">
        <v>18</v>
      </c>
    </row>
    <row r="15" spans="1:10" s="91" customFormat="1" ht="24" customHeight="1" x14ac:dyDescent="0.2">
      <c r="A15" s="217"/>
      <c r="B15" s="217"/>
      <c r="C15" s="217"/>
      <c r="D15" s="217"/>
      <c r="E15" s="217"/>
      <c r="F15" s="98"/>
    </row>
    <row r="16" spans="1:10" ht="31.5" customHeight="1" x14ac:dyDescent="0.25">
      <c r="A16" s="372" t="s">
        <v>294</v>
      </c>
      <c r="B16" s="372"/>
      <c r="C16" s="372"/>
      <c r="D16" s="372"/>
      <c r="E16" s="372"/>
      <c r="F16" s="94">
        <v>22</v>
      </c>
    </row>
    <row r="17" spans="1:6" ht="15" customHeight="1" x14ac:dyDescent="0.25">
      <c r="A17" s="217"/>
      <c r="B17" s="217"/>
      <c r="C17" s="218"/>
      <c r="D17" s="217"/>
      <c r="E17" s="217"/>
    </row>
    <row r="18" spans="1:6" ht="46.5" customHeight="1" x14ac:dyDescent="0.25">
      <c r="A18" s="372" t="s">
        <v>295</v>
      </c>
      <c r="B18" s="372"/>
      <c r="C18" s="372"/>
      <c r="D18" s="372"/>
      <c r="E18" s="372"/>
      <c r="F18" s="94">
        <v>23</v>
      </c>
    </row>
    <row r="19" spans="1:6" ht="15" customHeight="1" x14ac:dyDescent="0.25">
      <c r="A19" s="217"/>
      <c r="B19" s="217"/>
      <c r="C19" s="217"/>
      <c r="D19" s="217"/>
      <c r="E19" s="217"/>
    </row>
    <row r="20" spans="1:6" ht="46.5" customHeight="1" x14ac:dyDescent="0.25">
      <c r="A20" s="372" t="s">
        <v>296</v>
      </c>
      <c r="B20" s="372"/>
      <c r="C20" s="372"/>
      <c r="D20" s="372"/>
      <c r="E20" s="372"/>
      <c r="F20" s="94">
        <v>24</v>
      </c>
    </row>
    <row r="21" spans="1:6" ht="15" customHeight="1" x14ac:dyDescent="0.25">
      <c r="A21" s="217"/>
      <c r="B21" s="217"/>
      <c r="C21" s="217"/>
      <c r="D21" s="217"/>
      <c r="E21" s="217"/>
    </row>
    <row r="22" spans="1:6" ht="31.5" customHeight="1" x14ac:dyDescent="0.25">
      <c r="A22" s="372" t="s">
        <v>297</v>
      </c>
      <c r="B22" s="372"/>
      <c r="C22" s="372"/>
      <c r="D22" s="372"/>
      <c r="E22" s="372"/>
      <c r="F22" s="94">
        <v>25</v>
      </c>
    </row>
    <row r="23" spans="1:6" ht="15" customHeight="1" x14ac:dyDescent="0.25">
      <c r="A23" s="217"/>
      <c r="B23" s="217"/>
      <c r="C23" s="217"/>
      <c r="D23" s="217"/>
      <c r="E23" s="217"/>
    </row>
    <row r="24" spans="1:6" ht="31.5" customHeight="1" x14ac:dyDescent="0.25">
      <c r="A24" s="372" t="s">
        <v>298</v>
      </c>
      <c r="B24" s="372"/>
      <c r="C24" s="372"/>
      <c r="D24" s="372"/>
      <c r="E24" s="372"/>
      <c r="F24" s="94">
        <v>26</v>
      </c>
    </row>
    <row r="25" spans="1:6" ht="15" customHeight="1" x14ac:dyDescent="0.25">
      <c r="A25" s="217"/>
      <c r="B25" s="217"/>
      <c r="C25" s="217"/>
      <c r="D25" s="217"/>
      <c r="E25" s="217"/>
    </row>
    <row r="26" spans="1:6" ht="46.5" customHeight="1" x14ac:dyDescent="0.25">
      <c r="A26" s="372" t="s">
        <v>465</v>
      </c>
      <c r="B26" s="372"/>
      <c r="C26" s="372"/>
      <c r="D26" s="372"/>
      <c r="E26" s="372"/>
      <c r="F26" s="94">
        <v>27</v>
      </c>
    </row>
    <row r="27" spans="1:6" x14ac:dyDescent="0.25">
      <c r="A27" s="88"/>
      <c r="B27" s="88"/>
      <c r="C27" s="88"/>
      <c r="D27" s="88"/>
      <c r="E27" s="88"/>
    </row>
    <row r="28" spans="1:6" x14ac:dyDescent="0.25">
      <c r="A28" s="88"/>
      <c r="B28" s="88"/>
      <c r="C28" s="88"/>
      <c r="D28" s="88"/>
      <c r="E28" s="88"/>
    </row>
    <row r="29" spans="1:6" x14ac:dyDescent="0.25">
      <c r="A29" s="88"/>
      <c r="B29" s="88"/>
      <c r="C29" s="88"/>
      <c r="D29" s="88"/>
      <c r="E29" s="88"/>
    </row>
  </sheetData>
  <customSheetViews>
    <customSheetView guid="{8DF5934D-271D-4996-8FBD-8BBE47175559}" showPageBreaks="1">
      <selection activeCell="H3" sqref="H3"/>
      <pageMargins left="0.78740157499999996" right="0.78740157499999996" top="0.984251969" bottom="0.984251969" header="0.4921259845" footer="0.4921259845"/>
      <pageSetup paperSize="9" orientation="portrait" r:id="rId1"/>
      <headerFooter alignWithMargins="0">
        <oddFooter>&amp;C&amp;"Tahoma,Obyčejné"&amp;P</oddFooter>
      </headerFooter>
    </customSheetView>
  </customSheetViews>
  <mergeCells count="10">
    <mergeCell ref="A18:E18"/>
    <mergeCell ref="A20:E20"/>
    <mergeCell ref="A22:E22"/>
    <mergeCell ref="A24:E24"/>
    <mergeCell ref="A26:E26"/>
    <mergeCell ref="A4:F4"/>
    <mergeCell ref="A8:E8"/>
    <mergeCell ref="A10:E10"/>
    <mergeCell ref="A12:E12"/>
    <mergeCell ref="A16:E16"/>
  </mergeCells>
  <pageMargins left="0.78740157499999996" right="0.78740157499999996" top="0.984251969" bottom="0.984251969" header="0.4921259845" footer="0.4921259845"/>
  <pageSetup paperSize="9" orientation="portrait" r:id="rId2"/>
  <headerFooter alignWithMargins="0"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22" zoomScaleNormal="100" zoomScaleSheetLayoutView="100" workbookViewId="0">
      <selection activeCell="B37" sqref="B37"/>
    </sheetView>
  </sheetViews>
  <sheetFormatPr defaultRowHeight="10.5" x14ac:dyDescent="0.15"/>
  <cols>
    <col min="1" max="1" width="6.42578125" style="46" customWidth="1"/>
    <col min="2" max="2" width="55.7109375" style="44" customWidth="1"/>
    <col min="3" max="3" width="10.7109375" style="44" customWidth="1"/>
    <col min="4" max="5" width="10.7109375" style="45" customWidth="1"/>
    <col min="6" max="6" width="10.7109375" style="44" customWidth="1"/>
    <col min="7" max="7" width="8" style="44" customWidth="1"/>
    <col min="8" max="16384" width="9.140625" style="43"/>
  </cols>
  <sheetData>
    <row r="1" spans="1:8" ht="34.5" customHeight="1" x14ac:dyDescent="0.2">
      <c r="A1" s="387" t="s">
        <v>215</v>
      </c>
      <c r="B1" s="388"/>
      <c r="C1" s="388"/>
      <c r="D1" s="388"/>
      <c r="E1" s="388"/>
      <c r="F1" s="388"/>
      <c r="G1" s="388"/>
    </row>
    <row r="2" spans="1:8" ht="31.5" customHeight="1" x14ac:dyDescent="0.15">
      <c r="A2" s="76" t="s">
        <v>160</v>
      </c>
      <c r="B2" s="58" t="s">
        <v>214</v>
      </c>
      <c r="C2" s="58" t="s">
        <v>174</v>
      </c>
      <c r="D2" s="58" t="s">
        <v>173</v>
      </c>
      <c r="E2" s="58" t="s">
        <v>172</v>
      </c>
      <c r="F2" s="58" t="s">
        <v>171</v>
      </c>
      <c r="G2" s="58" t="s">
        <v>170</v>
      </c>
      <c r="H2" s="75"/>
    </row>
    <row r="3" spans="1:8" s="44" customFormat="1" ht="24" customHeight="1" x14ac:dyDescent="0.2">
      <c r="A3" s="353">
        <v>117</v>
      </c>
      <c r="B3" s="70" t="s">
        <v>213</v>
      </c>
      <c r="C3" s="66">
        <v>5000</v>
      </c>
      <c r="D3" s="66">
        <v>5000</v>
      </c>
      <c r="E3" s="66">
        <v>735.07</v>
      </c>
      <c r="F3" s="56">
        <v>6000</v>
      </c>
      <c r="G3" s="67">
        <f t="shared" ref="G3:G11" si="0">F3/C3*100</f>
        <v>120</v>
      </c>
    </row>
    <row r="4" spans="1:8" s="44" customFormat="1" ht="13.5" customHeight="1" x14ac:dyDescent="0.2">
      <c r="A4" s="353">
        <f>A3+1</f>
        <v>118</v>
      </c>
      <c r="B4" s="70" t="s">
        <v>212</v>
      </c>
      <c r="C4" s="66">
        <v>3500</v>
      </c>
      <c r="D4" s="66">
        <v>3500</v>
      </c>
      <c r="E4" s="66">
        <v>3472.58</v>
      </c>
      <c r="F4" s="56">
        <v>6000</v>
      </c>
      <c r="G4" s="67">
        <f t="shared" si="0"/>
        <v>171.42857142857142</v>
      </c>
    </row>
    <row r="5" spans="1:8" s="44" customFormat="1" ht="24" customHeight="1" x14ac:dyDescent="0.2">
      <c r="A5" s="353">
        <f>A4+1</f>
        <v>119</v>
      </c>
      <c r="B5" s="70" t="s">
        <v>211</v>
      </c>
      <c r="C5" s="66">
        <v>1000</v>
      </c>
      <c r="D5" s="66">
        <v>1000</v>
      </c>
      <c r="E5" s="66">
        <v>930</v>
      </c>
      <c r="F5" s="56">
        <v>1500</v>
      </c>
      <c r="G5" s="67">
        <f t="shared" si="0"/>
        <v>150</v>
      </c>
    </row>
    <row r="6" spans="1:8" s="44" customFormat="1" ht="13.5" customHeight="1" x14ac:dyDescent="0.2">
      <c r="A6" s="373" t="s">
        <v>210</v>
      </c>
      <c r="B6" s="374"/>
      <c r="C6" s="64">
        <f>SUM(C3:C5)</f>
        <v>9500</v>
      </c>
      <c r="D6" s="74">
        <f>SUM(D3:D5)</f>
        <v>9500</v>
      </c>
      <c r="E6" s="74">
        <f>SUM(E3:E5)</f>
        <v>5137.6499999999996</v>
      </c>
      <c r="F6" s="54">
        <f>SUM(F3:F5)</f>
        <v>13500</v>
      </c>
      <c r="G6" s="63">
        <f t="shared" si="0"/>
        <v>142.10526315789474</v>
      </c>
    </row>
    <row r="7" spans="1:8" s="44" customFormat="1" ht="13.5" customHeight="1" x14ac:dyDescent="0.2">
      <c r="A7" s="353">
        <v>169</v>
      </c>
      <c r="B7" s="70" t="s">
        <v>209</v>
      </c>
      <c r="C7" s="66">
        <v>8000</v>
      </c>
      <c r="D7" s="66">
        <v>15347.48</v>
      </c>
      <c r="E7" s="66">
        <v>8827.7000000000007</v>
      </c>
      <c r="F7" s="56">
        <v>20000</v>
      </c>
      <c r="G7" s="67">
        <f t="shared" si="0"/>
        <v>250</v>
      </c>
    </row>
    <row r="8" spans="1:8" s="44" customFormat="1" ht="13.5" customHeight="1" x14ac:dyDescent="0.2">
      <c r="A8" s="353">
        <f>A7+1</f>
        <v>170</v>
      </c>
      <c r="B8" s="70" t="s">
        <v>208</v>
      </c>
      <c r="C8" s="66">
        <v>11000</v>
      </c>
      <c r="D8" s="66">
        <v>12482.5</v>
      </c>
      <c r="E8" s="66">
        <v>506.88</v>
      </c>
      <c r="F8" s="56">
        <v>15000</v>
      </c>
      <c r="G8" s="67">
        <f t="shared" si="0"/>
        <v>136.36363636363635</v>
      </c>
    </row>
    <row r="9" spans="1:8" s="44" customFormat="1" ht="13.5" customHeight="1" x14ac:dyDescent="0.2">
      <c r="A9" s="353">
        <f t="shared" ref="A9:A11" si="1">A8+1</f>
        <v>171</v>
      </c>
      <c r="B9" s="73" t="s">
        <v>207</v>
      </c>
      <c r="C9" s="66">
        <v>10000</v>
      </c>
      <c r="D9" s="66">
        <v>36419.25</v>
      </c>
      <c r="E9" s="66">
        <v>9631.52</v>
      </c>
      <c r="F9" s="56">
        <v>10000</v>
      </c>
      <c r="G9" s="67">
        <f t="shared" si="0"/>
        <v>100</v>
      </c>
    </row>
    <row r="10" spans="1:8" s="44" customFormat="1" ht="13.5" customHeight="1" x14ac:dyDescent="0.2">
      <c r="A10" s="353">
        <f t="shared" si="1"/>
        <v>172</v>
      </c>
      <c r="B10" s="72" t="s">
        <v>206</v>
      </c>
      <c r="C10" s="66">
        <v>10000</v>
      </c>
      <c r="D10" s="66">
        <v>19638.75</v>
      </c>
      <c r="E10" s="66">
        <v>6977.44</v>
      </c>
      <c r="F10" s="56">
        <v>8000</v>
      </c>
      <c r="G10" s="67">
        <f t="shared" si="0"/>
        <v>80</v>
      </c>
    </row>
    <row r="11" spans="1:8" s="44" customFormat="1" ht="13.5" customHeight="1" x14ac:dyDescent="0.2">
      <c r="A11" s="353">
        <f t="shared" si="1"/>
        <v>173</v>
      </c>
      <c r="B11" s="68" t="s">
        <v>205</v>
      </c>
      <c r="C11" s="66">
        <v>20000</v>
      </c>
      <c r="D11" s="66">
        <v>20000</v>
      </c>
      <c r="E11" s="66">
        <v>0</v>
      </c>
      <c r="F11" s="56">
        <v>16000</v>
      </c>
      <c r="G11" s="67">
        <f t="shared" si="0"/>
        <v>80</v>
      </c>
    </row>
    <row r="12" spans="1:8" s="44" customFormat="1" ht="13.5" customHeight="1" x14ac:dyDescent="0.2">
      <c r="A12" s="375" t="s">
        <v>204</v>
      </c>
      <c r="B12" s="389"/>
      <c r="C12" s="66">
        <v>0</v>
      </c>
      <c r="D12" s="66">
        <v>2233.44</v>
      </c>
      <c r="E12" s="66">
        <v>1277.5999999999999</v>
      </c>
      <c r="F12" s="56">
        <v>0</v>
      </c>
      <c r="G12" s="65" t="s">
        <v>118</v>
      </c>
    </row>
    <row r="13" spans="1:8" s="44" customFormat="1" ht="13.5" customHeight="1" x14ac:dyDescent="0.2">
      <c r="A13" s="373" t="s">
        <v>203</v>
      </c>
      <c r="B13" s="374"/>
      <c r="C13" s="64">
        <f>SUM(C7:C12)</f>
        <v>59000</v>
      </c>
      <c r="D13" s="64">
        <f>SUM(D7:D12)</f>
        <v>106121.42</v>
      </c>
      <c r="E13" s="64">
        <f>SUM(E7:E12)</f>
        <v>27221.139999999996</v>
      </c>
      <c r="F13" s="54">
        <f>SUM(F7:F12)</f>
        <v>69000</v>
      </c>
      <c r="G13" s="63">
        <f>F13/C13*100</f>
        <v>116.94915254237289</v>
      </c>
    </row>
    <row r="14" spans="1:8" s="44" customFormat="1" ht="13.5" customHeight="1" x14ac:dyDescent="0.2">
      <c r="A14" s="353">
        <v>191</v>
      </c>
      <c r="B14" s="70" t="s">
        <v>202</v>
      </c>
      <c r="C14" s="66">
        <v>3000</v>
      </c>
      <c r="D14" s="66">
        <v>4235</v>
      </c>
      <c r="E14" s="66">
        <v>386.21</v>
      </c>
      <c r="F14" s="56">
        <v>4000</v>
      </c>
      <c r="G14" s="55">
        <f>F14/C14*100</f>
        <v>133.33333333333331</v>
      </c>
    </row>
    <row r="15" spans="1:8" s="44" customFormat="1" ht="13.5" customHeight="1" x14ac:dyDescent="0.2">
      <c r="A15" s="353">
        <f t="shared" ref="A15:A17" si="2">A14+1</f>
        <v>192</v>
      </c>
      <c r="B15" s="70" t="s">
        <v>201</v>
      </c>
      <c r="C15" s="66">
        <v>1000</v>
      </c>
      <c r="D15" s="66">
        <v>1386.96</v>
      </c>
      <c r="E15" s="66">
        <v>465.32</v>
      </c>
      <c r="F15" s="56">
        <v>1500</v>
      </c>
      <c r="G15" s="67">
        <f>F15/C15*100</f>
        <v>150</v>
      </c>
    </row>
    <row r="16" spans="1:8" s="44" customFormat="1" ht="13.5" customHeight="1" x14ac:dyDescent="0.2">
      <c r="A16" s="353">
        <f t="shared" si="2"/>
        <v>193</v>
      </c>
      <c r="B16" s="72" t="s">
        <v>200</v>
      </c>
      <c r="C16" s="66">
        <v>3000</v>
      </c>
      <c r="D16" s="57">
        <v>6681.3</v>
      </c>
      <c r="E16" s="57">
        <v>1310.8</v>
      </c>
      <c r="F16" s="56">
        <v>4500</v>
      </c>
      <c r="G16" s="67">
        <f>F16/C16*100</f>
        <v>150</v>
      </c>
    </row>
    <row r="17" spans="1:7" s="44" customFormat="1" ht="13.5" customHeight="1" x14ac:dyDescent="0.2">
      <c r="A17" s="353">
        <f t="shared" si="2"/>
        <v>194</v>
      </c>
      <c r="B17" s="72" t="s">
        <v>199</v>
      </c>
      <c r="C17" s="66">
        <v>1000</v>
      </c>
      <c r="D17" s="57">
        <f>1724.92+339.4</f>
        <v>2064.3200000000002</v>
      </c>
      <c r="E17" s="57">
        <f>1161.67+208.65</f>
        <v>1370.3200000000002</v>
      </c>
      <c r="F17" s="56">
        <v>1000</v>
      </c>
      <c r="G17" s="67">
        <f>F17/C17*100</f>
        <v>100</v>
      </c>
    </row>
    <row r="18" spans="1:7" s="44" customFormat="1" ht="13.5" customHeight="1" x14ac:dyDescent="0.2">
      <c r="A18" s="375" t="s">
        <v>198</v>
      </c>
      <c r="B18" s="389"/>
      <c r="C18" s="66">
        <v>5000</v>
      </c>
      <c r="D18" s="57">
        <v>7000</v>
      </c>
      <c r="E18" s="57">
        <v>0</v>
      </c>
      <c r="F18" s="56">
        <v>0</v>
      </c>
      <c r="G18" s="65" t="s">
        <v>118</v>
      </c>
    </row>
    <row r="19" spans="1:7" s="44" customFormat="1" ht="13.5" customHeight="1" x14ac:dyDescent="0.2">
      <c r="A19" s="373" t="s">
        <v>197</v>
      </c>
      <c r="B19" s="374"/>
      <c r="C19" s="64">
        <f>SUM(C14:C18)</f>
        <v>13000</v>
      </c>
      <c r="D19" s="64">
        <f>SUM(D14:D18)</f>
        <v>21367.58</v>
      </c>
      <c r="E19" s="64">
        <f>SUM(E14:E18)</f>
        <v>3532.65</v>
      </c>
      <c r="F19" s="54">
        <f>SUM(F14:F18)</f>
        <v>11000</v>
      </c>
      <c r="G19" s="63">
        <f t="shared" ref="G19:G26" si="3">F19/C19*100</f>
        <v>84.615384615384613</v>
      </c>
    </row>
    <row r="20" spans="1:7" s="44" customFormat="1" ht="13.5" customHeight="1" x14ac:dyDescent="0.2">
      <c r="A20" s="353">
        <v>220</v>
      </c>
      <c r="B20" s="70" t="s">
        <v>196</v>
      </c>
      <c r="C20" s="66">
        <v>700</v>
      </c>
      <c r="D20" s="57">
        <v>833.7</v>
      </c>
      <c r="E20" s="57">
        <v>833.7</v>
      </c>
      <c r="F20" s="56">
        <v>700</v>
      </c>
      <c r="G20" s="67">
        <f t="shared" si="3"/>
        <v>100</v>
      </c>
    </row>
    <row r="21" spans="1:7" s="44" customFormat="1" ht="24" customHeight="1" x14ac:dyDescent="0.2">
      <c r="A21" s="353">
        <f t="shared" ref="A21:A26" si="4">A20+1</f>
        <v>221</v>
      </c>
      <c r="B21" s="70" t="s">
        <v>195</v>
      </c>
      <c r="C21" s="66">
        <v>2300</v>
      </c>
      <c r="D21" s="66">
        <v>2307.3000000000002</v>
      </c>
      <c r="E21" s="66">
        <v>2307.3000000000002</v>
      </c>
      <c r="F21" s="56">
        <v>2400</v>
      </c>
      <c r="G21" s="67">
        <f t="shared" si="3"/>
        <v>104.34782608695652</v>
      </c>
    </row>
    <row r="22" spans="1:7" s="44" customFormat="1" ht="24" customHeight="1" x14ac:dyDescent="0.2">
      <c r="A22" s="353">
        <f t="shared" si="4"/>
        <v>222</v>
      </c>
      <c r="B22" s="70" t="s">
        <v>194</v>
      </c>
      <c r="C22" s="66">
        <v>2000</v>
      </c>
      <c r="D22" s="57">
        <v>2854.9</v>
      </c>
      <c r="E22" s="57">
        <v>2854.9</v>
      </c>
      <c r="F22" s="56">
        <v>8500</v>
      </c>
      <c r="G22" s="67">
        <f t="shared" si="3"/>
        <v>425</v>
      </c>
    </row>
    <row r="23" spans="1:7" s="44" customFormat="1" ht="24" customHeight="1" x14ac:dyDescent="0.2">
      <c r="A23" s="353">
        <f t="shared" si="4"/>
        <v>223</v>
      </c>
      <c r="B23" s="70" t="s">
        <v>193</v>
      </c>
      <c r="C23" s="66">
        <v>3600</v>
      </c>
      <c r="D23" s="66">
        <v>2755.8</v>
      </c>
      <c r="E23" s="66">
        <v>2755.8</v>
      </c>
      <c r="F23" s="56">
        <v>3200</v>
      </c>
      <c r="G23" s="67">
        <f t="shared" si="3"/>
        <v>88.888888888888886</v>
      </c>
    </row>
    <row r="24" spans="1:7" s="44" customFormat="1" ht="24" customHeight="1" x14ac:dyDescent="0.2">
      <c r="A24" s="353">
        <f t="shared" si="4"/>
        <v>224</v>
      </c>
      <c r="B24" s="70" t="s">
        <v>192</v>
      </c>
      <c r="C24" s="66">
        <f>6000+2300</f>
        <v>8300</v>
      </c>
      <c r="D24" s="57">
        <v>8300</v>
      </c>
      <c r="E24" s="57">
        <v>0</v>
      </c>
      <c r="F24" s="56">
        <v>9250</v>
      </c>
      <c r="G24" s="67">
        <f t="shared" si="3"/>
        <v>111.44578313253012</v>
      </c>
    </row>
    <row r="25" spans="1:7" s="44" customFormat="1" ht="24" customHeight="1" x14ac:dyDescent="0.2">
      <c r="A25" s="353">
        <f>A24+2</f>
        <v>226</v>
      </c>
      <c r="B25" s="70" t="s">
        <v>191</v>
      </c>
      <c r="C25" s="66">
        <v>700</v>
      </c>
      <c r="D25" s="57">
        <v>548.29999999999995</v>
      </c>
      <c r="E25" s="57">
        <v>548.29999999999995</v>
      </c>
      <c r="F25" s="56">
        <v>500</v>
      </c>
      <c r="G25" s="67">
        <f t="shared" si="3"/>
        <v>71.428571428571431</v>
      </c>
    </row>
    <row r="26" spans="1:7" s="44" customFormat="1" ht="24" customHeight="1" x14ac:dyDescent="0.2">
      <c r="A26" s="353">
        <f t="shared" si="4"/>
        <v>227</v>
      </c>
      <c r="B26" s="70" t="s">
        <v>190</v>
      </c>
      <c r="C26" s="66">
        <v>82000</v>
      </c>
      <c r="D26" s="66">
        <f>79443+2557</f>
        <v>82000</v>
      </c>
      <c r="E26" s="66">
        <f>59334.55+2557</f>
        <v>61891.55</v>
      </c>
      <c r="F26" s="56">
        <v>82000</v>
      </c>
      <c r="G26" s="67">
        <f t="shared" si="3"/>
        <v>100</v>
      </c>
    </row>
    <row r="27" spans="1:7" s="44" customFormat="1" ht="13.5" customHeight="1" x14ac:dyDescent="0.2">
      <c r="A27" s="373" t="s">
        <v>189</v>
      </c>
      <c r="B27" s="374"/>
      <c r="C27" s="64">
        <f>SUM(C20:C26)</f>
        <v>99600</v>
      </c>
      <c r="D27" s="64">
        <f>SUM(D20:D26)</f>
        <v>99600</v>
      </c>
      <c r="E27" s="64">
        <f>SUM(E20:E26)</f>
        <v>71191.55</v>
      </c>
      <c r="F27" s="54">
        <f>SUM(F20:F26)</f>
        <v>106550</v>
      </c>
      <c r="G27" s="63">
        <f>F27/C27*100</f>
        <v>106.97791164658635</v>
      </c>
    </row>
    <row r="28" spans="1:7" s="44" customFormat="1" ht="13.5" customHeight="1" x14ac:dyDescent="0.2">
      <c r="A28" s="353">
        <v>272</v>
      </c>
      <c r="B28" s="71" t="s">
        <v>188</v>
      </c>
      <c r="C28" s="66">
        <v>10000</v>
      </c>
      <c r="D28" s="66">
        <v>15216.32</v>
      </c>
      <c r="E28" s="57">
        <v>14482.69</v>
      </c>
      <c r="F28" s="56">
        <v>22000</v>
      </c>
      <c r="G28" s="67">
        <f>F28/C28*100</f>
        <v>220.00000000000003</v>
      </c>
    </row>
    <row r="29" spans="1:7" s="44" customFormat="1" ht="24" customHeight="1" x14ac:dyDescent="0.2">
      <c r="A29" s="353">
        <f t="shared" ref="A29:A32" si="5">A28+1</f>
        <v>273</v>
      </c>
      <c r="B29" s="70" t="s">
        <v>187</v>
      </c>
      <c r="C29" s="66">
        <v>2000</v>
      </c>
      <c r="D29" s="66">
        <v>2000</v>
      </c>
      <c r="E29" s="66">
        <v>2000</v>
      </c>
      <c r="F29" s="56">
        <v>2149</v>
      </c>
      <c r="G29" s="67">
        <f>F29/C29*100</f>
        <v>107.45</v>
      </c>
    </row>
    <row r="30" spans="1:7" s="44" customFormat="1" ht="24" customHeight="1" x14ac:dyDescent="0.2">
      <c r="A30" s="353">
        <f t="shared" si="5"/>
        <v>274</v>
      </c>
      <c r="B30" s="70" t="s">
        <v>216</v>
      </c>
      <c r="C30" s="66">
        <v>0</v>
      </c>
      <c r="D30" s="66">
        <v>0</v>
      </c>
      <c r="E30" s="66">
        <v>0</v>
      </c>
      <c r="F30" s="56">
        <v>351</v>
      </c>
      <c r="G30" s="65" t="s">
        <v>118</v>
      </c>
    </row>
    <row r="31" spans="1:7" s="44" customFormat="1" ht="13.5" customHeight="1" x14ac:dyDescent="0.2">
      <c r="A31" s="353">
        <f t="shared" si="5"/>
        <v>275</v>
      </c>
      <c r="B31" s="70" t="s">
        <v>186</v>
      </c>
      <c r="C31" s="66">
        <v>0</v>
      </c>
      <c r="D31" s="66">
        <v>0</v>
      </c>
      <c r="E31" s="66">
        <v>0</v>
      </c>
      <c r="F31" s="56">
        <v>2000</v>
      </c>
      <c r="G31" s="65" t="s">
        <v>118</v>
      </c>
    </row>
    <row r="32" spans="1:7" s="44" customFormat="1" ht="13.5" customHeight="1" x14ac:dyDescent="0.2">
      <c r="A32" s="353">
        <f t="shared" si="5"/>
        <v>276</v>
      </c>
      <c r="B32" s="70" t="s">
        <v>185</v>
      </c>
      <c r="C32" s="66">
        <v>1000</v>
      </c>
      <c r="D32" s="66">
        <v>1000</v>
      </c>
      <c r="E32" s="66">
        <v>845.8</v>
      </c>
      <c r="F32" s="56">
        <v>1000</v>
      </c>
      <c r="G32" s="65" t="s">
        <v>118</v>
      </c>
    </row>
    <row r="33" spans="1:9" s="44" customFormat="1" ht="13.5" customHeight="1" x14ac:dyDescent="0.2">
      <c r="A33" s="385" t="s">
        <v>184</v>
      </c>
      <c r="B33" s="386"/>
      <c r="C33" s="64">
        <f>SUM(C28:C32)</f>
        <v>13000</v>
      </c>
      <c r="D33" s="64">
        <f>SUM(D28:D32)</f>
        <v>18216.32</v>
      </c>
      <c r="E33" s="64">
        <f>SUM(E28:E32)</f>
        <v>17328.490000000002</v>
      </c>
      <c r="F33" s="54">
        <f>SUM(F28:F32)</f>
        <v>27500</v>
      </c>
      <c r="G33" s="63">
        <f>F33/C33*100</f>
        <v>211.53846153846155</v>
      </c>
    </row>
    <row r="34" spans="1:9" s="44" customFormat="1" ht="13.5" customHeight="1" x14ac:dyDescent="0.2">
      <c r="A34" s="353">
        <v>415</v>
      </c>
      <c r="B34" s="70" t="s">
        <v>183</v>
      </c>
      <c r="C34" s="66">
        <v>1000</v>
      </c>
      <c r="D34" s="66">
        <v>850</v>
      </c>
      <c r="E34" s="57">
        <v>812.8</v>
      </c>
      <c r="F34" s="56">
        <v>2000</v>
      </c>
      <c r="G34" s="67">
        <f>F34/C34*100</f>
        <v>200</v>
      </c>
    </row>
    <row r="35" spans="1:9" s="44" customFormat="1" ht="24" customHeight="1" x14ac:dyDescent="0.2">
      <c r="A35" s="353">
        <f t="shared" ref="A35" si="6">A34+1</f>
        <v>416</v>
      </c>
      <c r="B35" s="70" t="s">
        <v>182</v>
      </c>
      <c r="C35" s="66">
        <v>0</v>
      </c>
      <c r="D35" s="66">
        <v>0</v>
      </c>
      <c r="E35" s="57">
        <v>0</v>
      </c>
      <c r="F35" s="56">
        <v>1000</v>
      </c>
      <c r="G35" s="65" t="s">
        <v>118</v>
      </c>
    </row>
    <row r="36" spans="1:9" s="44" customFormat="1" ht="13.5" customHeight="1" x14ac:dyDescent="0.2">
      <c r="A36" s="373" t="s">
        <v>181</v>
      </c>
      <c r="B36" s="374"/>
      <c r="C36" s="64">
        <f>SUM(C34:C35)</f>
        <v>1000</v>
      </c>
      <c r="D36" s="64">
        <f>SUM(D34:D35)</f>
        <v>850</v>
      </c>
      <c r="E36" s="64">
        <f>SUM(E34:E35)</f>
        <v>812.8</v>
      </c>
      <c r="F36" s="54">
        <f>SUM(F34:F35)</f>
        <v>3000</v>
      </c>
      <c r="G36" s="63">
        <f>F36/C36*100</f>
        <v>300</v>
      </c>
    </row>
    <row r="37" spans="1:9" s="44" customFormat="1" ht="13.5" customHeight="1" x14ac:dyDescent="0.2">
      <c r="A37" s="353">
        <v>477</v>
      </c>
      <c r="B37" s="70" t="s">
        <v>180</v>
      </c>
      <c r="C37" s="66">
        <v>15000</v>
      </c>
      <c r="D37" s="66">
        <v>30992.27</v>
      </c>
      <c r="E37" s="57">
        <v>3939.36</v>
      </c>
      <c r="F37" s="56">
        <v>15000</v>
      </c>
      <c r="G37" s="67">
        <f>F37/C37*100</f>
        <v>100</v>
      </c>
    </row>
    <row r="38" spans="1:9" s="44" customFormat="1" ht="13.5" customHeight="1" x14ac:dyDescent="0.2">
      <c r="A38" s="353">
        <f t="shared" ref="A38:A39" si="7">A37+1</f>
        <v>478</v>
      </c>
      <c r="B38" s="70" t="s">
        <v>179</v>
      </c>
      <c r="C38" s="66">
        <v>19000</v>
      </c>
      <c r="D38" s="66">
        <v>19503.240000000002</v>
      </c>
      <c r="E38" s="57">
        <v>8194.94</v>
      </c>
      <c r="F38" s="56">
        <v>26000</v>
      </c>
      <c r="G38" s="67">
        <f>F38/C38*100</f>
        <v>136.84210526315789</v>
      </c>
      <c r="I38" s="69"/>
    </row>
    <row r="39" spans="1:9" s="44" customFormat="1" ht="13.5" customHeight="1" x14ac:dyDescent="0.2">
      <c r="A39" s="353">
        <f t="shared" si="7"/>
        <v>479</v>
      </c>
      <c r="B39" s="68" t="s">
        <v>178</v>
      </c>
      <c r="C39" s="66">
        <v>1500</v>
      </c>
      <c r="D39" s="66">
        <v>1500</v>
      </c>
      <c r="E39" s="57">
        <v>1493.85</v>
      </c>
      <c r="F39" s="56">
        <v>2000</v>
      </c>
      <c r="G39" s="67">
        <f>F39/C39*100</f>
        <v>133.33333333333331</v>
      </c>
    </row>
    <row r="40" spans="1:9" s="44" customFormat="1" ht="13.5" customHeight="1" x14ac:dyDescent="0.2">
      <c r="A40" s="375" t="s">
        <v>177</v>
      </c>
      <c r="B40" s="376"/>
      <c r="C40" s="66">
        <v>0</v>
      </c>
      <c r="D40" s="66">
        <v>40377.51</v>
      </c>
      <c r="E40" s="66">
        <v>31330</v>
      </c>
      <c r="F40" s="56">
        <v>0</v>
      </c>
      <c r="G40" s="65" t="s">
        <v>118</v>
      </c>
    </row>
    <row r="41" spans="1:9" s="44" customFormat="1" ht="13.5" customHeight="1" x14ac:dyDescent="0.2">
      <c r="A41" s="373" t="s">
        <v>176</v>
      </c>
      <c r="B41" s="374"/>
      <c r="C41" s="64">
        <f>SUM(C37:C40)</f>
        <v>35500</v>
      </c>
      <c r="D41" s="64">
        <f>SUM(D37:D40)</f>
        <v>92373.02</v>
      </c>
      <c r="E41" s="64">
        <f>SUM(E37:E40)</f>
        <v>44958.15</v>
      </c>
      <c r="F41" s="54">
        <f>SUM(F37:F40)</f>
        <v>43000</v>
      </c>
      <c r="G41" s="63">
        <f>F41/C41*100</f>
        <v>121.12676056338027</v>
      </c>
    </row>
    <row r="42" spans="1:9" s="44" customFormat="1" ht="13.5" customHeight="1" x14ac:dyDescent="0.2">
      <c r="A42" s="381" t="s">
        <v>162</v>
      </c>
      <c r="B42" s="382"/>
      <c r="C42" s="54">
        <f>C6+C13+C19+C27+C33+C36+C41</f>
        <v>230600</v>
      </c>
      <c r="D42" s="54">
        <f>D6+D13+D19+D27+D33+D36+D41</f>
        <v>348028.34</v>
      </c>
      <c r="E42" s="54">
        <f>E6+E13+E19+E27+E33+E36+E41</f>
        <v>170182.43</v>
      </c>
      <c r="F42" s="54">
        <f>F6+F13+F19+F27+F33+F36+F41</f>
        <v>273550</v>
      </c>
      <c r="G42" s="53">
        <f>F42/C42*100</f>
        <v>118.62532523850824</v>
      </c>
    </row>
    <row r="43" spans="1:9" x14ac:dyDescent="0.15">
      <c r="B43" s="62"/>
      <c r="C43" s="60"/>
      <c r="D43" s="61"/>
      <c r="E43" s="61"/>
      <c r="F43" s="60"/>
      <c r="G43" s="59"/>
    </row>
    <row r="44" spans="1:9" ht="31.5" customHeight="1" x14ac:dyDescent="0.15">
      <c r="A44" s="383" t="s">
        <v>175</v>
      </c>
      <c r="B44" s="384"/>
      <c r="C44" s="58" t="s">
        <v>174</v>
      </c>
      <c r="D44" s="58" t="s">
        <v>173</v>
      </c>
      <c r="E44" s="58" t="s">
        <v>172</v>
      </c>
      <c r="F44" s="58" t="s">
        <v>171</v>
      </c>
      <c r="G44" s="58" t="s">
        <v>170</v>
      </c>
    </row>
    <row r="45" spans="1:9" ht="13.5" customHeight="1" x14ac:dyDescent="0.2">
      <c r="A45" s="377" t="s">
        <v>169</v>
      </c>
      <c r="B45" s="378"/>
      <c r="C45" s="57">
        <f>C6</f>
        <v>9500</v>
      </c>
      <c r="D45" s="57">
        <f>D6</f>
        <v>9500</v>
      </c>
      <c r="E45" s="57">
        <f>E6</f>
        <v>5137.6499999999996</v>
      </c>
      <c r="F45" s="56">
        <f>F6</f>
        <v>13500</v>
      </c>
      <c r="G45" s="55">
        <f t="shared" ref="G45:G52" si="8">F45/C45*100</f>
        <v>142.10526315789474</v>
      </c>
    </row>
    <row r="46" spans="1:9" ht="13.5" customHeight="1" x14ac:dyDescent="0.2">
      <c r="A46" s="377" t="s">
        <v>168</v>
      </c>
      <c r="B46" s="378"/>
      <c r="C46" s="57">
        <f>C13</f>
        <v>59000</v>
      </c>
      <c r="D46" s="57">
        <f>D13</f>
        <v>106121.42</v>
      </c>
      <c r="E46" s="57">
        <f>E13</f>
        <v>27221.139999999996</v>
      </c>
      <c r="F46" s="56">
        <f>F13</f>
        <v>69000</v>
      </c>
      <c r="G46" s="55">
        <f t="shared" si="8"/>
        <v>116.94915254237289</v>
      </c>
    </row>
    <row r="47" spans="1:9" ht="13.5" customHeight="1" x14ac:dyDescent="0.2">
      <c r="A47" s="377" t="s">
        <v>167</v>
      </c>
      <c r="B47" s="378"/>
      <c r="C47" s="57">
        <f>C19</f>
        <v>13000</v>
      </c>
      <c r="D47" s="57">
        <f>D19</f>
        <v>21367.58</v>
      </c>
      <c r="E47" s="57">
        <f>E19</f>
        <v>3532.65</v>
      </c>
      <c r="F47" s="56">
        <f>F19</f>
        <v>11000</v>
      </c>
      <c r="G47" s="55">
        <f t="shared" si="8"/>
        <v>84.615384615384613</v>
      </c>
    </row>
    <row r="48" spans="1:9" ht="13.5" customHeight="1" x14ac:dyDescent="0.2">
      <c r="A48" s="377" t="s">
        <v>166</v>
      </c>
      <c r="B48" s="378"/>
      <c r="C48" s="57">
        <f>C27</f>
        <v>99600</v>
      </c>
      <c r="D48" s="57">
        <f>D27</f>
        <v>99600</v>
      </c>
      <c r="E48" s="57">
        <f>E27</f>
        <v>71191.55</v>
      </c>
      <c r="F48" s="56">
        <f>F27</f>
        <v>106550</v>
      </c>
      <c r="G48" s="55">
        <f t="shared" si="8"/>
        <v>106.97791164658635</v>
      </c>
    </row>
    <row r="49" spans="1:7" ht="13.5" customHeight="1" x14ac:dyDescent="0.2">
      <c r="A49" s="377" t="s">
        <v>165</v>
      </c>
      <c r="B49" s="378"/>
      <c r="C49" s="57">
        <f>C33</f>
        <v>13000</v>
      </c>
      <c r="D49" s="57">
        <f>D33</f>
        <v>18216.32</v>
      </c>
      <c r="E49" s="57">
        <f>E33</f>
        <v>17328.490000000002</v>
      </c>
      <c r="F49" s="56">
        <f>F33</f>
        <v>27500</v>
      </c>
      <c r="G49" s="55">
        <f t="shared" si="8"/>
        <v>211.53846153846155</v>
      </c>
    </row>
    <row r="50" spans="1:7" ht="13.5" customHeight="1" x14ac:dyDescent="0.2">
      <c r="A50" s="377" t="s">
        <v>164</v>
      </c>
      <c r="B50" s="378"/>
      <c r="C50" s="57">
        <f>C36</f>
        <v>1000</v>
      </c>
      <c r="D50" s="57">
        <f>D36</f>
        <v>850</v>
      </c>
      <c r="E50" s="57">
        <f>E36</f>
        <v>812.8</v>
      </c>
      <c r="F50" s="56">
        <f>F36</f>
        <v>3000</v>
      </c>
      <c r="G50" s="55">
        <f t="shared" si="8"/>
        <v>300</v>
      </c>
    </row>
    <row r="51" spans="1:7" ht="13.5" customHeight="1" x14ac:dyDescent="0.2">
      <c r="A51" s="377" t="s">
        <v>163</v>
      </c>
      <c r="B51" s="378"/>
      <c r="C51" s="57">
        <f>C41</f>
        <v>35500</v>
      </c>
      <c r="D51" s="57">
        <f>D41</f>
        <v>92373.02</v>
      </c>
      <c r="E51" s="57">
        <f>E41</f>
        <v>44958.15</v>
      </c>
      <c r="F51" s="56">
        <f>F41</f>
        <v>43000</v>
      </c>
      <c r="G51" s="55">
        <f t="shared" si="8"/>
        <v>121.12676056338027</v>
      </c>
    </row>
    <row r="52" spans="1:7" ht="13.5" customHeight="1" x14ac:dyDescent="0.15">
      <c r="A52" s="379" t="s">
        <v>162</v>
      </c>
      <c r="B52" s="380"/>
      <c r="C52" s="54">
        <f>SUM(C45:C51)</f>
        <v>230600</v>
      </c>
      <c r="D52" s="54">
        <f>SUM(D45:D51)</f>
        <v>348028.34</v>
      </c>
      <c r="E52" s="54">
        <f>SUM(E45:E51)</f>
        <v>170182.43</v>
      </c>
      <c r="F52" s="54">
        <f>SUM(F45:F51)</f>
        <v>273550</v>
      </c>
      <c r="G52" s="53">
        <f t="shared" si="8"/>
        <v>118.62532523850824</v>
      </c>
    </row>
    <row r="53" spans="1:7" ht="12.75" x14ac:dyDescent="0.2">
      <c r="A53" s="51"/>
      <c r="B53" s="52"/>
    </row>
    <row r="54" spans="1:7" s="47" customFormat="1" ht="12.75" x14ac:dyDescent="0.2">
      <c r="A54" s="51"/>
      <c r="B54" s="50"/>
      <c r="C54" s="48"/>
      <c r="D54" s="49"/>
      <c r="E54" s="49"/>
      <c r="F54" s="48"/>
      <c r="G54" s="48"/>
    </row>
    <row r="55" spans="1:7" s="47" customFormat="1" x14ac:dyDescent="0.15">
      <c r="A55" s="46"/>
      <c r="B55" s="48"/>
      <c r="C55" s="48"/>
      <c r="D55" s="49"/>
      <c r="E55" s="49"/>
      <c r="F55" s="48"/>
      <c r="G55" s="48"/>
    </row>
    <row r="56" spans="1:7" s="47" customFormat="1" x14ac:dyDescent="0.15">
      <c r="A56" s="46"/>
      <c r="B56" s="48"/>
      <c r="C56" s="48"/>
      <c r="D56" s="49"/>
      <c r="E56" s="49"/>
      <c r="F56" s="48"/>
      <c r="G56" s="48"/>
    </row>
    <row r="57" spans="1:7" s="47" customFormat="1" x14ac:dyDescent="0.15">
      <c r="A57" s="46"/>
      <c r="B57" s="48"/>
      <c r="C57" s="48"/>
      <c r="D57" s="49"/>
      <c r="E57" s="49"/>
      <c r="F57" s="48"/>
      <c r="G57" s="48"/>
    </row>
    <row r="58" spans="1:7" s="47" customFormat="1" x14ac:dyDescent="0.15">
      <c r="A58" s="46"/>
      <c r="B58" s="48"/>
      <c r="C58" s="48"/>
      <c r="D58" s="49"/>
      <c r="E58" s="49"/>
      <c r="F58" s="48"/>
      <c r="G58" s="48"/>
    </row>
    <row r="59" spans="1:7" s="47" customFormat="1" x14ac:dyDescent="0.15">
      <c r="A59" s="46"/>
      <c r="B59" s="48"/>
      <c r="C59" s="48"/>
      <c r="D59" s="49"/>
      <c r="E59" s="49"/>
      <c r="F59" s="48"/>
      <c r="G59" s="48"/>
    </row>
    <row r="60" spans="1:7" s="47" customFormat="1" x14ac:dyDescent="0.15">
      <c r="A60" s="46"/>
      <c r="B60" s="48"/>
      <c r="C60" s="48"/>
      <c r="D60" s="49"/>
      <c r="E60" s="49"/>
      <c r="F60" s="48"/>
      <c r="G60" s="48"/>
    </row>
    <row r="61" spans="1:7" s="47" customFormat="1" x14ac:dyDescent="0.15">
      <c r="A61" s="46"/>
      <c r="B61" s="48"/>
      <c r="C61" s="48"/>
      <c r="D61" s="49"/>
      <c r="E61" s="49"/>
      <c r="F61" s="48"/>
      <c r="G61" s="48"/>
    </row>
    <row r="62" spans="1:7" s="47" customFormat="1" x14ac:dyDescent="0.15">
      <c r="A62" s="46"/>
      <c r="B62" s="48"/>
      <c r="C62" s="48"/>
      <c r="D62" s="49"/>
      <c r="E62" s="49"/>
      <c r="F62" s="48"/>
      <c r="G62" s="48"/>
    </row>
    <row r="63" spans="1:7" s="47" customFormat="1" x14ac:dyDescent="0.15">
      <c r="A63" s="46"/>
      <c r="B63" s="48"/>
      <c r="C63" s="48"/>
      <c r="D63" s="49"/>
      <c r="E63" s="49"/>
      <c r="F63" s="48"/>
      <c r="G63" s="48"/>
    </row>
    <row r="64" spans="1:7" s="47" customFormat="1" x14ac:dyDescent="0.15">
      <c r="A64" s="46"/>
      <c r="B64" s="48"/>
      <c r="C64" s="48"/>
      <c r="D64" s="49"/>
      <c r="E64" s="49"/>
      <c r="F64" s="48"/>
      <c r="G64" s="48"/>
    </row>
    <row r="65" spans="1:7" s="47" customFormat="1" x14ac:dyDescent="0.15">
      <c r="A65" s="46"/>
      <c r="B65" s="48"/>
      <c r="C65" s="48"/>
      <c r="D65" s="49"/>
      <c r="E65" s="49"/>
      <c r="F65" s="48"/>
      <c r="G65" s="48"/>
    </row>
    <row r="66" spans="1:7" s="47" customFormat="1" x14ac:dyDescent="0.15">
      <c r="A66" s="46"/>
      <c r="B66" s="48"/>
      <c r="C66" s="48"/>
      <c r="D66" s="49"/>
      <c r="E66" s="49"/>
      <c r="F66" s="48"/>
      <c r="G66" s="48"/>
    </row>
  </sheetData>
  <customSheetViews>
    <customSheetView guid="{8DF5934D-271D-4996-8FBD-8BBE47175559}" showPageBreaks="1" fitToPage="1" printArea="1" topLeftCell="A22">
      <selection activeCell="B37" sqref="B37"/>
      <pageMargins left="0.31496062992125984" right="0.31496062992125984" top="0.59055118110236227" bottom="0.39370078740157483" header="0.11811023622047245" footer="0.11811023622047245"/>
      <printOptions horizontalCentered="1"/>
      <pageSetup paperSize="9" scale="88" firstPageNumber="2" orientation="portrait" useFirstPageNumber="1" r:id="rId1"/>
      <headerFooter alignWithMargins="0">
        <oddHeader>&amp;L&amp;"Tahoma,Kurzíva"Návrh rozpočtu na rok 2016
Příloha č. 8&amp;R&amp;"Tahoma,Kurzíva"Přehled dotačních programů navržených k financování z rozpočtu na rok 2016</oddHeader>
        <oddFooter>&amp;C&amp;"Tahoma,Obyčejné"&amp;P</oddFooter>
      </headerFooter>
    </customSheetView>
  </customSheetViews>
  <mergeCells count="21">
    <mergeCell ref="A19:B19"/>
    <mergeCell ref="A27:B27"/>
    <mergeCell ref="A33:B33"/>
    <mergeCell ref="A1:G1"/>
    <mergeCell ref="A6:B6"/>
    <mergeCell ref="A12:B12"/>
    <mergeCell ref="A13:B13"/>
    <mergeCell ref="A18:B18"/>
    <mergeCell ref="A51:B51"/>
    <mergeCell ref="A52:B52"/>
    <mergeCell ref="A42:B42"/>
    <mergeCell ref="A44:B44"/>
    <mergeCell ref="A45:B45"/>
    <mergeCell ref="A46:B46"/>
    <mergeCell ref="A47:B47"/>
    <mergeCell ref="A48:B48"/>
    <mergeCell ref="A36:B36"/>
    <mergeCell ref="A40:B40"/>
    <mergeCell ref="A49:B49"/>
    <mergeCell ref="A41:B41"/>
    <mergeCell ref="A50:B50"/>
  </mergeCells>
  <printOptions horizontalCentered="1"/>
  <pageMargins left="0.31496062992125984" right="0.31496062992125984" top="0.59055118110236227" bottom="0.39370078740157483" header="0.11811023622047245" footer="0.11811023622047245"/>
  <pageSetup paperSize="9" scale="88" firstPageNumber="2" orientation="portrait" useFirstPageNumber="1" r:id="rId2"/>
  <headerFooter alignWithMargins="0">
    <oddHeader>&amp;L&amp;"Tahoma,Kurzíva"Návrh rozpočtu na rok 2016
Příloha č. 8&amp;R&amp;"Tahoma,Kurzíva"Přehled dotačních programů navržených k financování z rozpočtu na rok 2016</oddHeader>
    <oddFooter>&amp;C&amp;"Tahoma,Obyčejné"&amp;P</oddFooter>
  </headerFooter>
  <ignoredErrors>
    <ignoredError sqref="A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120"/>
  <sheetViews>
    <sheetView zoomScaleNormal="100" zoomScaleSheetLayoutView="100" workbookViewId="0">
      <selection activeCell="N1" sqref="N1"/>
    </sheetView>
  </sheetViews>
  <sheetFormatPr defaultRowHeight="12.75" x14ac:dyDescent="0.2"/>
  <cols>
    <col min="1" max="1" width="6.42578125" style="1" customWidth="1"/>
    <col min="2" max="2" width="36.5703125" style="1" customWidth="1"/>
    <col min="3" max="3" width="8.140625" style="1" hidden="1" customWidth="1"/>
    <col min="4" max="5" width="11.28515625" style="1" customWidth="1"/>
    <col min="6" max="6" width="10.7109375" style="1" hidden="1" customWidth="1"/>
    <col min="7" max="7" width="10.7109375" style="1" customWidth="1"/>
    <col min="8" max="8" width="12.7109375" style="1" customWidth="1"/>
    <col min="9" max="11" width="9.85546875" style="1" customWidth="1"/>
    <col min="12" max="12" width="36.7109375" style="1" customWidth="1"/>
    <col min="13" max="13" width="9.140625" style="1" hidden="1" customWidth="1"/>
    <col min="14" max="257" width="9.140625" style="1"/>
    <col min="258" max="258" width="6.42578125" style="1" customWidth="1"/>
    <col min="259" max="259" width="36.5703125" style="1" customWidth="1"/>
    <col min="260" max="261" width="11.28515625" style="1" customWidth="1"/>
    <col min="262" max="263" width="10.7109375" style="1" customWidth="1"/>
    <col min="264" max="264" width="12.7109375" style="1" customWidth="1"/>
    <col min="265" max="267" width="9.85546875" style="1" customWidth="1"/>
    <col min="268" max="268" width="36.7109375" style="1" customWidth="1"/>
    <col min="269" max="269" width="9.140625" style="1" hidden="1" customWidth="1"/>
    <col min="270" max="513" width="9.140625" style="1"/>
    <col min="514" max="514" width="6.42578125" style="1" customWidth="1"/>
    <col min="515" max="515" width="36.5703125" style="1" customWidth="1"/>
    <col min="516" max="517" width="11.28515625" style="1" customWidth="1"/>
    <col min="518" max="519" width="10.7109375" style="1" customWidth="1"/>
    <col min="520" max="520" width="12.7109375" style="1" customWidth="1"/>
    <col min="521" max="523" width="9.85546875" style="1" customWidth="1"/>
    <col min="524" max="524" width="36.7109375" style="1" customWidth="1"/>
    <col min="525" max="525" width="9.140625" style="1" hidden="1" customWidth="1"/>
    <col min="526" max="769" width="9.140625" style="1"/>
    <col min="770" max="770" width="6.42578125" style="1" customWidth="1"/>
    <col min="771" max="771" width="36.5703125" style="1" customWidth="1"/>
    <col min="772" max="773" width="11.28515625" style="1" customWidth="1"/>
    <col min="774" max="775" width="10.7109375" style="1" customWidth="1"/>
    <col min="776" max="776" width="12.7109375" style="1" customWidth="1"/>
    <col min="777" max="779" width="9.85546875" style="1" customWidth="1"/>
    <col min="780" max="780" width="36.7109375" style="1" customWidth="1"/>
    <col min="781" max="781" width="9.140625" style="1" hidden="1" customWidth="1"/>
    <col min="782" max="1025" width="9.140625" style="1"/>
    <col min="1026" max="1026" width="6.42578125" style="1" customWidth="1"/>
    <col min="1027" max="1027" width="36.5703125" style="1" customWidth="1"/>
    <col min="1028" max="1029" width="11.28515625" style="1" customWidth="1"/>
    <col min="1030" max="1031" width="10.7109375" style="1" customWidth="1"/>
    <col min="1032" max="1032" width="12.7109375" style="1" customWidth="1"/>
    <col min="1033" max="1035" width="9.85546875" style="1" customWidth="1"/>
    <col min="1036" max="1036" width="36.7109375" style="1" customWidth="1"/>
    <col min="1037" max="1037" width="9.140625" style="1" hidden="1" customWidth="1"/>
    <col min="1038" max="1281" width="9.140625" style="1"/>
    <col min="1282" max="1282" width="6.42578125" style="1" customWidth="1"/>
    <col min="1283" max="1283" width="36.5703125" style="1" customWidth="1"/>
    <col min="1284" max="1285" width="11.28515625" style="1" customWidth="1"/>
    <col min="1286" max="1287" width="10.7109375" style="1" customWidth="1"/>
    <col min="1288" max="1288" width="12.7109375" style="1" customWidth="1"/>
    <col min="1289" max="1291" width="9.85546875" style="1" customWidth="1"/>
    <col min="1292" max="1292" width="36.7109375" style="1" customWidth="1"/>
    <col min="1293" max="1293" width="9.140625" style="1" hidden="1" customWidth="1"/>
    <col min="1294" max="1537" width="9.140625" style="1"/>
    <col min="1538" max="1538" width="6.42578125" style="1" customWidth="1"/>
    <col min="1539" max="1539" width="36.5703125" style="1" customWidth="1"/>
    <col min="1540" max="1541" width="11.28515625" style="1" customWidth="1"/>
    <col min="1542" max="1543" width="10.7109375" style="1" customWidth="1"/>
    <col min="1544" max="1544" width="12.7109375" style="1" customWidth="1"/>
    <col min="1545" max="1547" width="9.85546875" style="1" customWidth="1"/>
    <col min="1548" max="1548" width="36.7109375" style="1" customWidth="1"/>
    <col min="1549" max="1549" width="9.140625" style="1" hidden="1" customWidth="1"/>
    <col min="1550" max="1793" width="9.140625" style="1"/>
    <col min="1794" max="1794" width="6.42578125" style="1" customWidth="1"/>
    <col min="1795" max="1795" width="36.5703125" style="1" customWidth="1"/>
    <col min="1796" max="1797" width="11.28515625" style="1" customWidth="1"/>
    <col min="1798" max="1799" width="10.7109375" style="1" customWidth="1"/>
    <col min="1800" max="1800" width="12.7109375" style="1" customWidth="1"/>
    <col min="1801" max="1803" width="9.85546875" style="1" customWidth="1"/>
    <col min="1804" max="1804" width="36.7109375" style="1" customWidth="1"/>
    <col min="1805" max="1805" width="9.140625" style="1" hidden="1" customWidth="1"/>
    <col min="1806" max="2049" width="9.140625" style="1"/>
    <col min="2050" max="2050" width="6.42578125" style="1" customWidth="1"/>
    <col min="2051" max="2051" width="36.5703125" style="1" customWidth="1"/>
    <col min="2052" max="2053" width="11.28515625" style="1" customWidth="1"/>
    <col min="2054" max="2055" width="10.7109375" style="1" customWidth="1"/>
    <col min="2056" max="2056" width="12.7109375" style="1" customWidth="1"/>
    <col min="2057" max="2059" width="9.85546875" style="1" customWidth="1"/>
    <col min="2060" max="2060" width="36.7109375" style="1" customWidth="1"/>
    <col min="2061" max="2061" width="9.140625" style="1" hidden="1" customWidth="1"/>
    <col min="2062" max="2305" width="9.140625" style="1"/>
    <col min="2306" max="2306" width="6.42578125" style="1" customWidth="1"/>
    <col min="2307" max="2307" width="36.5703125" style="1" customWidth="1"/>
    <col min="2308" max="2309" width="11.28515625" style="1" customWidth="1"/>
    <col min="2310" max="2311" width="10.7109375" style="1" customWidth="1"/>
    <col min="2312" max="2312" width="12.7109375" style="1" customWidth="1"/>
    <col min="2313" max="2315" width="9.85546875" style="1" customWidth="1"/>
    <col min="2316" max="2316" width="36.7109375" style="1" customWidth="1"/>
    <col min="2317" max="2317" width="9.140625" style="1" hidden="1" customWidth="1"/>
    <col min="2318" max="2561" width="9.140625" style="1"/>
    <col min="2562" max="2562" width="6.42578125" style="1" customWidth="1"/>
    <col min="2563" max="2563" width="36.5703125" style="1" customWidth="1"/>
    <col min="2564" max="2565" width="11.28515625" style="1" customWidth="1"/>
    <col min="2566" max="2567" width="10.7109375" style="1" customWidth="1"/>
    <col min="2568" max="2568" width="12.7109375" style="1" customWidth="1"/>
    <col min="2569" max="2571" width="9.85546875" style="1" customWidth="1"/>
    <col min="2572" max="2572" width="36.7109375" style="1" customWidth="1"/>
    <col min="2573" max="2573" width="9.140625" style="1" hidden="1" customWidth="1"/>
    <col min="2574" max="2817" width="9.140625" style="1"/>
    <col min="2818" max="2818" width="6.42578125" style="1" customWidth="1"/>
    <col min="2819" max="2819" width="36.5703125" style="1" customWidth="1"/>
    <col min="2820" max="2821" width="11.28515625" style="1" customWidth="1"/>
    <col min="2822" max="2823" width="10.7109375" style="1" customWidth="1"/>
    <col min="2824" max="2824" width="12.7109375" style="1" customWidth="1"/>
    <col min="2825" max="2827" width="9.85546875" style="1" customWidth="1"/>
    <col min="2828" max="2828" width="36.7109375" style="1" customWidth="1"/>
    <col min="2829" max="2829" width="9.140625" style="1" hidden="1" customWidth="1"/>
    <col min="2830" max="3073" width="9.140625" style="1"/>
    <col min="3074" max="3074" width="6.42578125" style="1" customWidth="1"/>
    <col min="3075" max="3075" width="36.5703125" style="1" customWidth="1"/>
    <col min="3076" max="3077" width="11.28515625" style="1" customWidth="1"/>
    <col min="3078" max="3079" width="10.7109375" style="1" customWidth="1"/>
    <col min="3080" max="3080" width="12.7109375" style="1" customWidth="1"/>
    <col min="3081" max="3083" width="9.85546875" style="1" customWidth="1"/>
    <col min="3084" max="3084" width="36.7109375" style="1" customWidth="1"/>
    <col min="3085" max="3085" width="9.140625" style="1" hidden="1" customWidth="1"/>
    <col min="3086" max="3329" width="9.140625" style="1"/>
    <col min="3330" max="3330" width="6.42578125" style="1" customWidth="1"/>
    <col min="3331" max="3331" width="36.5703125" style="1" customWidth="1"/>
    <col min="3332" max="3333" width="11.28515625" style="1" customWidth="1"/>
    <col min="3334" max="3335" width="10.7109375" style="1" customWidth="1"/>
    <col min="3336" max="3336" width="12.7109375" style="1" customWidth="1"/>
    <col min="3337" max="3339" width="9.85546875" style="1" customWidth="1"/>
    <col min="3340" max="3340" width="36.7109375" style="1" customWidth="1"/>
    <col min="3341" max="3341" width="9.140625" style="1" hidden="1" customWidth="1"/>
    <col min="3342" max="3585" width="9.140625" style="1"/>
    <col min="3586" max="3586" width="6.42578125" style="1" customWidth="1"/>
    <col min="3587" max="3587" width="36.5703125" style="1" customWidth="1"/>
    <col min="3588" max="3589" width="11.28515625" style="1" customWidth="1"/>
    <col min="3590" max="3591" width="10.7109375" style="1" customWidth="1"/>
    <col min="3592" max="3592" width="12.7109375" style="1" customWidth="1"/>
    <col min="3593" max="3595" width="9.85546875" style="1" customWidth="1"/>
    <col min="3596" max="3596" width="36.7109375" style="1" customWidth="1"/>
    <col min="3597" max="3597" width="9.140625" style="1" hidden="1" customWidth="1"/>
    <col min="3598" max="3841" width="9.140625" style="1"/>
    <col min="3842" max="3842" width="6.42578125" style="1" customWidth="1"/>
    <col min="3843" max="3843" width="36.5703125" style="1" customWidth="1"/>
    <col min="3844" max="3845" width="11.28515625" style="1" customWidth="1"/>
    <col min="3846" max="3847" width="10.7109375" style="1" customWidth="1"/>
    <col min="3848" max="3848" width="12.7109375" style="1" customWidth="1"/>
    <col min="3849" max="3851" width="9.85546875" style="1" customWidth="1"/>
    <col min="3852" max="3852" width="36.7109375" style="1" customWidth="1"/>
    <col min="3853" max="3853" width="9.140625" style="1" hidden="1" customWidth="1"/>
    <col min="3854" max="4097" width="9.140625" style="1"/>
    <col min="4098" max="4098" width="6.42578125" style="1" customWidth="1"/>
    <col min="4099" max="4099" width="36.5703125" style="1" customWidth="1"/>
    <col min="4100" max="4101" width="11.28515625" style="1" customWidth="1"/>
    <col min="4102" max="4103" width="10.7109375" style="1" customWidth="1"/>
    <col min="4104" max="4104" width="12.7109375" style="1" customWidth="1"/>
    <col min="4105" max="4107" width="9.85546875" style="1" customWidth="1"/>
    <col min="4108" max="4108" width="36.7109375" style="1" customWidth="1"/>
    <col min="4109" max="4109" width="9.140625" style="1" hidden="1" customWidth="1"/>
    <col min="4110" max="4353" width="9.140625" style="1"/>
    <col min="4354" max="4354" width="6.42578125" style="1" customWidth="1"/>
    <col min="4355" max="4355" width="36.5703125" style="1" customWidth="1"/>
    <col min="4356" max="4357" width="11.28515625" style="1" customWidth="1"/>
    <col min="4358" max="4359" width="10.7109375" style="1" customWidth="1"/>
    <col min="4360" max="4360" width="12.7109375" style="1" customWidth="1"/>
    <col min="4361" max="4363" width="9.85546875" style="1" customWidth="1"/>
    <col min="4364" max="4364" width="36.7109375" style="1" customWidth="1"/>
    <col min="4365" max="4365" width="9.140625" style="1" hidden="1" customWidth="1"/>
    <col min="4366" max="4609" width="9.140625" style="1"/>
    <col min="4610" max="4610" width="6.42578125" style="1" customWidth="1"/>
    <col min="4611" max="4611" width="36.5703125" style="1" customWidth="1"/>
    <col min="4612" max="4613" width="11.28515625" style="1" customWidth="1"/>
    <col min="4614" max="4615" width="10.7109375" style="1" customWidth="1"/>
    <col min="4616" max="4616" width="12.7109375" style="1" customWidth="1"/>
    <col min="4617" max="4619" width="9.85546875" style="1" customWidth="1"/>
    <col min="4620" max="4620" width="36.7109375" style="1" customWidth="1"/>
    <col min="4621" max="4621" width="9.140625" style="1" hidden="1" customWidth="1"/>
    <col min="4622" max="4865" width="9.140625" style="1"/>
    <col min="4866" max="4866" width="6.42578125" style="1" customWidth="1"/>
    <col min="4867" max="4867" width="36.5703125" style="1" customWidth="1"/>
    <col min="4868" max="4869" width="11.28515625" style="1" customWidth="1"/>
    <col min="4870" max="4871" width="10.7109375" style="1" customWidth="1"/>
    <col min="4872" max="4872" width="12.7109375" style="1" customWidth="1"/>
    <col min="4873" max="4875" width="9.85546875" style="1" customWidth="1"/>
    <col min="4876" max="4876" width="36.7109375" style="1" customWidth="1"/>
    <col min="4877" max="4877" width="9.140625" style="1" hidden="1" customWidth="1"/>
    <col min="4878" max="5121" width="9.140625" style="1"/>
    <col min="5122" max="5122" width="6.42578125" style="1" customWidth="1"/>
    <col min="5123" max="5123" width="36.5703125" style="1" customWidth="1"/>
    <col min="5124" max="5125" width="11.28515625" style="1" customWidth="1"/>
    <col min="5126" max="5127" width="10.7109375" style="1" customWidth="1"/>
    <col min="5128" max="5128" width="12.7109375" style="1" customWidth="1"/>
    <col min="5129" max="5131" width="9.85546875" style="1" customWidth="1"/>
    <col min="5132" max="5132" width="36.7109375" style="1" customWidth="1"/>
    <col min="5133" max="5133" width="9.140625" style="1" hidden="1" customWidth="1"/>
    <col min="5134" max="5377" width="9.140625" style="1"/>
    <col min="5378" max="5378" width="6.42578125" style="1" customWidth="1"/>
    <col min="5379" max="5379" width="36.5703125" style="1" customWidth="1"/>
    <col min="5380" max="5381" width="11.28515625" style="1" customWidth="1"/>
    <col min="5382" max="5383" width="10.7109375" style="1" customWidth="1"/>
    <col min="5384" max="5384" width="12.7109375" style="1" customWidth="1"/>
    <col min="5385" max="5387" width="9.85546875" style="1" customWidth="1"/>
    <col min="5388" max="5388" width="36.7109375" style="1" customWidth="1"/>
    <col min="5389" max="5389" width="9.140625" style="1" hidden="1" customWidth="1"/>
    <col min="5390" max="5633" width="9.140625" style="1"/>
    <col min="5634" max="5634" width="6.42578125" style="1" customWidth="1"/>
    <col min="5635" max="5635" width="36.5703125" style="1" customWidth="1"/>
    <col min="5636" max="5637" width="11.28515625" style="1" customWidth="1"/>
    <col min="5638" max="5639" width="10.7109375" style="1" customWidth="1"/>
    <col min="5640" max="5640" width="12.7109375" style="1" customWidth="1"/>
    <col min="5641" max="5643" width="9.85546875" style="1" customWidth="1"/>
    <col min="5644" max="5644" width="36.7109375" style="1" customWidth="1"/>
    <col min="5645" max="5645" width="9.140625" style="1" hidden="1" customWidth="1"/>
    <col min="5646" max="5889" width="9.140625" style="1"/>
    <col min="5890" max="5890" width="6.42578125" style="1" customWidth="1"/>
    <col min="5891" max="5891" width="36.5703125" style="1" customWidth="1"/>
    <col min="5892" max="5893" width="11.28515625" style="1" customWidth="1"/>
    <col min="5894" max="5895" width="10.7109375" style="1" customWidth="1"/>
    <col min="5896" max="5896" width="12.7109375" style="1" customWidth="1"/>
    <col min="5897" max="5899" width="9.85546875" style="1" customWidth="1"/>
    <col min="5900" max="5900" width="36.7109375" style="1" customWidth="1"/>
    <col min="5901" max="5901" width="9.140625" style="1" hidden="1" customWidth="1"/>
    <col min="5902" max="6145" width="9.140625" style="1"/>
    <col min="6146" max="6146" width="6.42578125" style="1" customWidth="1"/>
    <col min="6147" max="6147" width="36.5703125" style="1" customWidth="1"/>
    <col min="6148" max="6149" width="11.28515625" style="1" customWidth="1"/>
    <col min="6150" max="6151" width="10.7109375" style="1" customWidth="1"/>
    <col min="6152" max="6152" width="12.7109375" style="1" customWidth="1"/>
    <col min="6153" max="6155" width="9.85546875" style="1" customWidth="1"/>
    <col min="6156" max="6156" width="36.7109375" style="1" customWidth="1"/>
    <col min="6157" max="6157" width="9.140625" style="1" hidden="1" customWidth="1"/>
    <col min="6158" max="6401" width="9.140625" style="1"/>
    <col min="6402" max="6402" width="6.42578125" style="1" customWidth="1"/>
    <col min="6403" max="6403" width="36.5703125" style="1" customWidth="1"/>
    <col min="6404" max="6405" width="11.28515625" style="1" customWidth="1"/>
    <col min="6406" max="6407" width="10.7109375" style="1" customWidth="1"/>
    <col min="6408" max="6408" width="12.7109375" style="1" customWidth="1"/>
    <col min="6409" max="6411" width="9.85546875" style="1" customWidth="1"/>
    <col min="6412" max="6412" width="36.7109375" style="1" customWidth="1"/>
    <col min="6413" max="6413" width="9.140625" style="1" hidden="1" customWidth="1"/>
    <col min="6414" max="6657" width="9.140625" style="1"/>
    <col min="6658" max="6658" width="6.42578125" style="1" customWidth="1"/>
    <col min="6659" max="6659" width="36.5703125" style="1" customWidth="1"/>
    <col min="6660" max="6661" width="11.28515625" style="1" customWidth="1"/>
    <col min="6662" max="6663" width="10.7109375" style="1" customWidth="1"/>
    <col min="6664" max="6664" width="12.7109375" style="1" customWidth="1"/>
    <col min="6665" max="6667" width="9.85546875" style="1" customWidth="1"/>
    <col min="6668" max="6668" width="36.7109375" style="1" customWidth="1"/>
    <col min="6669" max="6669" width="9.140625" style="1" hidden="1" customWidth="1"/>
    <col min="6670" max="6913" width="9.140625" style="1"/>
    <col min="6914" max="6914" width="6.42578125" style="1" customWidth="1"/>
    <col min="6915" max="6915" width="36.5703125" style="1" customWidth="1"/>
    <col min="6916" max="6917" width="11.28515625" style="1" customWidth="1"/>
    <col min="6918" max="6919" width="10.7109375" style="1" customWidth="1"/>
    <col min="6920" max="6920" width="12.7109375" style="1" customWidth="1"/>
    <col min="6921" max="6923" width="9.85546875" style="1" customWidth="1"/>
    <col min="6924" max="6924" width="36.7109375" style="1" customWidth="1"/>
    <col min="6925" max="6925" width="9.140625" style="1" hidden="1" customWidth="1"/>
    <col min="6926" max="7169" width="9.140625" style="1"/>
    <col min="7170" max="7170" width="6.42578125" style="1" customWidth="1"/>
    <col min="7171" max="7171" width="36.5703125" style="1" customWidth="1"/>
    <col min="7172" max="7173" width="11.28515625" style="1" customWidth="1"/>
    <col min="7174" max="7175" width="10.7109375" style="1" customWidth="1"/>
    <col min="7176" max="7176" width="12.7109375" style="1" customWidth="1"/>
    <col min="7177" max="7179" width="9.85546875" style="1" customWidth="1"/>
    <col min="7180" max="7180" width="36.7109375" style="1" customWidth="1"/>
    <col min="7181" max="7181" width="9.140625" style="1" hidden="1" customWidth="1"/>
    <col min="7182" max="7425" width="9.140625" style="1"/>
    <col min="7426" max="7426" width="6.42578125" style="1" customWidth="1"/>
    <col min="7427" max="7427" width="36.5703125" style="1" customWidth="1"/>
    <col min="7428" max="7429" width="11.28515625" style="1" customWidth="1"/>
    <col min="7430" max="7431" width="10.7109375" style="1" customWidth="1"/>
    <col min="7432" max="7432" width="12.7109375" style="1" customWidth="1"/>
    <col min="7433" max="7435" width="9.85546875" style="1" customWidth="1"/>
    <col min="7436" max="7436" width="36.7109375" style="1" customWidth="1"/>
    <col min="7437" max="7437" width="9.140625" style="1" hidden="1" customWidth="1"/>
    <col min="7438" max="7681" width="9.140625" style="1"/>
    <col min="7682" max="7682" width="6.42578125" style="1" customWidth="1"/>
    <col min="7683" max="7683" width="36.5703125" style="1" customWidth="1"/>
    <col min="7684" max="7685" width="11.28515625" style="1" customWidth="1"/>
    <col min="7686" max="7687" width="10.7109375" style="1" customWidth="1"/>
    <col min="7688" max="7688" width="12.7109375" style="1" customWidth="1"/>
    <col min="7689" max="7691" width="9.85546875" style="1" customWidth="1"/>
    <col min="7692" max="7692" width="36.7109375" style="1" customWidth="1"/>
    <col min="7693" max="7693" width="9.140625" style="1" hidden="1" customWidth="1"/>
    <col min="7694" max="7937" width="9.140625" style="1"/>
    <col min="7938" max="7938" width="6.42578125" style="1" customWidth="1"/>
    <col min="7939" max="7939" width="36.5703125" style="1" customWidth="1"/>
    <col min="7940" max="7941" width="11.28515625" style="1" customWidth="1"/>
    <col min="7942" max="7943" width="10.7109375" style="1" customWidth="1"/>
    <col min="7944" max="7944" width="12.7109375" style="1" customWidth="1"/>
    <col min="7945" max="7947" width="9.85546875" style="1" customWidth="1"/>
    <col min="7948" max="7948" width="36.7109375" style="1" customWidth="1"/>
    <col min="7949" max="7949" width="9.140625" style="1" hidden="1" customWidth="1"/>
    <col min="7950" max="8193" width="9.140625" style="1"/>
    <col min="8194" max="8194" width="6.42578125" style="1" customWidth="1"/>
    <col min="8195" max="8195" width="36.5703125" style="1" customWidth="1"/>
    <col min="8196" max="8197" width="11.28515625" style="1" customWidth="1"/>
    <col min="8198" max="8199" width="10.7109375" style="1" customWidth="1"/>
    <col min="8200" max="8200" width="12.7109375" style="1" customWidth="1"/>
    <col min="8201" max="8203" width="9.85546875" style="1" customWidth="1"/>
    <col min="8204" max="8204" width="36.7109375" style="1" customWidth="1"/>
    <col min="8205" max="8205" width="9.140625" style="1" hidden="1" customWidth="1"/>
    <col min="8206" max="8449" width="9.140625" style="1"/>
    <col min="8450" max="8450" width="6.42578125" style="1" customWidth="1"/>
    <col min="8451" max="8451" width="36.5703125" style="1" customWidth="1"/>
    <col min="8452" max="8453" width="11.28515625" style="1" customWidth="1"/>
    <col min="8454" max="8455" width="10.7109375" style="1" customWidth="1"/>
    <col min="8456" max="8456" width="12.7109375" style="1" customWidth="1"/>
    <col min="8457" max="8459" width="9.85546875" style="1" customWidth="1"/>
    <col min="8460" max="8460" width="36.7109375" style="1" customWidth="1"/>
    <col min="8461" max="8461" width="9.140625" style="1" hidden="1" customWidth="1"/>
    <col min="8462" max="8705" width="9.140625" style="1"/>
    <col min="8706" max="8706" width="6.42578125" style="1" customWidth="1"/>
    <col min="8707" max="8707" width="36.5703125" style="1" customWidth="1"/>
    <col min="8708" max="8709" width="11.28515625" style="1" customWidth="1"/>
    <col min="8710" max="8711" width="10.7109375" style="1" customWidth="1"/>
    <col min="8712" max="8712" width="12.7109375" style="1" customWidth="1"/>
    <col min="8713" max="8715" width="9.85546875" style="1" customWidth="1"/>
    <col min="8716" max="8716" width="36.7109375" style="1" customWidth="1"/>
    <col min="8717" max="8717" width="9.140625" style="1" hidden="1" customWidth="1"/>
    <col min="8718" max="8961" width="9.140625" style="1"/>
    <col min="8962" max="8962" width="6.42578125" style="1" customWidth="1"/>
    <col min="8963" max="8963" width="36.5703125" style="1" customWidth="1"/>
    <col min="8964" max="8965" width="11.28515625" style="1" customWidth="1"/>
    <col min="8966" max="8967" width="10.7109375" style="1" customWidth="1"/>
    <col min="8968" max="8968" width="12.7109375" style="1" customWidth="1"/>
    <col min="8969" max="8971" width="9.85546875" style="1" customWidth="1"/>
    <col min="8972" max="8972" width="36.7109375" style="1" customWidth="1"/>
    <col min="8973" max="8973" width="9.140625" style="1" hidden="1" customWidth="1"/>
    <col min="8974" max="9217" width="9.140625" style="1"/>
    <col min="9218" max="9218" width="6.42578125" style="1" customWidth="1"/>
    <col min="9219" max="9219" width="36.5703125" style="1" customWidth="1"/>
    <col min="9220" max="9221" width="11.28515625" style="1" customWidth="1"/>
    <col min="9222" max="9223" width="10.7109375" style="1" customWidth="1"/>
    <col min="9224" max="9224" width="12.7109375" style="1" customWidth="1"/>
    <col min="9225" max="9227" width="9.85546875" style="1" customWidth="1"/>
    <col min="9228" max="9228" width="36.7109375" style="1" customWidth="1"/>
    <col min="9229" max="9229" width="9.140625" style="1" hidden="1" customWidth="1"/>
    <col min="9230" max="9473" width="9.140625" style="1"/>
    <col min="9474" max="9474" width="6.42578125" style="1" customWidth="1"/>
    <col min="9475" max="9475" width="36.5703125" style="1" customWidth="1"/>
    <col min="9476" max="9477" width="11.28515625" style="1" customWidth="1"/>
    <col min="9478" max="9479" width="10.7109375" style="1" customWidth="1"/>
    <col min="9480" max="9480" width="12.7109375" style="1" customWidth="1"/>
    <col min="9481" max="9483" width="9.85546875" style="1" customWidth="1"/>
    <col min="9484" max="9484" width="36.7109375" style="1" customWidth="1"/>
    <col min="9485" max="9485" width="9.140625" style="1" hidden="1" customWidth="1"/>
    <col min="9486" max="9729" width="9.140625" style="1"/>
    <col min="9730" max="9730" width="6.42578125" style="1" customWidth="1"/>
    <col min="9731" max="9731" width="36.5703125" style="1" customWidth="1"/>
    <col min="9732" max="9733" width="11.28515625" style="1" customWidth="1"/>
    <col min="9734" max="9735" width="10.7109375" style="1" customWidth="1"/>
    <col min="9736" max="9736" width="12.7109375" style="1" customWidth="1"/>
    <col min="9737" max="9739" width="9.85546875" style="1" customWidth="1"/>
    <col min="9740" max="9740" width="36.7109375" style="1" customWidth="1"/>
    <col min="9741" max="9741" width="9.140625" style="1" hidden="1" customWidth="1"/>
    <col min="9742" max="9985" width="9.140625" style="1"/>
    <col min="9986" max="9986" width="6.42578125" style="1" customWidth="1"/>
    <col min="9987" max="9987" width="36.5703125" style="1" customWidth="1"/>
    <col min="9988" max="9989" width="11.28515625" style="1" customWidth="1"/>
    <col min="9990" max="9991" width="10.7109375" style="1" customWidth="1"/>
    <col min="9992" max="9992" width="12.7109375" style="1" customWidth="1"/>
    <col min="9993" max="9995" width="9.85546875" style="1" customWidth="1"/>
    <col min="9996" max="9996" width="36.7109375" style="1" customWidth="1"/>
    <col min="9997" max="9997" width="9.140625" style="1" hidden="1" customWidth="1"/>
    <col min="9998" max="10241" width="9.140625" style="1"/>
    <col min="10242" max="10242" width="6.42578125" style="1" customWidth="1"/>
    <col min="10243" max="10243" width="36.5703125" style="1" customWidth="1"/>
    <col min="10244" max="10245" width="11.28515625" style="1" customWidth="1"/>
    <col min="10246" max="10247" width="10.7109375" style="1" customWidth="1"/>
    <col min="10248" max="10248" width="12.7109375" style="1" customWidth="1"/>
    <col min="10249" max="10251" width="9.85546875" style="1" customWidth="1"/>
    <col min="10252" max="10252" width="36.7109375" style="1" customWidth="1"/>
    <col min="10253" max="10253" width="9.140625" style="1" hidden="1" customWidth="1"/>
    <col min="10254" max="10497" width="9.140625" style="1"/>
    <col min="10498" max="10498" width="6.42578125" style="1" customWidth="1"/>
    <col min="10499" max="10499" width="36.5703125" style="1" customWidth="1"/>
    <col min="10500" max="10501" width="11.28515625" style="1" customWidth="1"/>
    <col min="10502" max="10503" width="10.7109375" style="1" customWidth="1"/>
    <col min="10504" max="10504" width="12.7109375" style="1" customWidth="1"/>
    <col min="10505" max="10507" width="9.85546875" style="1" customWidth="1"/>
    <col min="10508" max="10508" width="36.7109375" style="1" customWidth="1"/>
    <col min="10509" max="10509" width="9.140625" style="1" hidden="1" customWidth="1"/>
    <col min="10510" max="10753" width="9.140625" style="1"/>
    <col min="10754" max="10754" width="6.42578125" style="1" customWidth="1"/>
    <col min="10755" max="10755" width="36.5703125" style="1" customWidth="1"/>
    <col min="10756" max="10757" width="11.28515625" style="1" customWidth="1"/>
    <col min="10758" max="10759" width="10.7109375" style="1" customWidth="1"/>
    <col min="10760" max="10760" width="12.7109375" style="1" customWidth="1"/>
    <col min="10761" max="10763" width="9.85546875" style="1" customWidth="1"/>
    <col min="10764" max="10764" width="36.7109375" style="1" customWidth="1"/>
    <col min="10765" max="10765" width="9.140625" style="1" hidden="1" customWidth="1"/>
    <col min="10766" max="11009" width="9.140625" style="1"/>
    <col min="11010" max="11010" width="6.42578125" style="1" customWidth="1"/>
    <col min="11011" max="11011" width="36.5703125" style="1" customWidth="1"/>
    <col min="11012" max="11013" width="11.28515625" style="1" customWidth="1"/>
    <col min="11014" max="11015" width="10.7109375" style="1" customWidth="1"/>
    <col min="11016" max="11016" width="12.7109375" style="1" customWidth="1"/>
    <col min="11017" max="11019" width="9.85546875" style="1" customWidth="1"/>
    <col min="11020" max="11020" width="36.7109375" style="1" customWidth="1"/>
    <col min="11021" max="11021" width="9.140625" style="1" hidden="1" customWidth="1"/>
    <col min="11022" max="11265" width="9.140625" style="1"/>
    <col min="11266" max="11266" width="6.42578125" style="1" customWidth="1"/>
    <col min="11267" max="11267" width="36.5703125" style="1" customWidth="1"/>
    <col min="11268" max="11269" width="11.28515625" style="1" customWidth="1"/>
    <col min="11270" max="11271" width="10.7109375" style="1" customWidth="1"/>
    <col min="11272" max="11272" width="12.7109375" style="1" customWidth="1"/>
    <col min="11273" max="11275" width="9.85546875" style="1" customWidth="1"/>
    <col min="11276" max="11276" width="36.7109375" style="1" customWidth="1"/>
    <col min="11277" max="11277" width="9.140625" style="1" hidden="1" customWidth="1"/>
    <col min="11278" max="11521" width="9.140625" style="1"/>
    <col min="11522" max="11522" width="6.42578125" style="1" customWidth="1"/>
    <col min="11523" max="11523" width="36.5703125" style="1" customWidth="1"/>
    <col min="11524" max="11525" width="11.28515625" style="1" customWidth="1"/>
    <col min="11526" max="11527" width="10.7109375" style="1" customWidth="1"/>
    <col min="11528" max="11528" width="12.7109375" style="1" customWidth="1"/>
    <col min="11529" max="11531" width="9.85546875" style="1" customWidth="1"/>
    <col min="11532" max="11532" width="36.7109375" style="1" customWidth="1"/>
    <col min="11533" max="11533" width="9.140625" style="1" hidden="1" customWidth="1"/>
    <col min="11534" max="11777" width="9.140625" style="1"/>
    <col min="11778" max="11778" width="6.42578125" style="1" customWidth="1"/>
    <col min="11779" max="11779" width="36.5703125" style="1" customWidth="1"/>
    <col min="11780" max="11781" width="11.28515625" style="1" customWidth="1"/>
    <col min="11782" max="11783" width="10.7109375" style="1" customWidth="1"/>
    <col min="11784" max="11784" width="12.7109375" style="1" customWidth="1"/>
    <col min="11785" max="11787" width="9.85546875" style="1" customWidth="1"/>
    <col min="11788" max="11788" width="36.7109375" style="1" customWidth="1"/>
    <col min="11789" max="11789" width="9.140625" style="1" hidden="1" customWidth="1"/>
    <col min="11790" max="12033" width="9.140625" style="1"/>
    <col min="12034" max="12034" width="6.42578125" style="1" customWidth="1"/>
    <col min="12035" max="12035" width="36.5703125" style="1" customWidth="1"/>
    <col min="12036" max="12037" width="11.28515625" style="1" customWidth="1"/>
    <col min="12038" max="12039" width="10.7109375" style="1" customWidth="1"/>
    <col min="12040" max="12040" width="12.7109375" style="1" customWidth="1"/>
    <col min="12041" max="12043" width="9.85546875" style="1" customWidth="1"/>
    <col min="12044" max="12044" width="36.7109375" style="1" customWidth="1"/>
    <col min="12045" max="12045" width="9.140625" style="1" hidden="1" customWidth="1"/>
    <col min="12046" max="12289" width="9.140625" style="1"/>
    <col min="12290" max="12290" width="6.42578125" style="1" customWidth="1"/>
    <col min="12291" max="12291" width="36.5703125" style="1" customWidth="1"/>
    <col min="12292" max="12293" width="11.28515625" style="1" customWidth="1"/>
    <col min="12294" max="12295" width="10.7109375" style="1" customWidth="1"/>
    <col min="12296" max="12296" width="12.7109375" style="1" customWidth="1"/>
    <col min="12297" max="12299" width="9.85546875" style="1" customWidth="1"/>
    <col min="12300" max="12300" width="36.7109375" style="1" customWidth="1"/>
    <col min="12301" max="12301" width="9.140625" style="1" hidden="1" customWidth="1"/>
    <col min="12302" max="12545" width="9.140625" style="1"/>
    <col min="12546" max="12546" width="6.42578125" style="1" customWidth="1"/>
    <col min="12547" max="12547" width="36.5703125" style="1" customWidth="1"/>
    <col min="12548" max="12549" width="11.28515625" style="1" customWidth="1"/>
    <col min="12550" max="12551" width="10.7109375" style="1" customWidth="1"/>
    <col min="12552" max="12552" width="12.7109375" style="1" customWidth="1"/>
    <col min="12553" max="12555" width="9.85546875" style="1" customWidth="1"/>
    <col min="12556" max="12556" width="36.7109375" style="1" customWidth="1"/>
    <col min="12557" max="12557" width="9.140625" style="1" hidden="1" customWidth="1"/>
    <col min="12558" max="12801" width="9.140625" style="1"/>
    <col min="12802" max="12802" width="6.42578125" style="1" customWidth="1"/>
    <col min="12803" max="12803" width="36.5703125" style="1" customWidth="1"/>
    <col min="12804" max="12805" width="11.28515625" style="1" customWidth="1"/>
    <col min="12806" max="12807" width="10.7109375" style="1" customWidth="1"/>
    <col min="12808" max="12808" width="12.7109375" style="1" customWidth="1"/>
    <col min="12809" max="12811" width="9.85546875" style="1" customWidth="1"/>
    <col min="12812" max="12812" width="36.7109375" style="1" customWidth="1"/>
    <col min="12813" max="12813" width="9.140625" style="1" hidden="1" customWidth="1"/>
    <col min="12814" max="13057" width="9.140625" style="1"/>
    <col min="13058" max="13058" width="6.42578125" style="1" customWidth="1"/>
    <col min="13059" max="13059" width="36.5703125" style="1" customWidth="1"/>
    <col min="13060" max="13061" width="11.28515625" style="1" customWidth="1"/>
    <col min="13062" max="13063" width="10.7109375" style="1" customWidth="1"/>
    <col min="13064" max="13064" width="12.7109375" style="1" customWidth="1"/>
    <col min="13065" max="13067" width="9.85546875" style="1" customWidth="1"/>
    <col min="13068" max="13068" width="36.7109375" style="1" customWidth="1"/>
    <col min="13069" max="13069" width="9.140625" style="1" hidden="1" customWidth="1"/>
    <col min="13070" max="13313" width="9.140625" style="1"/>
    <col min="13314" max="13314" width="6.42578125" style="1" customWidth="1"/>
    <col min="13315" max="13315" width="36.5703125" style="1" customWidth="1"/>
    <col min="13316" max="13317" width="11.28515625" style="1" customWidth="1"/>
    <col min="13318" max="13319" width="10.7109375" style="1" customWidth="1"/>
    <col min="13320" max="13320" width="12.7109375" style="1" customWidth="1"/>
    <col min="13321" max="13323" width="9.85546875" style="1" customWidth="1"/>
    <col min="13324" max="13324" width="36.7109375" style="1" customWidth="1"/>
    <col min="13325" max="13325" width="9.140625" style="1" hidden="1" customWidth="1"/>
    <col min="13326" max="13569" width="9.140625" style="1"/>
    <col min="13570" max="13570" width="6.42578125" style="1" customWidth="1"/>
    <col min="13571" max="13571" width="36.5703125" style="1" customWidth="1"/>
    <col min="13572" max="13573" width="11.28515625" style="1" customWidth="1"/>
    <col min="13574" max="13575" width="10.7109375" style="1" customWidth="1"/>
    <col min="13576" max="13576" width="12.7109375" style="1" customWidth="1"/>
    <col min="13577" max="13579" width="9.85546875" style="1" customWidth="1"/>
    <col min="13580" max="13580" width="36.7109375" style="1" customWidth="1"/>
    <col min="13581" max="13581" width="9.140625" style="1" hidden="1" customWidth="1"/>
    <col min="13582" max="13825" width="9.140625" style="1"/>
    <col min="13826" max="13826" width="6.42578125" style="1" customWidth="1"/>
    <col min="13827" max="13827" width="36.5703125" style="1" customWidth="1"/>
    <col min="13828" max="13829" width="11.28515625" style="1" customWidth="1"/>
    <col min="13830" max="13831" width="10.7109375" style="1" customWidth="1"/>
    <col min="13832" max="13832" width="12.7109375" style="1" customWidth="1"/>
    <col min="13833" max="13835" width="9.85546875" style="1" customWidth="1"/>
    <col min="13836" max="13836" width="36.7109375" style="1" customWidth="1"/>
    <col min="13837" max="13837" width="9.140625" style="1" hidden="1" customWidth="1"/>
    <col min="13838" max="14081" width="9.140625" style="1"/>
    <col min="14082" max="14082" width="6.42578125" style="1" customWidth="1"/>
    <col min="14083" max="14083" width="36.5703125" style="1" customWidth="1"/>
    <col min="14084" max="14085" width="11.28515625" style="1" customWidth="1"/>
    <col min="14086" max="14087" width="10.7109375" style="1" customWidth="1"/>
    <col min="14088" max="14088" width="12.7109375" style="1" customWidth="1"/>
    <col min="14089" max="14091" width="9.85546875" style="1" customWidth="1"/>
    <col min="14092" max="14092" width="36.7109375" style="1" customWidth="1"/>
    <col min="14093" max="14093" width="9.140625" style="1" hidden="1" customWidth="1"/>
    <col min="14094" max="14337" width="9.140625" style="1"/>
    <col min="14338" max="14338" width="6.42578125" style="1" customWidth="1"/>
    <col min="14339" max="14339" width="36.5703125" style="1" customWidth="1"/>
    <col min="14340" max="14341" width="11.28515625" style="1" customWidth="1"/>
    <col min="14342" max="14343" width="10.7109375" style="1" customWidth="1"/>
    <col min="14344" max="14344" width="12.7109375" style="1" customWidth="1"/>
    <col min="14345" max="14347" width="9.85546875" style="1" customWidth="1"/>
    <col min="14348" max="14348" width="36.7109375" style="1" customWidth="1"/>
    <col min="14349" max="14349" width="9.140625" style="1" hidden="1" customWidth="1"/>
    <col min="14350" max="14593" width="9.140625" style="1"/>
    <col min="14594" max="14594" width="6.42578125" style="1" customWidth="1"/>
    <col min="14595" max="14595" width="36.5703125" style="1" customWidth="1"/>
    <col min="14596" max="14597" width="11.28515625" style="1" customWidth="1"/>
    <col min="14598" max="14599" width="10.7109375" style="1" customWidth="1"/>
    <col min="14600" max="14600" width="12.7109375" style="1" customWidth="1"/>
    <col min="14601" max="14603" width="9.85546875" style="1" customWidth="1"/>
    <col min="14604" max="14604" width="36.7109375" style="1" customWidth="1"/>
    <col min="14605" max="14605" width="9.140625" style="1" hidden="1" customWidth="1"/>
    <col min="14606" max="14849" width="9.140625" style="1"/>
    <col min="14850" max="14850" width="6.42578125" style="1" customWidth="1"/>
    <col min="14851" max="14851" width="36.5703125" style="1" customWidth="1"/>
    <col min="14852" max="14853" width="11.28515625" style="1" customWidth="1"/>
    <col min="14854" max="14855" width="10.7109375" style="1" customWidth="1"/>
    <col min="14856" max="14856" width="12.7109375" style="1" customWidth="1"/>
    <col min="14857" max="14859" width="9.85546875" style="1" customWidth="1"/>
    <col min="14860" max="14860" width="36.7109375" style="1" customWidth="1"/>
    <col min="14861" max="14861" width="9.140625" style="1" hidden="1" customWidth="1"/>
    <col min="14862" max="15105" width="9.140625" style="1"/>
    <col min="15106" max="15106" width="6.42578125" style="1" customWidth="1"/>
    <col min="15107" max="15107" width="36.5703125" style="1" customWidth="1"/>
    <col min="15108" max="15109" width="11.28515625" style="1" customWidth="1"/>
    <col min="15110" max="15111" width="10.7109375" style="1" customWidth="1"/>
    <col min="15112" max="15112" width="12.7109375" style="1" customWidth="1"/>
    <col min="15113" max="15115" width="9.85546875" style="1" customWidth="1"/>
    <col min="15116" max="15116" width="36.7109375" style="1" customWidth="1"/>
    <col min="15117" max="15117" width="9.140625" style="1" hidden="1" customWidth="1"/>
    <col min="15118" max="15361" width="9.140625" style="1"/>
    <col min="15362" max="15362" width="6.42578125" style="1" customWidth="1"/>
    <col min="15363" max="15363" width="36.5703125" style="1" customWidth="1"/>
    <col min="15364" max="15365" width="11.28515625" style="1" customWidth="1"/>
    <col min="15366" max="15367" width="10.7109375" style="1" customWidth="1"/>
    <col min="15368" max="15368" width="12.7109375" style="1" customWidth="1"/>
    <col min="15369" max="15371" width="9.85546875" style="1" customWidth="1"/>
    <col min="15372" max="15372" width="36.7109375" style="1" customWidth="1"/>
    <col min="15373" max="15373" width="9.140625" style="1" hidden="1" customWidth="1"/>
    <col min="15374" max="15617" width="9.140625" style="1"/>
    <col min="15618" max="15618" width="6.42578125" style="1" customWidth="1"/>
    <col min="15619" max="15619" width="36.5703125" style="1" customWidth="1"/>
    <col min="15620" max="15621" width="11.28515625" style="1" customWidth="1"/>
    <col min="15622" max="15623" width="10.7109375" style="1" customWidth="1"/>
    <col min="15624" max="15624" width="12.7109375" style="1" customWidth="1"/>
    <col min="15625" max="15627" width="9.85546875" style="1" customWidth="1"/>
    <col min="15628" max="15628" width="36.7109375" style="1" customWidth="1"/>
    <col min="15629" max="15629" width="9.140625" style="1" hidden="1" customWidth="1"/>
    <col min="15630" max="15873" width="9.140625" style="1"/>
    <col min="15874" max="15874" width="6.42578125" style="1" customWidth="1"/>
    <col min="15875" max="15875" width="36.5703125" style="1" customWidth="1"/>
    <col min="15876" max="15877" width="11.28515625" style="1" customWidth="1"/>
    <col min="15878" max="15879" width="10.7109375" style="1" customWidth="1"/>
    <col min="15880" max="15880" width="12.7109375" style="1" customWidth="1"/>
    <col min="15881" max="15883" width="9.85546875" style="1" customWidth="1"/>
    <col min="15884" max="15884" width="36.7109375" style="1" customWidth="1"/>
    <col min="15885" max="15885" width="9.140625" style="1" hidden="1" customWidth="1"/>
    <col min="15886" max="16129" width="9.140625" style="1"/>
    <col min="16130" max="16130" width="6.42578125" style="1" customWidth="1"/>
    <col min="16131" max="16131" width="36.5703125" style="1" customWidth="1"/>
    <col min="16132" max="16133" width="11.28515625" style="1" customWidth="1"/>
    <col min="16134" max="16135" width="10.7109375" style="1" customWidth="1"/>
    <col min="16136" max="16136" width="12.7109375" style="1" customWidth="1"/>
    <col min="16137" max="16139" width="9.85546875" style="1" customWidth="1"/>
    <col min="16140" max="16140" width="36.7109375" style="1" customWidth="1"/>
    <col min="16141" max="16141" width="9.140625" style="1" hidden="1" customWidth="1"/>
    <col min="16142" max="16384" width="9.140625" style="1"/>
  </cols>
  <sheetData>
    <row r="1" spans="1:85" ht="33.75" customHeight="1" x14ac:dyDescent="0.2">
      <c r="A1" s="411" t="s">
        <v>221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85" ht="13.5" thickBot="1" x14ac:dyDescent="0.25">
      <c r="B2" s="42"/>
      <c r="C2" s="42"/>
      <c r="D2" s="40"/>
      <c r="E2" s="40"/>
      <c r="F2" s="40"/>
      <c r="G2" s="41"/>
      <c r="H2" s="41"/>
      <c r="I2" s="41"/>
      <c r="J2" s="41"/>
      <c r="K2" s="41"/>
      <c r="L2" s="40" t="s">
        <v>161</v>
      </c>
    </row>
    <row r="3" spans="1:85" ht="24.75" customHeight="1" x14ac:dyDescent="0.2">
      <c r="A3" s="412" t="s">
        <v>160</v>
      </c>
      <c r="B3" s="414" t="s">
        <v>159</v>
      </c>
      <c r="C3" s="39"/>
      <c r="D3" s="416" t="s">
        <v>158</v>
      </c>
      <c r="E3" s="416" t="s">
        <v>157</v>
      </c>
      <c r="F3" s="416" t="s">
        <v>156</v>
      </c>
      <c r="G3" s="419" t="s">
        <v>155</v>
      </c>
      <c r="H3" s="416" t="s">
        <v>154</v>
      </c>
      <c r="I3" s="422" t="s">
        <v>153</v>
      </c>
      <c r="J3" s="423"/>
      <c r="K3" s="424"/>
      <c r="L3" s="425" t="s">
        <v>152</v>
      </c>
    </row>
    <row r="4" spans="1:85" ht="21" customHeight="1" x14ac:dyDescent="0.2">
      <c r="A4" s="413"/>
      <c r="B4" s="415"/>
      <c r="C4" s="38"/>
      <c r="D4" s="417"/>
      <c r="E4" s="417"/>
      <c r="F4" s="418"/>
      <c r="G4" s="420"/>
      <c r="H4" s="421"/>
      <c r="I4" s="37">
        <v>2017</v>
      </c>
      <c r="J4" s="36" t="s">
        <v>151</v>
      </c>
      <c r="K4" s="35" t="s">
        <v>150</v>
      </c>
      <c r="L4" s="426"/>
    </row>
    <row r="5" spans="1:85" s="79" customFormat="1" ht="18" customHeight="1" x14ac:dyDescent="0.2">
      <c r="A5" s="407" t="s">
        <v>149</v>
      </c>
      <c r="B5" s="408"/>
      <c r="C5" s="408"/>
      <c r="D5" s="408"/>
      <c r="E5" s="408"/>
      <c r="F5" s="408"/>
      <c r="G5" s="408"/>
      <c r="H5" s="408"/>
      <c r="I5" s="409"/>
      <c r="J5" s="409"/>
      <c r="K5" s="409"/>
      <c r="L5" s="410"/>
    </row>
    <row r="6" spans="1:85" s="81" customFormat="1" ht="24" customHeight="1" x14ac:dyDescent="0.2">
      <c r="A6" s="354">
        <v>71</v>
      </c>
      <c r="B6" s="24" t="s">
        <v>148</v>
      </c>
      <c r="C6" s="24" t="s">
        <v>147</v>
      </c>
      <c r="D6" s="20">
        <v>1364000</v>
      </c>
      <c r="E6" s="20">
        <v>173300</v>
      </c>
      <c r="F6" s="20"/>
      <c r="G6" s="20">
        <v>500</v>
      </c>
      <c r="H6" s="34">
        <v>138500</v>
      </c>
      <c r="I6" s="20">
        <v>520000</v>
      </c>
      <c r="J6" s="20">
        <v>705000</v>
      </c>
      <c r="K6" s="20">
        <v>0</v>
      </c>
      <c r="L6" s="18" t="s">
        <v>6</v>
      </c>
      <c r="M6" s="33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</row>
    <row r="7" spans="1:85" s="81" customFormat="1" ht="15" customHeight="1" x14ac:dyDescent="0.2">
      <c r="A7" s="354">
        <f>A6+2</f>
        <v>73</v>
      </c>
      <c r="B7" s="24" t="s">
        <v>146</v>
      </c>
      <c r="C7" s="24">
        <v>3204</v>
      </c>
      <c r="D7" s="20">
        <v>107000</v>
      </c>
      <c r="E7" s="20">
        <v>15200</v>
      </c>
      <c r="F7" s="20"/>
      <c r="G7" s="20">
        <v>350</v>
      </c>
      <c r="H7" s="34">
        <v>106650</v>
      </c>
      <c r="I7" s="20">
        <v>0</v>
      </c>
      <c r="J7" s="20">
        <v>0</v>
      </c>
      <c r="K7" s="20">
        <v>0</v>
      </c>
      <c r="L7" s="18" t="s">
        <v>6</v>
      </c>
      <c r="M7" s="33"/>
      <c r="N7" s="80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</row>
    <row r="8" spans="1:85" s="81" customFormat="1" ht="15" customHeight="1" x14ac:dyDescent="0.2">
      <c r="A8" s="354">
        <f t="shared" ref="A8:A10" si="0">A7+1</f>
        <v>74</v>
      </c>
      <c r="B8" s="24" t="s">
        <v>145</v>
      </c>
      <c r="C8" s="24">
        <v>3205</v>
      </c>
      <c r="D8" s="20">
        <v>78000</v>
      </c>
      <c r="E8" s="20">
        <v>10500</v>
      </c>
      <c r="F8" s="20"/>
      <c r="G8" s="20">
        <v>350</v>
      </c>
      <c r="H8" s="34">
        <v>77650</v>
      </c>
      <c r="I8" s="20">
        <v>0</v>
      </c>
      <c r="J8" s="20">
        <v>0</v>
      </c>
      <c r="K8" s="20">
        <v>0</v>
      </c>
      <c r="L8" s="18" t="s">
        <v>6</v>
      </c>
      <c r="M8" s="33"/>
      <c r="N8" s="80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</row>
    <row r="9" spans="1:85" s="81" customFormat="1" ht="21" x14ac:dyDescent="0.2">
      <c r="A9" s="354">
        <f t="shared" si="0"/>
        <v>75</v>
      </c>
      <c r="B9" s="24" t="s">
        <v>144</v>
      </c>
      <c r="C9" s="24">
        <v>3206</v>
      </c>
      <c r="D9" s="20">
        <v>33000</v>
      </c>
      <c r="E9" s="20">
        <v>4650</v>
      </c>
      <c r="F9" s="20"/>
      <c r="G9" s="20">
        <v>350</v>
      </c>
      <c r="H9" s="34">
        <v>32650</v>
      </c>
      <c r="I9" s="20">
        <v>0</v>
      </c>
      <c r="J9" s="20">
        <v>0</v>
      </c>
      <c r="K9" s="20">
        <v>0</v>
      </c>
      <c r="L9" s="18" t="s">
        <v>6</v>
      </c>
      <c r="M9" s="33"/>
      <c r="N9" s="80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</row>
    <row r="10" spans="1:85" s="81" customFormat="1" ht="45" customHeight="1" x14ac:dyDescent="0.2">
      <c r="A10" s="354">
        <f t="shared" si="0"/>
        <v>76</v>
      </c>
      <c r="B10" s="24" t="s">
        <v>143</v>
      </c>
      <c r="C10" s="24" t="s">
        <v>142</v>
      </c>
      <c r="D10" s="20">
        <v>4741</v>
      </c>
      <c r="E10" s="20">
        <v>711</v>
      </c>
      <c r="F10" s="20"/>
      <c r="G10" s="20">
        <v>500</v>
      </c>
      <c r="H10" s="34">
        <v>1000</v>
      </c>
      <c r="I10" s="20">
        <v>1000</v>
      </c>
      <c r="J10" s="20">
        <v>1000</v>
      </c>
      <c r="K10" s="20">
        <v>500</v>
      </c>
      <c r="L10" s="18" t="s">
        <v>141</v>
      </c>
      <c r="M10" s="33"/>
      <c r="N10" s="80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</row>
    <row r="11" spans="1:85" s="81" customFormat="1" ht="34.5" customHeight="1" x14ac:dyDescent="0.2">
      <c r="A11" s="354">
        <f>A10+2</f>
        <v>78</v>
      </c>
      <c r="B11" s="24" t="s">
        <v>140</v>
      </c>
      <c r="C11" s="24">
        <v>3999</v>
      </c>
      <c r="D11" s="20">
        <v>30000</v>
      </c>
      <c r="E11" s="20" t="s">
        <v>118</v>
      </c>
      <c r="F11" s="20" t="s">
        <v>118</v>
      </c>
      <c r="G11" s="20">
        <v>51300</v>
      </c>
      <c r="H11" s="34">
        <v>30000</v>
      </c>
      <c r="I11" s="20">
        <v>30000</v>
      </c>
      <c r="J11" s="20">
        <v>30000</v>
      </c>
      <c r="K11" s="20">
        <v>30000</v>
      </c>
      <c r="L11" s="18" t="s">
        <v>117</v>
      </c>
      <c r="M11" s="33"/>
      <c r="N11" s="80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</row>
    <row r="12" spans="1:85" s="79" customFormat="1" ht="15.75" customHeight="1" x14ac:dyDescent="0.2">
      <c r="A12" s="395" t="s">
        <v>139</v>
      </c>
      <c r="B12" s="396"/>
      <c r="C12" s="82"/>
      <c r="D12" s="26">
        <f t="shared" ref="D12:K12" si="1">SUM(D6:D11)</f>
        <v>1616741</v>
      </c>
      <c r="E12" s="26">
        <f t="shared" si="1"/>
        <v>204361</v>
      </c>
      <c r="F12" s="26">
        <f t="shared" si="1"/>
        <v>0</v>
      </c>
      <c r="G12" s="26">
        <f t="shared" si="1"/>
        <v>53350</v>
      </c>
      <c r="H12" s="26">
        <f t="shared" si="1"/>
        <v>386450</v>
      </c>
      <c r="I12" s="26">
        <f t="shared" si="1"/>
        <v>551000</v>
      </c>
      <c r="J12" s="26">
        <f t="shared" si="1"/>
        <v>736000</v>
      </c>
      <c r="K12" s="26">
        <f t="shared" si="1"/>
        <v>30500</v>
      </c>
      <c r="L12" s="25"/>
      <c r="N12" s="80"/>
    </row>
    <row r="13" spans="1:85" s="79" customFormat="1" ht="18" customHeight="1" x14ac:dyDescent="0.2">
      <c r="A13" s="392" t="s">
        <v>138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4"/>
      <c r="N13" s="80"/>
    </row>
    <row r="14" spans="1:85" s="81" customFormat="1" ht="15" customHeight="1" x14ac:dyDescent="0.2">
      <c r="A14" s="355">
        <v>112</v>
      </c>
      <c r="B14" s="24" t="s">
        <v>137</v>
      </c>
      <c r="C14" s="24">
        <v>3208</v>
      </c>
      <c r="D14" s="20">
        <v>95000</v>
      </c>
      <c r="E14" s="20">
        <v>9500</v>
      </c>
      <c r="F14" s="20"/>
      <c r="G14" s="20">
        <v>0</v>
      </c>
      <c r="H14" s="21">
        <v>2000</v>
      </c>
      <c r="I14" s="20">
        <v>63000</v>
      </c>
      <c r="J14" s="20">
        <v>30000</v>
      </c>
      <c r="K14" s="19">
        <v>0</v>
      </c>
      <c r="L14" s="18" t="s">
        <v>6</v>
      </c>
      <c r="M14" s="28"/>
      <c r="N14" s="80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</row>
    <row r="15" spans="1:85" s="81" customFormat="1" ht="15" customHeight="1" x14ac:dyDescent="0.2">
      <c r="A15" s="355">
        <f>A14+1</f>
        <v>113</v>
      </c>
      <c r="B15" s="24" t="s">
        <v>136</v>
      </c>
      <c r="C15" s="24">
        <v>3207</v>
      </c>
      <c r="D15" s="20">
        <v>128000</v>
      </c>
      <c r="E15" s="20">
        <v>15500</v>
      </c>
      <c r="F15" s="20"/>
      <c r="G15" s="20">
        <v>0</v>
      </c>
      <c r="H15" s="21">
        <v>5000</v>
      </c>
      <c r="I15" s="20">
        <v>83000</v>
      </c>
      <c r="J15" s="20">
        <v>40000</v>
      </c>
      <c r="K15" s="19"/>
      <c r="L15" s="18" t="s">
        <v>6</v>
      </c>
      <c r="M15" s="28"/>
      <c r="N15" s="80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</row>
    <row r="16" spans="1:85" s="79" customFormat="1" ht="15.75" customHeight="1" x14ac:dyDescent="0.2">
      <c r="A16" s="395" t="s">
        <v>135</v>
      </c>
      <c r="B16" s="396"/>
      <c r="C16" s="82"/>
      <c r="D16" s="26">
        <f t="shared" ref="D16:K16" si="2">SUM(D14:D15)</f>
        <v>223000</v>
      </c>
      <c r="E16" s="26">
        <f t="shared" si="2"/>
        <v>25000</v>
      </c>
      <c r="F16" s="26">
        <f t="shared" si="2"/>
        <v>0</v>
      </c>
      <c r="G16" s="26">
        <f t="shared" si="2"/>
        <v>0</v>
      </c>
      <c r="H16" s="26">
        <f t="shared" si="2"/>
        <v>7000</v>
      </c>
      <c r="I16" s="26">
        <f t="shared" si="2"/>
        <v>146000</v>
      </c>
      <c r="J16" s="26">
        <f t="shared" si="2"/>
        <v>70000</v>
      </c>
      <c r="K16" s="26">
        <f t="shared" si="2"/>
        <v>0</v>
      </c>
      <c r="L16" s="25"/>
      <c r="N16" s="80"/>
    </row>
    <row r="17" spans="1:85" s="79" customFormat="1" ht="18" customHeight="1" x14ac:dyDescent="0.2">
      <c r="A17" s="392" t="s">
        <v>134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4"/>
      <c r="N17" s="80"/>
    </row>
    <row r="18" spans="1:85" s="79" customFormat="1" ht="24" customHeight="1" x14ac:dyDescent="0.2">
      <c r="A18" s="355">
        <v>151</v>
      </c>
      <c r="B18" s="24" t="s">
        <v>133</v>
      </c>
      <c r="C18" s="24">
        <v>3252</v>
      </c>
      <c r="D18" s="20">
        <v>50000</v>
      </c>
      <c r="E18" s="20">
        <v>5450</v>
      </c>
      <c r="F18" s="20"/>
      <c r="G18" s="20">
        <v>0</v>
      </c>
      <c r="H18" s="21">
        <v>15000</v>
      </c>
      <c r="I18" s="20">
        <v>35000</v>
      </c>
      <c r="J18" s="20">
        <v>0</v>
      </c>
      <c r="K18" s="19">
        <v>0</v>
      </c>
      <c r="L18" s="18" t="s">
        <v>6</v>
      </c>
      <c r="M18" s="23"/>
      <c r="N18" s="80"/>
    </row>
    <row r="19" spans="1:85" s="79" customFormat="1" ht="15" customHeight="1" x14ac:dyDescent="0.2">
      <c r="A19" s="355">
        <f t="shared" ref="A19:A23" si="3">A18+1</f>
        <v>152</v>
      </c>
      <c r="B19" s="24" t="s">
        <v>132</v>
      </c>
      <c r="C19" s="24">
        <v>3250</v>
      </c>
      <c r="D19" s="20">
        <v>30000</v>
      </c>
      <c r="E19" s="20">
        <v>3000</v>
      </c>
      <c r="F19" s="20"/>
      <c r="G19" s="20">
        <v>0</v>
      </c>
      <c r="H19" s="21">
        <v>10000</v>
      </c>
      <c r="I19" s="20">
        <v>20000</v>
      </c>
      <c r="J19" s="20">
        <v>0</v>
      </c>
      <c r="K19" s="19">
        <v>0</v>
      </c>
      <c r="L19" s="18" t="s">
        <v>6</v>
      </c>
      <c r="M19" s="23"/>
      <c r="N19" s="80"/>
    </row>
    <row r="20" spans="1:85" s="79" customFormat="1" ht="24" customHeight="1" x14ac:dyDescent="0.2">
      <c r="A20" s="355">
        <f t="shared" si="3"/>
        <v>153</v>
      </c>
      <c r="B20" s="24" t="s">
        <v>131</v>
      </c>
      <c r="C20" s="24">
        <v>3253</v>
      </c>
      <c r="D20" s="20">
        <v>24000</v>
      </c>
      <c r="E20" s="20">
        <v>2400</v>
      </c>
      <c r="F20" s="20"/>
      <c r="G20" s="20">
        <v>0</v>
      </c>
      <c r="H20" s="21">
        <v>15000</v>
      </c>
      <c r="I20" s="20">
        <v>9000</v>
      </c>
      <c r="J20" s="20">
        <v>0</v>
      </c>
      <c r="K20" s="19">
        <v>0</v>
      </c>
      <c r="L20" s="18" t="s">
        <v>6</v>
      </c>
      <c r="M20" s="23"/>
      <c r="N20" s="80"/>
    </row>
    <row r="21" spans="1:85" s="79" customFormat="1" ht="15" customHeight="1" x14ac:dyDescent="0.2">
      <c r="A21" s="355">
        <f t="shared" si="3"/>
        <v>154</v>
      </c>
      <c r="B21" s="24" t="s">
        <v>130</v>
      </c>
      <c r="C21" s="24" t="s">
        <v>129</v>
      </c>
      <c r="D21" s="20">
        <v>500000</v>
      </c>
      <c r="E21" s="20">
        <v>78800</v>
      </c>
      <c r="F21" s="20"/>
      <c r="G21" s="20">
        <v>0</v>
      </c>
      <c r="H21" s="21">
        <v>4000</v>
      </c>
      <c r="I21" s="20">
        <v>59500</v>
      </c>
      <c r="J21" s="20">
        <v>150000</v>
      </c>
      <c r="K21" s="19">
        <v>286500</v>
      </c>
      <c r="L21" s="18" t="s">
        <v>6</v>
      </c>
      <c r="M21" s="23"/>
      <c r="N21" s="80"/>
    </row>
    <row r="22" spans="1:85" s="79" customFormat="1" ht="15" customHeight="1" x14ac:dyDescent="0.2">
      <c r="A22" s="355">
        <f t="shared" si="3"/>
        <v>155</v>
      </c>
      <c r="B22" s="24" t="s">
        <v>128</v>
      </c>
      <c r="C22" s="24">
        <v>3251</v>
      </c>
      <c r="D22" s="20">
        <v>50000</v>
      </c>
      <c r="E22" s="20">
        <v>5450</v>
      </c>
      <c r="F22" s="20"/>
      <c r="G22" s="20">
        <v>0</v>
      </c>
      <c r="H22" s="21">
        <v>15000</v>
      </c>
      <c r="I22" s="20">
        <v>35000</v>
      </c>
      <c r="J22" s="20">
        <v>0</v>
      </c>
      <c r="K22" s="19">
        <v>0</v>
      </c>
      <c r="L22" s="18" t="s">
        <v>6</v>
      </c>
      <c r="M22" s="23"/>
      <c r="N22" s="80"/>
    </row>
    <row r="23" spans="1:85" s="79" customFormat="1" ht="24" customHeight="1" x14ac:dyDescent="0.2">
      <c r="A23" s="355">
        <f t="shared" si="3"/>
        <v>156</v>
      </c>
      <c r="B23" s="24" t="s">
        <v>127</v>
      </c>
      <c r="C23" s="24" t="s">
        <v>126</v>
      </c>
      <c r="D23" s="20">
        <v>65000</v>
      </c>
      <c r="E23" s="20">
        <v>6500</v>
      </c>
      <c r="F23" s="20"/>
      <c r="G23" s="20">
        <v>0</v>
      </c>
      <c r="H23" s="21">
        <v>1000</v>
      </c>
      <c r="I23" s="20">
        <v>35000</v>
      </c>
      <c r="J23" s="20">
        <v>29000</v>
      </c>
      <c r="K23" s="19">
        <v>0</v>
      </c>
      <c r="L23" s="18" t="s">
        <v>6</v>
      </c>
      <c r="M23" s="23"/>
      <c r="N23" s="80"/>
    </row>
    <row r="24" spans="1:85" s="79" customFormat="1" ht="15.75" customHeight="1" x14ac:dyDescent="0.2">
      <c r="A24" s="395" t="s">
        <v>125</v>
      </c>
      <c r="B24" s="396"/>
      <c r="C24" s="82"/>
      <c r="D24" s="26">
        <f t="shared" ref="D24:K24" si="4">SUM(D18:D23)</f>
        <v>719000</v>
      </c>
      <c r="E24" s="26">
        <f t="shared" si="4"/>
        <v>101600</v>
      </c>
      <c r="F24" s="26">
        <f t="shared" si="4"/>
        <v>0</v>
      </c>
      <c r="G24" s="26">
        <f t="shared" si="4"/>
        <v>0</v>
      </c>
      <c r="H24" s="26">
        <f t="shared" si="4"/>
        <v>60000</v>
      </c>
      <c r="I24" s="26">
        <f t="shared" si="4"/>
        <v>193500</v>
      </c>
      <c r="J24" s="26">
        <f t="shared" si="4"/>
        <v>179000</v>
      </c>
      <c r="K24" s="26">
        <f t="shared" si="4"/>
        <v>286500</v>
      </c>
      <c r="L24" s="25"/>
      <c r="N24" s="80"/>
    </row>
    <row r="25" spans="1:85" s="79" customFormat="1" ht="18" customHeight="1" x14ac:dyDescent="0.2">
      <c r="A25" s="399" t="s">
        <v>124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1"/>
      <c r="N25" s="80"/>
    </row>
    <row r="26" spans="1:85" s="79" customFormat="1" ht="45" customHeight="1" x14ac:dyDescent="0.2">
      <c r="A26" s="355">
        <v>184</v>
      </c>
      <c r="B26" s="29" t="s">
        <v>123</v>
      </c>
      <c r="C26" s="22" t="s">
        <v>122</v>
      </c>
      <c r="D26" s="20">
        <v>2500</v>
      </c>
      <c r="E26" s="20">
        <v>1000</v>
      </c>
      <c r="F26" s="20"/>
      <c r="G26" s="20">
        <v>0</v>
      </c>
      <c r="H26" s="21">
        <v>200</v>
      </c>
      <c r="I26" s="20">
        <v>1450</v>
      </c>
      <c r="J26" s="20">
        <v>0</v>
      </c>
      <c r="K26" s="19">
        <v>0</v>
      </c>
      <c r="L26" s="18" t="s">
        <v>3</v>
      </c>
      <c r="M26" s="17"/>
      <c r="N26" s="80"/>
    </row>
    <row r="27" spans="1:85" s="79" customFormat="1" ht="45" customHeight="1" x14ac:dyDescent="0.2">
      <c r="A27" s="355">
        <f t="shared" ref="A27:A29" si="5">A26+1</f>
        <v>185</v>
      </c>
      <c r="B27" s="29" t="s">
        <v>121</v>
      </c>
      <c r="C27" s="22">
        <v>3256</v>
      </c>
      <c r="D27" s="20">
        <v>82000</v>
      </c>
      <c r="E27" s="20">
        <v>14000</v>
      </c>
      <c r="F27" s="20"/>
      <c r="G27" s="20">
        <v>2200</v>
      </c>
      <c r="H27" s="21">
        <v>14200</v>
      </c>
      <c r="I27" s="20">
        <v>4800</v>
      </c>
      <c r="J27" s="20">
        <v>4670</v>
      </c>
      <c r="K27" s="19">
        <v>0</v>
      </c>
      <c r="L27" s="18" t="s">
        <v>3</v>
      </c>
      <c r="M27" s="17"/>
      <c r="N27" s="80"/>
    </row>
    <row r="28" spans="1:85" s="79" customFormat="1" ht="15" customHeight="1" x14ac:dyDescent="0.2">
      <c r="A28" s="355">
        <f>A27+2</f>
        <v>187</v>
      </c>
      <c r="B28" s="29" t="s">
        <v>120</v>
      </c>
      <c r="C28" s="22" t="s">
        <v>119</v>
      </c>
      <c r="D28" s="20">
        <v>50000</v>
      </c>
      <c r="E28" s="20" t="s">
        <v>118</v>
      </c>
      <c r="F28" s="20" t="s">
        <v>118</v>
      </c>
      <c r="G28" s="20">
        <v>38714</v>
      </c>
      <c r="H28" s="21">
        <v>50000</v>
      </c>
      <c r="I28" s="20">
        <v>30000</v>
      </c>
      <c r="J28" s="20">
        <v>30000</v>
      </c>
      <c r="K28" s="19">
        <v>30000</v>
      </c>
      <c r="L28" s="18" t="s">
        <v>117</v>
      </c>
      <c r="M28" s="17"/>
      <c r="N28" s="80"/>
    </row>
    <row r="29" spans="1:85" s="79" customFormat="1" ht="24" customHeight="1" x14ac:dyDescent="0.2">
      <c r="A29" s="355">
        <f t="shared" si="5"/>
        <v>188</v>
      </c>
      <c r="B29" s="29" t="s">
        <v>116</v>
      </c>
      <c r="C29" s="22"/>
      <c r="D29" s="20">
        <f>SUM(F29:K29)</f>
        <v>1768</v>
      </c>
      <c r="E29" s="20">
        <v>176.8</v>
      </c>
      <c r="F29" s="32">
        <v>0</v>
      </c>
      <c r="G29" s="20">
        <v>129</v>
      </c>
      <c r="H29" s="21">
        <v>698</v>
      </c>
      <c r="I29" s="20">
        <v>941</v>
      </c>
      <c r="J29" s="20">
        <v>0</v>
      </c>
      <c r="K29" s="19">
        <v>0</v>
      </c>
      <c r="L29" s="18" t="s">
        <v>6</v>
      </c>
      <c r="M29" s="31"/>
      <c r="N29" s="80"/>
    </row>
    <row r="30" spans="1:85" s="79" customFormat="1" ht="15.75" customHeight="1" x14ac:dyDescent="0.2">
      <c r="A30" s="395" t="s">
        <v>115</v>
      </c>
      <c r="B30" s="396"/>
      <c r="C30" s="82"/>
      <c r="D30" s="30">
        <f t="shared" ref="D30:K30" si="6">SUM(D26:D29)</f>
        <v>136268</v>
      </c>
      <c r="E30" s="30">
        <f t="shared" si="6"/>
        <v>15176.8</v>
      </c>
      <c r="F30" s="30">
        <f t="shared" si="6"/>
        <v>0</v>
      </c>
      <c r="G30" s="30">
        <f t="shared" si="6"/>
        <v>41043</v>
      </c>
      <c r="H30" s="30">
        <f t="shared" si="6"/>
        <v>65098</v>
      </c>
      <c r="I30" s="30">
        <f t="shared" si="6"/>
        <v>37191</v>
      </c>
      <c r="J30" s="30">
        <f t="shared" si="6"/>
        <v>34670</v>
      </c>
      <c r="K30" s="30">
        <f t="shared" si="6"/>
        <v>30000</v>
      </c>
      <c r="L30" s="25"/>
      <c r="N30" s="80"/>
    </row>
    <row r="31" spans="1:85" s="79" customFormat="1" ht="18" customHeight="1" x14ac:dyDescent="0.2">
      <c r="A31" s="399" t="s">
        <v>114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1"/>
      <c r="N31" s="80"/>
    </row>
    <row r="32" spans="1:85" s="81" customFormat="1" ht="15" customHeight="1" x14ac:dyDescent="0.2">
      <c r="A32" s="356">
        <v>206</v>
      </c>
      <c r="B32" s="22" t="s">
        <v>113</v>
      </c>
      <c r="C32" s="29" t="s">
        <v>112</v>
      </c>
      <c r="D32" s="20">
        <v>28000</v>
      </c>
      <c r="E32" s="20">
        <v>2980</v>
      </c>
      <c r="F32" s="20"/>
      <c r="G32" s="20">
        <v>100</v>
      </c>
      <c r="H32" s="21">
        <v>100</v>
      </c>
      <c r="I32" s="20">
        <v>9875</v>
      </c>
      <c r="J32" s="20">
        <v>9875</v>
      </c>
      <c r="K32" s="19">
        <v>8050</v>
      </c>
      <c r="L32" s="18" t="s">
        <v>6</v>
      </c>
      <c r="M32" s="28"/>
      <c r="N32" s="80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</row>
    <row r="33" spans="1:85" s="81" customFormat="1" ht="24" customHeight="1" x14ac:dyDescent="0.2">
      <c r="A33" s="356">
        <f t="shared" ref="A33:A40" si="7">A32+1</f>
        <v>207</v>
      </c>
      <c r="B33" s="22" t="s">
        <v>111</v>
      </c>
      <c r="C33" s="29" t="s">
        <v>110</v>
      </c>
      <c r="D33" s="20">
        <v>10500</v>
      </c>
      <c r="E33" s="20">
        <v>1230</v>
      </c>
      <c r="F33" s="20"/>
      <c r="G33" s="20">
        <v>100</v>
      </c>
      <c r="H33" s="21">
        <v>550</v>
      </c>
      <c r="I33" s="20">
        <v>3050</v>
      </c>
      <c r="J33" s="20">
        <v>3050</v>
      </c>
      <c r="K33" s="19">
        <v>3750</v>
      </c>
      <c r="L33" s="18" t="s">
        <v>6</v>
      </c>
      <c r="M33" s="28"/>
      <c r="N33" s="80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</row>
    <row r="34" spans="1:85" s="81" customFormat="1" ht="15" customHeight="1" x14ac:dyDescent="0.2">
      <c r="A34" s="356">
        <f t="shared" si="7"/>
        <v>208</v>
      </c>
      <c r="B34" s="22" t="s">
        <v>109</v>
      </c>
      <c r="C34" s="29" t="s">
        <v>108</v>
      </c>
      <c r="D34" s="20">
        <v>10500</v>
      </c>
      <c r="E34" s="20">
        <v>1230</v>
      </c>
      <c r="F34" s="20"/>
      <c r="G34" s="20">
        <v>100</v>
      </c>
      <c r="H34" s="21">
        <v>1550</v>
      </c>
      <c r="I34" s="20">
        <v>3750</v>
      </c>
      <c r="J34" s="20">
        <v>3550</v>
      </c>
      <c r="K34" s="19">
        <v>1550</v>
      </c>
      <c r="L34" s="18" t="s">
        <v>6</v>
      </c>
      <c r="M34" s="28"/>
      <c r="N34" s="80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</row>
    <row r="35" spans="1:85" s="81" customFormat="1" ht="15" customHeight="1" x14ac:dyDescent="0.2">
      <c r="A35" s="356">
        <f>A34+2</f>
        <v>210</v>
      </c>
      <c r="B35" s="22" t="s">
        <v>107</v>
      </c>
      <c r="C35" s="29" t="s">
        <v>106</v>
      </c>
      <c r="D35" s="20">
        <v>10500</v>
      </c>
      <c r="E35" s="20">
        <v>1230</v>
      </c>
      <c r="F35" s="20"/>
      <c r="G35" s="20">
        <v>100</v>
      </c>
      <c r="H35" s="21">
        <v>100</v>
      </c>
      <c r="I35" s="20">
        <v>3975</v>
      </c>
      <c r="J35" s="20">
        <v>3975</v>
      </c>
      <c r="K35" s="19">
        <v>2350</v>
      </c>
      <c r="L35" s="18" t="s">
        <v>6</v>
      </c>
      <c r="M35" s="28"/>
      <c r="N35" s="80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</row>
    <row r="36" spans="1:85" s="81" customFormat="1" ht="15" customHeight="1" x14ac:dyDescent="0.2">
      <c r="A36" s="356">
        <f t="shared" si="7"/>
        <v>211</v>
      </c>
      <c r="B36" s="22" t="s">
        <v>105</v>
      </c>
      <c r="C36" s="29" t="s">
        <v>104</v>
      </c>
      <c r="D36" s="20">
        <v>10500</v>
      </c>
      <c r="E36" s="20">
        <v>1230</v>
      </c>
      <c r="F36" s="20"/>
      <c r="G36" s="20">
        <v>100</v>
      </c>
      <c r="H36" s="21">
        <v>1550</v>
      </c>
      <c r="I36" s="20">
        <v>3750</v>
      </c>
      <c r="J36" s="20">
        <v>3550</v>
      </c>
      <c r="K36" s="19">
        <v>1550</v>
      </c>
      <c r="L36" s="18" t="s">
        <v>6</v>
      </c>
      <c r="M36" s="28"/>
      <c r="N36" s="80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</row>
    <row r="37" spans="1:85" s="79" customFormat="1" ht="24" customHeight="1" x14ac:dyDescent="0.2">
      <c r="A37" s="356">
        <f t="shared" si="7"/>
        <v>212</v>
      </c>
      <c r="B37" s="22" t="s">
        <v>103</v>
      </c>
      <c r="C37" s="22">
        <v>3257</v>
      </c>
      <c r="D37" s="20">
        <v>9000</v>
      </c>
      <c r="E37" s="20">
        <v>1080</v>
      </c>
      <c r="F37" s="20"/>
      <c r="G37" s="20">
        <v>0</v>
      </c>
      <c r="H37" s="21">
        <v>2550</v>
      </c>
      <c r="I37" s="20">
        <v>4050</v>
      </c>
      <c r="J37" s="20">
        <v>2400</v>
      </c>
      <c r="K37" s="19">
        <v>0</v>
      </c>
      <c r="L37" s="18" t="s">
        <v>6</v>
      </c>
      <c r="M37" s="17"/>
      <c r="N37" s="80"/>
    </row>
    <row r="38" spans="1:85" s="81" customFormat="1" ht="15" customHeight="1" x14ac:dyDescent="0.2">
      <c r="A38" s="356">
        <f>A37+2</f>
        <v>214</v>
      </c>
      <c r="B38" s="22" t="s">
        <v>102</v>
      </c>
      <c r="C38" s="29" t="s">
        <v>101</v>
      </c>
      <c r="D38" s="20">
        <v>13500</v>
      </c>
      <c r="E38" s="20">
        <v>1530</v>
      </c>
      <c r="F38" s="20"/>
      <c r="G38" s="20">
        <v>100</v>
      </c>
      <c r="H38" s="21">
        <v>100</v>
      </c>
      <c r="I38" s="20">
        <v>4975</v>
      </c>
      <c r="J38" s="20">
        <v>4075</v>
      </c>
      <c r="K38" s="19">
        <v>4250</v>
      </c>
      <c r="L38" s="18" t="s">
        <v>6</v>
      </c>
      <c r="M38" s="28"/>
      <c r="N38" s="80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</row>
    <row r="39" spans="1:85" s="81" customFormat="1" ht="15" customHeight="1" x14ac:dyDescent="0.2">
      <c r="A39" s="356">
        <f t="shared" si="7"/>
        <v>215</v>
      </c>
      <c r="B39" s="22" t="s">
        <v>100</v>
      </c>
      <c r="C39" s="29" t="s">
        <v>99</v>
      </c>
      <c r="D39" s="20">
        <v>14500</v>
      </c>
      <c r="E39" s="20">
        <v>1630</v>
      </c>
      <c r="F39" s="20"/>
      <c r="G39" s="20">
        <v>100</v>
      </c>
      <c r="H39" s="21">
        <v>100</v>
      </c>
      <c r="I39" s="20">
        <v>5075</v>
      </c>
      <c r="J39" s="20">
        <v>4975</v>
      </c>
      <c r="K39" s="19">
        <v>4250</v>
      </c>
      <c r="L39" s="18" t="s">
        <v>6</v>
      </c>
      <c r="M39" s="28"/>
      <c r="N39" s="80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</row>
    <row r="40" spans="1:85" s="81" customFormat="1" ht="15" customHeight="1" x14ac:dyDescent="0.2">
      <c r="A40" s="356">
        <f t="shared" si="7"/>
        <v>216</v>
      </c>
      <c r="B40" s="22" t="s">
        <v>98</v>
      </c>
      <c r="C40" s="29" t="s">
        <v>97</v>
      </c>
      <c r="D40" s="20">
        <v>10500</v>
      </c>
      <c r="E40" s="20">
        <v>1230</v>
      </c>
      <c r="F40" s="20"/>
      <c r="G40" s="20">
        <v>100</v>
      </c>
      <c r="H40" s="21">
        <v>550</v>
      </c>
      <c r="I40" s="20">
        <v>3050</v>
      </c>
      <c r="J40" s="20">
        <v>3050</v>
      </c>
      <c r="K40" s="19">
        <v>3750</v>
      </c>
      <c r="L40" s="18" t="s">
        <v>6</v>
      </c>
      <c r="M40" s="28"/>
      <c r="N40" s="80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</row>
    <row r="41" spans="1:85" s="79" customFormat="1" ht="15.75" customHeight="1" x14ac:dyDescent="0.2">
      <c r="A41" s="397" t="s">
        <v>96</v>
      </c>
      <c r="B41" s="398"/>
      <c r="C41" s="77"/>
      <c r="D41" s="26">
        <f t="shared" ref="D41:K41" si="8">SUM(D32:D40)</f>
        <v>117500</v>
      </c>
      <c r="E41" s="26">
        <f t="shared" si="8"/>
        <v>13370</v>
      </c>
      <c r="F41" s="26">
        <f t="shared" si="8"/>
        <v>0</v>
      </c>
      <c r="G41" s="26">
        <f t="shared" si="8"/>
        <v>800</v>
      </c>
      <c r="H41" s="26">
        <f t="shared" si="8"/>
        <v>7150</v>
      </c>
      <c r="I41" s="26">
        <f t="shared" si="8"/>
        <v>41550</v>
      </c>
      <c r="J41" s="26">
        <f t="shared" si="8"/>
        <v>38500</v>
      </c>
      <c r="K41" s="26">
        <f t="shared" si="8"/>
        <v>29500</v>
      </c>
      <c r="L41" s="25"/>
      <c r="N41" s="80"/>
    </row>
    <row r="42" spans="1:85" s="79" customFormat="1" ht="18" customHeight="1" x14ac:dyDescent="0.2">
      <c r="A42" s="392" t="s">
        <v>95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4"/>
      <c r="N42" s="80"/>
    </row>
    <row r="43" spans="1:85" s="81" customFormat="1" ht="24" customHeight="1" x14ac:dyDescent="0.2">
      <c r="A43" s="356">
        <v>249</v>
      </c>
      <c r="B43" s="22" t="s">
        <v>94</v>
      </c>
      <c r="C43" s="29">
        <v>3210</v>
      </c>
      <c r="D43" s="20">
        <v>27000</v>
      </c>
      <c r="E43" s="20">
        <v>5400</v>
      </c>
      <c r="F43" s="20"/>
      <c r="G43" s="20">
        <v>750</v>
      </c>
      <c r="H43" s="21">
        <v>3000</v>
      </c>
      <c r="I43" s="20">
        <v>17000</v>
      </c>
      <c r="J43" s="20">
        <v>6250</v>
      </c>
      <c r="K43" s="19">
        <v>0</v>
      </c>
      <c r="L43" s="18" t="s">
        <v>6</v>
      </c>
      <c r="M43" s="28"/>
      <c r="N43" s="80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</row>
    <row r="44" spans="1:85" s="79" customFormat="1" ht="15" customHeight="1" x14ac:dyDescent="0.2">
      <c r="A44" s="356">
        <f>A43+2</f>
        <v>251</v>
      </c>
      <c r="B44" s="22" t="s">
        <v>93</v>
      </c>
      <c r="C44" s="22">
        <v>3211</v>
      </c>
      <c r="D44" s="20">
        <v>18000</v>
      </c>
      <c r="E44" s="20">
        <v>3600</v>
      </c>
      <c r="F44" s="20"/>
      <c r="G44" s="20">
        <v>500</v>
      </c>
      <c r="H44" s="21">
        <v>2000</v>
      </c>
      <c r="I44" s="20">
        <v>12000</v>
      </c>
      <c r="J44" s="20">
        <v>3500</v>
      </c>
      <c r="K44" s="19">
        <v>0</v>
      </c>
      <c r="L44" s="18" t="s">
        <v>6</v>
      </c>
      <c r="M44" s="17"/>
      <c r="N44" s="80"/>
    </row>
    <row r="45" spans="1:85" s="81" customFormat="1" ht="24" customHeight="1" x14ac:dyDescent="0.2">
      <c r="A45" s="356">
        <f t="shared" ref="A45:A53" si="9">A44+1</f>
        <v>252</v>
      </c>
      <c r="B45" s="22" t="s">
        <v>92</v>
      </c>
      <c r="C45" s="29">
        <v>3209</v>
      </c>
      <c r="D45" s="20">
        <v>30000</v>
      </c>
      <c r="E45" s="20">
        <v>5700</v>
      </c>
      <c r="F45" s="20"/>
      <c r="G45" s="20">
        <v>750</v>
      </c>
      <c r="H45" s="21">
        <v>3000</v>
      </c>
      <c r="I45" s="20">
        <v>17000</v>
      </c>
      <c r="J45" s="20">
        <v>9250</v>
      </c>
      <c r="K45" s="19">
        <v>0</v>
      </c>
      <c r="L45" s="18" t="s">
        <v>6</v>
      </c>
      <c r="M45" s="28"/>
      <c r="N45" s="80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</row>
    <row r="46" spans="1:85" s="79" customFormat="1" ht="15" customHeight="1" x14ac:dyDescent="0.2">
      <c r="A46" s="356">
        <f>A45+2</f>
        <v>254</v>
      </c>
      <c r="B46" s="22" t="s">
        <v>91</v>
      </c>
      <c r="C46" s="22" t="s">
        <v>90</v>
      </c>
      <c r="D46" s="20">
        <v>10000</v>
      </c>
      <c r="E46" s="20">
        <v>5000</v>
      </c>
      <c r="F46" s="20"/>
      <c r="G46" s="20">
        <v>500</v>
      </c>
      <c r="H46" s="21">
        <v>500</v>
      </c>
      <c r="I46" s="20">
        <v>2000</v>
      </c>
      <c r="J46" s="20">
        <v>7000</v>
      </c>
      <c r="K46" s="19">
        <v>0</v>
      </c>
      <c r="L46" s="18" t="s">
        <v>6</v>
      </c>
      <c r="M46" s="17"/>
      <c r="N46" s="80"/>
    </row>
    <row r="47" spans="1:85" s="81" customFormat="1" ht="24" customHeight="1" x14ac:dyDescent="0.2">
      <c r="A47" s="356">
        <f t="shared" si="9"/>
        <v>255</v>
      </c>
      <c r="B47" s="22" t="s">
        <v>89</v>
      </c>
      <c r="C47" s="29">
        <v>3213</v>
      </c>
      <c r="D47" s="20">
        <v>17200</v>
      </c>
      <c r="E47" s="20">
        <v>1050</v>
      </c>
      <c r="F47" s="20"/>
      <c r="G47" s="20">
        <v>0</v>
      </c>
      <c r="H47" s="21">
        <v>1425</v>
      </c>
      <c r="I47" s="20">
        <v>325</v>
      </c>
      <c r="J47" s="20">
        <v>300</v>
      </c>
      <c r="K47" s="19">
        <v>0</v>
      </c>
      <c r="L47" s="404" t="s">
        <v>88</v>
      </c>
      <c r="M47" s="28"/>
      <c r="N47" s="80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</row>
    <row r="48" spans="1:85" s="81" customFormat="1" ht="24" customHeight="1" x14ac:dyDescent="0.2">
      <c r="A48" s="356">
        <f t="shared" si="9"/>
        <v>256</v>
      </c>
      <c r="B48" s="22" t="s">
        <v>87</v>
      </c>
      <c r="C48" s="29">
        <v>3203</v>
      </c>
      <c r="D48" s="20">
        <v>10200</v>
      </c>
      <c r="E48" s="20">
        <v>700</v>
      </c>
      <c r="F48" s="20"/>
      <c r="G48" s="20">
        <v>0</v>
      </c>
      <c r="H48" s="21">
        <v>175</v>
      </c>
      <c r="I48" s="20">
        <v>738</v>
      </c>
      <c r="J48" s="20">
        <v>287</v>
      </c>
      <c r="K48" s="19">
        <v>0</v>
      </c>
      <c r="L48" s="405"/>
      <c r="M48" s="28"/>
      <c r="N48" s="80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</row>
    <row r="49" spans="1:85" s="79" customFormat="1" ht="15" customHeight="1" x14ac:dyDescent="0.2">
      <c r="A49" s="356">
        <f t="shared" si="9"/>
        <v>257</v>
      </c>
      <c r="B49" s="22" t="s">
        <v>86</v>
      </c>
      <c r="C49" s="22">
        <v>3214</v>
      </c>
      <c r="D49" s="20">
        <v>8400</v>
      </c>
      <c r="E49" s="20">
        <v>610</v>
      </c>
      <c r="F49" s="20"/>
      <c r="G49" s="20">
        <v>0</v>
      </c>
      <c r="H49" s="21">
        <v>680</v>
      </c>
      <c r="I49" s="20">
        <v>220</v>
      </c>
      <c r="J49" s="20">
        <v>210</v>
      </c>
      <c r="K49" s="19">
        <v>0</v>
      </c>
      <c r="L49" s="405"/>
      <c r="M49" s="17"/>
      <c r="N49" s="80"/>
    </row>
    <row r="50" spans="1:85" s="79" customFormat="1" ht="15" customHeight="1" x14ac:dyDescent="0.2">
      <c r="A50" s="356">
        <f t="shared" si="9"/>
        <v>258</v>
      </c>
      <c r="B50" s="22" t="s">
        <v>85</v>
      </c>
      <c r="C50" s="22">
        <v>3259</v>
      </c>
      <c r="D50" s="20">
        <v>8200</v>
      </c>
      <c r="E50" s="20">
        <v>600</v>
      </c>
      <c r="F50" s="20"/>
      <c r="G50" s="20">
        <v>0</v>
      </c>
      <c r="H50" s="21">
        <v>150</v>
      </c>
      <c r="I50" s="20">
        <v>800</v>
      </c>
      <c r="J50" s="20">
        <v>150</v>
      </c>
      <c r="K50" s="19">
        <v>0</v>
      </c>
      <c r="L50" s="405"/>
      <c r="M50" s="17"/>
      <c r="N50" s="80"/>
    </row>
    <row r="51" spans="1:85" s="79" customFormat="1" ht="15" customHeight="1" x14ac:dyDescent="0.2">
      <c r="A51" s="356">
        <f>A50+2</f>
        <v>260</v>
      </c>
      <c r="B51" s="22" t="s">
        <v>84</v>
      </c>
      <c r="C51" s="22">
        <v>3212</v>
      </c>
      <c r="D51" s="20">
        <v>65000</v>
      </c>
      <c r="E51" s="20">
        <v>3440</v>
      </c>
      <c r="F51" s="20"/>
      <c r="G51" s="20">
        <v>0</v>
      </c>
      <c r="H51" s="21">
        <v>800</v>
      </c>
      <c r="I51" s="20">
        <v>920</v>
      </c>
      <c r="J51" s="20">
        <v>1920</v>
      </c>
      <c r="K51" s="19">
        <v>800</v>
      </c>
      <c r="L51" s="405"/>
      <c r="M51" s="17"/>
      <c r="N51" s="80"/>
    </row>
    <row r="52" spans="1:85" s="79" customFormat="1" ht="15" customHeight="1" x14ac:dyDescent="0.2">
      <c r="A52" s="356">
        <f t="shared" si="9"/>
        <v>261</v>
      </c>
      <c r="B52" s="22" t="s">
        <v>83</v>
      </c>
      <c r="C52" s="22">
        <v>3215</v>
      </c>
      <c r="D52" s="20">
        <v>21000</v>
      </c>
      <c r="E52" s="20">
        <v>1240</v>
      </c>
      <c r="F52" s="20"/>
      <c r="G52" s="20">
        <v>0</v>
      </c>
      <c r="H52" s="21">
        <v>350</v>
      </c>
      <c r="I52" s="20">
        <v>350</v>
      </c>
      <c r="J52" s="20">
        <v>800</v>
      </c>
      <c r="K52" s="19">
        <v>240</v>
      </c>
      <c r="L52" s="405"/>
      <c r="M52" s="17"/>
      <c r="N52" s="80"/>
    </row>
    <row r="53" spans="1:85" s="81" customFormat="1" ht="24" customHeight="1" x14ac:dyDescent="0.2">
      <c r="A53" s="356">
        <f t="shared" si="9"/>
        <v>262</v>
      </c>
      <c r="B53" s="22" t="s">
        <v>82</v>
      </c>
      <c r="C53" s="29">
        <v>3202</v>
      </c>
      <c r="D53" s="20">
        <v>7400</v>
      </c>
      <c r="E53" s="20">
        <v>560</v>
      </c>
      <c r="F53" s="20"/>
      <c r="G53" s="20">
        <v>0</v>
      </c>
      <c r="H53" s="21">
        <v>1175</v>
      </c>
      <c r="I53" s="20">
        <v>275</v>
      </c>
      <c r="J53" s="20">
        <v>110</v>
      </c>
      <c r="K53" s="19">
        <v>0</v>
      </c>
      <c r="L53" s="405"/>
      <c r="M53" s="28"/>
      <c r="N53" s="80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</row>
    <row r="54" spans="1:85" s="79" customFormat="1" ht="15" customHeight="1" x14ac:dyDescent="0.2">
      <c r="A54" s="356">
        <f>A53+2</f>
        <v>264</v>
      </c>
      <c r="B54" s="22" t="s">
        <v>81</v>
      </c>
      <c r="C54" s="22">
        <v>3258</v>
      </c>
      <c r="D54" s="20">
        <v>22200</v>
      </c>
      <c r="E54" s="20">
        <v>1300</v>
      </c>
      <c r="F54" s="20"/>
      <c r="G54" s="20">
        <v>0</v>
      </c>
      <c r="H54" s="21">
        <v>280</v>
      </c>
      <c r="I54" s="20">
        <v>450</v>
      </c>
      <c r="J54" s="20">
        <v>970</v>
      </c>
      <c r="K54" s="19">
        <v>100</v>
      </c>
      <c r="L54" s="406"/>
      <c r="M54" s="17"/>
      <c r="N54" s="80"/>
    </row>
    <row r="55" spans="1:85" s="79" customFormat="1" ht="15.75" customHeight="1" x14ac:dyDescent="0.2">
      <c r="A55" s="395" t="s">
        <v>80</v>
      </c>
      <c r="B55" s="396"/>
      <c r="C55" s="82"/>
      <c r="D55" s="26">
        <f t="shared" ref="D55:K55" si="10">SUM(D43:D54)</f>
        <v>244600</v>
      </c>
      <c r="E55" s="26">
        <f t="shared" si="10"/>
        <v>29200</v>
      </c>
      <c r="F55" s="26">
        <f t="shared" si="10"/>
        <v>0</v>
      </c>
      <c r="G55" s="26">
        <f t="shared" si="10"/>
        <v>2500</v>
      </c>
      <c r="H55" s="26">
        <f t="shared" si="10"/>
        <v>13535</v>
      </c>
      <c r="I55" s="26">
        <f t="shared" si="10"/>
        <v>52078</v>
      </c>
      <c r="J55" s="26">
        <f t="shared" si="10"/>
        <v>30747</v>
      </c>
      <c r="K55" s="26">
        <f t="shared" si="10"/>
        <v>1140</v>
      </c>
      <c r="L55" s="25"/>
      <c r="N55" s="80"/>
    </row>
    <row r="56" spans="1:85" s="79" customFormat="1" ht="18" customHeight="1" x14ac:dyDescent="0.2">
      <c r="A56" s="392" t="s">
        <v>79</v>
      </c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4"/>
      <c r="N56" s="80"/>
    </row>
    <row r="57" spans="1:85" s="81" customFormat="1" ht="24" customHeight="1" x14ac:dyDescent="0.2">
      <c r="A57" s="355">
        <v>379</v>
      </c>
      <c r="B57" s="29" t="s">
        <v>78</v>
      </c>
      <c r="C57" s="29">
        <v>3220</v>
      </c>
      <c r="D57" s="20">
        <v>30000.39</v>
      </c>
      <c r="E57" s="20">
        <v>3900.34</v>
      </c>
      <c r="F57" s="20"/>
      <c r="G57" s="20">
        <v>1403.3899999999999</v>
      </c>
      <c r="H57" s="21">
        <v>2097</v>
      </c>
      <c r="I57" s="20">
        <v>18500</v>
      </c>
      <c r="J57" s="20">
        <v>8000</v>
      </c>
      <c r="K57" s="19">
        <v>0</v>
      </c>
      <c r="L57" s="18" t="s">
        <v>6</v>
      </c>
      <c r="M57" s="28"/>
      <c r="N57" s="80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</row>
    <row r="58" spans="1:85" s="81" customFormat="1" ht="24" customHeight="1" x14ac:dyDescent="0.2">
      <c r="A58" s="356">
        <f t="shared" ref="A58:A80" si="11">A57+1</f>
        <v>380</v>
      </c>
      <c r="B58" s="29" t="s">
        <v>77</v>
      </c>
      <c r="C58" s="29">
        <v>3219</v>
      </c>
      <c r="D58" s="20">
        <v>50000</v>
      </c>
      <c r="E58" s="20">
        <v>6350</v>
      </c>
      <c r="F58" s="20"/>
      <c r="G58" s="20">
        <v>2226</v>
      </c>
      <c r="H58" s="21">
        <v>4500</v>
      </c>
      <c r="I58" s="20">
        <v>30000</v>
      </c>
      <c r="J58" s="20">
        <v>13274</v>
      </c>
      <c r="K58" s="19">
        <v>0</v>
      </c>
      <c r="L58" s="18" t="s">
        <v>6</v>
      </c>
      <c r="M58" s="28"/>
      <c r="N58" s="80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</row>
    <row r="59" spans="1:85" s="81" customFormat="1" ht="34.5" customHeight="1" x14ac:dyDescent="0.2">
      <c r="A59" s="356">
        <f t="shared" si="11"/>
        <v>381</v>
      </c>
      <c r="B59" s="29" t="s">
        <v>76</v>
      </c>
      <c r="C59" s="29">
        <v>3226</v>
      </c>
      <c r="D59" s="20">
        <v>390000</v>
      </c>
      <c r="E59" s="20">
        <v>195000</v>
      </c>
      <c r="F59" s="20"/>
      <c r="G59" s="20">
        <v>18228</v>
      </c>
      <c r="H59" s="21">
        <v>20000</v>
      </c>
      <c r="I59" s="20">
        <v>251772</v>
      </c>
      <c r="J59" s="20">
        <v>100000</v>
      </c>
      <c r="K59" s="19">
        <v>0</v>
      </c>
      <c r="L59" s="18" t="s">
        <v>6</v>
      </c>
      <c r="M59" s="28"/>
      <c r="N59" s="8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</row>
    <row r="60" spans="1:85" s="79" customFormat="1" ht="15" customHeight="1" x14ac:dyDescent="0.2">
      <c r="A60" s="356">
        <f t="shared" si="11"/>
        <v>382</v>
      </c>
      <c r="B60" s="24" t="s">
        <v>75</v>
      </c>
      <c r="C60" s="24">
        <v>3218</v>
      </c>
      <c r="D60" s="20">
        <v>77000.100000000006</v>
      </c>
      <c r="E60" s="20">
        <v>9499.61</v>
      </c>
      <c r="F60" s="20"/>
      <c r="G60" s="20">
        <v>4196.0999999999995</v>
      </c>
      <c r="H60" s="21">
        <v>3000</v>
      </c>
      <c r="I60" s="20">
        <v>49304</v>
      </c>
      <c r="J60" s="20">
        <v>20500</v>
      </c>
      <c r="K60" s="19">
        <v>0</v>
      </c>
      <c r="L60" s="18" t="s">
        <v>6</v>
      </c>
      <c r="M60" s="23"/>
      <c r="N60" s="80"/>
    </row>
    <row r="61" spans="1:85" s="81" customFormat="1" ht="34.5" customHeight="1" x14ac:dyDescent="0.2">
      <c r="A61" s="356">
        <f t="shared" si="11"/>
        <v>383</v>
      </c>
      <c r="B61" s="29" t="s">
        <v>74</v>
      </c>
      <c r="C61" s="29">
        <v>3217</v>
      </c>
      <c r="D61" s="20">
        <v>135000.15</v>
      </c>
      <c r="E61" s="20">
        <v>17999.82</v>
      </c>
      <c r="F61" s="20"/>
      <c r="G61" s="20">
        <v>7458.15</v>
      </c>
      <c r="H61" s="21">
        <v>6000</v>
      </c>
      <c r="I61" s="20">
        <v>59042</v>
      </c>
      <c r="J61" s="20">
        <v>62500</v>
      </c>
      <c r="K61" s="19">
        <v>0</v>
      </c>
      <c r="L61" s="18" t="s">
        <v>6</v>
      </c>
      <c r="M61" s="28"/>
      <c r="N61" s="80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</row>
    <row r="62" spans="1:85" s="79" customFormat="1" ht="24" customHeight="1" x14ac:dyDescent="0.2">
      <c r="A62" s="356">
        <f t="shared" si="11"/>
        <v>384</v>
      </c>
      <c r="B62" s="24" t="s">
        <v>73</v>
      </c>
      <c r="C62" s="24" t="s">
        <v>72</v>
      </c>
      <c r="D62" s="20">
        <v>20000</v>
      </c>
      <c r="E62" s="20">
        <v>2000</v>
      </c>
      <c r="F62" s="20"/>
      <c r="G62" s="20">
        <v>500</v>
      </c>
      <c r="H62" s="21">
        <v>1500</v>
      </c>
      <c r="I62" s="20">
        <v>10000</v>
      </c>
      <c r="J62" s="20">
        <v>8000</v>
      </c>
      <c r="K62" s="19">
        <v>0</v>
      </c>
      <c r="L62" s="18" t="s">
        <v>6</v>
      </c>
      <c r="M62" s="23"/>
      <c r="N62" s="80"/>
    </row>
    <row r="63" spans="1:85" s="79" customFormat="1" ht="45" customHeight="1" x14ac:dyDescent="0.2">
      <c r="A63" s="356">
        <f t="shared" si="11"/>
        <v>385</v>
      </c>
      <c r="B63" s="22" t="s">
        <v>71</v>
      </c>
      <c r="C63" s="22">
        <v>3229</v>
      </c>
      <c r="D63" s="20">
        <v>3500</v>
      </c>
      <c r="E63" s="20">
        <v>150</v>
      </c>
      <c r="F63" s="20"/>
      <c r="G63" s="20">
        <v>0</v>
      </c>
      <c r="H63" s="21">
        <v>35</v>
      </c>
      <c r="I63" s="20">
        <v>80</v>
      </c>
      <c r="J63" s="20">
        <v>705</v>
      </c>
      <c r="K63" s="19">
        <v>0</v>
      </c>
      <c r="L63" s="18" t="s">
        <v>3</v>
      </c>
      <c r="M63" s="17"/>
      <c r="N63" s="80"/>
    </row>
    <row r="64" spans="1:85" s="79" customFormat="1" ht="15" customHeight="1" x14ac:dyDescent="0.2">
      <c r="A64" s="356">
        <f>A63+2</f>
        <v>387</v>
      </c>
      <c r="B64" s="24" t="s">
        <v>70</v>
      </c>
      <c r="C64" s="24">
        <v>3224</v>
      </c>
      <c r="D64" s="20">
        <v>20000</v>
      </c>
      <c r="E64" s="20">
        <v>2000</v>
      </c>
      <c r="F64" s="20"/>
      <c r="G64" s="20">
        <v>0</v>
      </c>
      <c r="H64" s="21">
        <v>500</v>
      </c>
      <c r="I64" s="20">
        <v>19500</v>
      </c>
      <c r="J64" s="20">
        <v>0</v>
      </c>
      <c r="K64" s="19">
        <v>0</v>
      </c>
      <c r="L64" s="18" t="s">
        <v>6</v>
      </c>
      <c r="M64" s="23"/>
      <c r="N64" s="80"/>
    </row>
    <row r="65" spans="1:85" s="81" customFormat="1" ht="24" customHeight="1" x14ac:dyDescent="0.2">
      <c r="A65" s="356">
        <f>A64+2</f>
        <v>389</v>
      </c>
      <c r="B65" s="29" t="s">
        <v>293</v>
      </c>
      <c r="C65" s="29" t="s">
        <v>68</v>
      </c>
      <c r="D65" s="20">
        <v>20000</v>
      </c>
      <c r="E65" s="20">
        <v>2000</v>
      </c>
      <c r="F65" s="20"/>
      <c r="G65" s="20">
        <v>0</v>
      </c>
      <c r="H65" s="21">
        <v>2000</v>
      </c>
      <c r="I65" s="20">
        <v>5000</v>
      </c>
      <c r="J65" s="20">
        <v>5000</v>
      </c>
      <c r="K65" s="19">
        <v>8000</v>
      </c>
      <c r="L65" s="18" t="s">
        <v>6</v>
      </c>
      <c r="M65" s="28"/>
      <c r="N65" s="80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</row>
    <row r="66" spans="1:85" s="79" customFormat="1" ht="45" customHeight="1" x14ac:dyDescent="0.2">
      <c r="A66" s="356">
        <f t="shared" si="11"/>
        <v>390</v>
      </c>
      <c r="B66" s="22" t="s">
        <v>67</v>
      </c>
      <c r="C66" s="22">
        <v>3230</v>
      </c>
      <c r="D66" s="20">
        <v>26500</v>
      </c>
      <c r="E66" s="20">
        <v>1800</v>
      </c>
      <c r="F66" s="20"/>
      <c r="G66" s="20">
        <v>300</v>
      </c>
      <c r="H66" s="21">
        <v>330</v>
      </c>
      <c r="I66" s="20">
        <v>360</v>
      </c>
      <c r="J66" s="20">
        <v>360</v>
      </c>
      <c r="K66" s="19">
        <v>360</v>
      </c>
      <c r="L66" s="18" t="s">
        <v>3</v>
      </c>
      <c r="M66" s="17"/>
      <c r="N66" s="80"/>
    </row>
    <row r="67" spans="1:85" s="79" customFormat="1" ht="15" customHeight="1" x14ac:dyDescent="0.2">
      <c r="A67" s="356">
        <f t="shared" si="11"/>
        <v>391</v>
      </c>
      <c r="B67" s="24" t="s">
        <v>66</v>
      </c>
      <c r="C67" s="24">
        <v>3223</v>
      </c>
      <c r="D67" s="20">
        <v>10000</v>
      </c>
      <c r="E67" s="20">
        <v>1450</v>
      </c>
      <c r="F67" s="20"/>
      <c r="G67" s="20">
        <v>0</v>
      </c>
      <c r="H67" s="21">
        <v>3000</v>
      </c>
      <c r="I67" s="20">
        <v>7000</v>
      </c>
      <c r="J67" s="20">
        <v>0</v>
      </c>
      <c r="K67" s="19">
        <v>0</v>
      </c>
      <c r="L67" s="18" t="s">
        <v>6</v>
      </c>
      <c r="M67" s="23"/>
      <c r="N67" s="80"/>
    </row>
    <row r="68" spans="1:85" s="79" customFormat="1" ht="15" customHeight="1" x14ac:dyDescent="0.2">
      <c r="A68" s="356">
        <f t="shared" si="11"/>
        <v>392</v>
      </c>
      <c r="B68" s="24" t="s">
        <v>65</v>
      </c>
      <c r="C68" s="24" t="s">
        <v>64</v>
      </c>
      <c r="D68" s="20">
        <v>25000</v>
      </c>
      <c r="E68" s="20">
        <v>2500</v>
      </c>
      <c r="F68" s="20"/>
      <c r="G68" s="20">
        <v>500</v>
      </c>
      <c r="H68" s="21">
        <v>1500</v>
      </c>
      <c r="I68" s="20">
        <v>10000</v>
      </c>
      <c r="J68" s="20">
        <v>13000</v>
      </c>
      <c r="K68" s="19">
        <v>0</v>
      </c>
      <c r="L68" s="18" t="s">
        <v>6</v>
      </c>
      <c r="M68" s="23"/>
      <c r="N68" s="80"/>
    </row>
    <row r="69" spans="1:85" s="79" customFormat="1" ht="24" customHeight="1" x14ac:dyDescent="0.2">
      <c r="A69" s="356">
        <f t="shared" si="11"/>
        <v>393</v>
      </c>
      <c r="B69" s="24" t="s">
        <v>224</v>
      </c>
      <c r="C69" s="24" t="s">
        <v>63</v>
      </c>
      <c r="D69" s="20">
        <v>100000</v>
      </c>
      <c r="E69" s="20">
        <v>10000</v>
      </c>
      <c r="F69" s="20"/>
      <c r="G69" s="20">
        <v>500</v>
      </c>
      <c r="H69" s="21">
        <v>1500</v>
      </c>
      <c r="I69" s="20">
        <v>30000</v>
      </c>
      <c r="J69" s="20">
        <v>68000</v>
      </c>
      <c r="K69" s="19">
        <v>0</v>
      </c>
      <c r="L69" s="18" t="s">
        <v>6</v>
      </c>
      <c r="M69" s="23"/>
      <c r="N69" s="80"/>
    </row>
    <row r="70" spans="1:85" s="79" customFormat="1" ht="15" customHeight="1" x14ac:dyDescent="0.2">
      <c r="A70" s="356">
        <f t="shared" si="11"/>
        <v>394</v>
      </c>
      <c r="B70" s="24" t="s">
        <v>62</v>
      </c>
      <c r="C70" s="24">
        <v>3225</v>
      </c>
      <c r="D70" s="20">
        <v>15000</v>
      </c>
      <c r="E70" s="20">
        <v>1500</v>
      </c>
      <c r="F70" s="20"/>
      <c r="G70" s="20">
        <v>0</v>
      </c>
      <c r="H70" s="21">
        <v>500</v>
      </c>
      <c r="I70" s="20">
        <v>14500</v>
      </c>
      <c r="J70" s="20">
        <v>0</v>
      </c>
      <c r="K70" s="19">
        <v>0</v>
      </c>
      <c r="L70" s="18" t="s">
        <v>6</v>
      </c>
      <c r="M70" s="23"/>
      <c r="N70" s="80"/>
    </row>
    <row r="71" spans="1:85" s="79" customFormat="1" ht="15" customHeight="1" x14ac:dyDescent="0.2">
      <c r="A71" s="356">
        <f t="shared" si="11"/>
        <v>395</v>
      </c>
      <c r="B71" s="24" t="s">
        <v>61</v>
      </c>
      <c r="C71" s="24">
        <v>3222</v>
      </c>
      <c r="D71" s="20">
        <v>20000</v>
      </c>
      <c r="E71" s="20">
        <v>3350</v>
      </c>
      <c r="F71" s="20"/>
      <c r="G71" s="20">
        <v>0</v>
      </c>
      <c r="H71" s="21">
        <v>5000</v>
      </c>
      <c r="I71" s="20">
        <v>12000</v>
      </c>
      <c r="J71" s="20">
        <v>3000</v>
      </c>
      <c r="K71" s="19">
        <v>0</v>
      </c>
      <c r="L71" s="18" t="s">
        <v>6</v>
      </c>
      <c r="M71" s="23"/>
      <c r="N71" s="80"/>
    </row>
    <row r="72" spans="1:85" s="79" customFormat="1" ht="45" customHeight="1" x14ac:dyDescent="0.2">
      <c r="A72" s="356">
        <f t="shared" si="11"/>
        <v>396</v>
      </c>
      <c r="B72" s="22" t="s">
        <v>60</v>
      </c>
      <c r="C72" s="22">
        <v>3231</v>
      </c>
      <c r="D72" s="20">
        <v>14000</v>
      </c>
      <c r="E72" s="20">
        <v>890</v>
      </c>
      <c r="F72" s="20"/>
      <c r="G72" s="20">
        <v>0</v>
      </c>
      <c r="H72" s="21">
        <v>148</v>
      </c>
      <c r="I72" s="20">
        <v>297</v>
      </c>
      <c r="J72" s="20">
        <v>797</v>
      </c>
      <c r="K72" s="19">
        <v>148</v>
      </c>
      <c r="L72" s="18" t="s">
        <v>3</v>
      </c>
      <c r="M72" s="17"/>
      <c r="N72" s="80"/>
    </row>
    <row r="73" spans="1:85" s="79" customFormat="1" ht="45" customHeight="1" x14ac:dyDescent="0.2">
      <c r="A73" s="356">
        <f t="shared" si="11"/>
        <v>397</v>
      </c>
      <c r="B73" s="22" t="s">
        <v>59</v>
      </c>
      <c r="C73" s="22" t="s">
        <v>58</v>
      </c>
      <c r="D73" s="20">
        <v>1450</v>
      </c>
      <c r="E73" s="20">
        <v>50</v>
      </c>
      <c r="F73" s="20"/>
      <c r="G73" s="20">
        <v>0</v>
      </c>
      <c r="H73" s="21">
        <v>25</v>
      </c>
      <c r="I73" s="20">
        <v>25</v>
      </c>
      <c r="J73" s="20">
        <v>280</v>
      </c>
      <c r="K73" s="19">
        <v>0</v>
      </c>
      <c r="L73" s="18" t="s">
        <v>3</v>
      </c>
      <c r="M73" s="17"/>
      <c r="N73" s="80"/>
    </row>
    <row r="74" spans="1:85" s="79" customFormat="1" ht="45" customHeight="1" x14ac:dyDescent="0.2">
      <c r="A74" s="356">
        <f>A73+2</f>
        <v>399</v>
      </c>
      <c r="B74" s="22" t="s">
        <v>57</v>
      </c>
      <c r="C74" s="22" t="s">
        <v>56</v>
      </c>
      <c r="D74" s="20">
        <v>37500</v>
      </c>
      <c r="E74" s="20">
        <v>2350</v>
      </c>
      <c r="F74" s="20"/>
      <c r="G74" s="20">
        <v>0</v>
      </c>
      <c r="H74" s="21">
        <v>300</v>
      </c>
      <c r="I74" s="20">
        <v>550</v>
      </c>
      <c r="J74" s="20">
        <v>850</v>
      </c>
      <c r="K74" s="19">
        <v>650</v>
      </c>
      <c r="L74" s="18" t="s">
        <v>3</v>
      </c>
      <c r="M74" s="17"/>
      <c r="N74" s="80"/>
    </row>
    <row r="75" spans="1:85" s="79" customFormat="1" ht="15" customHeight="1" x14ac:dyDescent="0.2">
      <c r="A75" s="356">
        <f t="shared" si="11"/>
        <v>400</v>
      </c>
      <c r="B75" s="24" t="s">
        <v>55</v>
      </c>
      <c r="C75" s="24" t="s">
        <v>54</v>
      </c>
      <c r="D75" s="20">
        <v>30000</v>
      </c>
      <c r="E75" s="20">
        <v>3000</v>
      </c>
      <c r="F75" s="20"/>
      <c r="G75" s="20">
        <v>0</v>
      </c>
      <c r="H75" s="21">
        <v>2000</v>
      </c>
      <c r="I75" s="20">
        <v>10000</v>
      </c>
      <c r="J75" s="20">
        <v>10000</v>
      </c>
      <c r="K75" s="19">
        <v>8000</v>
      </c>
      <c r="L75" s="18" t="s">
        <v>6</v>
      </c>
      <c r="M75" s="23"/>
      <c r="N75" s="80"/>
    </row>
    <row r="76" spans="1:85" s="79" customFormat="1" ht="15" customHeight="1" x14ac:dyDescent="0.2">
      <c r="A76" s="356">
        <f t="shared" si="11"/>
        <v>401</v>
      </c>
      <c r="B76" s="24" t="s">
        <v>53</v>
      </c>
      <c r="C76" s="24">
        <v>3221</v>
      </c>
      <c r="D76" s="20">
        <v>25000</v>
      </c>
      <c r="E76" s="20">
        <v>3400</v>
      </c>
      <c r="F76" s="20"/>
      <c r="G76" s="20">
        <v>0</v>
      </c>
      <c r="H76" s="21">
        <v>20000</v>
      </c>
      <c r="I76" s="20">
        <v>5000</v>
      </c>
      <c r="J76" s="20">
        <v>0</v>
      </c>
      <c r="K76" s="19">
        <v>0</v>
      </c>
      <c r="L76" s="18" t="s">
        <v>6</v>
      </c>
      <c r="M76" s="23"/>
      <c r="N76" s="80"/>
    </row>
    <row r="77" spans="1:85" s="81" customFormat="1" ht="24" customHeight="1" x14ac:dyDescent="0.2">
      <c r="A77" s="356">
        <f t="shared" si="11"/>
        <v>402</v>
      </c>
      <c r="B77" s="29" t="s">
        <v>52</v>
      </c>
      <c r="C77" s="29">
        <v>3232</v>
      </c>
      <c r="D77" s="20">
        <v>5000</v>
      </c>
      <c r="E77" s="20">
        <v>590</v>
      </c>
      <c r="F77" s="20"/>
      <c r="G77" s="20">
        <v>0</v>
      </c>
      <c r="H77" s="21">
        <v>525</v>
      </c>
      <c r="I77" s="20">
        <v>1825</v>
      </c>
      <c r="J77" s="20">
        <v>1825</v>
      </c>
      <c r="K77" s="19">
        <v>825</v>
      </c>
      <c r="L77" s="18" t="s">
        <v>6</v>
      </c>
      <c r="M77" s="28"/>
      <c r="N77" s="80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</row>
    <row r="78" spans="1:85" s="79" customFormat="1" ht="45" customHeight="1" x14ac:dyDescent="0.2">
      <c r="A78" s="356">
        <f>A77+2</f>
        <v>404</v>
      </c>
      <c r="B78" s="22" t="s">
        <v>51</v>
      </c>
      <c r="C78" s="22">
        <v>3228</v>
      </c>
      <c r="D78" s="20">
        <v>2550</v>
      </c>
      <c r="E78" s="20">
        <v>140</v>
      </c>
      <c r="F78" s="20"/>
      <c r="G78" s="20">
        <v>0</v>
      </c>
      <c r="H78" s="21">
        <v>33</v>
      </c>
      <c r="I78" s="20">
        <v>75</v>
      </c>
      <c r="J78" s="20">
        <v>514</v>
      </c>
      <c r="K78" s="19">
        <v>0</v>
      </c>
      <c r="L78" s="18" t="s">
        <v>3</v>
      </c>
      <c r="M78" s="17"/>
      <c r="N78" s="80"/>
    </row>
    <row r="79" spans="1:85" s="79" customFormat="1" ht="15" customHeight="1" x14ac:dyDescent="0.2">
      <c r="A79" s="356">
        <f t="shared" si="11"/>
        <v>405</v>
      </c>
      <c r="B79" s="24" t="s">
        <v>50</v>
      </c>
      <c r="C79" s="24" t="s">
        <v>49</v>
      </c>
      <c r="D79" s="20">
        <v>20000</v>
      </c>
      <c r="E79" s="20">
        <v>2000</v>
      </c>
      <c r="F79" s="20"/>
      <c r="G79" s="20">
        <v>500</v>
      </c>
      <c r="H79" s="21">
        <v>1500</v>
      </c>
      <c r="I79" s="20">
        <v>10000</v>
      </c>
      <c r="J79" s="20">
        <v>8000</v>
      </c>
      <c r="K79" s="19">
        <v>0</v>
      </c>
      <c r="L79" s="18" t="s">
        <v>6</v>
      </c>
      <c r="M79" s="23"/>
      <c r="N79" s="80"/>
    </row>
    <row r="80" spans="1:85" s="79" customFormat="1" ht="45" customHeight="1" x14ac:dyDescent="0.2">
      <c r="A80" s="356">
        <f t="shared" si="11"/>
        <v>406</v>
      </c>
      <c r="B80" s="22" t="s">
        <v>48</v>
      </c>
      <c r="C80" s="22">
        <v>3227</v>
      </c>
      <c r="D80" s="20">
        <v>3550</v>
      </c>
      <c r="E80" s="20">
        <v>150</v>
      </c>
      <c r="F80" s="20"/>
      <c r="G80" s="20">
        <v>0</v>
      </c>
      <c r="H80" s="21">
        <v>35</v>
      </c>
      <c r="I80" s="20">
        <v>80</v>
      </c>
      <c r="J80" s="20">
        <v>715</v>
      </c>
      <c r="K80" s="19">
        <v>0</v>
      </c>
      <c r="L80" s="18" t="s">
        <v>3</v>
      </c>
      <c r="M80" s="17"/>
      <c r="N80" s="80"/>
    </row>
    <row r="81" spans="1:85" s="79" customFormat="1" ht="15.75" customHeight="1" x14ac:dyDescent="0.2">
      <c r="A81" s="395" t="s">
        <v>47</v>
      </c>
      <c r="B81" s="396"/>
      <c r="C81" s="82"/>
      <c r="D81" s="26">
        <f t="shared" ref="D81:K81" si="12">SUM(D57:D80)</f>
        <v>1081050.6400000001</v>
      </c>
      <c r="E81" s="26">
        <f t="shared" si="12"/>
        <v>272069.77</v>
      </c>
      <c r="F81" s="26">
        <f t="shared" si="12"/>
        <v>0</v>
      </c>
      <c r="G81" s="26">
        <f t="shared" si="12"/>
        <v>35811.64</v>
      </c>
      <c r="H81" s="26">
        <f t="shared" si="12"/>
        <v>76028</v>
      </c>
      <c r="I81" s="26">
        <f t="shared" si="12"/>
        <v>544910</v>
      </c>
      <c r="J81" s="26">
        <f t="shared" si="12"/>
        <v>325320</v>
      </c>
      <c r="K81" s="26">
        <f t="shared" si="12"/>
        <v>17983</v>
      </c>
      <c r="L81" s="25"/>
      <c r="N81" s="80"/>
    </row>
    <row r="82" spans="1:85" s="79" customFormat="1" ht="18" customHeight="1" x14ac:dyDescent="0.2">
      <c r="A82" s="392" t="s">
        <v>46</v>
      </c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L82" s="394"/>
      <c r="N82" s="80"/>
    </row>
    <row r="83" spans="1:85" s="81" customFormat="1" ht="31.5" x14ac:dyDescent="0.2">
      <c r="A83" s="355">
        <v>455</v>
      </c>
      <c r="B83" s="29" t="s">
        <v>45</v>
      </c>
      <c r="C83" s="29" t="s">
        <v>44</v>
      </c>
      <c r="D83" s="20">
        <v>53500</v>
      </c>
      <c r="E83" s="20">
        <v>27000</v>
      </c>
      <c r="F83" s="20"/>
      <c r="G83" s="20">
        <v>0</v>
      </c>
      <c r="H83" s="21">
        <v>3500</v>
      </c>
      <c r="I83" s="20">
        <v>25000</v>
      </c>
      <c r="J83" s="20">
        <v>25000</v>
      </c>
      <c r="K83" s="19">
        <v>0</v>
      </c>
      <c r="L83" s="18" t="s">
        <v>6</v>
      </c>
      <c r="M83" s="28"/>
      <c r="N83" s="80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</row>
    <row r="84" spans="1:85" s="81" customFormat="1" ht="24" customHeight="1" x14ac:dyDescent="0.2">
      <c r="A84" s="355">
        <f>A83+1</f>
        <v>456</v>
      </c>
      <c r="B84" s="29" t="s">
        <v>43</v>
      </c>
      <c r="C84" s="29">
        <v>3234</v>
      </c>
      <c r="D84" s="20">
        <v>80000</v>
      </c>
      <c r="E84" s="20">
        <v>8900</v>
      </c>
      <c r="F84" s="20"/>
      <c r="G84" s="20">
        <v>0</v>
      </c>
      <c r="H84" s="21">
        <v>2000</v>
      </c>
      <c r="I84" s="20">
        <v>35000</v>
      </c>
      <c r="J84" s="20">
        <v>43000</v>
      </c>
      <c r="K84" s="19">
        <v>0</v>
      </c>
      <c r="L84" s="18" t="s">
        <v>6</v>
      </c>
      <c r="M84" s="28"/>
      <c r="N84" s="80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</row>
    <row r="85" spans="1:85" s="81" customFormat="1" ht="24" customHeight="1" x14ac:dyDescent="0.2">
      <c r="A85" s="355">
        <f t="shared" ref="A85:A98" si="13">A84+1</f>
        <v>457</v>
      </c>
      <c r="B85" s="29" t="s">
        <v>42</v>
      </c>
      <c r="C85" s="29" t="s">
        <v>41</v>
      </c>
      <c r="D85" s="20">
        <v>62000</v>
      </c>
      <c r="E85" s="20">
        <v>31000</v>
      </c>
      <c r="F85" s="20"/>
      <c r="G85" s="20">
        <v>0</v>
      </c>
      <c r="H85" s="21">
        <v>6000</v>
      </c>
      <c r="I85" s="20">
        <v>36000</v>
      </c>
      <c r="J85" s="20">
        <v>20000</v>
      </c>
      <c r="K85" s="19">
        <v>0</v>
      </c>
      <c r="L85" s="18" t="s">
        <v>6</v>
      </c>
      <c r="M85" s="28"/>
      <c r="N85" s="80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</row>
    <row r="86" spans="1:85" s="79" customFormat="1" ht="15" customHeight="1" x14ac:dyDescent="0.2">
      <c r="A86" s="355">
        <f t="shared" si="13"/>
        <v>458</v>
      </c>
      <c r="B86" s="24" t="s">
        <v>40</v>
      </c>
      <c r="C86" s="24" t="s">
        <v>39</v>
      </c>
      <c r="D86" s="20">
        <v>30000</v>
      </c>
      <c r="E86" s="20">
        <v>3450</v>
      </c>
      <c r="F86" s="20"/>
      <c r="G86" s="20">
        <v>1500</v>
      </c>
      <c r="H86" s="21">
        <v>1000</v>
      </c>
      <c r="I86" s="20">
        <v>13500</v>
      </c>
      <c r="J86" s="20">
        <v>14000</v>
      </c>
      <c r="K86" s="19">
        <v>0</v>
      </c>
      <c r="L86" s="18" t="s">
        <v>6</v>
      </c>
      <c r="M86" s="23"/>
      <c r="N86" s="80"/>
    </row>
    <row r="87" spans="1:85" s="81" customFormat="1" ht="24" customHeight="1" x14ac:dyDescent="0.2">
      <c r="A87" s="355">
        <f t="shared" si="13"/>
        <v>459</v>
      </c>
      <c r="B87" s="29" t="s">
        <v>38</v>
      </c>
      <c r="C87" s="29">
        <v>3248</v>
      </c>
      <c r="D87" s="20">
        <v>30000.3</v>
      </c>
      <c r="E87" s="20">
        <v>15000.65</v>
      </c>
      <c r="F87" s="20"/>
      <c r="G87" s="20">
        <v>1931.3</v>
      </c>
      <c r="H87" s="21">
        <v>200</v>
      </c>
      <c r="I87" s="20">
        <v>27869</v>
      </c>
      <c r="J87" s="20">
        <v>0</v>
      </c>
      <c r="K87" s="19">
        <v>0</v>
      </c>
      <c r="L87" s="18" t="s">
        <v>6</v>
      </c>
      <c r="M87" s="28"/>
      <c r="N87" s="80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</row>
    <row r="88" spans="1:85" s="81" customFormat="1" ht="24" customHeight="1" x14ac:dyDescent="0.2">
      <c r="A88" s="355">
        <f t="shared" si="13"/>
        <v>460</v>
      </c>
      <c r="B88" s="29" t="s">
        <v>37</v>
      </c>
      <c r="C88" s="29">
        <v>3249</v>
      </c>
      <c r="D88" s="20">
        <v>131000</v>
      </c>
      <c r="E88" s="20">
        <v>65500.31</v>
      </c>
      <c r="F88" s="20"/>
      <c r="G88" s="20">
        <v>5600</v>
      </c>
      <c r="H88" s="21">
        <v>600</v>
      </c>
      <c r="I88" s="20">
        <v>84800</v>
      </c>
      <c r="J88" s="20">
        <v>40000</v>
      </c>
      <c r="K88" s="19">
        <v>0</v>
      </c>
      <c r="L88" s="18" t="s">
        <v>6</v>
      </c>
      <c r="M88" s="28"/>
      <c r="N88" s="80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</row>
    <row r="89" spans="1:85" s="79" customFormat="1" ht="15" customHeight="1" x14ac:dyDescent="0.2">
      <c r="A89" s="355">
        <f t="shared" si="13"/>
        <v>461</v>
      </c>
      <c r="B89" s="24" t="s">
        <v>36</v>
      </c>
      <c r="C89" s="24">
        <v>3237</v>
      </c>
      <c r="D89" s="20">
        <v>6000</v>
      </c>
      <c r="E89" s="20">
        <v>600</v>
      </c>
      <c r="F89" s="20"/>
      <c r="G89" s="20">
        <v>0</v>
      </c>
      <c r="H89" s="21">
        <v>1000</v>
      </c>
      <c r="I89" s="20">
        <v>5000</v>
      </c>
      <c r="J89" s="20">
        <v>0</v>
      </c>
      <c r="K89" s="19">
        <v>0</v>
      </c>
      <c r="L89" s="18" t="s">
        <v>6</v>
      </c>
      <c r="M89" s="23"/>
      <c r="N89" s="80"/>
    </row>
    <row r="90" spans="1:85" s="81" customFormat="1" ht="34.5" customHeight="1" x14ac:dyDescent="0.2">
      <c r="A90" s="355">
        <f t="shared" si="13"/>
        <v>462</v>
      </c>
      <c r="B90" s="29" t="s">
        <v>35</v>
      </c>
      <c r="C90" s="29">
        <v>3241</v>
      </c>
      <c r="D90" s="20">
        <v>60000</v>
      </c>
      <c r="E90" s="20">
        <v>6450</v>
      </c>
      <c r="F90" s="20"/>
      <c r="G90" s="20">
        <v>0</v>
      </c>
      <c r="H90" s="21">
        <v>500</v>
      </c>
      <c r="I90" s="20">
        <v>59500</v>
      </c>
      <c r="J90" s="20">
        <v>0</v>
      </c>
      <c r="K90" s="19">
        <v>0</v>
      </c>
      <c r="L90" s="18" t="s">
        <v>6</v>
      </c>
      <c r="M90" s="28"/>
      <c r="N90" s="80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</row>
    <row r="91" spans="1:85" s="81" customFormat="1" ht="24" customHeight="1" x14ac:dyDescent="0.2">
      <c r="A91" s="355">
        <f>A90+2</f>
        <v>464</v>
      </c>
      <c r="B91" s="29" t="s">
        <v>34</v>
      </c>
      <c r="C91" s="29">
        <v>3246</v>
      </c>
      <c r="D91" s="20">
        <v>76500</v>
      </c>
      <c r="E91" s="20">
        <v>9150</v>
      </c>
      <c r="F91" s="20"/>
      <c r="G91" s="20">
        <v>0</v>
      </c>
      <c r="H91" s="21">
        <v>3000</v>
      </c>
      <c r="I91" s="20">
        <v>36750</v>
      </c>
      <c r="J91" s="20">
        <v>36750</v>
      </c>
      <c r="K91" s="19">
        <v>0</v>
      </c>
      <c r="L91" s="18" t="s">
        <v>6</v>
      </c>
      <c r="M91" s="28"/>
      <c r="N91" s="80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</row>
    <row r="92" spans="1:85" s="81" customFormat="1" ht="24" customHeight="1" x14ac:dyDescent="0.2">
      <c r="A92" s="355">
        <f>A91+2</f>
        <v>466</v>
      </c>
      <c r="B92" s="29" t="s">
        <v>33</v>
      </c>
      <c r="C92" s="29">
        <v>3245</v>
      </c>
      <c r="D92" s="20">
        <v>178500</v>
      </c>
      <c r="E92" s="20">
        <v>21000</v>
      </c>
      <c r="F92" s="20"/>
      <c r="G92" s="20">
        <v>0</v>
      </c>
      <c r="H92" s="21">
        <v>5000</v>
      </c>
      <c r="I92" s="20">
        <v>86750</v>
      </c>
      <c r="J92" s="20">
        <v>86750</v>
      </c>
      <c r="K92" s="19">
        <v>0</v>
      </c>
      <c r="L92" s="18" t="s">
        <v>6</v>
      </c>
      <c r="M92" s="28"/>
      <c r="N92" s="80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</row>
    <row r="93" spans="1:85" s="79" customFormat="1" ht="15" customHeight="1" x14ac:dyDescent="0.2">
      <c r="A93" s="355">
        <f>A92+2</f>
        <v>468</v>
      </c>
      <c r="B93" s="24" t="s">
        <v>226</v>
      </c>
      <c r="C93" s="24">
        <v>3236</v>
      </c>
      <c r="D93" s="20">
        <v>40000</v>
      </c>
      <c r="E93" s="20">
        <v>4000</v>
      </c>
      <c r="F93" s="20"/>
      <c r="G93" s="20">
        <v>0</v>
      </c>
      <c r="H93" s="21">
        <v>1000</v>
      </c>
      <c r="I93" s="20">
        <v>39000</v>
      </c>
      <c r="J93" s="20">
        <v>0</v>
      </c>
      <c r="K93" s="19">
        <v>0</v>
      </c>
      <c r="L93" s="18" t="s">
        <v>6</v>
      </c>
      <c r="M93" s="23"/>
      <c r="N93" s="80"/>
    </row>
    <row r="94" spans="1:85" s="81" customFormat="1" ht="24" customHeight="1" x14ac:dyDescent="0.2">
      <c r="A94" s="355">
        <f t="shared" si="13"/>
        <v>469</v>
      </c>
      <c r="B94" s="29" t="s">
        <v>32</v>
      </c>
      <c r="C94" s="29">
        <v>3244</v>
      </c>
      <c r="D94" s="20">
        <v>12000</v>
      </c>
      <c r="E94" s="20">
        <v>1200</v>
      </c>
      <c r="F94" s="20"/>
      <c r="G94" s="20">
        <v>0</v>
      </c>
      <c r="H94" s="21">
        <v>2000</v>
      </c>
      <c r="I94" s="20">
        <v>5000</v>
      </c>
      <c r="J94" s="20">
        <v>5000</v>
      </c>
      <c r="K94" s="19">
        <v>0</v>
      </c>
      <c r="L94" s="18" t="s">
        <v>6</v>
      </c>
      <c r="M94" s="28"/>
      <c r="N94" s="80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</row>
    <row r="95" spans="1:85" s="79" customFormat="1" ht="15" customHeight="1" x14ac:dyDescent="0.2">
      <c r="A95" s="355">
        <f t="shared" si="13"/>
        <v>470</v>
      </c>
      <c r="B95" s="24" t="s">
        <v>31</v>
      </c>
      <c r="C95" s="24">
        <v>3239</v>
      </c>
      <c r="D95" s="20">
        <v>1900</v>
      </c>
      <c r="E95" s="20">
        <v>190</v>
      </c>
      <c r="F95" s="20"/>
      <c r="G95" s="20">
        <v>0</v>
      </c>
      <c r="H95" s="21">
        <v>1000</v>
      </c>
      <c r="I95" s="20">
        <v>900</v>
      </c>
      <c r="J95" s="20">
        <v>0</v>
      </c>
      <c r="K95" s="19">
        <v>0</v>
      </c>
      <c r="L95" s="18" t="s">
        <v>6</v>
      </c>
      <c r="M95" s="23"/>
      <c r="N95" s="80"/>
    </row>
    <row r="96" spans="1:85" s="81" customFormat="1" ht="24" customHeight="1" x14ac:dyDescent="0.2">
      <c r="A96" s="355">
        <f t="shared" si="13"/>
        <v>471</v>
      </c>
      <c r="B96" s="29" t="s">
        <v>30</v>
      </c>
      <c r="C96" s="29">
        <v>3243</v>
      </c>
      <c r="D96" s="20">
        <v>40000</v>
      </c>
      <c r="E96" s="20">
        <v>4900</v>
      </c>
      <c r="F96" s="20"/>
      <c r="G96" s="20">
        <v>0</v>
      </c>
      <c r="H96" s="21">
        <v>500</v>
      </c>
      <c r="I96" s="20">
        <v>18000</v>
      </c>
      <c r="J96" s="20">
        <v>21500</v>
      </c>
      <c r="K96" s="19">
        <v>0</v>
      </c>
      <c r="L96" s="18" t="s">
        <v>6</v>
      </c>
      <c r="M96" s="28"/>
      <c r="N96" s="80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</row>
    <row r="97" spans="1:85" s="81" customFormat="1" ht="24" customHeight="1" x14ac:dyDescent="0.2">
      <c r="A97" s="355">
        <f t="shared" si="13"/>
        <v>472</v>
      </c>
      <c r="B97" s="29" t="s">
        <v>29</v>
      </c>
      <c r="C97" s="29">
        <v>3240</v>
      </c>
      <c r="D97" s="20">
        <v>60000</v>
      </c>
      <c r="E97" s="20">
        <v>6900</v>
      </c>
      <c r="F97" s="20"/>
      <c r="G97" s="20">
        <v>0</v>
      </c>
      <c r="H97" s="21">
        <v>500</v>
      </c>
      <c r="I97" s="20">
        <v>59500</v>
      </c>
      <c r="J97" s="20">
        <v>0</v>
      </c>
      <c r="K97" s="19">
        <v>0</v>
      </c>
      <c r="L97" s="18" t="s">
        <v>6</v>
      </c>
      <c r="M97" s="28"/>
      <c r="N97" s="80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</row>
    <row r="98" spans="1:85" s="79" customFormat="1" ht="45" customHeight="1" x14ac:dyDescent="0.2">
      <c r="A98" s="355">
        <f t="shared" si="13"/>
        <v>473</v>
      </c>
      <c r="B98" s="24" t="s">
        <v>28</v>
      </c>
      <c r="C98" s="24">
        <v>3260</v>
      </c>
      <c r="D98" s="20">
        <v>36511</v>
      </c>
      <c r="E98" s="20">
        <v>9189</v>
      </c>
      <c r="F98" s="20"/>
      <c r="G98" s="20">
        <v>189</v>
      </c>
      <c r="H98" s="21">
        <v>9000</v>
      </c>
      <c r="I98" s="20">
        <v>0</v>
      </c>
      <c r="J98" s="20">
        <v>0</v>
      </c>
      <c r="K98" s="19">
        <v>0</v>
      </c>
      <c r="L98" s="18" t="s">
        <v>27</v>
      </c>
      <c r="M98" s="23"/>
      <c r="N98" s="80"/>
    </row>
    <row r="99" spans="1:85" s="79" customFormat="1" ht="15.75" customHeight="1" x14ac:dyDescent="0.2">
      <c r="A99" s="397" t="s">
        <v>26</v>
      </c>
      <c r="B99" s="398"/>
      <c r="C99" s="77"/>
      <c r="D99" s="26">
        <f t="shared" ref="D99:K99" si="14">SUM(D83:D98)</f>
        <v>897911.3</v>
      </c>
      <c r="E99" s="26">
        <f t="shared" si="14"/>
        <v>214429.96</v>
      </c>
      <c r="F99" s="26">
        <f t="shared" si="14"/>
        <v>0</v>
      </c>
      <c r="G99" s="26">
        <f t="shared" si="14"/>
        <v>9220.2999999999993</v>
      </c>
      <c r="H99" s="26">
        <f t="shared" si="14"/>
        <v>36800</v>
      </c>
      <c r="I99" s="26">
        <f t="shared" si="14"/>
        <v>532569</v>
      </c>
      <c r="J99" s="26">
        <f t="shared" si="14"/>
        <v>292000</v>
      </c>
      <c r="K99" s="26">
        <f t="shared" si="14"/>
        <v>0</v>
      </c>
      <c r="L99" s="25"/>
      <c r="M99" s="80"/>
      <c r="N99" s="80"/>
    </row>
    <row r="100" spans="1:85" s="79" customFormat="1" ht="18" customHeight="1" x14ac:dyDescent="0.2">
      <c r="A100" s="392" t="s">
        <v>25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4"/>
      <c r="M100" s="80"/>
      <c r="N100" s="80"/>
    </row>
    <row r="101" spans="1:85" s="81" customFormat="1" ht="24" customHeight="1" x14ac:dyDescent="0.2">
      <c r="A101" s="355">
        <v>504</v>
      </c>
      <c r="B101" s="29" t="s">
        <v>24</v>
      </c>
      <c r="C101" s="29" t="s">
        <v>23</v>
      </c>
      <c r="D101" s="20">
        <v>2000</v>
      </c>
      <c r="E101" s="20">
        <v>300</v>
      </c>
      <c r="F101" s="20"/>
      <c r="G101" s="20">
        <v>200</v>
      </c>
      <c r="H101" s="21">
        <v>500</v>
      </c>
      <c r="I101" s="20">
        <v>600</v>
      </c>
      <c r="J101" s="20">
        <v>700</v>
      </c>
      <c r="K101" s="19">
        <v>0</v>
      </c>
      <c r="L101" s="18" t="s">
        <v>6</v>
      </c>
      <c r="M101" s="28"/>
      <c r="N101" s="80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</row>
    <row r="102" spans="1:85" s="81" customFormat="1" ht="24" customHeight="1" x14ac:dyDescent="0.2">
      <c r="A102" s="355">
        <f t="shared" ref="A102:A105" si="15">A101+1</f>
        <v>505</v>
      </c>
      <c r="B102" s="29" t="s">
        <v>22</v>
      </c>
      <c r="C102" s="29" t="s">
        <v>21</v>
      </c>
      <c r="D102" s="20">
        <v>8400</v>
      </c>
      <c r="E102" s="20">
        <v>1515</v>
      </c>
      <c r="F102" s="20"/>
      <c r="G102" s="20">
        <v>250</v>
      </c>
      <c r="H102" s="21">
        <v>700</v>
      </c>
      <c r="I102" s="20">
        <v>3000</v>
      </c>
      <c r="J102" s="20">
        <v>4450</v>
      </c>
      <c r="K102" s="19">
        <v>0</v>
      </c>
      <c r="L102" s="18" t="s">
        <v>6</v>
      </c>
      <c r="M102" s="28"/>
      <c r="N102" s="80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</row>
    <row r="103" spans="1:85" s="81" customFormat="1" ht="24" customHeight="1" x14ac:dyDescent="0.2">
      <c r="A103" s="355">
        <f t="shared" si="15"/>
        <v>506</v>
      </c>
      <c r="B103" s="29" t="s">
        <v>20</v>
      </c>
      <c r="C103" s="29" t="s">
        <v>19</v>
      </c>
      <c r="D103" s="20">
        <v>12400</v>
      </c>
      <c r="E103" s="20">
        <v>6350</v>
      </c>
      <c r="F103" s="20"/>
      <c r="G103" s="20">
        <v>500</v>
      </c>
      <c r="H103" s="21">
        <v>500</v>
      </c>
      <c r="I103" s="20">
        <v>5600</v>
      </c>
      <c r="J103" s="20">
        <v>5800</v>
      </c>
      <c r="K103" s="19">
        <v>0</v>
      </c>
      <c r="L103" s="18" t="s">
        <v>6</v>
      </c>
      <c r="M103" s="28"/>
      <c r="N103" s="80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</row>
    <row r="104" spans="1:85" s="79" customFormat="1" ht="15" customHeight="1" x14ac:dyDescent="0.2">
      <c r="A104" s="355">
        <f t="shared" si="15"/>
        <v>507</v>
      </c>
      <c r="B104" s="24" t="s">
        <v>18</v>
      </c>
      <c r="C104" s="24" t="s">
        <v>17</v>
      </c>
      <c r="D104" s="20">
        <v>5700</v>
      </c>
      <c r="E104" s="20">
        <v>2850</v>
      </c>
      <c r="F104" s="20"/>
      <c r="G104" s="20">
        <v>200</v>
      </c>
      <c r="H104" s="21">
        <v>300</v>
      </c>
      <c r="I104" s="20">
        <v>2600</v>
      </c>
      <c r="J104" s="20">
        <v>2600</v>
      </c>
      <c r="K104" s="19">
        <v>0</v>
      </c>
      <c r="L104" s="18" t="s">
        <v>6</v>
      </c>
      <c r="M104" s="27"/>
      <c r="N104" s="80"/>
    </row>
    <row r="105" spans="1:85" s="79" customFormat="1" ht="24" customHeight="1" x14ac:dyDescent="0.2">
      <c r="A105" s="355">
        <f t="shared" si="15"/>
        <v>508</v>
      </c>
      <c r="B105" s="24" t="s">
        <v>16</v>
      </c>
      <c r="C105" s="24">
        <v>3298</v>
      </c>
      <c r="D105" s="20">
        <v>509200</v>
      </c>
      <c r="E105" s="20">
        <v>30000</v>
      </c>
      <c r="F105" s="20"/>
      <c r="G105" s="20">
        <v>0</v>
      </c>
      <c r="H105" s="21">
        <v>509200</v>
      </c>
      <c r="I105" s="20">
        <v>0</v>
      </c>
      <c r="J105" s="20">
        <v>0</v>
      </c>
      <c r="K105" s="19">
        <v>0</v>
      </c>
      <c r="L105" s="18" t="s">
        <v>6</v>
      </c>
      <c r="M105" s="27"/>
      <c r="N105" s="80"/>
    </row>
    <row r="106" spans="1:85" s="79" customFormat="1" ht="15.75" customHeight="1" x14ac:dyDescent="0.2">
      <c r="A106" s="395" t="s">
        <v>15</v>
      </c>
      <c r="B106" s="396"/>
      <c r="C106" s="82"/>
      <c r="D106" s="26">
        <f t="shared" ref="D106:K106" si="16">SUM(D101:D105)</f>
        <v>537700</v>
      </c>
      <c r="E106" s="26">
        <f t="shared" si="16"/>
        <v>41015</v>
      </c>
      <c r="F106" s="26">
        <f t="shared" si="16"/>
        <v>0</v>
      </c>
      <c r="G106" s="26">
        <f t="shared" si="16"/>
        <v>1150</v>
      </c>
      <c r="H106" s="26">
        <f t="shared" si="16"/>
        <v>511200</v>
      </c>
      <c r="I106" s="26">
        <f t="shared" si="16"/>
        <v>11800</v>
      </c>
      <c r="J106" s="26">
        <f t="shared" si="16"/>
        <v>13550</v>
      </c>
      <c r="K106" s="26">
        <f t="shared" si="16"/>
        <v>0</v>
      </c>
      <c r="L106" s="25"/>
      <c r="N106" s="80"/>
    </row>
    <row r="107" spans="1:85" s="79" customFormat="1" ht="18" customHeight="1" x14ac:dyDescent="0.2">
      <c r="A107" s="399" t="s">
        <v>14</v>
      </c>
      <c r="B107" s="400"/>
      <c r="C107" s="400"/>
      <c r="D107" s="400"/>
      <c r="E107" s="400"/>
      <c r="F107" s="400"/>
      <c r="G107" s="400"/>
      <c r="H107" s="400"/>
      <c r="I107" s="400"/>
      <c r="J107" s="400"/>
      <c r="K107" s="400"/>
      <c r="L107" s="401"/>
      <c r="N107" s="80"/>
    </row>
    <row r="108" spans="1:85" s="79" customFormat="1" ht="45" customHeight="1" x14ac:dyDescent="0.2">
      <c r="A108" s="356">
        <v>14</v>
      </c>
      <c r="B108" s="22" t="s">
        <v>13</v>
      </c>
      <c r="C108" s="22" t="s">
        <v>12</v>
      </c>
      <c r="D108" s="20">
        <v>15200</v>
      </c>
      <c r="E108" s="20">
        <v>2450</v>
      </c>
      <c r="F108" s="20"/>
      <c r="G108" s="20">
        <v>0</v>
      </c>
      <c r="H108" s="21">
        <v>275</v>
      </c>
      <c r="I108" s="20">
        <v>838</v>
      </c>
      <c r="J108" s="20">
        <v>1837</v>
      </c>
      <c r="K108" s="19">
        <v>500</v>
      </c>
      <c r="L108" s="18" t="s">
        <v>3</v>
      </c>
      <c r="M108" s="17"/>
      <c r="N108" s="80"/>
    </row>
    <row r="109" spans="1:85" s="79" customFormat="1" ht="24" customHeight="1" x14ac:dyDescent="0.2">
      <c r="A109" s="356">
        <f t="shared" ref="A109:A112" si="17">A108+1</f>
        <v>15</v>
      </c>
      <c r="B109" s="85" t="s">
        <v>11</v>
      </c>
      <c r="C109" s="24" t="s">
        <v>10</v>
      </c>
      <c r="D109" s="20">
        <v>19000</v>
      </c>
      <c r="E109" s="20">
        <v>2550</v>
      </c>
      <c r="F109" s="20"/>
      <c r="G109" s="20">
        <v>450</v>
      </c>
      <c r="H109" s="21">
        <v>1000</v>
      </c>
      <c r="I109" s="20">
        <v>17550</v>
      </c>
      <c r="J109" s="20">
        <v>0</v>
      </c>
      <c r="K109" s="19">
        <v>0</v>
      </c>
      <c r="L109" s="18" t="s">
        <v>6</v>
      </c>
      <c r="M109" s="23"/>
      <c r="N109" s="80"/>
    </row>
    <row r="110" spans="1:85" s="79" customFormat="1" ht="45" customHeight="1" x14ac:dyDescent="0.2">
      <c r="A110" s="356">
        <f t="shared" si="17"/>
        <v>16</v>
      </c>
      <c r="B110" s="22" t="s">
        <v>9</v>
      </c>
      <c r="C110" s="22" t="s">
        <v>8</v>
      </c>
      <c r="D110" s="20">
        <v>2100</v>
      </c>
      <c r="E110" s="20">
        <v>200</v>
      </c>
      <c r="F110" s="20"/>
      <c r="G110" s="20">
        <v>0</v>
      </c>
      <c r="H110" s="21">
        <v>75</v>
      </c>
      <c r="I110" s="20">
        <v>75</v>
      </c>
      <c r="J110" s="20">
        <v>50</v>
      </c>
      <c r="K110" s="19">
        <v>0</v>
      </c>
      <c r="L110" s="18" t="s">
        <v>3</v>
      </c>
      <c r="M110" s="17"/>
      <c r="N110" s="80"/>
    </row>
    <row r="111" spans="1:85" s="79" customFormat="1" ht="15" customHeight="1" x14ac:dyDescent="0.2">
      <c r="A111" s="356">
        <f t="shared" si="17"/>
        <v>17</v>
      </c>
      <c r="B111" s="85" t="s">
        <v>7</v>
      </c>
      <c r="C111" s="24">
        <v>3255</v>
      </c>
      <c r="D111" s="20">
        <v>33200.300000000003</v>
      </c>
      <c r="E111" s="20">
        <v>3500.3</v>
      </c>
      <c r="F111" s="20"/>
      <c r="G111" s="20">
        <v>2957.3</v>
      </c>
      <c r="H111" s="21">
        <v>1200</v>
      </c>
      <c r="I111" s="20">
        <v>17600</v>
      </c>
      <c r="J111" s="20">
        <v>11443</v>
      </c>
      <c r="K111" s="19">
        <v>0</v>
      </c>
      <c r="L111" s="18" t="s">
        <v>6</v>
      </c>
      <c r="M111" s="23"/>
      <c r="N111" s="80"/>
    </row>
    <row r="112" spans="1:85" s="79" customFormat="1" ht="45" customHeight="1" x14ac:dyDescent="0.2">
      <c r="A112" s="356">
        <f t="shared" si="17"/>
        <v>18</v>
      </c>
      <c r="B112" s="22" t="s">
        <v>5</v>
      </c>
      <c r="C112" s="22" t="s">
        <v>4</v>
      </c>
      <c r="D112" s="20">
        <v>15200</v>
      </c>
      <c r="E112" s="20">
        <v>2450</v>
      </c>
      <c r="F112" s="20"/>
      <c r="G112" s="20">
        <v>0</v>
      </c>
      <c r="H112" s="21">
        <v>275</v>
      </c>
      <c r="I112" s="20">
        <v>838</v>
      </c>
      <c r="J112" s="20">
        <v>1837</v>
      </c>
      <c r="K112" s="19">
        <v>500</v>
      </c>
      <c r="L112" s="18" t="s">
        <v>3</v>
      </c>
      <c r="M112" s="17"/>
      <c r="N112" s="80"/>
    </row>
    <row r="113" spans="1:14" s="79" customFormat="1" ht="26.25" customHeight="1" thickBot="1" x14ac:dyDescent="0.25">
      <c r="A113" s="402" t="s">
        <v>2</v>
      </c>
      <c r="B113" s="403"/>
      <c r="C113" s="78"/>
      <c r="D113" s="16">
        <f t="shared" ref="D113:K113" si="18">SUM(D108:D112)</f>
        <v>84700.3</v>
      </c>
      <c r="E113" s="16">
        <f t="shared" si="18"/>
        <v>11150.3</v>
      </c>
      <c r="F113" s="16">
        <f t="shared" si="18"/>
        <v>0</v>
      </c>
      <c r="G113" s="16">
        <f t="shared" si="18"/>
        <v>3407.3</v>
      </c>
      <c r="H113" s="16">
        <f t="shared" si="18"/>
        <v>2825</v>
      </c>
      <c r="I113" s="16">
        <f t="shared" si="18"/>
        <v>36901</v>
      </c>
      <c r="J113" s="16">
        <f t="shared" si="18"/>
        <v>15167</v>
      </c>
      <c r="K113" s="16">
        <f t="shared" si="18"/>
        <v>1000</v>
      </c>
      <c r="L113" s="15"/>
      <c r="N113" s="80"/>
    </row>
    <row r="114" spans="1:14" s="79" customFormat="1" ht="11.25" thickBot="1" x14ac:dyDescent="0.25">
      <c r="A114" s="83"/>
      <c r="B114" s="14"/>
      <c r="C114" s="14"/>
      <c r="D114" s="13"/>
      <c r="E114" s="13"/>
      <c r="F114" s="13"/>
      <c r="G114" s="13"/>
      <c r="H114" s="13"/>
      <c r="I114" s="12"/>
      <c r="J114" s="12"/>
      <c r="K114" s="12"/>
      <c r="L114" s="11"/>
    </row>
    <row r="115" spans="1:14" s="79" customFormat="1" ht="17.25" customHeight="1" thickBot="1" x14ac:dyDescent="0.25">
      <c r="A115" s="390" t="s">
        <v>1</v>
      </c>
      <c r="B115" s="391"/>
      <c r="C115" s="84"/>
      <c r="D115" s="10">
        <f t="shared" ref="D115:K115" si="19">D113+D106+D99+D81+D55+D41+D30+D24+D16+D12</f>
        <v>5658471.2400000002</v>
      </c>
      <c r="E115" s="10">
        <f t="shared" si="19"/>
        <v>927372.83000000007</v>
      </c>
      <c r="F115" s="10">
        <f t="shared" si="19"/>
        <v>0</v>
      </c>
      <c r="G115" s="10">
        <f t="shared" si="19"/>
        <v>147282.23999999999</v>
      </c>
      <c r="H115" s="10">
        <f t="shared" si="19"/>
        <v>1166086</v>
      </c>
      <c r="I115" s="10">
        <f t="shared" si="19"/>
        <v>2147499</v>
      </c>
      <c r="J115" s="10">
        <f t="shared" si="19"/>
        <v>1734954</v>
      </c>
      <c r="K115" s="10">
        <f t="shared" si="19"/>
        <v>396623</v>
      </c>
      <c r="L115" s="9"/>
    </row>
    <row r="116" spans="1:14" x14ac:dyDescent="0.2">
      <c r="G116" s="8"/>
    </row>
    <row r="117" spans="1:14" s="4" customFormat="1" x14ac:dyDescent="0.2">
      <c r="A117" s="5"/>
      <c r="G117" s="7"/>
      <c r="H117" s="6"/>
    </row>
    <row r="118" spans="1:14" x14ac:dyDescent="0.2">
      <c r="A118" s="5"/>
      <c r="B118" s="4"/>
      <c r="C118" s="4"/>
      <c r="D118" s="4"/>
      <c r="E118" s="4"/>
      <c r="F118" s="4"/>
      <c r="G118" s="3"/>
    </row>
    <row r="120" spans="1:14" ht="14.25" x14ac:dyDescent="0.2">
      <c r="B120" s="2"/>
      <c r="C120" s="2"/>
    </row>
  </sheetData>
  <customSheetViews>
    <customSheetView guid="{8DF5934D-271D-4996-8FBD-8BBE47175559}" showPageBreaks="1" fitToPage="1" printArea="1" hiddenColumns="1">
      <selection activeCell="N1" sqref="N1"/>
      <rowBreaks count="5" manualBreakCount="5">
        <brk id="26" max="11" man="1"/>
        <brk id="52" max="11" man="1"/>
        <brk id="72" max="11" man="1"/>
        <brk id="91" max="11" man="1"/>
        <brk id="111" max="11" man="1"/>
      </rowBreaks>
      <pageMargins left="0.39370078740157483" right="0.39370078740157483" top="0.59055118110236227" bottom="0.39370078740157483" header="0.31496062992125984" footer="0.11811023622047245"/>
      <printOptions horizontalCentered="1"/>
      <pageSetup paperSize="9" scale="91" firstPageNumber="3" fitToHeight="0" orientation="landscape" useFirstPageNumber="1" r:id="rId1"/>
      <headerFooter>
        <oddHeader>&amp;L&amp;"Tahoma,Kurzíva"Návrh rozpočtu na rok 2016
Příloha č. 8&amp;R&amp;"Tahoma,Kurzíva"Přehled akcí spolufinancovaných z evropských finančních zdrojů včetně závazků kraje vyvolaných pro rok 2017 a další léta</oddHeader>
        <oddFooter>&amp;C&amp;"Tahoma,Obyčejné"&amp;P</oddFooter>
      </headerFooter>
    </customSheetView>
  </customSheetViews>
  <mergeCells count="32">
    <mergeCell ref="A5:L5"/>
    <mergeCell ref="A12:B12"/>
    <mergeCell ref="A1:L1"/>
    <mergeCell ref="A3:A4"/>
    <mergeCell ref="B3:B4"/>
    <mergeCell ref="D3:D4"/>
    <mergeCell ref="E3:E4"/>
    <mergeCell ref="F3:F4"/>
    <mergeCell ref="G3:G4"/>
    <mergeCell ref="H3:H4"/>
    <mergeCell ref="I3:K3"/>
    <mergeCell ref="L3:L4"/>
    <mergeCell ref="A13:L13"/>
    <mergeCell ref="A16:B16"/>
    <mergeCell ref="A17:L17"/>
    <mergeCell ref="A107:L107"/>
    <mergeCell ref="A113:B113"/>
    <mergeCell ref="A41:B41"/>
    <mergeCell ref="A42:L42"/>
    <mergeCell ref="L47:L54"/>
    <mergeCell ref="A55:B55"/>
    <mergeCell ref="A24:B24"/>
    <mergeCell ref="A25:L25"/>
    <mergeCell ref="A30:B30"/>
    <mergeCell ref="A31:L31"/>
    <mergeCell ref="A115:B115"/>
    <mergeCell ref="A56:L56"/>
    <mergeCell ref="A81:B81"/>
    <mergeCell ref="A82:L82"/>
    <mergeCell ref="A99:B99"/>
    <mergeCell ref="A100:L100"/>
    <mergeCell ref="A106:B106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91" firstPageNumber="3" fitToHeight="0" orientation="landscape" useFirstPageNumber="1" r:id="rId2"/>
  <headerFooter>
    <oddHeader>&amp;L&amp;"Tahoma,Kurzíva"Návrh rozpočtu na rok 2016
Příloha č. 8&amp;R&amp;"Tahoma,Kurzíva"Přehled akcí spolufinancovaných z evropských finančních zdrojů včetně závazků kraje vyvolaných pro rok 2017 a další léta</oddHeader>
    <oddFooter>&amp;C&amp;"Tahoma,Obyčejné"&amp;P</oddFooter>
  </headerFooter>
  <rowBreaks count="5" manualBreakCount="5">
    <brk id="26" max="11" man="1"/>
    <brk id="52" max="11" man="1"/>
    <brk id="72" max="11" man="1"/>
    <brk id="91" max="11" man="1"/>
    <brk id="111" max="11" man="1"/>
  </rowBreaks>
  <ignoredErrors>
    <ignoredError sqref="A28 A35:A38 A45:A53 A74:A80" formula="1"/>
    <ignoredError sqref="J4:K4" numberStoredAsText="1"/>
    <ignoredError sqref="D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"/>
  <sheetViews>
    <sheetView zoomScaleNormal="100" zoomScaleSheetLayoutView="100" workbookViewId="0">
      <pane ySplit="5" topLeftCell="A6" activePane="bottomLeft" state="frozen"/>
      <selection pane="bottomLeft" activeCell="K2" sqref="K2"/>
    </sheetView>
  </sheetViews>
  <sheetFormatPr defaultRowHeight="10.5" x14ac:dyDescent="0.2"/>
  <cols>
    <col min="1" max="1" width="39.7109375" style="44" customWidth="1"/>
    <col min="2" max="2" width="11.28515625" style="44" customWidth="1"/>
    <col min="3" max="3" width="11.28515625" style="44" bestFit="1" customWidth="1"/>
    <col min="4" max="6" width="11.28515625" style="44" customWidth="1"/>
    <col min="7" max="7" width="11.28515625" style="44" bestFit="1" customWidth="1"/>
    <col min="8" max="10" width="11.28515625" style="44" customWidth="1"/>
    <col min="11" max="16384" width="9.140625" style="44"/>
  </cols>
  <sheetData>
    <row r="1" spans="1:13" ht="18" customHeight="1" x14ac:dyDescent="0.2">
      <c r="A1" s="427" t="s">
        <v>292</v>
      </c>
      <c r="B1" s="427"/>
      <c r="C1" s="427"/>
      <c r="D1" s="427"/>
      <c r="E1" s="427"/>
      <c r="F1" s="427"/>
      <c r="G1" s="427"/>
      <c r="H1" s="427"/>
      <c r="I1" s="427"/>
    </row>
    <row r="2" spans="1:13" ht="15" customHeight="1" x14ac:dyDescent="0.2">
      <c r="A2" s="428" t="s">
        <v>291</v>
      </c>
      <c r="B2" s="428"/>
      <c r="C2" s="428"/>
      <c r="D2" s="428"/>
      <c r="E2" s="428"/>
      <c r="F2" s="428"/>
      <c r="G2" s="428"/>
      <c r="H2" s="428"/>
      <c r="I2" s="428"/>
    </row>
    <row r="3" spans="1:13" ht="11.25" thickBot="1" x14ac:dyDescent="0.25">
      <c r="A3" s="271"/>
      <c r="B3" s="269"/>
      <c r="C3" s="270"/>
      <c r="D3" s="270"/>
      <c r="E3" s="270"/>
      <c r="F3" s="270"/>
      <c r="G3" s="270"/>
      <c r="I3" s="269"/>
      <c r="J3" s="269" t="s">
        <v>161</v>
      </c>
    </row>
    <row r="4" spans="1:13" ht="24" customHeight="1" x14ac:dyDescent="0.2">
      <c r="A4" s="429" t="s">
        <v>159</v>
      </c>
      <c r="B4" s="431" t="s">
        <v>290</v>
      </c>
      <c r="C4" s="433" t="s">
        <v>289</v>
      </c>
      <c r="D4" s="435" t="s">
        <v>288</v>
      </c>
      <c r="E4" s="436"/>
      <c r="F4" s="437" t="s">
        <v>287</v>
      </c>
      <c r="G4" s="438"/>
      <c r="H4" s="422" t="s">
        <v>286</v>
      </c>
      <c r="I4" s="423"/>
      <c r="J4" s="439"/>
    </row>
    <row r="5" spans="1:13" ht="75" customHeight="1" thickBot="1" x14ac:dyDescent="0.25">
      <c r="A5" s="430"/>
      <c r="B5" s="432"/>
      <c r="C5" s="434"/>
      <c r="D5" s="268" t="s">
        <v>284</v>
      </c>
      <c r="E5" s="267" t="s">
        <v>285</v>
      </c>
      <c r="F5" s="266" t="s">
        <v>284</v>
      </c>
      <c r="G5" s="265" t="s">
        <v>285</v>
      </c>
      <c r="H5" s="368" t="s">
        <v>284</v>
      </c>
      <c r="I5" s="101" t="s">
        <v>283</v>
      </c>
      <c r="J5" s="100" t="s">
        <v>282</v>
      </c>
    </row>
    <row r="6" spans="1:13" ht="18" customHeight="1" x14ac:dyDescent="0.2">
      <c r="A6" s="446" t="s">
        <v>149</v>
      </c>
      <c r="B6" s="447"/>
      <c r="C6" s="447"/>
      <c r="D6" s="447"/>
      <c r="E6" s="447"/>
      <c r="F6" s="447"/>
      <c r="G6" s="447"/>
      <c r="H6" s="447"/>
      <c r="I6" s="447"/>
      <c r="J6" s="439"/>
    </row>
    <row r="7" spans="1:13" s="363" customFormat="1" ht="24" customHeight="1" x14ac:dyDescent="0.2">
      <c r="A7" s="252" t="s">
        <v>281</v>
      </c>
      <c r="B7" s="262">
        <v>250000.34</v>
      </c>
      <c r="C7" s="361">
        <v>0</v>
      </c>
      <c r="D7" s="262">
        <v>0</v>
      </c>
      <c r="E7" s="234">
        <v>0</v>
      </c>
      <c r="F7" s="235">
        <v>0</v>
      </c>
      <c r="G7" s="234">
        <v>0</v>
      </c>
      <c r="H7" s="261">
        <v>100025</v>
      </c>
      <c r="I7" s="261">
        <f>98465-87659.61</f>
        <v>10805.39</v>
      </c>
      <c r="J7" s="362">
        <v>87659.60785</v>
      </c>
    </row>
    <row r="8" spans="1:13" s="363" customFormat="1" ht="15" customHeight="1" x14ac:dyDescent="0.2">
      <c r="A8" s="238" t="s">
        <v>280</v>
      </c>
      <c r="B8" s="235">
        <v>52200</v>
      </c>
      <c r="C8" s="234">
        <v>0</v>
      </c>
      <c r="D8" s="235">
        <v>0</v>
      </c>
      <c r="E8" s="234">
        <v>0</v>
      </c>
      <c r="F8" s="235">
        <v>0</v>
      </c>
      <c r="G8" s="234">
        <v>0</v>
      </c>
      <c r="H8" s="261">
        <v>24471</v>
      </c>
      <c r="I8" s="234">
        <f>16323-1466.84</f>
        <v>14856.16</v>
      </c>
      <c r="J8" s="233">
        <v>1466.84</v>
      </c>
    </row>
    <row r="9" spans="1:13" s="363" customFormat="1" ht="15" customHeight="1" x14ac:dyDescent="0.2">
      <c r="A9" s="238" t="s">
        <v>279</v>
      </c>
      <c r="B9" s="235">
        <v>95903.75</v>
      </c>
      <c r="C9" s="234">
        <v>0</v>
      </c>
      <c r="D9" s="235">
        <v>0</v>
      </c>
      <c r="E9" s="234">
        <v>0</v>
      </c>
      <c r="F9" s="235">
        <v>0</v>
      </c>
      <c r="G9" s="234">
        <v>0</v>
      </c>
      <c r="H9" s="261">
        <v>21727</v>
      </c>
      <c r="I9" s="234">
        <f>19850-257.39</f>
        <v>19592.61</v>
      </c>
      <c r="J9" s="233">
        <v>257.39</v>
      </c>
    </row>
    <row r="10" spans="1:13" s="363" customFormat="1" ht="15" customHeight="1" x14ac:dyDescent="0.2">
      <c r="A10" s="238" t="s">
        <v>278</v>
      </c>
      <c r="B10" s="235">
        <v>103722.48999999999</v>
      </c>
      <c r="C10" s="234">
        <v>0</v>
      </c>
      <c r="D10" s="235">
        <v>0</v>
      </c>
      <c r="E10" s="234">
        <v>0</v>
      </c>
      <c r="F10" s="235">
        <v>0</v>
      </c>
      <c r="G10" s="234">
        <v>0</v>
      </c>
      <c r="H10" s="261">
        <v>40893</v>
      </c>
      <c r="I10" s="234">
        <f>39303-20961.42</f>
        <v>18341.580000000002</v>
      </c>
      <c r="J10" s="233">
        <v>20961.419999999998</v>
      </c>
    </row>
    <row r="11" spans="1:13" s="363" customFormat="1" ht="15" customHeight="1" x14ac:dyDescent="0.2">
      <c r="A11" s="236" t="s">
        <v>277</v>
      </c>
      <c r="B11" s="262">
        <v>232859.72999999998</v>
      </c>
      <c r="C11" s="234">
        <v>0</v>
      </c>
      <c r="D11" s="235">
        <v>0</v>
      </c>
      <c r="E11" s="234">
        <v>0</v>
      </c>
      <c r="F11" s="235">
        <v>0</v>
      </c>
      <c r="G11" s="234">
        <v>0</v>
      </c>
      <c r="H11" s="261">
        <v>30138</v>
      </c>
      <c r="I11" s="234">
        <v>29595</v>
      </c>
      <c r="J11" s="233">
        <v>0</v>
      </c>
      <c r="M11" s="364"/>
    </row>
    <row r="12" spans="1:13" s="363" customFormat="1" ht="15" customHeight="1" x14ac:dyDescent="0.2">
      <c r="A12" s="236" t="s">
        <v>276</v>
      </c>
      <c r="B12" s="262">
        <v>275475.32999999996</v>
      </c>
      <c r="C12" s="234">
        <v>0</v>
      </c>
      <c r="D12" s="235">
        <v>0</v>
      </c>
      <c r="E12" s="234">
        <v>0</v>
      </c>
      <c r="F12" s="235">
        <v>0</v>
      </c>
      <c r="G12" s="234">
        <v>0</v>
      </c>
      <c r="H12" s="261">
        <v>21063</v>
      </c>
      <c r="I12" s="234">
        <v>20422</v>
      </c>
      <c r="J12" s="233">
        <v>0</v>
      </c>
      <c r="M12" s="364"/>
    </row>
    <row r="13" spans="1:13" s="363" customFormat="1" ht="15" customHeight="1" x14ac:dyDescent="0.2">
      <c r="A13" s="236" t="s">
        <v>275</v>
      </c>
      <c r="B13" s="262">
        <v>129207.48999999999</v>
      </c>
      <c r="C13" s="234">
        <v>0</v>
      </c>
      <c r="D13" s="235">
        <v>0</v>
      </c>
      <c r="E13" s="234">
        <v>0</v>
      </c>
      <c r="F13" s="235">
        <v>0</v>
      </c>
      <c r="G13" s="234">
        <v>0</v>
      </c>
      <c r="H13" s="261">
        <v>19895</v>
      </c>
      <c r="I13" s="234">
        <v>19395</v>
      </c>
      <c r="J13" s="233">
        <v>0</v>
      </c>
      <c r="M13" s="364"/>
    </row>
    <row r="14" spans="1:13" s="363" customFormat="1" ht="15" customHeight="1" x14ac:dyDescent="0.2">
      <c r="A14" s="236" t="s">
        <v>274</v>
      </c>
      <c r="B14" s="262">
        <v>78081.450000000012</v>
      </c>
      <c r="C14" s="234">
        <v>0</v>
      </c>
      <c r="D14" s="235">
        <v>0</v>
      </c>
      <c r="E14" s="234">
        <v>0</v>
      </c>
      <c r="F14" s="235">
        <v>0</v>
      </c>
      <c r="G14" s="234">
        <v>0</v>
      </c>
      <c r="H14" s="261">
        <v>57665</v>
      </c>
      <c r="I14" s="234">
        <v>54735</v>
      </c>
      <c r="J14" s="233">
        <v>0</v>
      </c>
      <c r="M14" s="364"/>
    </row>
    <row r="15" spans="1:13" s="363" customFormat="1" ht="15" customHeight="1" x14ac:dyDescent="0.2">
      <c r="A15" s="236" t="s">
        <v>273</v>
      </c>
      <c r="B15" s="262">
        <v>99999.319999999992</v>
      </c>
      <c r="C15" s="234">
        <v>0</v>
      </c>
      <c r="D15" s="235">
        <v>0</v>
      </c>
      <c r="E15" s="234">
        <v>0</v>
      </c>
      <c r="F15" s="235">
        <v>0</v>
      </c>
      <c r="G15" s="234">
        <v>0</v>
      </c>
      <c r="H15" s="261">
        <v>58609</v>
      </c>
      <c r="I15" s="234">
        <f>42733-14612.93</f>
        <v>28120.07</v>
      </c>
      <c r="J15" s="233">
        <v>14612.93</v>
      </c>
      <c r="M15" s="364"/>
    </row>
    <row r="16" spans="1:13" s="363" customFormat="1" ht="15" customHeight="1" x14ac:dyDescent="0.2">
      <c r="A16" s="236" t="s">
        <v>272</v>
      </c>
      <c r="B16" s="262">
        <v>71000.240000000005</v>
      </c>
      <c r="C16" s="234">
        <v>0</v>
      </c>
      <c r="D16" s="235">
        <v>0</v>
      </c>
      <c r="E16" s="234">
        <v>0</v>
      </c>
      <c r="F16" s="235">
        <v>0</v>
      </c>
      <c r="G16" s="234">
        <v>0</v>
      </c>
      <c r="H16" s="261">
        <v>21140</v>
      </c>
      <c r="I16" s="234">
        <f>19835-4318.79</f>
        <v>15516.21</v>
      </c>
      <c r="J16" s="233">
        <v>4318.7900000000009</v>
      </c>
      <c r="M16" s="364"/>
    </row>
    <row r="17" spans="1:13" s="363" customFormat="1" ht="15" customHeight="1" x14ac:dyDescent="0.2">
      <c r="A17" s="236" t="s">
        <v>271</v>
      </c>
      <c r="B17" s="262">
        <v>114999.84999999999</v>
      </c>
      <c r="C17" s="234">
        <v>0</v>
      </c>
      <c r="D17" s="235">
        <v>0</v>
      </c>
      <c r="E17" s="234">
        <v>0</v>
      </c>
      <c r="F17" s="235">
        <v>0</v>
      </c>
      <c r="G17" s="234">
        <v>0</v>
      </c>
      <c r="H17" s="261">
        <v>35957</v>
      </c>
      <c r="I17" s="234">
        <f>35342-11979.58</f>
        <v>23362.42</v>
      </c>
      <c r="J17" s="233">
        <v>11979.58</v>
      </c>
      <c r="M17" s="364"/>
    </row>
    <row r="18" spans="1:13" s="363" customFormat="1" ht="15" customHeight="1" x14ac:dyDescent="0.2">
      <c r="A18" s="236" t="s">
        <v>270</v>
      </c>
      <c r="B18" s="262">
        <v>71999.999999999985</v>
      </c>
      <c r="C18" s="234">
        <v>0</v>
      </c>
      <c r="D18" s="235">
        <v>0</v>
      </c>
      <c r="E18" s="234">
        <v>0</v>
      </c>
      <c r="F18" s="235">
        <v>0</v>
      </c>
      <c r="G18" s="234">
        <v>0</v>
      </c>
      <c r="H18" s="261">
        <v>17848</v>
      </c>
      <c r="I18" s="234">
        <f>16898-593.72</f>
        <v>16304.28</v>
      </c>
      <c r="J18" s="233">
        <v>593.72</v>
      </c>
      <c r="M18" s="364"/>
    </row>
    <row r="19" spans="1:13" s="363" customFormat="1" ht="15" customHeight="1" x14ac:dyDescent="0.2">
      <c r="A19" s="236" t="s">
        <v>269</v>
      </c>
      <c r="B19" s="262">
        <v>173003.59</v>
      </c>
      <c r="C19" s="234">
        <v>0</v>
      </c>
      <c r="D19" s="235">
        <v>0</v>
      </c>
      <c r="E19" s="234">
        <v>0</v>
      </c>
      <c r="F19" s="235">
        <v>0</v>
      </c>
      <c r="G19" s="234">
        <v>0</v>
      </c>
      <c r="H19" s="261">
        <v>64040</v>
      </c>
      <c r="I19" s="234">
        <f>62970-34375.69</f>
        <v>28594.309999999998</v>
      </c>
      <c r="J19" s="233">
        <v>34375.69</v>
      </c>
      <c r="M19" s="364"/>
    </row>
    <row r="20" spans="1:13" s="363" customFormat="1" ht="15" customHeight="1" x14ac:dyDescent="0.2">
      <c r="A20" s="236" t="s">
        <v>268</v>
      </c>
      <c r="B20" s="262">
        <v>56000.01</v>
      </c>
      <c r="C20" s="234">
        <v>0</v>
      </c>
      <c r="D20" s="235">
        <v>0</v>
      </c>
      <c r="E20" s="234">
        <v>0</v>
      </c>
      <c r="F20" s="235">
        <v>0</v>
      </c>
      <c r="G20" s="234">
        <v>0</v>
      </c>
      <c r="H20" s="261">
        <v>46325</v>
      </c>
      <c r="I20" s="234">
        <f>45095-45095</f>
        <v>0</v>
      </c>
      <c r="J20" s="233">
        <v>45095</v>
      </c>
      <c r="M20" s="364"/>
    </row>
    <row r="21" spans="1:13" ht="24" customHeight="1" x14ac:dyDescent="0.2">
      <c r="A21" s="251" t="s">
        <v>148</v>
      </c>
      <c r="B21" s="264">
        <v>1364000</v>
      </c>
      <c r="C21" s="241">
        <v>138500</v>
      </c>
      <c r="D21" s="264">
        <v>15650</v>
      </c>
      <c r="E21" s="241">
        <v>0</v>
      </c>
      <c r="F21" s="242">
        <v>122850</v>
      </c>
      <c r="G21" s="241">
        <v>120000</v>
      </c>
      <c r="H21" s="263">
        <v>35000</v>
      </c>
      <c r="I21" s="241">
        <v>0</v>
      </c>
      <c r="J21" s="240">
        <v>33500</v>
      </c>
    </row>
    <row r="22" spans="1:13" ht="15" customHeight="1" x14ac:dyDescent="0.2">
      <c r="A22" s="229" t="s">
        <v>146</v>
      </c>
      <c r="B22" s="264">
        <v>107000</v>
      </c>
      <c r="C22" s="241">
        <v>106650</v>
      </c>
      <c r="D22" s="242">
        <v>15165</v>
      </c>
      <c r="E22" s="241">
        <v>0</v>
      </c>
      <c r="F22" s="242">
        <v>91485</v>
      </c>
      <c r="G22" s="241">
        <v>90000</v>
      </c>
      <c r="H22" s="263">
        <v>25000</v>
      </c>
      <c r="I22" s="241">
        <v>0</v>
      </c>
      <c r="J22" s="240">
        <v>24700</v>
      </c>
      <c r="M22" s="69"/>
    </row>
    <row r="23" spans="1:13" ht="15" customHeight="1" x14ac:dyDescent="0.2">
      <c r="A23" s="229" t="s">
        <v>145</v>
      </c>
      <c r="B23" s="264">
        <v>78000</v>
      </c>
      <c r="C23" s="241">
        <v>77650</v>
      </c>
      <c r="D23" s="242">
        <v>10465</v>
      </c>
      <c r="E23" s="241">
        <v>0</v>
      </c>
      <c r="F23" s="242">
        <v>67185</v>
      </c>
      <c r="G23" s="241">
        <v>66500</v>
      </c>
      <c r="H23" s="263">
        <v>0</v>
      </c>
      <c r="I23" s="241">
        <v>0</v>
      </c>
      <c r="J23" s="240">
        <v>0</v>
      </c>
      <c r="M23" s="69"/>
    </row>
    <row r="24" spans="1:13" ht="15" customHeight="1" x14ac:dyDescent="0.2">
      <c r="A24" s="229" t="s">
        <v>144</v>
      </c>
      <c r="B24" s="264">
        <v>33000</v>
      </c>
      <c r="C24" s="241">
        <v>32650</v>
      </c>
      <c r="D24" s="242">
        <v>4615</v>
      </c>
      <c r="E24" s="241">
        <v>0</v>
      </c>
      <c r="F24" s="242">
        <v>28035</v>
      </c>
      <c r="G24" s="241">
        <v>27500</v>
      </c>
      <c r="H24" s="263">
        <v>0</v>
      </c>
      <c r="I24" s="241">
        <v>0</v>
      </c>
      <c r="J24" s="240">
        <v>0</v>
      </c>
      <c r="M24" s="69"/>
    </row>
    <row r="25" spans="1:13" ht="45" customHeight="1" x14ac:dyDescent="0.2">
      <c r="A25" s="251" t="s">
        <v>143</v>
      </c>
      <c r="B25" s="264">
        <v>4741</v>
      </c>
      <c r="C25" s="241">
        <v>1000</v>
      </c>
      <c r="D25" s="264">
        <v>150</v>
      </c>
      <c r="E25" s="241">
        <v>0</v>
      </c>
      <c r="F25" s="242">
        <v>850</v>
      </c>
      <c r="G25" s="241">
        <v>700</v>
      </c>
      <c r="H25" s="263">
        <v>0</v>
      </c>
      <c r="I25" s="241">
        <v>0</v>
      </c>
      <c r="J25" s="240">
        <v>0</v>
      </c>
    </row>
    <row r="26" spans="1:13" ht="34.5" customHeight="1" x14ac:dyDescent="0.2">
      <c r="A26" s="251" t="s">
        <v>140</v>
      </c>
      <c r="B26" s="264">
        <v>30000</v>
      </c>
      <c r="C26" s="241">
        <v>30000</v>
      </c>
      <c r="D26" s="264">
        <v>30000</v>
      </c>
      <c r="E26" s="241">
        <v>0</v>
      </c>
      <c r="F26" s="242">
        <v>0</v>
      </c>
      <c r="G26" s="241">
        <v>0</v>
      </c>
      <c r="H26" s="263">
        <v>0</v>
      </c>
      <c r="I26" s="241">
        <v>0</v>
      </c>
      <c r="J26" s="240">
        <v>0</v>
      </c>
    </row>
    <row r="27" spans="1:13" ht="15" customHeight="1" x14ac:dyDescent="0.2">
      <c r="A27" s="232" t="s">
        <v>139</v>
      </c>
      <c r="B27" s="231" t="s">
        <v>118</v>
      </c>
      <c r="C27" s="54">
        <f t="shared" ref="C27:J27" si="0">SUM(C7:C26)</f>
        <v>386450</v>
      </c>
      <c r="D27" s="54">
        <f t="shared" si="0"/>
        <v>76045</v>
      </c>
      <c r="E27" s="54">
        <f t="shared" si="0"/>
        <v>0</v>
      </c>
      <c r="F27" s="54">
        <f t="shared" si="0"/>
        <v>310405</v>
      </c>
      <c r="G27" s="54">
        <f t="shared" si="0"/>
        <v>304700</v>
      </c>
      <c r="H27" s="54">
        <f t="shared" si="0"/>
        <v>619796</v>
      </c>
      <c r="I27" s="54">
        <f t="shared" si="0"/>
        <v>299640.03000000003</v>
      </c>
      <c r="J27" s="230">
        <f t="shared" si="0"/>
        <v>279520.96785000002</v>
      </c>
      <c r="K27" s="260"/>
    </row>
    <row r="28" spans="1:13" ht="18" customHeight="1" x14ac:dyDescent="0.2">
      <c r="A28" s="443" t="s">
        <v>138</v>
      </c>
      <c r="B28" s="444"/>
      <c r="C28" s="444"/>
      <c r="D28" s="444"/>
      <c r="E28" s="444"/>
      <c r="F28" s="444"/>
      <c r="G28" s="444"/>
      <c r="H28" s="444"/>
      <c r="I28" s="445"/>
      <c r="J28" s="237"/>
    </row>
    <row r="29" spans="1:13" s="363" customFormat="1" ht="15" customHeight="1" x14ac:dyDescent="0.2">
      <c r="A29" s="238" t="s">
        <v>267</v>
      </c>
      <c r="B29" s="235">
        <v>251520.56</v>
      </c>
      <c r="C29" s="234">
        <v>0</v>
      </c>
      <c r="D29" s="235">
        <v>0</v>
      </c>
      <c r="E29" s="234">
        <v>0</v>
      </c>
      <c r="F29" s="235">
        <v>0</v>
      </c>
      <c r="G29" s="234">
        <v>0</v>
      </c>
      <c r="H29" s="234">
        <v>100501</v>
      </c>
      <c r="I29" s="234">
        <f>98148-87694.62</f>
        <v>10453.380000000005</v>
      </c>
      <c r="J29" s="233">
        <v>87694.619739999995</v>
      </c>
    </row>
    <row r="30" spans="1:13" s="363" customFormat="1" ht="15" customHeight="1" x14ac:dyDescent="0.2">
      <c r="A30" s="239" t="s">
        <v>266</v>
      </c>
      <c r="B30" s="235">
        <v>193052.5</v>
      </c>
      <c r="C30" s="234">
        <v>0</v>
      </c>
      <c r="D30" s="235">
        <v>0</v>
      </c>
      <c r="E30" s="234">
        <v>0</v>
      </c>
      <c r="F30" s="235">
        <v>0</v>
      </c>
      <c r="G30" s="234">
        <v>0</v>
      </c>
      <c r="H30" s="234">
        <v>163840</v>
      </c>
      <c r="I30" s="234">
        <f>163326-163326</f>
        <v>0</v>
      </c>
      <c r="J30" s="233">
        <v>163325.79999999999</v>
      </c>
    </row>
    <row r="31" spans="1:13" s="363" customFormat="1" ht="15" customHeight="1" x14ac:dyDescent="0.2">
      <c r="A31" s="239" t="s">
        <v>265</v>
      </c>
      <c r="B31" s="235">
        <v>123200.04</v>
      </c>
      <c r="C31" s="234">
        <v>0</v>
      </c>
      <c r="D31" s="235">
        <v>0</v>
      </c>
      <c r="E31" s="234">
        <v>0</v>
      </c>
      <c r="F31" s="235">
        <v>0</v>
      </c>
      <c r="G31" s="234">
        <v>0</v>
      </c>
      <c r="H31" s="234">
        <v>104720</v>
      </c>
      <c r="I31" s="234">
        <f>104127-104127</f>
        <v>0</v>
      </c>
      <c r="J31" s="233">
        <v>104127</v>
      </c>
    </row>
    <row r="32" spans="1:13" s="363" customFormat="1" ht="24" customHeight="1" x14ac:dyDescent="0.2">
      <c r="A32" s="239" t="s">
        <v>372</v>
      </c>
      <c r="B32" s="235">
        <v>110970.59</v>
      </c>
      <c r="C32" s="234">
        <v>0</v>
      </c>
      <c r="D32" s="235">
        <v>0</v>
      </c>
      <c r="E32" s="234">
        <v>0</v>
      </c>
      <c r="F32" s="235">
        <v>0</v>
      </c>
      <c r="G32" s="234">
        <v>0</v>
      </c>
      <c r="H32" s="234">
        <v>513</v>
      </c>
      <c r="I32" s="234">
        <v>0</v>
      </c>
      <c r="J32" s="233">
        <v>0</v>
      </c>
    </row>
    <row r="33" spans="1:10" s="363" customFormat="1" ht="24" customHeight="1" x14ac:dyDescent="0.2">
      <c r="A33" s="239" t="s">
        <v>366</v>
      </c>
      <c r="B33" s="235">
        <v>105402.66</v>
      </c>
      <c r="C33" s="234">
        <v>0</v>
      </c>
      <c r="D33" s="235">
        <v>0</v>
      </c>
      <c r="E33" s="234">
        <v>0</v>
      </c>
      <c r="F33" s="235">
        <v>0</v>
      </c>
      <c r="G33" s="234">
        <v>0</v>
      </c>
      <c r="H33" s="234">
        <v>440</v>
      </c>
      <c r="I33" s="234">
        <v>0</v>
      </c>
      <c r="J33" s="233">
        <v>0</v>
      </c>
    </row>
    <row r="34" spans="1:10" s="363" customFormat="1" ht="24" customHeight="1" x14ac:dyDescent="0.2">
      <c r="A34" s="239" t="s">
        <v>264</v>
      </c>
      <c r="B34" s="235">
        <v>30500</v>
      </c>
      <c r="C34" s="234">
        <v>0</v>
      </c>
      <c r="D34" s="235">
        <v>0</v>
      </c>
      <c r="E34" s="234">
        <v>0</v>
      </c>
      <c r="F34" s="235">
        <v>0</v>
      </c>
      <c r="G34" s="234">
        <v>0</v>
      </c>
      <c r="H34" s="234">
        <v>14736</v>
      </c>
      <c r="I34" s="234">
        <v>4110</v>
      </c>
      <c r="J34" s="233">
        <v>0</v>
      </c>
    </row>
    <row r="35" spans="1:10" s="363" customFormat="1" ht="15" customHeight="1" x14ac:dyDescent="0.2">
      <c r="A35" s="239" t="s">
        <v>263</v>
      </c>
      <c r="B35" s="235">
        <v>255367.02</v>
      </c>
      <c r="C35" s="234">
        <v>0</v>
      </c>
      <c r="D35" s="235">
        <v>0</v>
      </c>
      <c r="E35" s="234">
        <v>0</v>
      </c>
      <c r="F35" s="235">
        <v>0</v>
      </c>
      <c r="G35" s="234">
        <v>0</v>
      </c>
      <c r="H35" s="234">
        <v>92291</v>
      </c>
      <c r="I35" s="234">
        <v>42304</v>
      </c>
      <c r="J35" s="233">
        <v>0</v>
      </c>
    </row>
    <row r="36" spans="1:10" ht="15" customHeight="1" x14ac:dyDescent="0.2">
      <c r="A36" s="229" t="s">
        <v>137</v>
      </c>
      <c r="B36" s="242">
        <v>95000</v>
      </c>
      <c r="C36" s="241">
        <v>2000</v>
      </c>
      <c r="D36" s="242">
        <v>200</v>
      </c>
      <c r="E36" s="241">
        <v>0</v>
      </c>
      <c r="F36" s="242">
        <v>1800</v>
      </c>
      <c r="G36" s="241">
        <v>1300</v>
      </c>
      <c r="H36" s="241">
        <v>1000</v>
      </c>
      <c r="I36" s="241">
        <v>0</v>
      </c>
      <c r="J36" s="240">
        <v>700</v>
      </c>
    </row>
    <row r="37" spans="1:10" ht="15" customHeight="1" x14ac:dyDescent="0.2">
      <c r="A37" s="229" t="s">
        <v>136</v>
      </c>
      <c r="B37" s="242">
        <v>128000</v>
      </c>
      <c r="C37" s="241">
        <v>5000</v>
      </c>
      <c r="D37" s="242">
        <v>500</v>
      </c>
      <c r="E37" s="241">
        <v>0</v>
      </c>
      <c r="F37" s="242">
        <v>4500</v>
      </c>
      <c r="G37" s="241">
        <v>4000</v>
      </c>
      <c r="H37" s="241">
        <v>0</v>
      </c>
      <c r="I37" s="241">
        <v>0</v>
      </c>
      <c r="J37" s="240">
        <v>0</v>
      </c>
    </row>
    <row r="38" spans="1:10" ht="15" customHeight="1" x14ac:dyDescent="0.2">
      <c r="A38" s="232" t="s">
        <v>135</v>
      </c>
      <c r="B38" s="259" t="s">
        <v>118</v>
      </c>
      <c r="C38" s="259">
        <f t="shared" ref="C38:J38" si="1">SUM(C29:C37)</f>
        <v>7000</v>
      </c>
      <c r="D38" s="259">
        <f t="shared" si="1"/>
        <v>700</v>
      </c>
      <c r="E38" s="259">
        <f t="shared" si="1"/>
        <v>0</v>
      </c>
      <c r="F38" s="259">
        <f t="shared" si="1"/>
        <v>6300</v>
      </c>
      <c r="G38" s="259">
        <f t="shared" si="1"/>
        <v>5300</v>
      </c>
      <c r="H38" s="259">
        <f t="shared" si="1"/>
        <v>478041</v>
      </c>
      <c r="I38" s="259">
        <f t="shared" si="1"/>
        <v>56867.380000000005</v>
      </c>
      <c r="J38" s="258">
        <f t="shared" si="1"/>
        <v>355847.41973999998</v>
      </c>
    </row>
    <row r="39" spans="1:10" ht="18" customHeight="1" x14ac:dyDescent="0.2">
      <c r="A39" s="443" t="s">
        <v>134</v>
      </c>
      <c r="B39" s="444"/>
      <c r="C39" s="444"/>
      <c r="D39" s="444"/>
      <c r="E39" s="444"/>
      <c r="F39" s="444"/>
      <c r="G39" s="444"/>
      <c r="H39" s="444"/>
      <c r="I39" s="445"/>
      <c r="J39" s="237"/>
    </row>
    <row r="40" spans="1:10" s="363" customFormat="1" ht="15" customHeight="1" x14ac:dyDescent="0.2">
      <c r="A40" s="238" t="s">
        <v>262</v>
      </c>
      <c r="B40" s="235">
        <v>50687.590000000004</v>
      </c>
      <c r="C40" s="234">
        <v>0</v>
      </c>
      <c r="D40" s="235">
        <v>0</v>
      </c>
      <c r="E40" s="234">
        <v>0</v>
      </c>
      <c r="F40" s="235">
        <v>0</v>
      </c>
      <c r="G40" s="234">
        <v>0</v>
      </c>
      <c r="H40" s="234">
        <v>26200</v>
      </c>
      <c r="I40" s="234">
        <f>21200-5559</f>
        <v>15641</v>
      </c>
      <c r="J40" s="233">
        <v>5559</v>
      </c>
    </row>
    <row r="41" spans="1:10" s="363" customFormat="1" ht="24" customHeight="1" x14ac:dyDescent="0.2">
      <c r="A41" s="238" t="s">
        <v>261</v>
      </c>
      <c r="B41" s="235">
        <v>6018.6399999999994</v>
      </c>
      <c r="C41" s="234">
        <v>0</v>
      </c>
      <c r="D41" s="235">
        <v>0</v>
      </c>
      <c r="E41" s="234">
        <v>0</v>
      </c>
      <c r="F41" s="235">
        <v>0</v>
      </c>
      <c r="G41" s="234">
        <v>0</v>
      </c>
      <c r="H41" s="234">
        <v>5029</v>
      </c>
      <c r="I41" s="234">
        <v>3905</v>
      </c>
      <c r="J41" s="233">
        <v>0</v>
      </c>
    </row>
    <row r="42" spans="1:10" ht="24" customHeight="1" x14ac:dyDescent="0.2">
      <c r="A42" s="244" t="s">
        <v>133</v>
      </c>
      <c r="B42" s="242">
        <v>50000</v>
      </c>
      <c r="C42" s="241">
        <v>15000</v>
      </c>
      <c r="D42" s="242">
        <v>1950</v>
      </c>
      <c r="E42" s="241">
        <v>0</v>
      </c>
      <c r="F42" s="242">
        <v>13050</v>
      </c>
      <c r="G42" s="241">
        <v>12550</v>
      </c>
      <c r="H42" s="241">
        <v>0</v>
      </c>
      <c r="I42" s="241">
        <v>0</v>
      </c>
      <c r="J42" s="240">
        <v>0</v>
      </c>
    </row>
    <row r="43" spans="1:10" ht="15" customHeight="1" x14ac:dyDescent="0.2">
      <c r="A43" s="244" t="s">
        <v>132</v>
      </c>
      <c r="B43" s="242">
        <v>30000</v>
      </c>
      <c r="C43" s="241">
        <v>10000</v>
      </c>
      <c r="D43" s="242">
        <v>1000</v>
      </c>
      <c r="E43" s="241">
        <v>0</v>
      </c>
      <c r="F43" s="242">
        <v>9000</v>
      </c>
      <c r="G43" s="241">
        <v>8500</v>
      </c>
      <c r="H43" s="241">
        <v>0</v>
      </c>
      <c r="I43" s="241">
        <v>0</v>
      </c>
      <c r="J43" s="240">
        <v>0</v>
      </c>
    </row>
    <row r="44" spans="1:10" ht="15" customHeight="1" x14ac:dyDescent="0.2">
      <c r="A44" s="244" t="s">
        <v>131</v>
      </c>
      <c r="B44" s="242">
        <v>24000</v>
      </c>
      <c r="C44" s="241">
        <v>15000</v>
      </c>
      <c r="D44" s="242">
        <v>1500</v>
      </c>
      <c r="E44" s="241">
        <v>0</v>
      </c>
      <c r="F44" s="242">
        <v>13500</v>
      </c>
      <c r="G44" s="241">
        <v>13200</v>
      </c>
      <c r="H44" s="241">
        <v>0</v>
      </c>
      <c r="I44" s="241">
        <v>0</v>
      </c>
      <c r="J44" s="240">
        <v>0</v>
      </c>
    </row>
    <row r="45" spans="1:10" ht="15" customHeight="1" x14ac:dyDescent="0.2">
      <c r="A45" s="244" t="s">
        <v>130</v>
      </c>
      <c r="B45" s="242">
        <v>500000</v>
      </c>
      <c r="C45" s="241">
        <v>4000</v>
      </c>
      <c r="D45" s="242">
        <v>400</v>
      </c>
      <c r="E45" s="241">
        <v>0</v>
      </c>
      <c r="F45" s="242">
        <v>3600</v>
      </c>
      <c r="G45" s="241">
        <v>0</v>
      </c>
      <c r="H45" s="241">
        <v>0</v>
      </c>
      <c r="I45" s="241">
        <v>0</v>
      </c>
      <c r="J45" s="240">
        <v>0</v>
      </c>
    </row>
    <row r="46" spans="1:10" ht="15" customHeight="1" x14ac:dyDescent="0.2">
      <c r="A46" s="244" t="s">
        <v>128</v>
      </c>
      <c r="B46" s="242">
        <v>50000</v>
      </c>
      <c r="C46" s="241">
        <v>15000</v>
      </c>
      <c r="D46" s="242">
        <v>1950</v>
      </c>
      <c r="E46" s="241">
        <v>0</v>
      </c>
      <c r="F46" s="242">
        <v>13050</v>
      </c>
      <c r="G46" s="241">
        <v>12550</v>
      </c>
      <c r="H46" s="241">
        <v>0</v>
      </c>
      <c r="I46" s="241">
        <v>0</v>
      </c>
      <c r="J46" s="240">
        <v>0</v>
      </c>
    </row>
    <row r="47" spans="1:10" ht="15" customHeight="1" x14ac:dyDescent="0.2">
      <c r="A47" s="244" t="s">
        <v>127</v>
      </c>
      <c r="B47" s="242">
        <v>65000</v>
      </c>
      <c r="C47" s="241">
        <v>1000</v>
      </c>
      <c r="D47" s="242">
        <v>100</v>
      </c>
      <c r="E47" s="241">
        <v>0</v>
      </c>
      <c r="F47" s="242">
        <v>900</v>
      </c>
      <c r="G47" s="241">
        <v>0</v>
      </c>
      <c r="H47" s="241">
        <v>0</v>
      </c>
      <c r="I47" s="241">
        <v>0</v>
      </c>
      <c r="J47" s="240">
        <v>0</v>
      </c>
    </row>
    <row r="48" spans="1:10" ht="15" customHeight="1" x14ac:dyDescent="0.2">
      <c r="A48" s="232" t="s">
        <v>125</v>
      </c>
      <c r="B48" s="259" t="s">
        <v>118</v>
      </c>
      <c r="C48" s="259">
        <f t="shared" ref="C48:J48" si="2">SUM(C40:C47)</f>
        <v>60000</v>
      </c>
      <c r="D48" s="259">
        <f t="shared" si="2"/>
        <v>6900</v>
      </c>
      <c r="E48" s="259">
        <f t="shared" si="2"/>
        <v>0</v>
      </c>
      <c r="F48" s="259">
        <f t="shared" si="2"/>
        <v>53100</v>
      </c>
      <c r="G48" s="259">
        <f t="shared" si="2"/>
        <v>46800</v>
      </c>
      <c r="H48" s="259">
        <f t="shared" si="2"/>
        <v>31229</v>
      </c>
      <c r="I48" s="259">
        <f t="shared" si="2"/>
        <v>19546</v>
      </c>
      <c r="J48" s="258">
        <f t="shared" si="2"/>
        <v>5559</v>
      </c>
    </row>
    <row r="49" spans="1:10" ht="18" customHeight="1" x14ac:dyDescent="0.2">
      <c r="A49" s="443" t="s">
        <v>124</v>
      </c>
      <c r="B49" s="444"/>
      <c r="C49" s="444"/>
      <c r="D49" s="444"/>
      <c r="E49" s="444"/>
      <c r="F49" s="444"/>
      <c r="G49" s="444"/>
      <c r="H49" s="444"/>
      <c r="I49" s="444"/>
      <c r="J49" s="448"/>
    </row>
    <row r="50" spans="1:10" s="363" customFormat="1" ht="15" customHeight="1" x14ac:dyDescent="0.2">
      <c r="A50" s="238" t="s">
        <v>386</v>
      </c>
      <c r="B50" s="245">
        <v>3277.0299999999997</v>
      </c>
      <c r="C50" s="234">
        <v>0</v>
      </c>
      <c r="D50" s="235">
        <v>0</v>
      </c>
      <c r="E50" s="234">
        <v>0</v>
      </c>
      <c r="F50" s="235">
        <v>0</v>
      </c>
      <c r="G50" s="234">
        <v>0</v>
      </c>
      <c r="H50" s="234">
        <v>500</v>
      </c>
      <c r="I50" s="257">
        <v>0</v>
      </c>
      <c r="J50" s="256">
        <v>0</v>
      </c>
    </row>
    <row r="51" spans="1:10" ht="15" customHeight="1" x14ac:dyDescent="0.2">
      <c r="A51" s="244" t="s">
        <v>121</v>
      </c>
      <c r="B51" s="248">
        <v>25870</v>
      </c>
      <c r="C51" s="241">
        <v>14200</v>
      </c>
      <c r="D51" s="242">
        <v>4200</v>
      </c>
      <c r="E51" s="241">
        <v>0</v>
      </c>
      <c r="F51" s="242">
        <v>10000</v>
      </c>
      <c r="G51" s="241">
        <v>0</v>
      </c>
      <c r="H51" s="241">
        <v>0</v>
      </c>
      <c r="I51" s="358">
        <v>0</v>
      </c>
      <c r="J51" s="357">
        <v>0</v>
      </c>
    </row>
    <row r="52" spans="1:10" ht="15" customHeight="1" x14ac:dyDescent="0.2">
      <c r="A52" s="244" t="s">
        <v>123</v>
      </c>
      <c r="B52" s="242">
        <v>1650</v>
      </c>
      <c r="C52" s="241">
        <v>200</v>
      </c>
      <c r="D52" s="242">
        <v>200</v>
      </c>
      <c r="E52" s="241">
        <v>0</v>
      </c>
      <c r="F52" s="242">
        <v>0</v>
      </c>
      <c r="G52" s="241">
        <v>0</v>
      </c>
      <c r="H52" s="241">
        <v>0</v>
      </c>
      <c r="I52" s="358">
        <v>0</v>
      </c>
      <c r="J52" s="357">
        <v>0</v>
      </c>
    </row>
    <row r="53" spans="1:10" ht="15" customHeight="1" x14ac:dyDescent="0.2">
      <c r="A53" s="244" t="s">
        <v>260</v>
      </c>
      <c r="B53" s="248">
        <v>50000</v>
      </c>
      <c r="C53" s="241">
        <v>50000</v>
      </c>
      <c r="D53" s="242">
        <v>28750</v>
      </c>
      <c r="E53" s="241">
        <v>0</v>
      </c>
      <c r="F53" s="242">
        <v>21250</v>
      </c>
      <c r="G53" s="241">
        <v>0</v>
      </c>
      <c r="H53" s="241">
        <v>0</v>
      </c>
      <c r="I53" s="358">
        <v>0</v>
      </c>
      <c r="J53" s="357">
        <v>0</v>
      </c>
    </row>
    <row r="54" spans="1:10" ht="24" customHeight="1" x14ac:dyDescent="0.2">
      <c r="A54" s="244" t="s">
        <v>116</v>
      </c>
      <c r="B54" s="248">
        <v>1768</v>
      </c>
      <c r="C54" s="241">
        <v>698</v>
      </c>
      <c r="D54" s="242">
        <v>70</v>
      </c>
      <c r="E54" s="241">
        <v>0</v>
      </c>
      <c r="F54" s="242">
        <v>628</v>
      </c>
      <c r="G54" s="241">
        <v>0</v>
      </c>
      <c r="H54" s="241">
        <v>430</v>
      </c>
      <c r="I54" s="358">
        <v>0</v>
      </c>
      <c r="J54" s="357">
        <v>0</v>
      </c>
    </row>
    <row r="55" spans="1:10" ht="15" customHeight="1" x14ac:dyDescent="0.2">
      <c r="A55" s="232" t="s">
        <v>115</v>
      </c>
      <c r="B55" s="255" t="s">
        <v>118</v>
      </c>
      <c r="C55" s="254">
        <f t="shared" ref="C55:J55" si="3">SUM(C50:C54)</f>
        <v>65098</v>
      </c>
      <c r="D55" s="254">
        <f t="shared" si="3"/>
        <v>33220</v>
      </c>
      <c r="E55" s="254">
        <f t="shared" si="3"/>
        <v>0</v>
      </c>
      <c r="F55" s="254">
        <f t="shared" si="3"/>
        <v>31878</v>
      </c>
      <c r="G55" s="254">
        <f t="shared" si="3"/>
        <v>0</v>
      </c>
      <c r="H55" s="254">
        <f t="shared" si="3"/>
        <v>930</v>
      </c>
      <c r="I55" s="254">
        <f t="shared" si="3"/>
        <v>0</v>
      </c>
      <c r="J55" s="253">
        <f t="shared" si="3"/>
        <v>0</v>
      </c>
    </row>
    <row r="56" spans="1:10" ht="18" customHeight="1" x14ac:dyDescent="0.2">
      <c r="A56" s="443" t="s">
        <v>114</v>
      </c>
      <c r="B56" s="444"/>
      <c r="C56" s="444"/>
      <c r="D56" s="444"/>
      <c r="E56" s="444"/>
      <c r="F56" s="444"/>
      <c r="G56" s="444"/>
      <c r="H56" s="444"/>
      <c r="I56" s="445"/>
      <c r="J56" s="237"/>
    </row>
    <row r="57" spans="1:10" s="363" customFormat="1" ht="15" customHeight="1" x14ac:dyDescent="0.2">
      <c r="A57" s="238" t="s">
        <v>259</v>
      </c>
      <c r="B57" s="235">
        <v>9688.380000000001</v>
      </c>
      <c r="C57" s="234">
        <v>0</v>
      </c>
      <c r="D57" s="235">
        <v>0</v>
      </c>
      <c r="E57" s="234">
        <v>0</v>
      </c>
      <c r="F57" s="235">
        <v>0</v>
      </c>
      <c r="G57" s="234">
        <v>0</v>
      </c>
      <c r="H57" s="234">
        <v>7980</v>
      </c>
      <c r="I57" s="234">
        <v>6163</v>
      </c>
      <c r="J57" s="233">
        <v>0</v>
      </c>
    </row>
    <row r="58" spans="1:10" ht="15" customHeight="1" x14ac:dyDescent="0.2">
      <c r="A58" s="244" t="s">
        <v>113</v>
      </c>
      <c r="B58" s="248">
        <v>28000</v>
      </c>
      <c r="C58" s="241">
        <v>100</v>
      </c>
      <c r="D58" s="242">
        <v>10</v>
      </c>
      <c r="E58" s="241">
        <v>0</v>
      </c>
      <c r="F58" s="242">
        <v>90</v>
      </c>
      <c r="G58" s="241">
        <v>0</v>
      </c>
      <c r="H58" s="241">
        <v>0</v>
      </c>
      <c r="I58" s="241">
        <v>0</v>
      </c>
      <c r="J58" s="240">
        <v>0</v>
      </c>
    </row>
    <row r="59" spans="1:10" ht="24" customHeight="1" x14ac:dyDescent="0.2">
      <c r="A59" s="244" t="s">
        <v>111</v>
      </c>
      <c r="B59" s="248">
        <v>10500</v>
      </c>
      <c r="C59" s="241">
        <v>550</v>
      </c>
      <c r="D59" s="242">
        <v>100</v>
      </c>
      <c r="E59" s="241">
        <v>0</v>
      </c>
      <c r="F59" s="242">
        <v>450</v>
      </c>
      <c r="G59" s="241">
        <v>0</v>
      </c>
      <c r="H59" s="241">
        <v>0</v>
      </c>
      <c r="I59" s="241">
        <v>0</v>
      </c>
      <c r="J59" s="240">
        <v>0</v>
      </c>
    </row>
    <row r="60" spans="1:10" ht="15" customHeight="1" x14ac:dyDescent="0.2">
      <c r="A60" s="244" t="s">
        <v>109</v>
      </c>
      <c r="B60" s="248">
        <v>10500</v>
      </c>
      <c r="C60" s="241">
        <v>1550</v>
      </c>
      <c r="D60" s="242">
        <v>200</v>
      </c>
      <c r="E60" s="241">
        <v>0</v>
      </c>
      <c r="F60" s="242">
        <v>1350</v>
      </c>
      <c r="G60" s="241">
        <v>0</v>
      </c>
      <c r="H60" s="241">
        <v>0</v>
      </c>
      <c r="I60" s="241">
        <v>0</v>
      </c>
      <c r="J60" s="240">
        <v>0</v>
      </c>
    </row>
    <row r="61" spans="1:10" ht="15" customHeight="1" x14ac:dyDescent="0.2">
      <c r="A61" s="244" t="s">
        <v>107</v>
      </c>
      <c r="B61" s="248">
        <v>10500</v>
      </c>
      <c r="C61" s="241">
        <v>100</v>
      </c>
      <c r="D61" s="242">
        <v>10</v>
      </c>
      <c r="E61" s="241">
        <v>0</v>
      </c>
      <c r="F61" s="242">
        <v>90</v>
      </c>
      <c r="G61" s="241">
        <v>0</v>
      </c>
      <c r="H61" s="241">
        <v>0</v>
      </c>
      <c r="I61" s="241">
        <v>0</v>
      </c>
      <c r="J61" s="240">
        <v>0</v>
      </c>
    </row>
    <row r="62" spans="1:10" ht="15" customHeight="1" x14ac:dyDescent="0.2">
      <c r="A62" s="244" t="s">
        <v>105</v>
      </c>
      <c r="B62" s="248">
        <v>10500</v>
      </c>
      <c r="C62" s="241">
        <v>1550</v>
      </c>
      <c r="D62" s="242">
        <v>200</v>
      </c>
      <c r="E62" s="241">
        <v>0</v>
      </c>
      <c r="F62" s="242">
        <v>1350</v>
      </c>
      <c r="G62" s="241">
        <v>0</v>
      </c>
      <c r="H62" s="241">
        <v>0</v>
      </c>
      <c r="I62" s="241">
        <v>0</v>
      </c>
      <c r="J62" s="240">
        <v>0</v>
      </c>
    </row>
    <row r="63" spans="1:10" ht="24" customHeight="1" x14ac:dyDescent="0.2">
      <c r="A63" s="244" t="s">
        <v>103</v>
      </c>
      <c r="B63" s="248">
        <v>9000</v>
      </c>
      <c r="C63" s="241">
        <v>2550</v>
      </c>
      <c r="D63" s="242">
        <v>300</v>
      </c>
      <c r="E63" s="241">
        <v>0</v>
      </c>
      <c r="F63" s="242">
        <v>2250</v>
      </c>
      <c r="G63" s="241">
        <v>0</v>
      </c>
      <c r="H63" s="241">
        <v>0</v>
      </c>
      <c r="I63" s="241">
        <v>0</v>
      </c>
      <c r="J63" s="240">
        <v>0</v>
      </c>
    </row>
    <row r="64" spans="1:10" ht="15" customHeight="1" x14ac:dyDescent="0.2">
      <c r="A64" s="244" t="s">
        <v>102</v>
      </c>
      <c r="B64" s="248">
        <v>13500</v>
      </c>
      <c r="C64" s="241">
        <v>100</v>
      </c>
      <c r="D64" s="242">
        <v>10</v>
      </c>
      <c r="E64" s="241">
        <v>0</v>
      </c>
      <c r="F64" s="242">
        <v>90</v>
      </c>
      <c r="G64" s="241">
        <v>0</v>
      </c>
      <c r="H64" s="241">
        <v>0</v>
      </c>
      <c r="I64" s="241">
        <v>0</v>
      </c>
      <c r="J64" s="240">
        <v>0</v>
      </c>
    </row>
    <row r="65" spans="1:10" ht="15" customHeight="1" x14ac:dyDescent="0.2">
      <c r="A65" s="244" t="s">
        <v>100</v>
      </c>
      <c r="B65" s="248">
        <v>14500</v>
      </c>
      <c r="C65" s="241">
        <v>100</v>
      </c>
      <c r="D65" s="242">
        <v>10</v>
      </c>
      <c r="E65" s="241">
        <v>0</v>
      </c>
      <c r="F65" s="242">
        <v>90</v>
      </c>
      <c r="G65" s="241">
        <v>0</v>
      </c>
      <c r="H65" s="241">
        <v>0</v>
      </c>
      <c r="I65" s="241">
        <v>0</v>
      </c>
      <c r="J65" s="240">
        <v>0</v>
      </c>
    </row>
    <row r="66" spans="1:10" ht="15" customHeight="1" x14ac:dyDescent="0.2">
      <c r="A66" s="244" t="s">
        <v>98</v>
      </c>
      <c r="B66" s="248">
        <v>10500</v>
      </c>
      <c r="C66" s="241">
        <v>550</v>
      </c>
      <c r="D66" s="242">
        <v>100</v>
      </c>
      <c r="E66" s="241">
        <v>0</v>
      </c>
      <c r="F66" s="242">
        <v>450</v>
      </c>
      <c r="G66" s="241">
        <v>0</v>
      </c>
      <c r="H66" s="241">
        <v>0</v>
      </c>
      <c r="I66" s="241">
        <v>0</v>
      </c>
      <c r="J66" s="240">
        <v>0</v>
      </c>
    </row>
    <row r="67" spans="1:10" ht="15" customHeight="1" x14ac:dyDescent="0.2">
      <c r="A67" s="232" t="s">
        <v>96</v>
      </c>
      <c r="B67" s="255" t="s">
        <v>118</v>
      </c>
      <c r="C67" s="254">
        <f t="shared" ref="C67:J67" si="4">SUM(C57:C66)</f>
        <v>7150</v>
      </c>
      <c r="D67" s="254">
        <f t="shared" si="4"/>
        <v>940</v>
      </c>
      <c r="E67" s="254">
        <f t="shared" si="4"/>
        <v>0</v>
      </c>
      <c r="F67" s="254">
        <f t="shared" si="4"/>
        <v>6210</v>
      </c>
      <c r="G67" s="254">
        <f t="shared" si="4"/>
        <v>0</v>
      </c>
      <c r="H67" s="254">
        <f t="shared" si="4"/>
        <v>7980</v>
      </c>
      <c r="I67" s="254">
        <f t="shared" si="4"/>
        <v>6163</v>
      </c>
      <c r="J67" s="253">
        <f t="shared" si="4"/>
        <v>0</v>
      </c>
    </row>
    <row r="68" spans="1:10" ht="18" customHeight="1" x14ac:dyDescent="0.2">
      <c r="A68" s="440" t="s">
        <v>95</v>
      </c>
      <c r="B68" s="441"/>
      <c r="C68" s="441"/>
      <c r="D68" s="441"/>
      <c r="E68" s="441"/>
      <c r="F68" s="441"/>
      <c r="G68" s="441"/>
      <c r="H68" s="441"/>
      <c r="I68" s="442"/>
      <c r="J68" s="237"/>
    </row>
    <row r="69" spans="1:10" s="363" customFormat="1" ht="15" customHeight="1" x14ac:dyDescent="0.2">
      <c r="A69" s="238" t="s">
        <v>468</v>
      </c>
      <c r="B69" s="235">
        <v>10680.96</v>
      </c>
      <c r="C69" s="234">
        <v>0</v>
      </c>
      <c r="D69" s="235">
        <v>0</v>
      </c>
      <c r="E69" s="234">
        <v>0</v>
      </c>
      <c r="F69" s="235">
        <v>0</v>
      </c>
      <c r="G69" s="234">
        <v>0</v>
      </c>
      <c r="H69" s="234">
        <v>1231</v>
      </c>
      <c r="I69" s="234">
        <v>0</v>
      </c>
      <c r="J69" s="233">
        <v>0</v>
      </c>
    </row>
    <row r="70" spans="1:10" s="363" customFormat="1" ht="15" customHeight="1" x14ac:dyDescent="0.2">
      <c r="A70" s="238" t="s">
        <v>258</v>
      </c>
      <c r="B70" s="235">
        <v>12999.98</v>
      </c>
      <c r="C70" s="234">
        <v>0</v>
      </c>
      <c r="D70" s="235">
        <v>0</v>
      </c>
      <c r="E70" s="234">
        <v>0</v>
      </c>
      <c r="F70" s="235">
        <v>0</v>
      </c>
      <c r="G70" s="234">
        <v>0</v>
      </c>
      <c r="H70" s="234">
        <v>10800</v>
      </c>
      <c r="I70" s="234">
        <v>8817</v>
      </c>
      <c r="J70" s="233">
        <v>0</v>
      </c>
    </row>
    <row r="71" spans="1:10" s="363" customFormat="1" ht="15" customHeight="1" x14ac:dyDescent="0.2">
      <c r="A71" s="238" t="s">
        <v>257</v>
      </c>
      <c r="B71" s="235">
        <v>21500.21</v>
      </c>
      <c r="C71" s="234">
        <v>0</v>
      </c>
      <c r="D71" s="235">
        <v>0</v>
      </c>
      <c r="E71" s="234">
        <v>0</v>
      </c>
      <c r="F71" s="235">
        <v>0</v>
      </c>
      <c r="G71" s="234">
        <v>0</v>
      </c>
      <c r="H71" s="234">
        <v>9827</v>
      </c>
      <c r="I71" s="234">
        <v>8799</v>
      </c>
      <c r="J71" s="233">
        <v>0</v>
      </c>
    </row>
    <row r="72" spans="1:10" s="363" customFormat="1" ht="24" customHeight="1" x14ac:dyDescent="0.2">
      <c r="A72" s="238" t="s">
        <v>387</v>
      </c>
      <c r="B72" s="235">
        <v>8903.07</v>
      </c>
      <c r="C72" s="234">
        <v>0</v>
      </c>
      <c r="D72" s="235">
        <v>0</v>
      </c>
      <c r="E72" s="234">
        <v>0</v>
      </c>
      <c r="F72" s="235">
        <v>0</v>
      </c>
      <c r="G72" s="234">
        <v>0</v>
      </c>
      <c r="H72" s="234">
        <v>1000</v>
      </c>
      <c r="I72" s="234">
        <v>0</v>
      </c>
      <c r="J72" s="233">
        <v>0</v>
      </c>
    </row>
    <row r="73" spans="1:10" s="363" customFormat="1" ht="24" customHeight="1" x14ac:dyDescent="0.2">
      <c r="A73" s="252" t="s">
        <v>256</v>
      </c>
      <c r="B73" s="235">
        <v>45250.229999999996</v>
      </c>
      <c r="C73" s="234">
        <v>0</v>
      </c>
      <c r="D73" s="235">
        <v>0</v>
      </c>
      <c r="E73" s="234">
        <v>0</v>
      </c>
      <c r="F73" s="235">
        <v>0</v>
      </c>
      <c r="G73" s="234">
        <v>0</v>
      </c>
      <c r="H73" s="234">
        <v>34199</v>
      </c>
      <c r="I73" s="234">
        <v>33451</v>
      </c>
      <c r="J73" s="233">
        <v>0</v>
      </c>
    </row>
    <row r="74" spans="1:10" s="363" customFormat="1" ht="15" customHeight="1" x14ac:dyDescent="0.2">
      <c r="A74" s="252" t="s">
        <v>255</v>
      </c>
      <c r="B74" s="235">
        <v>9400.19</v>
      </c>
      <c r="C74" s="234">
        <v>0</v>
      </c>
      <c r="D74" s="235">
        <v>0</v>
      </c>
      <c r="E74" s="234">
        <v>0</v>
      </c>
      <c r="F74" s="235">
        <v>0</v>
      </c>
      <c r="G74" s="234">
        <v>0</v>
      </c>
      <c r="H74" s="234">
        <v>7820</v>
      </c>
      <c r="I74" s="234">
        <f>7260-7260</f>
        <v>0</v>
      </c>
      <c r="J74" s="233">
        <v>7260</v>
      </c>
    </row>
    <row r="75" spans="1:10" s="363" customFormat="1" ht="24" customHeight="1" x14ac:dyDescent="0.2">
      <c r="A75" s="252" t="s">
        <v>254</v>
      </c>
      <c r="B75" s="235">
        <v>33688.520000000004</v>
      </c>
      <c r="C75" s="234">
        <v>0</v>
      </c>
      <c r="D75" s="235">
        <v>0</v>
      </c>
      <c r="E75" s="234">
        <v>0</v>
      </c>
      <c r="F75" s="235">
        <v>0</v>
      </c>
      <c r="G75" s="234">
        <v>0</v>
      </c>
      <c r="H75" s="234">
        <v>12516</v>
      </c>
      <c r="I75" s="234">
        <v>11698</v>
      </c>
      <c r="J75" s="233">
        <v>0</v>
      </c>
    </row>
    <row r="76" spans="1:10" s="363" customFormat="1" ht="24" customHeight="1" x14ac:dyDescent="0.2">
      <c r="A76" s="252" t="s">
        <v>385</v>
      </c>
      <c r="B76" s="235">
        <v>10367.41</v>
      </c>
      <c r="C76" s="234">
        <v>0</v>
      </c>
      <c r="D76" s="235">
        <v>0</v>
      </c>
      <c r="E76" s="234">
        <v>0</v>
      </c>
      <c r="F76" s="235">
        <v>0</v>
      </c>
      <c r="G76" s="234">
        <v>0</v>
      </c>
      <c r="H76" s="234">
        <v>1000</v>
      </c>
      <c r="I76" s="234">
        <v>0</v>
      </c>
      <c r="J76" s="233">
        <v>0</v>
      </c>
    </row>
    <row r="77" spans="1:10" s="363" customFormat="1" ht="15" customHeight="1" x14ac:dyDescent="0.2">
      <c r="A77" s="252" t="s">
        <v>253</v>
      </c>
      <c r="B77" s="235">
        <v>28321.780000000002</v>
      </c>
      <c r="C77" s="234">
        <v>0</v>
      </c>
      <c r="D77" s="235">
        <v>0</v>
      </c>
      <c r="E77" s="234">
        <v>0</v>
      </c>
      <c r="F77" s="235">
        <v>0</v>
      </c>
      <c r="G77" s="234">
        <v>0</v>
      </c>
      <c r="H77" s="234">
        <v>11553</v>
      </c>
      <c r="I77" s="234">
        <v>10188</v>
      </c>
      <c r="J77" s="233">
        <v>0</v>
      </c>
    </row>
    <row r="78" spans="1:10" s="363" customFormat="1" ht="15" customHeight="1" x14ac:dyDescent="0.2">
      <c r="A78" s="252" t="s">
        <v>252</v>
      </c>
      <c r="B78" s="235">
        <v>10000</v>
      </c>
      <c r="C78" s="234">
        <v>0</v>
      </c>
      <c r="D78" s="235">
        <v>0</v>
      </c>
      <c r="E78" s="234">
        <v>0</v>
      </c>
      <c r="F78" s="235">
        <v>0</v>
      </c>
      <c r="G78" s="234">
        <v>0</v>
      </c>
      <c r="H78" s="234">
        <v>8075</v>
      </c>
      <c r="I78" s="234">
        <f>7735-7735</f>
        <v>0</v>
      </c>
      <c r="J78" s="233">
        <v>7735</v>
      </c>
    </row>
    <row r="79" spans="1:10" s="363" customFormat="1" ht="24" customHeight="1" x14ac:dyDescent="0.2">
      <c r="A79" s="252" t="s">
        <v>251</v>
      </c>
      <c r="B79" s="235">
        <v>11169.800000000001</v>
      </c>
      <c r="C79" s="234">
        <v>0</v>
      </c>
      <c r="D79" s="235">
        <v>0</v>
      </c>
      <c r="E79" s="234">
        <v>0</v>
      </c>
      <c r="F79" s="235">
        <v>0</v>
      </c>
      <c r="G79" s="234">
        <v>0</v>
      </c>
      <c r="H79" s="234">
        <v>7650</v>
      </c>
      <c r="I79" s="234">
        <v>6559</v>
      </c>
      <c r="J79" s="233">
        <v>0</v>
      </c>
    </row>
    <row r="80" spans="1:10" s="363" customFormat="1" ht="24" customHeight="1" x14ac:dyDescent="0.2">
      <c r="A80" s="252" t="s">
        <v>250</v>
      </c>
      <c r="B80" s="235">
        <v>19356.379999999997</v>
      </c>
      <c r="C80" s="234">
        <v>0</v>
      </c>
      <c r="D80" s="235">
        <v>0</v>
      </c>
      <c r="E80" s="234">
        <v>0</v>
      </c>
      <c r="F80" s="235">
        <v>0</v>
      </c>
      <c r="G80" s="234">
        <v>0</v>
      </c>
      <c r="H80" s="234">
        <v>12022</v>
      </c>
      <c r="I80" s="234">
        <v>11204</v>
      </c>
      <c r="J80" s="233">
        <v>0</v>
      </c>
    </row>
    <row r="81" spans="1:10" s="363" customFormat="1" ht="15" customHeight="1" x14ac:dyDescent="0.2">
      <c r="A81" s="252" t="s">
        <v>249</v>
      </c>
      <c r="B81" s="235">
        <v>27652.999999999996</v>
      </c>
      <c r="C81" s="234">
        <v>0</v>
      </c>
      <c r="D81" s="235">
        <v>0</v>
      </c>
      <c r="E81" s="234">
        <v>0</v>
      </c>
      <c r="F81" s="235">
        <v>0</v>
      </c>
      <c r="G81" s="234">
        <v>0</v>
      </c>
      <c r="H81" s="234">
        <v>14694</v>
      </c>
      <c r="I81" s="234">
        <f>13992-184.15</f>
        <v>13807.85</v>
      </c>
      <c r="J81" s="233">
        <v>184.15</v>
      </c>
    </row>
    <row r="82" spans="1:10" s="363" customFormat="1" ht="15" customHeight="1" x14ac:dyDescent="0.2">
      <c r="A82" s="238" t="s">
        <v>248</v>
      </c>
      <c r="B82" s="235">
        <v>34756.36</v>
      </c>
      <c r="C82" s="234">
        <v>0</v>
      </c>
      <c r="D82" s="235">
        <v>0</v>
      </c>
      <c r="E82" s="234">
        <v>0</v>
      </c>
      <c r="F82" s="235">
        <v>0</v>
      </c>
      <c r="G82" s="234">
        <v>0</v>
      </c>
      <c r="H82" s="234">
        <v>19974</v>
      </c>
      <c r="I82" s="234">
        <v>17630</v>
      </c>
      <c r="J82" s="233">
        <v>0</v>
      </c>
    </row>
    <row r="83" spans="1:10" ht="24" customHeight="1" x14ac:dyDescent="0.2">
      <c r="A83" s="251" t="s">
        <v>94</v>
      </c>
      <c r="B83" s="242">
        <v>27000</v>
      </c>
      <c r="C83" s="241">
        <v>3000</v>
      </c>
      <c r="D83" s="242">
        <v>300</v>
      </c>
      <c r="E83" s="241">
        <v>0</v>
      </c>
      <c r="F83" s="242">
        <v>2700</v>
      </c>
      <c r="G83" s="241">
        <v>2200</v>
      </c>
      <c r="H83" s="241">
        <v>0</v>
      </c>
      <c r="I83" s="241">
        <v>0</v>
      </c>
      <c r="J83" s="240">
        <v>0</v>
      </c>
    </row>
    <row r="84" spans="1:10" ht="15" customHeight="1" x14ac:dyDescent="0.2">
      <c r="A84" s="251" t="s">
        <v>93</v>
      </c>
      <c r="B84" s="242">
        <v>18000</v>
      </c>
      <c r="C84" s="241">
        <v>2000</v>
      </c>
      <c r="D84" s="242">
        <v>200</v>
      </c>
      <c r="E84" s="241">
        <v>0</v>
      </c>
      <c r="F84" s="242">
        <v>1800</v>
      </c>
      <c r="G84" s="241">
        <v>1500</v>
      </c>
      <c r="H84" s="241">
        <v>0</v>
      </c>
      <c r="I84" s="241">
        <v>0</v>
      </c>
      <c r="J84" s="240">
        <v>0</v>
      </c>
    </row>
    <row r="85" spans="1:10" ht="24" customHeight="1" x14ac:dyDescent="0.2">
      <c r="A85" s="251" t="s">
        <v>92</v>
      </c>
      <c r="B85" s="242">
        <v>30000</v>
      </c>
      <c r="C85" s="241">
        <v>3000</v>
      </c>
      <c r="D85" s="242">
        <v>300</v>
      </c>
      <c r="E85" s="241">
        <v>0</v>
      </c>
      <c r="F85" s="242">
        <v>2700</v>
      </c>
      <c r="G85" s="241">
        <v>2200</v>
      </c>
      <c r="H85" s="241">
        <v>0</v>
      </c>
      <c r="I85" s="241">
        <v>0</v>
      </c>
      <c r="J85" s="240">
        <v>0</v>
      </c>
    </row>
    <row r="86" spans="1:10" ht="15" customHeight="1" x14ac:dyDescent="0.2">
      <c r="A86" s="251" t="s">
        <v>91</v>
      </c>
      <c r="B86" s="242">
        <v>10000</v>
      </c>
      <c r="C86" s="241">
        <v>500</v>
      </c>
      <c r="D86" s="242">
        <v>250</v>
      </c>
      <c r="E86" s="241">
        <v>0</v>
      </c>
      <c r="F86" s="242">
        <v>250</v>
      </c>
      <c r="G86" s="241">
        <v>0</v>
      </c>
      <c r="H86" s="241">
        <v>250</v>
      </c>
      <c r="I86" s="241">
        <v>0</v>
      </c>
      <c r="J86" s="240">
        <v>0</v>
      </c>
    </row>
    <row r="87" spans="1:10" ht="24" customHeight="1" x14ac:dyDescent="0.2">
      <c r="A87" s="251" t="s">
        <v>89</v>
      </c>
      <c r="B87" s="242">
        <v>2050</v>
      </c>
      <c r="C87" s="241">
        <v>1425</v>
      </c>
      <c r="D87" s="242">
        <v>425</v>
      </c>
      <c r="E87" s="241">
        <v>0</v>
      </c>
      <c r="F87" s="242">
        <v>1000</v>
      </c>
      <c r="G87" s="241">
        <v>0</v>
      </c>
      <c r="H87" s="241">
        <v>0</v>
      </c>
      <c r="I87" s="241">
        <v>0</v>
      </c>
      <c r="J87" s="240">
        <v>0</v>
      </c>
    </row>
    <row r="88" spans="1:10" ht="24" customHeight="1" x14ac:dyDescent="0.2">
      <c r="A88" s="251" t="s">
        <v>87</v>
      </c>
      <c r="B88" s="242">
        <v>1200</v>
      </c>
      <c r="C88" s="241">
        <v>175</v>
      </c>
      <c r="D88" s="242">
        <v>175</v>
      </c>
      <c r="E88" s="241">
        <v>0</v>
      </c>
      <c r="F88" s="242">
        <v>0</v>
      </c>
      <c r="G88" s="241">
        <v>0</v>
      </c>
      <c r="H88" s="241">
        <v>0</v>
      </c>
      <c r="I88" s="241">
        <v>0</v>
      </c>
      <c r="J88" s="240">
        <v>0</v>
      </c>
    </row>
    <row r="89" spans="1:10" ht="15" customHeight="1" x14ac:dyDescent="0.2">
      <c r="A89" s="251" t="s">
        <v>86</v>
      </c>
      <c r="B89" s="242">
        <v>1110</v>
      </c>
      <c r="C89" s="241">
        <v>680</v>
      </c>
      <c r="D89" s="242">
        <v>180</v>
      </c>
      <c r="E89" s="241">
        <v>0</v>
      </c>
      <c r="F89" s="242">
        <v>500</v>
      </c>
      <c r="G89" s="241">
        <v>0</v>
      </c>
      <c r="H89" s="241">
        <v>0</v>
      </c>
      <c r="I89" s="241">
        <v>0</v>
      </c>
      <c r="J89" s="240">
        <v>0</v>
      </c>
    </row>
    <row r="90" spans="1:10" ht="15" customHeight="1" x14ac:dyDescent="0.2">
      <c r="A90" s="251" t="s">
        <v>85</v>
      </c>
      <c r="B90" s="242">
        <v>1100</v>
      </c>
      <c r="C90" s="241">
        <v>150</v>
      </c>
      <c r="D90" s="242">
        <v>150</v>
      </c>
      <c r="E90" s="241">
        <v>0</v>
      </c>
      <c r="F90" s="242">
        <v>0</v>
      </c>
      <c r="G90" s="241">
        <v>0</v>
      </c>
      <c r="H90" s="241">
        <v>0</v>
      </c>
      <c r="I90" s="241">
        <v>0</v>
      </c>
      <c r="J90" s="240">
        <v>0</v>
      </c>
    </row>
    <row r="91" spans="1:10" ht="15" customHeight="1" x14ac:dyDescent="0.2">
      <c r="A91" s="251" t="s">
        <v>84</v>
      </c>
      <c r="B91" s="242">
        <v>4440</v>
      </c>
      <c r="C91" s="241">
        <v>800</v>
      </c>
      <c r="D91" s="242">
        <v>800</v>
      </c>
      <c r="E91" s="241">
        <v>0</v>
      </c>
      <c r="F91" s="242">
        <v>0</v>
      </c>
      <c r="G91" s="241">
        <v>0</v>
      </c>
      <c r="H91" s="241">
        <v>0</v>
      </c>
      <c r="I91" s="241">
        <v>0</v>
      </c>
      <c r="J91" s="240">
        <v>0</v>
      </c>
    </row>
    <row r="92" spans="1:10" ht="15" customHeight="1" x14ac:dyDescent="0.2">
      <c r="A92" s="251" t="s">
        <v>83</v>
      </c>
      <c r="B92" s="242">
        <v>1740</v>
      </c>
      <c r="C92" s="241">
        <v>350</v>
      </c>
      <c r="D92" s="242">
        <v>350</v>
      </c>
      <c r="E92" s="241">
        <v>0</v>
      </c>
      <c r="F92" s="242">
        <v>0</v>
      </c>
      <c r="G92" s="241">
        <v>0</v>
      </c>
      <c r="H92" s="241">
        <v>0</v>
      </c>
      <c r="I92" s="241">
        <v>0</v>
      </c>
      <c r="J92" s="240">
        <v>0</v>
      </c>
    </row>
    <row r="93" spans="1:10" ht="24" customHeight="1" x14ac:dyDescent="0.2">
      <c r="A93" s="251" t="s">
        <v>82</v>
      </c>
      <c r="B93" s="242">
        <v>1560</v>
      </c>
      <c r="C93" s="241">
        <v>1175</v>
      </c>
      <c r="D93" s="242">
        <v>175</v>
      </c>
      <c r="E93" s="241">
        <v>0</v>
      </c>
      <c r="F93" s="242">
        <v>1000</v>
      </c>
      <c r="G93" s="241">
        <v>0</v>
      </c>
      <c r="H93" s="241">
        <v>0</v>
      </c>
      <c r="I93" s="241">
        <v>0</v>
      </c>
      <c r="J93" s="240">
        <v>0</v>
      </c>
    </row>
    <row r="94" spans="1:10" ht="15" customHeight="1" x14ac:dyDescent="0.2">
      <c r="A94" s="251" t="s">
        <v>81</v>
      </c>
      <c r="B94" s="242">
        <v>1800</v>
      </c>
      <c r="C94" s="241">
        <v>280</v>
      </c>
      <c r="D94" s="242">
        <v>280</v>
      </c>
      <c r="E94" s="241">
        <v>0</v>
      </c>
      <c r="F94" s="242">
        <v>0</v>
      </c>
      <c r="G94" s="241">
        <v>0</v>
      </c>
      <c r="H94" s="241">
        <v>0</v>
      </c>
      <c r="I94" s="241">
        <v>0</v>
      </c>
      <c r="J94" s="240">
        <v>0</v>
      </c>
    </row>
    <row r="95" spans="1:10" ht="15" customHeight="1" x14ac:dyDescent="0.2">
      <c r="A95" s="232" t="s">
        <v>80</v>
      </c>
      <c r="B95" s="231" t="s">
        <v>118</v>
      </c>
      <c r="C95" s="54">
        <f t="shared" ref="C95:J95" si="5">SUM(C69:C94)</f>
        <v>13535</v>
      </c>
      <c r="D95" s="54">
        <f t="shared" si="5"/>
        <v>3585</v>
      </c>
      <c r="E95" s="54">
        <f t="shared" si="5"/>
        <v>0</v>
      </c>
      <c r="F95" s="54">
        <f t="shared" si="5"/>
        <v>9950</v>
      </c>
      <c r="G95" s="54">
        <f t="shared" si="5"/>
        <v>5900</v>
      </c>
      <c r="H95" s="54">
        <f t="shared" si="5"/>
        <v>152611</v>
      </c>
      <c r="I95" s="54">
        <f t="shared" si="5"/>
        <v>122153.85</v>
      </c>
      <c r="J95" s="230">
        <f t="shared" si="5"/>
        <v>15179.15</v>
      </c>
    </row>
    <row r="96" spans="1:10" ht="18" customHeight="1" x14ac:dyDescent="0.2">
      <c r="A96" s="440" t="s">
        <v>79</v>
      </c>
      <c r="B96" s="441"/>
      <c r="C96" s="441"/>
      <c r="D96" s="441"/>
      <c r="E96" s="441"/>
      <c r="F96" s="441"/>
      <c r="G96" s="441"/>
      <c r="H96" s="441"/>
      <c r="I96" s="442"/>
      <c r="J96" s="237"/>
    </row>
    <row r="97" spans="1:13" s="363" customFormat="1" ht="15" customHeight="1" x14ac:dyDescent="0.2">
      <c r="A97" s="252" t="s">
        <v>247</v>
      </c>
      <c r="B97" s="235">
        <v>9530.4900000000016</v>
      </c>
      <c r="C97" s="234">
        <v>0</v>
      </c>
      <c r="D97" s="235">
        <v>0</v>
      </c>
      <c r="E97" s="234">
        <v>0</v>
      </c>
      <c r="F97" s="235">
        <v>0</v>
      </c>
      <c r="G97" s="234">
        <v>0</v>
      </c>
      <c r="H97" s="234">
        <v>7637</v>
      </c>
      <c r="I97" s="234">
        <v>6796</v>
      </c>
      <c r="J97" s="233">
        <v>0</v>
      </c>
    </row>
    <row r="98" spans="1:13" s="363" customFormat="1" ht="15" customHeight="1" x14ac:dyDescent="0.2">
      <c r="A98" s="247" t="s">
        <v>246</v>
      </c>
      <c r="B98" s="235">
        <v>10000</v>
      </c>
      <c r="C98" s="234">
        <v>0</v>
      </c>
      <c r="D98" s="235">
        <v>0</v>
      </c>
      <c r="E98" s="246">
        <v>0</v>
      </c>
      <c r="F98" s="245">
        <v>0</v>
      </c>
      <c r="G98" s="234">
        <v>0</v>
      </c>
      <c r="H98" s="234">
        <v>7857</v>
      </c>
      <c r="I98" s="234">
        <v>7300</v>
      </c>
      <c r="J98" s="233">
        <v>0</v>
      </c>
    </row>
    <row r="99" spans="1:13" s="363" customFormat="1" ht="24" customHeight="1" x14ac:dyDescent="0.2">
      <c r="A99" s="238" t="s">
        <v>245</v>
      </c>
      <c r="B99" s="235">
        <v>9799.9900000000016</v>
      </c>
      <c r="C99" s="361">
        <v>0</v>
      </c>
      <c r="D99" s="235">
        <v>0</v>
      </c>
      <c r="E99" s="234">
        <v>0</v>
      </c>
      <c r="F99" s="235">
        <v>0</v>
      </c>
      <c r="G99" s="234">
        <v>0</v>
      </c>
      <c r="H99" s="234">
        <v>8006</v>
      </c>
      <c r="I99" s="234">
        <v>7400</v>
      </c>
      <c r="J99" s="233">
        <v>0</v>
      </c>
    </row>
    <row r="100" spans="1:13" s="363" customFormat="1" ht="15" customHeight="1" x14ac:dyDescent="0.2">
      <c r="A100" s="238" t="s">
        <v>244</v>
      </c>
      <c r="B100" s="235">
        <v>18107.739999999998</v>
      </c>
      <c r="C100" s="361">
        <v>0</v>
      </c>
      <c r="D100" s="235">
        <v>0</v>
      </c>
      <c r="E100" s="234">
        <v>0</v>
      </c>
      <c r="F100" s="235">
        <v>0</v>
      </c>
      <c r="G100" s="234">
        <v>0</v>
      </c>
      <c r="H100" s="234">
        <v>7813</v>
      </c>
      <c r="I100" s="234">
        <v>7090</v>
      </c>
      <c r="J100" s="233">
        <v>0</v>
      </c>
    </row>
    <row r="101" spans="1:13" s="363" customFormat="1" ht="24" customHeight="1" x14ac:dyDescent="0.2">
      <c r="A101" s="238" t="s">
        <v>243</v>
      </c>
      <c r="B101" s="235">
        <v>55294.490000000005</v>
      </c>
      <c r="C101" s="234">
        <v>0</v>
      </c>
      <c r="D101" s="235">
        <v>0</v>
      </c>
      <c r="E101" s="234">
        <v>0</v>
      </c>
      <c r="F101" s="235">
        <v>0</v>
      </c>
      <c r="G101" s="234">
        <v>0</v>
      </c>
      <c r="H101" s="234">
        <v>16321</v>
      </c>
      <c r="I101" s="234">
        <f>15457-615</f>
        <v>14842</v>
      </c>
      <c r="J101" s="233">
        <v>615</v>
      </c>
      <c r="L101" s="364"/>
      <c r="M101" s="364"/>
    </row>
    <row r="102" spans="1:13" s="363" customFormat="1" ht="24" customHeight="1" x14ac:dyDescent="0.2">
      <c r="A102" s="238" t="s">
        <v>242</v>
      </c>
      <c r="B102" s="235">
        <v>41742.47</v>
      </c>
      <c r="C102" s="234">
        <v>0</v>
      </c>
      <c r="D102" s="235">
        <v>0</v>
      </c>
      <c r="E102" s="234">
        <v>0</v>
      </c>
      <c r="F102" s="235">
        <v>0</v>
      </c>
      <c r="G102" s="234">
        <v>0</v>
      </c>
      <c r="H102" s="234">
        <v>12770</v>
      </c>
      <c r="I102" s="234">
        <v>11870</v>
      </c>
      <c r="J102" s="233">
        <v>0</v>
      </c>
      <c r="L102" s="364"/>
      <c r="M102" s="364"/>
    </row>
    <row r="103" spans="1:13" s="363" customFormat="1" ht="24" customHeight="1" x14ac:dyDescent="0.2">
      <c r="A103" s="238" t="s">
        <v>241</v>
      </c>
      <c r="B103" s="235">
        <v>64785.120000000003</v>
      </c>
      <c r="C103" s="234">
        <v>0</v>
      </c>
      <c r="D103" s="235">
        <v>0</v>
      </c>
      <c r="E103" s="234">
        <v>0</v>
      </c>
      <c r="F103" s="235">
        <v>0</v>
      </c>
      <c r="G103" s="234">
        <v>0</v>
      </c>
      <c r="H103" s="234">
        <v>16357</v>
      </c>
      <c r="I103" s="234">
        <v>14160</v>
      </c>
      <c r="J103" s="233">
        <v>0</v>
      </c>
      <c r="L103" s="364"/>
      <c r="M103" s="364"/>
    </row>
    <row r="104" spans="1:13" s="363" customFormat="1" ht="15" customHeight="1" x14ac:dyDescent="0.2">
      <c r="A104" s="238" t="s">
        <v>240</v>
      </c>
      <c r="B104" s="235">
        <v>10378.950000000001</v>
      </c>
      <c r="C104" s="361">
        <v>0</v>
      </c>
      <c r="D104" s="235">
        <v>0</v>
      </c>
      <c r="E104" s="234">
        <v>0</v>
      </c>
      <c r="F104" s="235">
        <v>0</v>
      </c>
      <c r="G104" s="234">
        <v>0</v>
      </c>
      <c r="H104" s="234">
        <v>4296</v>
      </c>
      <c r="I104" s="234">
        <v>3528</v>
      </c>
      <c r="J104" s="233">
        <v>0</v>
      </c>
    </row>
    <row r="105" spans="1:13" s="363" customFormat="1" ht="15" customHeight="1" x14ac:dyDescent="0.2">
      <c r="A105" s="365" t="s">
        <v>239</v>
      </c>
      <c r="B105" s="235">
        <v>38999.100000000006</v>
      </c>
      <c r="C105" s="361">
        <v>0</v>
      </c>
      <c r="D105" s="235">
        <v>0</v>
      </c>
      <c r="E105" s="234">
        <v>0</v>
      </c>
      <c r="F105" s="235">
        <v>0</v>
      </c>
      <c r="G105" s="234">
        <v>0</v>
      </c>
      <c r="H105" s="234">
        <v>27826</v>
      </c>
      <c r="I105" s="234">
        <f>26950-26869.79</f>
        <v>80.209999999999127</v>
      </c>
      <c r="J105" s="233">
        <v>26869.788049999999</v>
      </c>
    </row>
    <row r="106" spans="1:13" s="363" customFormat="1" ht="15" customHeight="1" x14ac:dyDescent="0.2">
      <c r="A106" s="365" t="s">
        <v>238</v>
      </c>
      <c r="B106" s="235">
        <v>9888.3000000000011</v>
      </c>
      <c r="C106" s="361">
        <v>0</v>
      </c>
      <c r="D106" s="235">
        <v>0</v>
      </c>
      <c r="E106" s="234">
        <v>0</v>
      </c>
      <c r="F106" s="235">
        <v>0</v>
      </c>
      <c r="G106" s="234">
        <v>0</v>
      </c>
      <c r="H106" s="234">
        <v>7816</v>
      </c>
      <c r="I106" s="234">
        <v>6976</v>
      </c>
      <c r="J106" s="233">
        <v>0</v>
      </c>
    </row>
    <row r="107" spans="1:13" s="363" customFormat="1" ht="15" customHeight="1" x14ac:dyDescent="0.2">
      <c r="A107" s="365" t="s">
        <v>237</v>
      </c>
      <c r="B107" s="235">
        <v>9900</v>
      </c>
      <c r="C107" s="361">
        <v>0</v>
      </c>
      <c r="D107" s="235">
        <v>0</v>
      </c>
      <c r="E107" s="234">
        <v>0</v>
      </c>
      <c r="F107" s="235">
        <v>0</v>
      </c>
      <c r="G107" s="234">
        <v>0</v>
      </c>
      <c r="H107" s="234">
        <v>7773</v>
      </c>
      <c r="I107" s="234">
        <v>6982</v>
      </c>
      <c r="J107" s="233">
        <v>0</v>
      </c>
    </row>
    <row r="108" spans="1:13" s="363" customFormat="1" ht="24" customHeight="1" x14ac:dyDescent="0.2">
      <c r="A108" s="238" t="s">
        <v>236</v>
      </c>
      <c r="B108" s="235">
        <v>9957.7199999999993</v>
      </c>
      <c r="C108" s="234">
        <v>0</v>
      </c>
      <c r="D108" s="235">
        <v>0</v>
      </c>
      <c r="E108" s="234">
        <v>0</v>
      </c>
      <c r="F108" s="235">
        <v>0</v>
      </c>
      <c r="G108" s="234">
        <v>0</v>
      </c>
      <c r="H108" s="234">
        <v>8103</v>
      </c>
      <c r="I108" s="234">
        <v>7147</v>
      </c>
      <c r="J108" s="233">
        <v>0</v>
      </c>
    </row>
    <row r="109" spans="1:13" s="363" customFormat="1" ht="24" customHeight="1" x14ac:dyDescent="0.2">
      <c r="A109" s="366" t="s">
        <v>235</v>
      </c>
      <c r="B109" s="235">
        <v>13915.78</v>
      </c>
      <c r="C109" s="234">
        <v>0</v>
      </c>
      <c r="D109" s="235">
        <v>0</v>
      </c>
      <c r="E109" s="234">
        <v>0</v>
      </c>
      <c r="F109" s="235">
        <v>0</v>
      </c>
      <c r="G109" s="234">
        <v>0</v>
      </c>
      <c r="H109" s="234">
        <v>10900</v>
      </c>
      <c r="I109" s="234">
        <v>9950</v>
      </c>
      <c r="J109" s="233">
        <v>0</v>
      </c>
    </row>
    <row r="110" spans="1:13" s="363" customFormat="1" ht="15" customHeight="1" x14ac:dyDescent="0.2">
      <c r="A110" s="366" t="s">
        <v>234</v>
      </c>
      <c r="B110" s="235">
        <v>7103.51</v>
      </c>
      <c r="C110" s="234">
        <v>0</v>
      </c>
      <c r="D110" s="235">
        <v>0</v>
      </c>
      <c r="E110" s="234">
        <v>0</v>
      </c>
      <c r="F110" s="235">
        <v>0</v>
      </c>
      <c r="G110" s="234">
        <v>0</v>
      </c>
      <c r="H110" s="234">
        <v>5951</v>
      </c>
      <c r="I110" s="234">
        <v>5303</v>
      </c>
      <c r="J110" s="233">
        <v>0</v>
      </c>
    </row>
    <row r="111" spans="1:13" ht="24" customHeight="1" x14ac:dyDescent="0.2">
      <c r="A111" s="367" t="s">
        <v>78</v>
      </c>
      <c r="B111" s="242">
        <v>30000.39</v>
      </c>
      <c r="C111" s="241">
        <v>2097</v>
      </c>
      <c r="D111" s="242">
        <v>210</v>
      </c>
      <c r="E111" s="249">
        <v>0</v>
      </c>
      <c r="F111" s="248">
        <v>1887</v>
      </c>
      <c r="G111" s="241">
        <v>1637</v>
      </c>
      <c r="H111" s="241">
        <v>0</v>
      </c>
      <c r="I111" s="241">
        <v>0</v>
      </c>
      <c r="J111" s="240">
        <v>0</v>
      </c>
    </row>
    <row r="112" spans="1:13" ht="24" customHeight="1" x14ac:dyDescent="0.2">
      <c r="A112" s="367" t="s">
        <v>77</v>
      </c>
      <c r="B112" s="242">
        <v>50000</v>
      </c>
      <c r="C112" s="241">
        <v>4500</v>
      </c>
      <c r="D112" s="242">
        <v>450</v>
      </c>
      <c r="E112" s="249">
        <v>0</v>
      </c>
      <c r="F112" s="248">
        <v>4050</v>
      </c>
      <c r="G112" s="241">
        <v>3700</v>
      </c>
      <c r="H112" s="241">
        <v>0</v>
      </c>
      <c r="I112" s="241">
        <v>0</v>
      </c>
      <c r="J112" s="240">
        <v>0</v>
      </c>
    </row>
    <row r="113" spans="1:10" ht="24" customHeight="1" x14ac:dyDescent="0.2">
      <c r="A113" s="367" t="s">
        <v>76</v>
      </c>
      <c r="B113" s="242">
        <v>390000</v>
      </c>
      <c r="C113" s="241">
        <v>20000</v>
      </c>
      <c r="D113" s="242">
        <v>10000</v>
      </c>
      <c r="E113" s="249">
        <v>0</v>
      </c>
      <c r="F113" s="248">
        <v>10000</v>
      </c>
      <c r="G113" s="241">
        <v>8000</v>
      </c>
      <c r="H113" s="241">
        <v>10000</v>
      </c>
      <c r="I113" s="241">
        <v>0</v>
      </c>
      <c r="J113" s="240">
        <v>5000</v>
      </c>
    </row>
    <row r="114" spans="1:10" ht="15" customHeight="1" x14ac:dyDescent="0.2">
      <c r="A114" s="367" t="s">
        <v>75</v>
      </c>
      <c r="B114" s="242">
        <v>77000.100000000006</v>
      </c>
      <c r="C114" s="241">
        <v>3000</v>
      </c>
      <c r="D114" s="242">
        <v>300</v>
      </c>
      <c r="E114" s="249">
        <v>0</v>
      </c>
      <c r="F114" s="248">
        <v>2700</v>
      </c>
      <c r="G114" s="241">
        <v>2200</v>
      </c>
      <c r="H114" s="241">
        <v>0</v>
      </c>
      <c r="I114" s="241">
        <v>0</v>
      </c>
      <c r="J114" s="240">
        <v>0</v>
      </c>
    </row>
    <row r="115" spans="1:10" ht="24" customHeight="1" x14ac:dyDescent="0.2">
      <c r="A115" s="367" t="s">
        <v>74</v>
      </c>
      <c r="B115" s="242">
        <v>135000.15</v>
      </c>
      <c r="C115" s="241">
        <v>6000</v>
      </c>
      <c r="D115" s="242">
        <v>600</v>
      </c>
      <c r="E115" s="249">
        <v>0</v>
      </c>
      <c r="F115" s="248">
        <v>5400</v>
      </c>
      <c r="G115" s="241">
        <v>4950</v>
      </c>
      <c r="H115" s="241">
        <v>6712</v>
      </c>
      <c r="I115" s="241">
        <v>0</v>
      </c>
      <c r="J115" s="240">
        <v>0</v>
      </c>
    </row>
    <row r="116" spans="1:10" ht="15" customHeight="1" x14ac:dyDescent="0.2">
      <c r="A116" s="367" t="s">
        <v>233</v>
      </c>
      <c r="B116" s="242">
        <v>20000</v>
      </c>
      <c r="C116" s="241">
        <v>1500</v>
      </c>
      <c r="D116" s="242">
        <v>150</v>
      </c>
      <c r="E116" s="249">
        <v>0</v>
      </c>
      <c r="F116" s="248">
        <v>1350</v>
      </c>
      <c r="G116" s="241">
        <v>0</v>
      </c>
      <c r="H116" s="241">
        <v>0</v>
      </c>
      <c r="I116" s="241">
        <v>0</v>
      </c>
      <c r="J116" s="240">
        <v>0</v>
      </c>
    </row>
    <row r="117" spans="1:10" ht="24" customHeight="1" x14ac:dyDescent="0.2">
      <c r="A117" s="367" t="s">
        <v>71</v>
      </c>
      <c r="B117" s="242">
        <v>820</v>
      </c>
      <c r="C117" s="241">
        <v>35</v>
      </c>
      <c r="D117" s="242">
        <v>35</v>
      </c>
      <c r="E117" s="249">
        <v>0</v>
      </c>
      <c r="F117" s="248">
        <v>0</v>
      </c>
      <c r="G117" s="241">
        <v>0</v>
      </c>
      <c r="H117" s="241">
        <v>0</v>
      </c>
      <c r="I117" s="241">
        <v>0</v>
      </c>
      <c r="J117" s="240">
        <v>0</v>
      </c>
    </row>
    <row r="118" spans="1:10" ht="15" customHeight="1" x14ac:dyDescent="0.2">
      <c r="A118" s="367" t="s">
        <v>70</v>
      </c>
      <c r="B118" s="242">
        <v>20000</v>
      </c>
      <c r="C118" s="241">
        <v>500</v>
      </c>
      <c r="D118" s="242">
        <v>50</v>
      </c>
      <c r="E118" s="249">
        <v>0</v>
      </c>
      <c r="F118" s="248">
        <v>450</v>
      </c>
      <c r="G118" s="241">
        <v>0</v>
      </c>
      <c r="H118" s="241">
        <v>0</v>
      </c>
      <c r="I118" s="241">
        <v>0</v>
      </c>
      <c r="J118" s="240">
        <v>0</v>
      </c>
    </row>
    <row r="119" spans="1:10" ht="24" customHeight="1" x14ac:dyDescent="0.2">
      <c r="A119" s="367" t="s">
        <v>69</v>
      </c>
      <c r="B119" s="242">
        <v>20000</v>
      </c>
      <c r="C119" s="241">
        <v>2000</v>
      </c>
      <c r="D119" s="242">
        <v>200</v>
      </c>
      <c r="E119" s="249">
        <v>0</v>
      </c>
      <c r="F119" s="248">
        <v>1800</v>
      </c>
      <c r="G119" s="241">
        <v>0</v>
      </c>
      <c r="H119" s="241">
        <v>0</v>
      </c>
      <c r="I119" s="241">
        <v>0</v>
      </c>
      <c r="J119" s="240">
        <v>0</v>
      </c>
    </row>
    <row r="120" spans="1:10" ht="24" customHeight="1" x14ac:dyDescent="0.2">
      <c r="A120" s="367" t="s">
        <v>67</v>
      </c>
      <c r="B120" s="242">
        <v>2070</v>
      </c>
      <c r="C120" s="241">
        <v>330</v>
      </c>
      <c r="D120" s="242">
        <v>330</v>
      </c>
      <c r="E120" s="249">
        <v>0</v>
      </c>
      <c r="F120" s="248">
        <v>0</v>
      </c>
      <c r="G120" s="241">
        <v>0</v>
      </c>
      <c r="H120" s="241">
        <v>270</v>
      </c>
      <c r="I120" s="241">
        <v>0</v>
      </c>
      <c r="J120" s="240">
        <v>0</v>
      </c>
    </row>
    <row r="121" spans="1:10" ht="15" customHeight="1" x14ac:dyDescent="0.2">
      <c r="A121" s="250" t="s">
        <v>66</v>
      </c>
      <c r="B121" s="242">
        <v>10000</v>
      </c>
      <c r="C121" s="241">
        <v>3000</v>
      </c>
      <c r="D121" s="242">
        <v>300</v>
      </c>
      <c r="E121" s="241">
        <v>0</v>
      </c>
      <c r="F121" s="242">
        <v>2700</v>
      </c>
      <c r="G121" s="241">
        <v>2200</v>
      </c>
      <c r="H121" s="241">
        <v>0</v>
      </c>
      <c r="I121" s="241">
        <v>0</v>
      </c>
      <c r="J121" s="240">
        <v>0</v>
      </c>
    </row>
    <row r="122" spans="1:10" ht="15" customHeight="1" x14ac:dyDescent="0.2">
      <c r="A122" s="367" t="s">
        <v>65</v>
      </c>
      <c r="B122" s="242">
        <v>25000</v>
      </c>
      <c r="C122" s="241">
        <v>1500</v>
      </c>
      <c r="D122" s="242">
        <v>150</v>
      </c>
      <c r="E122" s="249">
        <v>0</v>
      </c>
      <c r="F122" s="248">
        <v>1350</v>
      </c>
      <c r="G122" s="241">
        <v>0</v>
      </c>
      <c r="H122" s="241">
        <v>0</v>
      </c>
      <c r="I122" s="241">
        <v>0</v>
      </c>
      <c r="J122" s="240">
        <v>0</v>
      </c>
    </row>
    <row r="123" spans="1:10" ht="15" customHeight="1" x14ac:dyDescent="0.2">
      <c r="A123" s="367" t="s">
        <v>232</v>
      </c>
      <c r="B123" s="242">
        <v>100000</v>
      </c>
      <c r="C123" s="241">
        <v>1500</v>
      </c>
      <c r="D123" s="242">
        <v>150</v>
      </c>
      <c r="E123" s="249">
        <v>0</v>
      </c>
      <c r="F123" s="248">
        <v>1350</v>
      </c>
      <c r="G123" s="241">
        <v>0</v>
      </c>
      <c r="H123" s="241">
        <v>0</v>
      </c>
      <c r="I123" s="241">
        <v>0</v>
      </c>
      <c r="J123" s="240">
        <v>0</v>
      </c>
    </row>
    <row r="124" spans="1:10" ht="15" customHeight="1" x14ac:dyDescent="0.2">
      <c r="A124" s="367" t="s">
        <v>62</v>
      </c>
      <c r="B124" s="242">
        <v>15000</v>
      </c>
      <c r="C124" s="241">
        <v>500</v>
      </c>
      <c r="D124" s="242">
        <v>50</v>
      </c>
      <c r="E124" s="249">
        <v>0</v>
      </c>
      <c r="F124" s="248">
        <v>450</v>
      </c>
      <c r="G124" s="241">
        <v>0</v>
      </c>
      <c r="H124" s="241">
        <v>0</v>
      </c>
      <c r="I124" s="241">
        <v>0</v>
      </c>
      <c r="J124" s="240">
        <v>0</v>
      </c>
    </row>
    <row r="125" spans="1:10" ht="15" customHeight="1" x14ac:dyDescent="0.2">
      <c r="A125" s="367" t="s">
        <v>61</v>
      </c>
      <c r="B125" s="242">
        <v>20000</v>
      </c>
      <c r="C125" s="241">
        <v>5000</v>
      </c>
      <c r="D125" s="242">
        <v>950</v>
      </c>
      <c r="E125" s="249">
        <v>0</v>
      </c>
      <c r="F125" s="248">
        <v>4050</v>
      </c>
      <c r="G125" s="241">
        <v>3600</v>
      </c>
      <c r="H125" s="241">
        <v>0</v>
      </c>
      <c r="I125" s="241">
        <v>0</v>
      </c>
      <c r="J125" s="240">
        <v>0</v>
      </c>
    </row>
    <row r="126" spans="1:10" ht="15" customHeight="1" x14ac:dyDescent="0.2">
      <c r="A126" s="367" t="s">
        <v>60</v>
      </c>
      <c r="B126" s="242">
        <v>1390</v>
      </c>
      <c r="C126" s="241">
        <v>148</v>
      </c>
      <c r="D126" s="242">
        <v>148</v>
      </c>
      <c r="E126" s="249">
        <v>0</v>
      </c>
      <c r="F126" s="248">
        <v>0</v>
      </c>
      <c r="G126" s="241">
        <v>0</v>
      </c>
      <c r="H126" s="241">
        <v>0</v>
      </c>
      <c r="I126" s="241">
        <v>0</v>
      </c>
      <c r="J126" s="240">
        <v>0</v>
      </c>
    </row>
    <row r="127" spans="1:10" ht="15" customHeight="1" x14ac:dyDescent="0.2">
      <c r="A127" s="367" t="s">
        <v>59</v>
      </c>
      <c r="B127" s="242">
        <v>330</v>
      </c>
      <c r="C127" s="241">
        <v>25</v>
      </c>
      <c r="D127" s="242">
        <v>25</v>
      </c>
      <c r="E127" s="249">
        <v>0</v>
      </c>
      <c r="F127" s="248">
        <v>0</v>
      </c>
      <c r="G127" s="241">
        <v>0</v>
      </c>
      <c r="H127" s="241">
        <v>0</v>
      </c>
      <c r="I127" s="241">
        <v>0</v>
      </c>
      <c r="J127" s="240">
        <v>0</v>
      </c>
    </row>
    <row r="128" spans="1:10" ht="15" customHeight="1" x14ac:dyDescent="0.2">
      <c r="A128" s="250" t="s">
        <v>53</v>
      </c>
      <c r="B128" s="242">
        <v>25000</v>
      </c>
      <c r="C128" s="241">
        <v>20000</v>
      </c>
      <c r="D128" s="242">
        <v>2900</v>
      </c>
      <c r="E128" s="241">
        <v>0</v>
      </c>
      <c r="F128" s="242">
        <v>17100</v>
      </c>
      <c r="G128" s="241">
        <v>16650</v>
      </c>
      <c r="H128" s="241">
        <v>5250</v>
      </c>
      <c r="I128" s="241">
        <v>0</v>
      </c>
      <c r="J128" s="240">
        <v>5000</v>
      </c>
    </row>
    <row r="129" spans="1:10" ht="15" customHeight="1" x14ac:dyDescent="0.2">
      <c r="A129" s="367" t="s">
        <v>57</v>
      </c>
      <c r="B129" s="242">
        <v>1725</v>
      </c>
      <c r="C129" s="241">
        <v>300</v>
      </c>
      <c r="D129" s="242">
        <v>300</v>
      </c>
      <c r="E129" s="249">
        <v>0</v>
      </c>
      <c r="F129" s="248">
        <v>0</v>
      </c>
      <c r="G129" s="241">
        <v>0</v>
      </c>
      <c r="H129" s="241">
        <v>0</v>
      </c>
      <c r="I129" s="241">
        <v>0</v>
      </c>
      <c r="J129" s="240">
        <v>0</v>
      </c>
    </row>
    <row r="130" spans="1:10" ht="15" customHeight="1" x14ac:dyDescent="0.2">
      <c r="A130" s="367" t="s">
        <v>55</v>
      </c>
      <c r="B130" s="242">
        <v>30000</v>
      </c>
      <c r="C130" s="241">
        <v>2000</v>
      </c>
      <c r="D130" s="242">
        <v>200</v>
      </c>
      <c r="E130" s="249">
        <v>0</v>
      </c>
      <c r="F130" s="248">
        <v>1800</v>
      </c>
      <c r="G130" s="241">
        <v>0</v>
      </c>
      <c r="H130" s="241">
        <v>0</v>
      </c>
      <c r="I130" s="241">
        <v>0</v>
      </c>
      <c r="J130" s="240">
        <v>0</v>
      </c>
    </row>
    <row r="131" spans="1:10" ht="15" customHeight="1" x14ac:dyDescent="0.2">
      <c r="A131" s="367" t="s">
        <v>52</v>
      </c>
      <c r="B131" s="242">
        <v>5000</v>
      </c>
      <c r="C131" s="241">
        <v>525</v>
      </c>
      <c r="D131" s="242">
        <v>75</v>
      </c>
      <c r="E131" s="249">
        <v>0</v>
      </c>
      <c r="F131" s="248">
        <v>450</v>
      </c>
      <c r="G131" s="241">
        <v>0</v>
      </c>
      <c r="H131" s="241">
        <v>0</v>
      </c>
      <c r="I131" s="241">
        <v>0</v>
      </c>
      <c r="J131" s="240">
        <v>0</v>
      </c>
    </row>
    <row r="132" spans="1:10" ht="15" customHeight="1" x14ac:dyDescent="0.2">
      <c r="A132" s="367" t="s">
        <v>51</v>
      </c>
      <c r="B132" s="242">
        <v>622</v>
      </c>
      <c r="C132" s="241">
        <v>33</v>
      </c>
      <c r="D132" s="242">
        <v>33</v>
      </c>
      <c r="E132" s="249">
        <v>0</v>
      </c>
      <c r="F132" s="248">
        <v>0</v>
      </c>
      <c r="G132" s="241">
        <v>0</v>
      </c>
      <c r="H132" s="241">
        <v>0</v>
      </c>
      <c r="I132" s="241">
        <v>0</v>
      </c>
      <c r="J132" s="240">
        <v>0</v>
      </c>
    </row>
    <row r="133" spans="1:10" ht="15" customHeight="1" x14ac:dyDescent="0.2">
      <c r="A133" s="367" t="s">
        <v>50</v>
      </c>
      <c r="B133" s="242">
        <v>20000</v>
      </c>
      <c r="C133" s="241">
        <v>1500</v>
      </c>
      <c r="D133" s="242">
        <v>150</v>
      </c>
      <c r="E133" s="249">
        <v>0</v>
      </c>
      <c r="F133" s="248">
        <v>1350</v>
      </c>
      <c r="G133" s="241">
        <v>0</v>
      </c>
      <c r="H133" s="241">
        <v>0</v>
      </c>
      <c r="I133" s="241">
        <v>0</v>
      </c>
      <c r="J133" s="240">
        <v>0</v>
      </c>
    </row>
    <row r="134" spans="1:10" ht="24" customHeight="1" x14ac:dyDescent="0.2">
      <c r="A134" s="367" t="s">
        <v>48</v>
      </c>
      <c r="B134" s="242">
        <v>830</v>
      </c>
      <c r="C134" s="241">
        <v>35</v>
      </c>
      <c r="D134" s="242">
        <v>35</v>
      </c>
      <c r="E134" s="249">
        <v>0</v>
      </c>
      <c r="F134" s="248">
        <v>0</v>
      </c>
      <c r="G134" s="241">
        <v>0</v>
      </c>
      <c r="H134" s="241">
        <v>0</v>
      </c>
      <c r="I134" s="241">
        <v>0</v>
      </c>
      <c r="J134" s="240">
        <v>0</v>
      </c>
    </row>
    <row r="135" spans="1:10" ht="15" customHeight="1" x14ac:dyDescent="0.2">
      <c r="A135" s="232" t="s">
        <v>47</v>
      </c>
      <c r="B135" s="231" t="s">
        <v>118</v>
      </c>
      <c r="C135" s="54">
        <f t="shared" ref="C135:J135" si="6">SUM(C97:C134)</f>
        <v>76028</v>
      </c>
      <c r="D135" s="54">
        <f t="shared" si="6"/>
        <v>17791</v>
      </c>
      <c r="E135" s="54">
        <f t="shared" si="6"/>
        <v>0</v>
      </c>
      <c r="F135" s="54">
        <f t="shared" si="6"/>
        <v>58237</v>
      </c>
      <c r="G135" s="54">
        <f t="shared" si="6"/>
        <v>42937</v>
      </c>
      <c r="H135" s="54">
        <f t="shared" si="6"/>
        <v>171658</v>
      </c>
      <c r="I135" s="54">
        <f t="shared" si="6"/>
        <v>109424.20999999999</v>
      </c>
      <c r="J135" s="230">
        <f t="shared" si="6"/>
        <v>37484.788050000003</v>
      </c>
    </row>
    <row r="136" spans="1:10" ht="18" customHeight="1" x14ac:dyDescent="0.2">
      <c r="A136" s="440" t="s">
        <v>46</v>
      </c>
      <c r="B136" s="441"/>
      <c r="C136" s="441"/>
      <c r="D136" s="441"/>
      <c r="E136" s="441"/>
      <c r="F136" s="441"/>
      <c r="G136" s="441"/>
      <c r="H136" s="441"/>
      <c r="I136" s="442"/>
      <c r="J136" s="237"/>
    </row>
    <row r="137" spans="1:10" s="363" customFormat="1" ht="24" customHeight="1" x14ac:dyDescent="0.2">
      <c r="A137" s="238" t="s">
        <v>231</v>
      </c>
      <c r="B137" s="235">
        <v>19685.11</v>
      </c>
      <c r="C137" s="234">
        <v>0</v>
      </c>
      <c r="D137" s="235">
        <v>0</v>
      </c>
      <c r="E137" s="234">
        <v>0</v>
      </c>
      <c r="F137" s="235">
        <v>0</v>
      </c>
      <c r="G137" s="234">
        <v>0</v>
      </c>
      <c r="H137" s="234">
        <v>8160</v>
      </c>
      <c r="I137" s="234">
        <f>7651-7651</f>
        <v>0</v>
      </c>
      <c r="J137" s="233">
        <v>7651</v>
      </c>
    </row>
    <row r="138" spans="1:10" s="363" customFormat="1" ht="24" customHeight="1" x14ac:dyDescent="0.2">
      <c r="A138" s="238" t="s">
        <v>230</v>
      </c>
      <c r="B138" s="235">
        <v>467045.27999999997</v>
      </c>
      <c r="C138" s="234">
        <v>0</v>
      </c>
      <c r="D138" s="235">
        <v>0</v>
      </c>
      <c r="E138" s="234">
        <v>0</v>
      </c>
      <c r="F138" s="235">
        <v>0</v>
      </c>
      <c r="G138" s="234">
        <v>0</v>
      </c>
      <c r="H138" s="234">
        <v>54966</v>
      </c>
      <c r="I138" s="234">
        <v>23100</v>
      </c>
      <c r="J138" s="233">
        <v>0</v>
      </c>
    </row>
    <row r="139" spans="1:10" s="363" customFormat="1" ht="24" customHeight="1" x14ac:dyDescent="0.2">
      <c r="A139" s="239" t="s">
        <v>229</v>
      </c>
      <c r="B139" s="235">
        <v>29000.399999999998</v>
      </c>
      <c r="C139" s="234">
        <v>0</v>
      </c>
      <c r="D139" s="235">
        <v>0</v>
      </c>
      <c r="E139" s="234">
        <v>0</v>
      </c>
      <c r="F139" s="235">
        <v>0</v>
      </c>
      <c r="G139" s="234">
        <v>0</v>
      </c>
      <c r="H139" s="234">
        <v>9707</v>
      </c>
      <c r="I139" s="234">
        <v>8767</v>
      </c>
      <c r="J139" s="233">
        <v>0</v>
      </c>
    </row>
    <row r="140" spans="1:10" s="363" customFormat="1" ht="24" customHeight="1" x14ac:dyDescent="0.2">
      <c r="A140" s="239" t="s">
        <v>467</v>
      </c>
      <c r="B140" s="235">
        <v>46319.880000000005</v>
      </c>
      <c r="C140" s="234">
        <v>0</v>
      </c>
      <c r="D140" s="235">
        <v>0</v>
      </c>
      <c r="E140" s="234">
        <v>0</v>
      </c>
      <c r="F140" s="235">
        <v>0</v>
      </c>
      <c r="G140" s="234">
        <v>0</v>
      </c>
      <c r="H140" s="234">
        <v>28472</v>
      </c>
      <c r="I140" s="234">
        <v>0</v>
      </c>
      <c r="J140" s="233">
        <v>0</v>
      </c>
    </row>
    <row r="141" spans="1:10" s="363" customFormat="1" ht="15" customHeight="1" x14ac:dyDescent="0.2">
      <c r="A141" s="239" t="s">
        <v>228</v>
      </c>
      <c r="B141" s="235">
        <v>91404.75</v>
      </c>
      <c r="C141" s="234">
        <v>0</v>
      </c>
      <c r="D141" s="235">
        <v>0</v>
      </c>
      <c r="E141" s="234">
        <v>0</v>
      </c>
      <c r="F141" s="235">
        <v>0</v>
      </c>
      <c r="G141" s="234">
        <v>0</v>
      </c>
      <c r="H141" s="234">
        <v>66705</v>
      </c>
      <c r="I141" s="234">
        <f>63942-43078.52</f>
        <v>20863.480000000003</v>
      </c>
      <c r="J141" s="233">
        <v>43078.52</v>
      </c>
    </row>
    <row r="142" spans="1:10" s="363" customFormat="1" ht="15" customHeight="1" x14ac:dyDescent="0.2">
      <c r="A142" s="239" t="s">
        <v>227</v>
      </c>
      <c r="B142" s="235">
        <v>292236.99</v>
      </c>
      <c r="C142" s="234">
        <v>0</v>
      </c>
      <c r="D142" s="235">
        <v>0</v>
      </c>
      <c r="E142" s="234">
        <v>0</v>
      </c>
      <c r="F142" s="235">
        <v>0</v>
      </c>
      <c r="G142" s="234">
        <v>0</v>
      </c>
      <c r="H142" s="234">
        <v>58477</v>
      </c>
      <c r="I142" s="234">
        <v>25</v>
      </c>
      <c r="J142" s="233">
        <v>0</v>
      </c>
    </row>
    <row r="143" spans="1:10" ht="24" customHeight="1" x14ac:dyDescent="0.2">
      <c r="A143" s="243" t="s">
        <v>45</v>
      </c>
      <c r="B143" s="242">
        <v>53500</v>
      </c>
      <c r="C143" s="241">
        <v>3500</v>
      </c>
      <c r="D143" s="242">
        <v>2000</v>
      </c>
      <c r="E143" s="241">
        <v>0</v>
      </c>
      <c r="F143" s="242">
        <v>1500</v>
      </c>
      <c r="G143" s="241">
        <v>0</v>
      </c>
      <c r="H143" s="241">
        <v>0</v>
      </c>
      <c r="I143" s="241">
        <v>0</v>
      </c>
      <c r="J143" s="240">
        <v>0</v>
      </c>
    </row>
    <row r="144" spans="1:10" ht="24" customHeight="1" x14ac:dyDescent="0.2">
      <c r="A144" s="243" t="s">
        <v>43</v>
      </c>
      <c r="B144" s="242">
        <v>80000</v>
      </c>
      <c r="C144" s="241">
        <v>2000</v>
      </c>
      <c r="D144" s="242">
        <v>200</v>
      </c>
      <c r="E144" s="241">
        <v>0</v>
      </c>
      <c r="F144" s="242">
        <v>1800</v>
      </c>
      <c r="G144" s="241">
        <v>1400</v>
      </c>
      <c r="H144" s="241">
        <v>0</v>
      </c>
      <c r="I144" s="241">
        <v>0</v>
      </c>
      <c r="J144" s="240">
        <v>0</v>
      </c>
    </row>
    <row r="145" spans="1:10" ht="24" customHeight="1" x14ac:dyDescent="0.2">
      <c r="A145" s="243" t="s">
        <v>42</v>
      </c>
      <c r="B145" s="242">
        <v>62000</v>
      </c>
      <c r="C145" s="241">
        <v>6000</v>
      </c>
      <c r="D145" s="242">
        <v>3000</v>
      </c>
      <c r="E145" s="241">
        <v>0</v>
      </c>
      <c r="F145" s="242">
        <v>3000</v>
      </c>
      <c r="G145" s="241">
        <v>2000</v>
      </c>
      <c r="H145" s="241">
        <v>0</v>
      </c>
      <c r="I145" s="241">
        <v>0</v>
      </c>
      <c r="J145" s="240">
        <v>0</v>
      </c>
    </row>
    <row r="146" spans="1:10" ht="15" customHeight="1" x14ac:dyDescent="0.2">
      <c r="A146" s="243" t="s">
        <v>40</v>
      </c>
      <c r="B146" s="242">
        <v>30000</v>
      </c>
      <c r="C146" s="241">
        <v>1000</v>
      </c>
      <c r="D146" s="242">
        <v>100</v>
      </c>
      <c r="E146" s="241">
        <v>0</v>
      </c>
      <c r="F146" s="242">
        <v>900</v>
      </c>
      <c r="G146" s="241">
        <v>0</v>
      </c>
      <c r="H146" s="241">
        <v>0</v>
      </c>
      <c r="I146" s="241">
        <v>0</v>
      </c>
      <c r="J146" s="240">
        <v>0</v>
      </c>
    </row>
    <row r="147" spans="1:10" ht="24" customHeight="1" x14ac:dyDescent="0.2">
      <c r="A147" s="243" t="s">
        <v>38</v>
      </c>
      <c r="B147" s="242">
        <v>30000.3</v>
      </c>
      <c r="C147" s="241">
        <v>200</v>
      </c>
      <c r="D147" s="242">
        <v>100</v>
      </c>
      <c r="E147" s="241">
        <v>0</v>
      </c>
      <c r="F147" s="242">
        <v>100</v>
      </c>
      <c r="G147" s="241">
        <v>0</v>
      </c>
      <c r="H147" s="241">
        <v>0</v>
      </c>
      <c r="I147" s="241">
        <v>0</v>
      </c>
      <c r="J147" s="240">
        <v>0</v>
      </c>
    </row>
    <row r="148" spans="1:10" ht="24" customHeight="1" x14ac:dyDescent="0.2">
      <c r="A148" s="243" t="s">
        <v>37</v>
      </c>
      <c r="B148" s="242">
        <v>131000.62</v>
      </c>
      <c r="C148" s="241">
        <v>600</v>
      </c>
      <c r="D148" s="242">
        <v>300</v>
      </c>
      <c r="E148" s="241">
        <v>0</v>
      </c>
      <c r="F148" s="242">
        <v>300</v>
      </c>
      <c r="G148" s="241">
        <v>0</v>
      </c>
      <c r="H148" s="241">
        <v>0</v>
      </c>
      <c r="I148" s="241">
        <v>0</v>
      </c>
      <c r="J148" s="240">
        <v>0</v>
      </c>
    </row>
    <row r="149" spans="1:10" ht="15" customHeight="1" x14ac:dyDescent="0.2">
      <c r="A149" s="243" t="s">
        <v>36</v>
      </c>
      <c r="B149" s="242">
        <v>6000</v>
      </c>
      <c r="C149" s="241">
        <v>1000</v>
      </c>
      <c r="D149" s="242">
        <v>100</v>
      </c>
      <c r="E149" s="241">
        <v>0</v>
      </c>
      <c r="F149" s="242">
        <v>900</v>
      </c>
      <c r="G149" s="241">
        <v>500</v>
      </c>
      <c r="H149" s="241">
        <v>0</v>
      </c>
      <c r="I149" s="241">
        <v>0</v>
      </c>
      <c r="J149" s="240">
        <v>0</v>
      </c>
    </row>
    <row r="150" spans="1:10" ht="24" customHeight="1" x14ac:dyDescent="0.2">
      <c r="A150" s="243" t="s">
        <v>35</v>
      </c>
      <c r="B150" s="242">
        <v>60000</v>
      </c>
      <c r="C150" s="241">
        <v>500</v>
      </c>
      <c r="D150" s="242">
        <v>50</v>
      </c>
      <c r="E150" s="241">
        <v>0</v>
      </c>
      <c r="F150" s="242">
        <v>450</v>
      </c>
      <c r="G150" s="241">
        <v>0</v>
      </c>
      <c r="H150" s="241">
        <v>0</v>
      </c>
      <c r="I150" s="241">
        <v>0</v>
      </c>
      <c r="J150" s="240">
        <v>0</v>
      </c>
    </row>
    <row r="151" spans="1:10" ht="24" customHeight="1" x14ac:dyDescent="0.2">
      <c r="A151" s="243" t="s">
        <v>34</v>
      </c>
      <c r="B151" s="242">
        <v>76500</v>
      </c>
      <c r="C151" s="241">
        <v>3000</v>
      </c>
      <c r="D151" s="242">
        <v>450</v>
      </c>
      <c r="E151" s="241">
        <v>0</v>
      </c>
      <c r="F151" s="242">
        <v>2550</v>
      </c>
      <c r="G151" s="241">
        <v>2200</v>
      </c>
      <c r="H151" s="241">
        <v>0</v>
      </c>
      <c r="I151" s="241">
        <v>0</v>
      </c>
      <c r="J151" s="240">
        <v>0</v>
      </c>
    </row>
    <row r="152" spans="1:10" ht="24" customHeight="1" x14ac:dyDescent="0.2">
      <c r="A152" s="243" t="s">
        <v>33</v>
      </c>
      <c r="B152" s="242">
        <v>178500</v>
      </c>
      <c r="C152" s="241">
        <v>5000</v>
      </c>
      <c r="D152" s="242">
        <v>500</v>
      </c>
      <c r="E152" s="241">
        <v>0</v>
      </c>
      <c r="F152" s="242">
        <v>4500</v>
      </c>
      <c r="G152" s="241">
        <v>4100</v>
      </c>
      <c r="H152" s="241">
        <v>0</v>
      </c>
      <c r="I152" s="241">
        <v>0</v>
      </c>
      <c r="J152" s="240">
        <v>0</v>
      </c>
    </row>
    <row r="153" spans="1:10" ht="15" customHeight="1" x14ac:dyDescent="0.2">
      <c r="A153" s="243" t="s">
        <v>226</v>
      </c>
      <c r="B153" s="242">
        <v>40000</v>
      </c>
      <c r="C153" s="241">
        <v>1000</v>
      </c>
      <c r="D153" s="242">
        <v>100</v>
      </c>
      <c r="E153" s="241">
        <v>0</v>
      </c>
      <c r="F153" s="242">
        <v>900</v>
      </c>
      <c r="G153" s="241">
        <v>600</v>
      </c>
      <c r="H153" s="241">
        <v>0</v>
      </c>
      <c r="I153" s="241">
        <v>0</v>
      </c>
      <c r="J153" s="240">
        <v>0</v>
      </c>
    </row>
    <row r="154" spans="1:10" ht="24" customHeight="1" x14ac:dyDescent="0.2">
      <c r="A154" s="243" t="s">
        <v>32</v>
      </c>
      <c r="B154" s="242">
        <v>12000</v>
      </c>
      <c r="C154" s="241">
        <v>2000</v>
      </c>
      <c r="D154" s="242">
        <v>200</v>
      </c>
      <c r="E154" s="241">
        <v>0</v>
      </c>
      <c r="F154" s="242">
        <v>1800</v>
      </c>
      <c r="G154" s="241">
        <v>1500</v>
      </c>
      <c r="H154" s="241">
        <v>0</v>
      </c>
      <c r="I154" s="241">
        <v>0</v>
      </c>
      <c r="J154" s="240">
        <v>0</v>
      </c>
    </row>
    <row r="155" spans="1:10" ht="15" customHeight="1" x14ac:dyDescent="0.2">
      <c r="A155" s="243" t="s">
        <v>31</v>
      </c>
      <c r="B155" s="242">
        <v>1900</v>
      </c>
      <c r="C155" s="241">
        <v>1000</v>
      </c>
      <c r="D155" s="242">
        <v>100</v>
      </c>
      <c r="E155" s="241">
        <v>0</v>
      </c>
      <c r="F155" s="242">
        <v>900</v>
      </c>
      <c r="G155" s="241">
        <v>600</v>
      </c>
      <c r="H155" s="241">
        <v>0</v>
      </c>
      <c r="I155" s="241">
        <v>0</v>
      </c>
      <c r="J155" s="240">
        <v>0</v>
      </c>
    </row>
    <row r="156" spans="1:10" ht="24" customHeight="1" x14ac:dyDescent="0.2">
      <c r="A156" s="243" t="s">
        <v>30</v>
      </c>
      <c r="B156" s="242">
        <v>40000</v>
      </c>
      <c r="C156" s="241">
        <v>500</v>
      </c>
      <c r="D156" s="242">
        <v>50</v>
      </c>
      <c r="E156" s="241">
        <v>0</v>
      </c>
      <c r="F156" s="242">
        <v>450</v>
      </c>
      <c r="G156" s="241">
        <v>0</v>
      </c>
      <c r="H156" s="241">
        <v>0</v>
      </c>
      <c r="I156" s="241">
        <v>0</v>
      </c>
      <c r="J156" s="240">
        <v>0</v>
      </c>
    </row>
    <row r="157" spans="1:10" ht="24" customHeight="1" x14ac:dyDescent="0.2">
      <c r="A157" s="243" t="s">
        <v>29</v>
      </c>
      <c r="B157" s="242">
        <v>60000</v>
      </c>
      <c r="C157" s="241">
        <v>500</v>
      </c>
      <c r="D157" s="242">
        <v>50</v>
      </c>
      <c r="E157" s="241">
        <v>0</v>
      </c>
      <c r="F157" s="242">
        <v>450</v>
      </c>
      <c r="G157" s="241">
        <v>0</v>
      </c>
      <c r="H157" s="241">
        <v>0</v>
      </c>
      <c r="I157" s="241">
        <v>0</v>
      </c>
      <c r="J157" s="240">
        <v>0</v>
      </c>
    </row>
    <row r="158" spans="1:10" ht="34.5" customHeight="1" x14ac:dyDescent="0.2">
      <c r="A158" s="243" t="s">
        <v>28</v>
      </c>
      <c r="B158" s="242">
        <v>36511</v>
      </c>
      <c r="C158" s="241">
        <v>9000</v>
      </c>
      <c r="D158" s="242">
        <v>9000</v>
      </c>
      <c r="E158" s="241">
        <v>0</v>
      </c>
      <c r="F158" s="242">
        <v>0</v>
      </c>
      <c r="G158" s="241">
        <v>0</v>
      </c>
      <c r="H158" s="241">
        <v>0</v>
      </c>
      <c r="I158" s="241">
        <v>0</v>
      </c>
      <c r="J158" s="240">
        <v>0</v>
      </c>
    </row>
    <row r="159" spans="1:10" ht="15" customHeight="1" x14ac:dyDescent="0.2">
      <c r="A159" s="232" t="s">
        <v>26</v>
      </c>
      <c r="B159" s="231" t="s">
        <v>118</v>
      </c>
      <c r="C159" s="54">
        <f t="shared" ref="C159:J159" si="7">SUM(C137:C158)</f>
        <v>36800</v>
      </c>
      <c r="D159" s="54">
        <f t="shared" si="7"/>
        <v>16300</v>
      </c>
      <c r="E159" s="54">
        <f t="shared" si="7"/>
        <v>0</v>
      </c>
      <c r="F159" s="54">
        <f t="shared" si="7"/>
        <v>20500</v>
      </c>
      <c r="G159" s="54">
        <f t="shared" si="7"/>
        <v>12900</v>
      </c>
      <c r="H159" s="54">
        <f t="shared" si="7"/>
        <v>226487</v>
      </c>
      <c r="I159" s="54">
        <f t="shared" si="7"/>
        <v>52755.48</v>
      </c>
      <c r="J159" s="230">
        <f t="shared" si="7"/>
        <v>50729.52</v>
      </c>
    </row>
    <row r="160" spans="1:10" ht="18" customHeight="1" x14ac:dyDescent="0.2">
      <c r="A160" s="440" t="s">
        <v>25</v>
      </c>
      <c r="B160" s="441"/>
      <c r="C160" s="441"/>
      <c r="D160" s="441"/>
      <c r="E160" s="441"/>
      <c r="F160" s="441"/>
      <c r="G160" s="441"/>
      <c r="H160" s="441"/>
      <c r="I160" s="442"/>
      <c r="J160" s="237"/>
    </row>
    <row r="161" spans="1:10" ht="24" customHeight="1" x14ac:dyDescent="0.2">
      <c r="A161" s="244" t="s">
        <v>24</v>
      </c>
      <c r="B161" s="242">
        <v>2000</v>
      </c>
      <c r="C161" s="241">
        <v>500</v>
      </c>
      <c r="D161" s="242">
        <v>75</v>
      </c>
      <c r="E161" s="241">
        <v>0</v>
      </c>
      <c r="F161" s="242">
        <v>425</v>
      </c>
      <c r="G161" s="241">
        <v>0</v>
      </c>
      <c r="H161" s="241">
        <v>0</v>
      </c>
      <c r="I161" s="241">
        <v>0</v>
      </c>
      <c r="J161" s="240">
        <v>0</v>
      </c>
    </row>
    <row r="162" spans="1:10" ht="24" customHeight="1" x14ac:dyDescent="0.2">
      <c r="A162" s="244" t="s">
        <v>22</v>
      </c>
      <c r="B162" s="242">
        <v>8400</v>
      </c>
      <c r="C162" s="241">
        <v>700</v>
      </c>
      <c r="D162" s="242">
        <v>360</v>
      </c>
      <c r="E162" s="241">
        <v>0</v>
      </c>
      <c r="F162" s="242">
        <v>340</v>
      </c>
      <c r="G162" s="241">
        <v>0</v>
      </c>
      <c r="H162" s="241">
        <v>0</v>
      </c>
      <c r="I162" s="241">
        <v>0</v>
      </c>
      <c r="J162" s="240">
        <v>0</v>
      </c>
    </row>
    <row r="163" spans="1:10" ht="24" customHeight="1" x14ac:dyDescent="0.2">
      <c r="A163" s="244" t="s">
        <v>20</v>
      </c>
      <c r="B163" s="242">
        <v>12400</v>
      </c>
      <c r="C163" s="241">
        <v>500</v>
      </c>
      <c r="D163" s="242">
        <v>350</v>
      </c>
      <c r="E163" s="241">
        <v>0</v>
      </c>
      <c r="F163" s="242">
        <v>150</v>
      </c>
      <c r="G163" s="241">
        <v>0</v>
      </c>
      <c r="H163" s="241">
        <v>0</v>
      </c>
      <c r="I163" s="241">
        <v>0</v>
      </c>
      <c r="J163" s="240">
        <v>0</v>
      </c>
    </row>
    <row r="164" spans="1:10" ht="15" customHeight="1" x14ac:dyDescent="0.2">
      <c r="A164" s="244" t="s">
        <v>18</v>
      </c>
      <c r="B164" s="242">
        <v>5700</v>
      </c>
      <c r="C164" s="241">
        <v>300</v>
      </c>
      <c r="D164" s="242">
        <v>150</v>
      </c>
      <c r="E164" s="241">
        <v>0</v>
      </c>
      <c r="F164" s="242">
        <v>150</v>
      </c>
      <c r="G164" s="241">
        <v>0</v>
      </c>
      <c r="H164" s="241">
        <v>0</v>
      </c>
      <c r="I164" s="241">
        <v>0</v>
      </c>
      <c r="J164" s="240">
        <v>0</v>
      </c>
    </row>
    <row r="165" spans="1:10" ht="24" customHeight="1" x14ac:dyDescent="0.2">
      <c r="A165" s="244" t="s">
        <v>16</v>
      </c>
      <c r="B165" s="242">
        <v>509200</v>
      </c>
      <c r="C165" s="241">
        <v>509200</v>
      </c>
      <c r="D165" s="242">
        <v>30000</v>
      </c>
      <c r="E165" s="241">
        <v>0</v>
      </c>
      <c r="F165" s="242">
        <v>479200</v>
      </c>
      <c r="G165" s="241">
        <v>0</v>
      </c>
      <c r="H165" s="241">
        <v>479200</v>
      </c>
      <c r="I165" s="241">
        <v>0</v>
      </c>
      <c r="J165" s="240">
        <v>0</v>
      </c>
    </row>
    <row r="166" spans="1:10" ht="15" customHeight="1" x14ac:dyDescent="0.2">
      <c r="A166" s="232" t="s">
        <v>15</v>
      </c>
      <c r="B166" s="231" t="s">
        <v>118</v>
      </c>
      <c r="C166" s="54">
        <f t="shared" ref="C166:J166" si="8">SUM(C161:C165)</f>
        <v>511200</v>
      </c>
      <c r="D166" s="54">
        <f t="shared" si="8"/>
        <v>30935</v>
      </c>
      <c r="E166" s="54">
        <f t="shared" si="8"/>
        <v>0</v>
      </c>
      <c r="F166" s="54">
        <f t="shared" si="8"/>
        <v>480265</v>
      </c>
      <c r="G166" s="54">
        <f t="shared" si="8"/>
        <v>0</v>
      </c>
      <c r="H166" s="54">
        <f t="shared" si="8"/>
        <v>479200</v>
      </c>
      <c r="I166" s="54">
        <f t="shared" si="8"/>
        <v>0</v>
      </c>
      <c r="J166" s="230">
        <f t="shared" si="8"/>
        <v>0</v>
      </c>
    </row>
    <row r="167" spans="1:10" ht="18" customHeight="1" x14ac:dyDescent="0.2">
      <c r="A167" s="443" t="s">
        <v>14</v>
      </c>
      <c r="B167" s="444"/>
      <c r="C167" s="444"/>
      <c r="D167" s="444"/>
      <c r="E167" s="444"/>
      <c r="F167" s="444"/>
      <c r="G167" s="444"/>
      <c r="H167" s="444"/>
      <c r="I167" s="445"/>
      <c r="J167" s="237"/>
    </row>
    <row r="168" spans="1:10" ht="15" customHeight="1" x14ac:dyDescent="0.2">
      <c r="A168" s="229" t="s">
        <v>7</v>
      </c>
      <c r="B168" s="242">
        <v>33200.300000000003</v>
      </c>
      <c r="C168" s="241">
        <v>1200</v>
      </c>
      <c r="D168" s="242">
        <v>120</v>
      </c>
      <c r="E168" s="241">
        <v>0</v>
      </c>
      <c r="F168" s="242">
        <v>1080</v>
      </c>
      <c r="G168" s="241">
        <v>0</v>
      </c>
      <c r="H168" s="241">
        <v>2520</v>
      </c>
      <c r="I168" s="241">
        <v>0</v>
      </c>
      <c r="J168" s="240">
        <v>0</v>
      </c>
    </row>
    <row r="169" spans="1:10" ht="24" customHeight="1" x14ac:dyDescent="0.2">
      <c r="A169" s="229" t="s">
        <v>11</v>
      </c>
      <c r="B169" s="242">
        <v>19000</v>
      </c>
      <c r="C169" s="241">
        <v>1000</v>
      </c>
      <c r="D169" s="242">
        <v>200</v>
      </c>
      <c r="E169" s="241">
        <v>0</v>
      </c>
      <c r="F169" s="242">
        <v>800</v>
      </c>
      <c r="G169" s="241">
        <v>0</v>
      </c>
      <c r="H169" s="241">
        <v>0</v>
      </c>
      <c r="I169" s="241">
        <v>0</v>
      </c>
      <c r="J169" s="240">
        <v>0</v>
      </c>
    </row>
    <row r="170" spans="1:10" ht="15" customHeight="1" x14ac:dyDescent="0.2">
      <c r="A170" s="229" t="s">
        <v>13</v>
      </c>
      <c r="B170" s="242">
        <v>3450</v>
      </c>
      <c r="C170" s="241">
        <v>275</v>
      </c>
      <c r="D170" s="242">
        <v>275</v>
      </c>
      <c r="E170" s="241">
        <v>0</v>
      </c>
      <c r="F170" s="242">
        <v>0</v>
      </c>
      <c r="G170" s="241">
        <v>0</v>
      </c>
      <c r="H170" s="241">
        <v>0</v>
      </c>
      <c r="I170" s="241">
        <v>0</v>
      </c>
      <c r="J170" s="240">
        <v>0</v>
      </c>
    </row>
    <row r="171" spans="1:10" ht="15" customHeight="1" x14ac:dyDescent="0.2">
      <c r="A171" s="229" t="s">
        <v>9</v>
      </c>
      <c r="B171" s="242">
        <v>200</v>
      </c>
      <c r="C171" s="241">
        <v>75</v>
      </c>
      <c r="D171" s="242">
        <v>75</v>
      </c>
      <c r="E171" s="241">
        <v>0</v>
      </c>
      <c r="F171" s="242">
        <v>0</v>
      </c>
      <c r="G171" s="241">
        <v>0</v>
      </c>
      <c r="H171" s="241">
        <v>0</v>
      </c>
      <c r="I171" s="241">
        <v>0</v>
      </c>
      <c r="J171" s="240">
        <v>0</v>
      </c>
    </row>
    <row r="172" spans="1:10" ht="24" customHeight="1" x14ac:dyDescent="0.2">
      <c r="A172" s="229" t="s">
        <v>5</v>
      </c>
      <c r="B172" s="242">
        <v>3450</v>
      </c>
      <c r="C172" s="241">
        <v>275</v>
      </c>
      <c r="D172" s="242">
        <v>275</v>
      </c>
      <c r="E172" s="241">
        <v>0</v>
      </c>
      <c r="F172" s="242">
        <v>0</v>
      </c>
      <c r="G172" s="241">
        <v>0</v>
      </c>
      <c r="H172" s="241">
        <v>0</v>
      </c>
      <c r="I172" s="241">
        <v>0</v>
      </c>
      <c r="J172" s="240">
        <v>0</v>
      </c>
    </row>
    <row r="173" spans="1:10" ht="24" customHeight="1" x14ac:dyDescent="0.2">
      <c r="A173" s="232" t="s">
        <v>225</v>
      </c>
      <c r="B173" s="231" t="s">
        <v>118</v>
      </c>
      <c r="C173" s="54">
        <f t="shared" ref="C173:J173" si="9">SUM(C168:C172)</f>
        <v>2825</v>
      </c>
      <c r="D173" s="54">
        <f t="shared" si="9"/>
        <v>945</v>
      </c>
      <c r="E173" s="54">
        <f t="shared" si="9"/>
        <v>0</v>
      </c>
      <c r="F173" s="54">
        <f t="shared" si="9"/>
        <v>1880</v>
      </c>
      <c r="G173" s="54">
        <f t="shared" si="9"/>
        <v>0</v>
      </c>
      <c r="H173" s="54">
        <f t="shared" si="9"/>
        <v>2520</v>
      </c>
      <c r="I173" s="54">
        <f t="shared" si="9"/>
        <v>0</v>
      </c>
      <c r="J173" s="230">
        <f t="shared" si="9"/>
        <v>0</v>
      </c>
    </row>
    <row r="174" spans="1:10" ht="11.25" thickBot="1" x14ac:dyDescent="0.25">
      <c r="A174" s="229"/>
      <c r="B174" s="226"/>
      <c r="C174" s="228"/>
      <c r="D174" s="227"/>
      <c r="E174" s="227"/>
      <c r="F174" s="227"/>
      <c r="G174" s="226"/>
      <c r="H174" s="48"/>
      <c r="I174" s="225"/>
      <c r="J174" s="224"/>
    </row>
    <row r="175" spans="1:10" ht="16.5" customHeight="1" thickBot="1" x14ac:dyDescent="0.25">
      <c r="A175" s="223" t="s">
        <v>1</v>
      </c>
      <c r="B175" s="222" t="s">
        <v>118</v>
      </c>
      <c r="C175" s="221">
        <f t="shared" ref="C175:J175" si="10">SUM(C27,C55,C67,C95,C135,C159,C166,C173,C48,C38)</f>
        <v>1166086</v>
      </c>
      <c r="D175" s="221">
        <f t="shared" si="10"/>
        <v>187361</v>
      </c>
      <c r="E175" s="221">
        <f t="shared" si="10"/>
        <v>0</v>
      </c>
      <c r="F175" s="221">
        <f t="shared" si="10"/>
        <v>978725</v>
      </c>
      <c r="G175" s="221">
        <f t="shared" si="10"/>
        <v>418537</v>
      </c>
      <c r="H175" s="221">
        <f t="shared" si="10"/>
        <v>2170452</v>
      </c>
      <c r="I175" s="221">
        <f t="shared" si="10"/>
        <v>666549.94999999995</v>
      </c>
      <c r="J175" s="220">
        <f t="shared" si="10"/>
        <v>744320.84563999996</v>
      </c>
    </row>
    <row r="176" spans="1:10" x14ac:dyDescent="0.2">
      <c r="D176" s="69"/>
      <c r="E176" s="69"/>
    </row>
    <row r="177" spans="1:8" x14ac:dyDescent="0.2">
      <c r="A177" s="219" t="s">
        <v>472</v>
      </c>
      <c r="H177" s="359"/>
    </row>
    <row r="178" spans="1:8" x14ac:dyDescent="0.2">
      <c r="A178" s="219"/>
    </row>
  </sheetData>
  <customSheetViews>
    <customSheetView guid="{8DF5934D-271D-4996-8FBD-8BBE47175559}" showPageBreaks="1" fitToPage="1" printArea="1">
      <pane ySplit="5" topLeftCell="A6" activePane="bottomLeft" state="frozen"/>
      <selection pane="bottomLeft" activeCell="K2" sqref="K2"/>
      <rowBreaks count="3" manualBreakCount="3">
        <brk id="25" max="9" man="1"/>
        <brk id="45" max="9" man="1"/>
        <brk id="67" max="9" man="1"/>
      </rowBreaks>
      <pageMargins left="0.39370078740157483" right="0.39370078740157483" top="0.98425196850393704" bottom="0.59055118110236227" header="0.51181102362204722" footer="0.31496062992125984"/>
      <printOptions horizontalCentered="1"/>
      <pageSetup paperSize="9" firstPageNumber="9" fitToHeight="0" orientation="landscape" useFirstPageNumber="1" r:id="rId1"/>
      <headerFooter alignWithMargins="0">
        <oddHeader>&amp;L&amp;"Tahoma,Kurzíva"&amp;9Návrh rozpočtu na rok 2016
Příloha č. 8&amp;R&amp;"Tahoma,Kurzíva"&amp;9Přehled akcí spolufinancovaných z evropských finančních zdrojů z pohledu způsobu financování</oddHeader>
        <oddFooter>&amp;C&amp;"Tahoma,Obyčejné"&amp;P</oddFooter>
      </headerFooter>
    </customSheetView>
  </customSheetViews>
  <mergeCells count="18">
    <mergeCell ref="A96:I96"/>
    <mergeCell ref="A136:I136"/>
    <mergeCell ref="A160:I160"/>
    <mergeCell ref="A167:I167"/>
    <mergeCell ref="A6:J6"/>
    <mergeCell ref="A28:I28"/>
    <mergeCell ref="A39:I39"/>
    <mergeCell ref="A49:J49"/>
    <mergeCell ref="A56:I56"/>
    <mergeCell ref="A68:I68"/>
    <mergeCell ref="A1:I1"/>
    <mergeCell ref="A2:I2"/>
    <mergeCell ref="A4:A5"/>
    <mergeCell ref="B4:B5"/>
    <mergeCell ref="C4:C5"/>
    <mergeCell ref="D4:E4"/>
    <mergeCell ref="F4:G4"/>
    <mergeCell ref="H4:J4"/>
  </mergeCells>
  <printOptions horizontalCentered="1"/>
  <pageMargins left="0.39370078740157483" right="0.39370078740157483" top="0.98425196850393704" bottom="0.59055118110236227" header="0.51181102362204722" footer="0.31496062992125984"/>
  <pageSetup paperSize="9" firstPageNumber="9" fitToHeight="0" orientation="landscape" useFirstPageNumber="1" r:id="rId2"/>
  <headerFooter alignWithMargins="0">
    <oddHeader>&amp;L&amp;"Tahoma,Kurzíva"&amp;9Návrh rozpočtu na rok 2016
Příloha č. 8&amp;R&amp;"Tahoma,Kurzíva"&amp;9Přehled akcí spolufinancovaných z evropských finančních zdrojů z pohledu způsobu financování</oddHeader>
    <oddFooter>&amp;C&amp;"Tahoma,Obyčejné"&amp;P</oddFooter>
  </headerFooter>
  <rowBreaks count="3" manualBreakCount="3">
    <brk id="25" max="9" man="1"/>
    <brk id="45" max="9" man="1"/>
    <brk id="6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0"/>
  <sheetViews>
    <sheetView zoomScaleNormal="100" zoomScaleSheetLayoutView="100" workbookViewId="0">
      <selection activeCell="E2" sqref="E2"/>
    </sheetView>
  </sheetViews>
  <sheetFormatPr defaultRowHeight="10.5" x14ac:dyDescent="0.15"/>
  <cols>
    <col min="1" max="1" width="7" style="276" customWidth="1"/>
    <col min="2" max="2" width="30" style="275" customWidth="1"/>
    <col min="3" max="3" width="12.140625" style="274" customWidth="1"/>
    <col min="4" max="4" width="47" style="273" customWidth="1"/>
    <col min="5" max="16384" width="9.140625" style="272"/>
  </cols>
  <sheetData>
    <row r="1" spans="1:4" s="350" customFormat="1" ht="21" customHeight="1" x14ac:dyDescent="0.2">
      <c r="A1" s="470" t="s">
        <v>434</v>
      </c>
      <c r="B1" s="470"/>
      <c r="C1" s="470"/>
      <c r="D1" s="470"/>
    </row>
    <row r="2" spans="1:4" s="350" customFormat="1" ht="18" customHeight="1" x14ac:dyDescent="0.2">
      <c r="A2" s="351"/>
      <c r="B2" s="351"/>
      <c r="C2" s="351"/>
      <c r="D2" s="351"/>
    </row>
    <row r="3" spans="1:4" ht="15" customHeight="1" thickBot="1" x14ac:dyDescent="0.2">
      <c r="A3" s="349" t="s">
        <v>334</v>
      </c>
    </row>
    <row r="4" spans="1:4" ht="25.5" customHeight="1" thickBot="1" x14ac:dyDescent="0.2">
      <c r="A4" s="323" t="s">
        <v>394</v>
      </c>
      <c r="B4" s="322" t="s">
        <v>393</v>
      </c>
      <c r="C4" s="348" t="s">
        <v>392</v>
      </c>
      <c r="D4" s="320" t="s">
        <v>391</v>
      </c>
    </row>
    <row r="5" spans="1:4" ht="24.75" customHeight="1" thickTop="1" x14ac:dyDescent="0.15">
      <c r="A5" s="347">
        <v>1111</v>
      </c>
      <c r="B5" s="346" t="s">
        <v>433</v>
      </c>
      <c r="C5" s="292">
        <v>1160000</v>
      </c>
      <c r="D5" s="345" t="s">
        <v>457</v>
      </c>
    </row>
    <row r="6" spans="1:4" ht="24" customHeight="1" x14ac:dyDescent="0.15">
      <c r="A6" s="344">
        <v>1112</v>
      </c>
      <c r="B6" s="293" t="s">
        <v>432</v>
      </c>
      <c r="C6" s="290">
        <v>15000</v>
      </c>
      <c r="D6" s="343" t="s">
        <v>458</v>
      </c>
    </row>
    <row r="7" spans="1:4" ht="24" customHeight="1" x14ac:dyDescent="0.15">
      <c r="A7" s="344">
        <v>1113</v>
      </c>
      <c r="B7" s="293" t="s">
        <v>431</v>
      </c>
      <c r="C7" s="290">
        <v>125000</v>
      </c>
      <c r="D7" s="343" t="s">
        <v>459</v>
      </c>
    </row>
    <row r="8" spans="1:4" ht="24" customHeight="1" x14ac:dyDescent="0.15">
      <c r="A8" s="344">
        <v>1121</v>
      </c>
      <c r="B8" s="293" t="s">
        <v>430</v>
      </c>
      <c r="C8" s="290">
        <v>1200000</v>
      </c>
      <c r="D8" s="343" t="s">
        <v>460</v>
      </c>
    </row>
    <row r="9" spans="1:4" ht="24" customHeight="1" x14ac:dyDescent="0.15">
      <c r="A9" s="344">
        <v>1123</v>
      </c>
      <c r="B9" s="293" t="s">
        <v>429</v>
      </c>
      <c r="C9" s="290">
        <v>29500</v>
      </c>
      <c r="D9" s="343" t="s">
        <v>461</v>
      </c>
    </row>
    <row r="10" spans="1:4" ht="24" customHeight="1" x14ac:dyDescent="0.15">
      <c r="A10" s="344">
        <v>1211</v>
      </c>
      <c r="B10" s="293" t="s">
        <v>428</v>
      </c>
      <c r="C10" s="290">
        <v>2800000</v>
      </c>
      <c r="D10" s="343" t="s">
        <v>462</v>
      </c>
    </row>
    <row r="11" spans="1:4" ht="45" customHeight="1" thickBot="1" x14ac:dyDescent="0.2">
      <c r="A11" s="342">
        <v>1361</v>
      </c>
      <c r="B11" s="341" t="s">
        <v>427</v>
      </c>
      <c r="C11" s="288">
        <v>1450</v>
      </c>
      <c r="D11" s="340" t="s">
        <v>463</v>
      </c>
    </row>
    <row r="12" spans="1:4" s="278" customFormat="1" ht="15.75" customHeight="1" thickTop="1" thickBot="1" x14ac:dyDescent="0.2">
      <c r="A12" s="339" t="s">
        <v>426</v>
      </c>
      <c r="B12" s="338"/>
      <c r="C12" s="337">
        <f>SUM(C5:C11)</f>
        <v>5330950</v>
      </c>
      <c r="D12" s="336"/>
    </row>
    <row r="13" spans="1:4" s="278" customFormat="1" ht="15.75" customHeight="1" x14ac:dyDescent="0.15">
      <c r="A13" s="284"/>
      <c r="B13" s="308"/>
      <c r="C13" s="282"/>
      <c r="D13" s="281"/>
    </row>
    <row r="14" spans="1:4" s="278" customFormat="1" ht="15" customHeight="1" x14ac:dyDescent="0.15">
      <c r="A14" s="309"/>
      <c r="B14" s="308"/>
      <c r="C14" s="282"/>
      <c r="D14" s="281"/>
    </row>
    <row r="15" spans="1:4" s="278" customFormat="1" ht="15" customHeight="1" thickBot="1" x14ac:dyDescent="0.2">
      <c r="A15" s="307" t="s">
        <v>324</v>
      </c>
      <c r="B15" s="306"/>
      <c r="C15" s="335"/>
      <c r="D15" s="334"/>
    </row>
    <row r="16" spans="1:4" s="300" customFormat="1" ht="25.5" customHeight="1" thickBot="1" x14ac:dyDescent="0.2">
      <c r="A16" s="323" t="s">
        <v>394</v>
      </c>
      <c r="B16" s="322" t="s">
        <v>393</v>
      </c>
      <c r="C16" s="321" t="s">
        <v>392</v>
      </c>
      <c r="D16" s="320" t="s">
        <v>391</v>
      </c>
    </row>
    <row r="17" spans="1:4" ht="35.25" customHeight="1" thickTop="1" x14ac:dyDescent="0.15">
      <c r="A17" s="471">
        <v>2111</v>
      </c>
      <c r="B17" s="473" t="s">
        <v>425</v>
      </c>
      <c r="C17" s="297">
        <v>1472</v>
      </c>
      <c r="D17" s="296" t="s">
        <v>424</v>
      </c>
    </row>
    <row r="18" spans="1:4" ht="34.5" customHeight="1" x14ac:dyDescent="0.15">
      <c r="A18" s="472"/>
      <c r="B18" s="469"/>
      <c r="C18" s="292">
        <v>750</v>
      </c>
      <c r="D18" s="331" t="s">
        <v>423</v>
      </c>
    </row>
    <row r="19" spans="1:4" ht="12.75" customHeight="1" x14ac:dyDescent="0.15">
      <c r="A19" s="294">
        <v>2119</v>
      </c>
      <c r="B19" s="293" t="s">
        <v>422</v>
      </c>
      <c r="C19" s="290">
        <v>2000</v>
      </c>
      <c r="D19" s="319" t="s">
        <v>439</v>
      </c>
    </row>
    <row r="20" spans="1:4" ht="34.5" customHeight="1" x14ac:dyDescent="0.15">
      <c r="A20" s="453">
        <v>2122</v>
      </c>
      <c r="B20" s="456" t="s">
        <v>421</v>
      </c>
      <c r="C20" s="290">
        <v>2200</v>
      </c>
      <c r="D20" s="319" t="s">
        <v>440</v>
      </c>
    </row>
    <row r="21" spans="1:4" ht="34.5" customHeight="1" x14ac:dyDescent="0.15">
      <c r="A21" s="454"/>
      <c r="B21" s="457"/>
      <c r="C21" s="290">
        <v>850</v>
      </c>
      <c r="D21" s="319" t="s">
        <v>441</v>
      </c>
    </row>
    <row r="22" spans="1:4" ht="34.5" customHeight="1" x14ac:dyDescent="0.15">
      <c r="A22" s="454"/>
      <c r="B22" s="457"/>
      <c r="C22" s="290">
        <v>200</v>
      </c>
      <c r="D22" s="319" t="s">
        <v>442</v>
      </c>
    </row>
    <row r="23" spans="1:4" ht="34.5" customHeight="1" x14ac:dyDescent="0.15">
      <c r="A23" s="462"/>
      <c r="B23" s="464"/>
      <c r="C23" s="290">
        <v>500</v>
      </c>
      <c r="D23" s="319" t="s">
        <v>443</v>
      </c>
    </row>
    <row r="24" spans="1:4" ht="34.5" customHeight="1" x14ac:dyDescent="0.15">
      <c r="A24" s="462"/>
      <c r="B24" s="464"/>
      <c r="C24" s="290">
        <v>1500</v>
      </c>
      <c r="D24" s="319" t="s">
        <v>444</v>
      </c>
    </row>
    <row r="25" spans="1:4" ht="34.5" customHeight="1" x14ac:dyDescent="0.15">
      <c r="A25" s="462"/>
      <c r="B25" s="464"/>
      <c r="C25" s="290">
        <v>300</v>
      </c>
      <c r="D25" s="319" t="s">
        <v>445</v>
      </c>
    </row>
    <row r="26" spans="1:4" ht="34.5" customHeight="1" x14ac:dyDescent="0.15">
      <c r="A26" s="459"/>
      <c r="B26" s="460"/>
      <c r="C26" s="290">
        <v>648</v>
      </c>
      <c r="D26" s="319" t="s">
        <v>446</v>
      </c>
    </row>
    <row r="27" spans="1:4" ht="34.5" customHeight="1" x14ac:dyDescent="0.15">
      <c r="A27" s="294">
        <v>2131</v>
      </c>
      <c r="B27" s="293" t="s">
        <v>420</v>
      </c>
      <c r="C27" s="290">
        <v>852</v>
      </c>
      <c r="D27" s="319" t="s">
        <v>447</v>
      </c>
    </row>
    <row r="28" spans="1:4" ht="34.5" customHeight="1" x14ac:dyDescent="0.15">
      <c r="A28" s="467">
        <v>2132</v>
      </c>
      <c r="B28" s="468" t="s">
        <v>419</v>
      </c>
      <c r="C28" s="290">
        <v>8954</v>
      </c>
      <c r="D28" s="319" t="s">
        <v>418</v>
      </c>
    </row>
    <row r="29" spans="1:4" ht="34.5" customHeight="1" x14ac:dyDescent="0.15">
      <c r="A29" s="467"/>
      <c r="B29" s="468"/>
      <c r="C29" s="290">
        <v>8287</v>
      </c>
      <c r="D29" s="319" t="s">
        <v>417</v>
      </c>
    </row>
    <row r="30" spans="1:4" ht="45" customHeight="1" x14ac:dyDescent="0.15">
      <c r="A30" s="467"/>
      <c r="B30" s="468"/>
      <c r="C30" s="290">
        <v>3720</v>
      </c>
      <c r="D30" s="319" t="s">
        <v>416</v>
      </c>
    </row>
    <row r="31" spans="1:4" ht="34.5" customHeight="1" x14ac:dyDescent="0.15">
      <c r="A31" s="333">
        <v>2139</v>
      </c>
      <c r="B31" s="332" t="s">
        <v>415</v>
      </c>
      <c r="C31" s="292">
        <v>8</v>
      </c>
      <c r="D31" s="331" t="s">
        <v>414</v>
      </c>
    </row>
    <row r="32" spans="1:4" ht="24" customHeight="1" x14ac:dyDescent="0.15">
      <c r="A32" s="294">
        <v>2141</v>
      </c>
      <c r="B32" s="293" t="s">
        <v>413</v>
      </c>
      <c r="C32" s="290">
        <v>10000</v>
      </c>
      <c r="D32" s="319" t="s">
        <v>456</v>
      </c>
    </row>
    <row r="33" spans="1:4" ht="24" customHeight="1" x14ac:dyDescent="0.15">
      <c r="A33" s="333">
        <v>2211</v>
      </c>
      <c r="B33" s="332" t="s">
        <v>412</v>
      </c>
      <c r="C33" s="292">
        <v>5</v>
      </c>
      <c r="D33" s="331" t="s">
        <v>455</v>
      </c>
    </row>
    <row r="34" spans="1:4" ht="69.75" customHeight="1" x14ac:dyDescent="0.15">
      <c r="A34" s="467">
        <v>2212</v>
      </c>
      <c r="B34" s="468" t="s">
        <v>411</v>
      </c>
      <c r="C34" s="290">
        <v>30</v>
      </c>
      <c r="D34" s="319" t="s">
        <v>410</v>
      </c>
    </row>
    <row r="35" spans="1:4" ht="60" customHeight="1" x14ac:dyDescent="0.15">
      <c r="A35" s="467"/>
      <c r="B35" s="468"/>
      <c r="C35" s="290">
        <v>5000</v>
      </c>
      <c r="D35" s="319" t="s">
        <v>454</v>
      </c>
    </row>
    <row r="36" spans="1:4" ht="34.5" customHeight="1" x14ac:dyDescent="0.15">
      <c r="A36" s="467">
        <v>2324</v>
      </c>
      <c r="B36" s="456" t="s">
        <v>409</v>
      </c>
      <c r="C36" s="290">
        <v>15</v>
      </c>
      <c r="D36" s="319" t="s">
        <v>435</v>
      </c>
    </row>
    <row r="37" spans="1:4" ht="24" customHeight="1" x14ac:dyDescent="0.15">
      <c r="A37" s="467"/>
      <c r="B37" s="457"/>
      <c r="C37" s="290">
        <v>50</v>
      </c>
      <c r="D37" s="319" t="s">
        <v>408</v>
      </c>
    </row>
    <row r="38" spans="1:4" ht="34.5" customHeight="1" x14ac:dyDescent="0.15">
      <c r="A38" s="467"/>
      <c r="B38" s="457"/>
      <c r="C38" s="290">
        <v>650</v>
      </c>
      <c r="D38" s="319" t="s">
        <v>453</v>
      </c>
    </row>
    <row r="39" spans="1:4" ht="73.5" x14ac:dyDescent="0.15">
      <c r="A39" s="467"/>
      <c r="B39" s="469"/>
      <c r="C39" s="290">
        <v>300</v>
      </c>
      <c r="D39" s="319" t="s">
        <v>407</v>
      </c>
    </row>
    <row r="40" spans="1:4" ht="34.5" customHeight="1" x14ac:dyDescent="0.15">
      <c r="A40" s="294">
        <v>2329</v>
      </c>
      <c r="B40" s="293" t="s">
        <v>406</v>
      </c>
      <c r="C40" s="290">
        <v>3100</v>
      </c>
      <c r="D40" s="319" t="s">
        <v>452</v>
      </c>
    </row>
    <row r="41" spans="1:4" ht="45" customHeight="1" x14ac:dyDescent="0.15">
      <c r="A41" s="294">
        <v>2342</v>
      </c>
      <c r="B41" s="293" t="s">
        <v>405</v>
      </c>
      <c r="C41" s="290">
        <v>15000</v>
      </c>
      <c r="D41" s="319" t="s">
        <v>436</v>
      </c>
    </row>
    <row r="42" spans="1:4" ht="45" customHeight="1" x14ac:dyDescent="0.15">
      <c r="A42" s="294" t="s">
        <v>404</v>
      </c>
      <c r="B42" s="293" t="s">
        <v>438</v>
      </c>
      <c r="C42" s="290">
        <v>3500</v>
      </c>
      <c r="D42" s="319" t="s">
        <v>403</v>
      </c>
    </row>
    <row r="43" spans="1:4" ht="45" customHeight="1" x14ac:dyDescent="0.15">
      <c r="A43" s="294" t="s">
        <v>402</v>
      </c>
      <c r="B43" s="293" t="s">
        <v>401</v>
      </c>
      <c r="C43" s="290">
        <v>500</v>
      </c>
      <c r="D43" s="319" t="s">
        <v>451</v>
      </c>
    </row>
    <row r="44" spans="1:4" ht="24.75" customHeight="1" thickBot="1" x14ac:dyDescent="0.2">
      <c r="A44" s="330">
        <v>2451</v>
      </c>
      <c r="B44" s="317" t="s">
        <v>400</v>
      </c>
      <c r="C44" s="288">
        <v>70000</v>
      </c>
      <c r="D44" s="316" t="s">
        <v>437</v>
      </c>
    </row>
    <row r="45" spans="1:4" s="328" customFormat="1" ht="15.75" customHeight="1" thickTop="1" thickBot="1" x14ac:dyDescent="0.2">
      <c r="A45" s="315" t="s">
        <v>399</v>
      </c>
      <c r="B45" s="314"/>
      <c r="C45" s="286">
        <f>SUM(C17:C44)</f>
        <v>140391</v>
      </c>
      <c r="D45" s="285"/>
    </row>
    <row r="46" spans="1:4" s="328" customFormat="1" ht="15.75" customHeight="1" x14ac:dyDescent="0.15">
      <c r="A46" s="284"/>
      <c r="B46" s="308"/>
      <c r="C46" s="311"/>
      <c r="D46" s="329"/>
    </row>
    <row r="47" spans="1:4" ht="15" customHeight="1" x14ac:dyDescent="0.15">
      <c r="A47" s="309"/>
      <c r="B47" s="308"/>
      <c r="C47" s="282"/>
      <c r="D47" s="305"/>
    </row>
    <row r="48" spans="1:4" ht="15" customHeight="1" thickBot="1" x14ac:dyDescent="0.2">
      <c r="A48" s="327" t="s">
        <v>323</v>
      </c>
      <c r="B48" s="326"/>
      <c r="C48" s="325"/>
      <c r="D48" s="324"/>
    </row>
    <row r="49" spans="1:4" ht="25.5" customHeight="1" thickBot="1" x14ac:dyDescent="0.2">
      <c r="A49" s="323" t="s">
        <v>394</v>
      </c>
      <c r="B49" s="322" t="s">
        <v>393</v>
      </c>
      <c r="C49" s="321" t="s">
        <v>392</v>
      </c>
      <c r="D49" s="320" t="s">
        <v>391</v>
      </c>
    </row>
    <row r="50" spans="1:4" ht="24.75" customHeight="1" thickTop="1" x14ac:dyDescent="0.15">
      <c r="A50" s="299">
        <v>3111</v>
      </c>
      <c r="B50" s="298" t="s">
        <v>398</v>
      </c>
      <c r="C50" s="290">
        <v>10000</v>
      </c>
      <c r="D50" s="296" t="s">
        <v>448</v>
      </c>
    </row>
    <row r="51" spans="1:4" ht="24" customHeight="1" x14ac:dyDescent="0.15">
      <c r="A51" s="294">
        <v>3112</v>
      </c>
      <c r="B51" s="293" t="s">
        <v>397</v>
      </c>
      <c r="C51" s="290">
        <v>15000</v>
      </c>
      <c r="D51" s="319" t="s">
        <v>449</v>
      </c>
    </row>
    <row r="52" spans="1:4" ht="35.25" customHeight="1" thickBot="1" x14ac:dyDescent="0.2">
      <c r="A52" s="318">
        <v>3129</v>
      </c>
      <c r="B52" s="317" t="s">
        <v>396</v>
      </c>
      <c r="C52" s="288">
        <v>15980</v>
      </c>
      <c r="D52" s="316" t="s">
        <v>450</v>
      </c>
    </row>
    <row r="53" spans="1:4" s="278" customFormat="1" ht="15.75" customHeight="1" thickTop="1" thickBot="1" x14ac:dyDescent="0.2">
      <c r="A53" s="315" t="s">
        <v>395</v>
      </c>
      <c r="B53" s="314"/>
      <c r="C53" s="286">
        <f>SUM(C50:C52)</f>
        <v>40980</v>
      </c>
      <c r="D53" s="285"/>
    </row>
    <row r="54" spans="1:4" s="300" customFormat="1" ht="15" customHeight="1" x14ac:dyDescent="0.15">
      <c r="A54" s="313"/>
      <c r="B54" s="312"/>
      <c r="C54" s="311"/>
      <c r="D54" s="310"/>
    </row>
    <row r="55" spans="1:4" s="300" customFormat="1" ht="15" customHeight="1" x14ac:dyDescent="0.15">
      <c r="A55" s="309"/>
      <c r="B55" s="308"/>
      <c r="C55" s="282"/>
      <c r="D55" s="305"/>
    </row>
    <row r="56" spans="1:4" s="300" customFormat="1" ht="15" customHeight="1" thickBot="1" x14ac:dyDescent="0.2">
      <c r="A56" s="307" t="s">
        <v>322</v>
      </c>
      <c r="B56" s="306"/>
      <c r="C56" s="282"/>
      <c r="D56" s="305"/>
    </row>
    <row r="57" spans="1:4" s="300" customFormat="1" ht="25.5" customHeight="1" thickBot="1" x14ac:dyDescent="0.2">
      <c r="A57" s="304" t="s">
        <v>394</v>
      </c>
      <c r="B57" s="303" t="s">
        <v>393</v>
      </c>
      <c r="C57" s="302" t="s">
        <v>392</v>
      </c>
      <c r="D57" s="301" t="s">
        <v>391</v>
      </c>
    </row>
    <row r="58" spans="1:4" s="295" customFormat="1" ht="35.25" customHeight="1" thickTop="1" x14ac:dyDescent="0.15">
      <c r="A58" s="299">
        <v>4112</v>
      </c>
      <c r="B58" s="298" t="s">
        <v>390</v>
      </c>
      <c r="C58" s="297">
        <v>116831</v>
      </c>
      <c r="D58" s="296" t="s">
        <v>464</v>
      </c>
    </row>
    <row r="59" spans="1:4" s="275" customFormat="1" ht="12.75" customHeight="1" x14ac:dyDescent="0.15">
      <c r="A59" s="467">
        <v>4116</v>
      </c>
      <c r="B59" s="468" t="s">
        <v>389</v>
      </c>
      <c r="C59" s="290">
        <v>208810</v>
      </c>
      <c r="D59" s="289" t="s">
        <v>388</v>
      </c>
    </row>
    <row r="60" spans="1:4" s="275" customFormat="1" ht="12.75" customHeight="1" x14ac:dyDescent="0.15">
      <c r="A60" s="467"/>
      <c r="B60" s="468"/>
      <c r="C60" s="290">
        <v>1000</v>
      </c>
      <c r="D60" s="289" t="s">
        <v>387</v>
      </c>
    </row>
    <row r="61" spans="1:4" s="275" customFormat="1" ht="12.75" customHeight="1" x14ac:dyDescent="0.15">
      <c r="A61" s="467"/>
      <c r="B61" s="468"/>
      <c r="C61" s="290">
        <v>500</v>
      </c>
      <c r="D61" s="289" t="s">
        <v>386</v>
      </c>
    </row>
    <row r="62" spans="1:4" s="275" customFormat="1" ht="24" customHeight="1" x14ac:dyDescent="0.15">
      <c r="A62" s="467"/>
      <c r="B62" s="468"/>
      <c r="C62" s="290">
        <v>1000</v>
      </c>
      <c r="D62" s="289" t="s">
        <v>385</v>
      </c>
    </row>
    <row r="63" spans="1:4" s="275" customFormat="1" ht="12.75" customHeight="1" x14ac:dyDescent="0.15">
      <c r="A63" s="467"/>
      <c r="B63" s="468"/>
      <c r="C63" s="290">
        <v>270</v>
      </c>
      <c r="D63" s="289" t="s">
        <v>67</v>
      </c>
    </row>
    <row r="64" spans="1:4" s="275" customFormat="1" ht="24" customHeight="1" x14ac:dyDescent="0.15">
      <c r="A64" s="467"/>
      <c r="B64" s="468"/>
      <c r="C64" s="290">
        <v>24</v>
      </c>
      <c r="D64" s="289" t="s">
        <v>116</v>
      </c>
    </row>
    <row r="65" spans="1:4" s="275" customFormat="1" ht="24" customHeight="1" x14ac:dyDescent="0.15">
      <c r="A65" s="294">
        <v>4118</v>
      </c>
      <c r="B65" s="293" t="s">
        <v>384</v>
      </c>
      <c r="C65" s="290">
        <v>406</v>
      </c>
      <c r="D65" s="289" t="s">
        <v>116</v>
      </c>
    </row>
    <row r="66" spans="1:4" s="275" customFormat="1" ht="12.75" customHeight="1" x14ac:dyDescent="0.15">
      <c r="A66" s="453">
        <v>4121</v>
      </c>
      <c r="B66" s="456" t="s">
        <v>383</v>
      </c>
      <c r="C66" s="290">
        <v>3918</v>
      </c>
      <c r="D66" s="289" t="s">
        <v>382</v>
      </c>
    </row>
    <row r="67" spans="1:4" s="275" customFormat="1" ht="24" customHeight="1" x14ac:dyDescent="0.15">
      <c r="A67" s="459"/>
      <c r="B67" s="460"/>
      <c r="C67" s="290">
        <v>41000</v>
      </c>
      <c r="D67" s="289" t="s">
        <v>381</v>
      </c>
    </row>
    <row r="68" spans="1:4" s="275" customFormat="1" ht="12.75" customHeight="1" x14ac:dyDescent="0.15">
      <c r="A68" s="453">
        <v>4123</v>
      </c>
      <c r="B68" s="456" t="s">
        <v>380</v>
      </c>
      <c r="C68" s="290">
        <v>768</v>
      </c>
      <c r="D68" s="289" t="s">
        <v>234</v>
      </c>
    </row>
    <row r="69" spans="1:4" s="275" customFormat="1" ht="12.75" customHeight="1" x14ac:dyDescent="0.15">
      <c r="A69" s="461"/>
      <c r="B69" s="463"/>
      <c r="C69" s="290">
        <v>223</v>
      </c>
      <c r="D69" s="289" t="s">
        <v>372</v>
      </c>
    </row>
    <row r="70" spans="1:4" s="275" customFormat="1" ht="12.75" customHeight="1" x14ac:dyDescent="0.15">
      <c r="A70" s="461"/>
      <c r="B70" s="463"/>
      <c r="C70" s="290">
        <v>320</v>
      </c>
      <c r="D70" s="289" t="s">
        <v>368</v>
      </c>
    </row>
    <row r="71" spans="1:4" s="275" customFormat="1" ht="12.75" customHeight="1" x14ac:dyDescent="0.15">
      <c r="A71" s="461"/>
      <c r="B71" s="463"/>
      <c r="C71" s="290">
        <v>350</v>
      </c>
      <c r="D71" s="289" t="s">
        <v>277</v>
      </c>
    </row>
    <row r="72" spans="1:4" s="275" customFormat="1" ht="12.75" customHeight="1" x14ac:dyDescent="0.15">
      <c r="A72" s="461"/>
      <c r="B72" s="463"/>
      <c r="C72" s="290">
        <v>435</v>
      </c>
      <c r="D72" s="289" t="s">
        <v>276</v>
      </c>
    </row>
    <row r="73" spans="1:4" s="275" customFormat="1" ht="12.75" customHeight="1" x14ac:dyDescent="0.15">
      <c r="A73" s="462"/>
      <c r="B73" s="464"/>
      <c r="C73" s="290">
        <v>7980</v>
      </c>
      <c r="D73" s="289" t="s">
        <v>259</v>
      </c>
    </row>
    <row r="74" spans="1:4" s="275" customFormat="1" ht="12.75" customHeight="1" x14ac:dyDescent="0.15">
      <c r="A74" s="462"/>
      <c r="B74" s="464"/>
      <c r="C74" s="290">
        <v>106</v>
      </c>
      <c r="D74" s="289" t="s">
        <v>366</v>
      </c>
    </row>
    <row r="75" spans="1:4" s="275" customFormat="1" ht="24" customHeight="1" x14ac:dyDescent="0.15">
      <c r="A75" s="459"/>
      <c r="B75" s="460"/>
      <c r="C75" s="290">
        <v>1433</v>
      </c>
      <c r="D75" s="289" t="s">
        <v>254</v>
      </c>
    </row>
    <row r="76" spans="1:4" s="275" customFormat="1" ht="12.75" customHeight="1" x14ac:dyDescent="0.15">
      <c r="A76" s="465">
        <v>4216</v>
      </c>
      <c r="B76" s="456" t="s">
        <v>379</v>
      </c>
      <c r="C76" s="290">
        <v>66705</v>
      </c>
      <c r="D76" s="289" t="s">
        <v>228</v>
      </c>
    </row>
    <row r="77" spans="1:4" s="275" customFormat="1" ht="24" customHeight="1" x14ac:dyDescent="0.15">
      <c r="A77" s="466"/>
      <c r="B77" s="457"/>
      <c r="C77" s="290">
        <v>8160</v>
      </c>
      <c r="D77" s="289" t="s">
        <v>231</v>
      </c>
    </row>
    <row r="78" spans="1:4" s="275" customFormat="1" ht="12.75" customHeight="1" x14ac:dyDescent="0.15">
      <c r="A78" s="466"/>
      <c r="B78" s="457"/>
      <c r="C78" s="290">
        <v>1231</v>
      </c>
      <c r="D78" s="289" t="s">
        <v>378</v>
      </c>
    </row>
    <row r="79" spans="1:4" s="275" customFormat="1" ht="12.75" customHeight="1" x14ac:dyDescent="0.15">
      <c r="A79" s="466"/>
      <c r="B79" s="457"/>
      <c r="C79" s="290">
        <v>34199</v>
      </c>
      <c r="D79" s="289" t="s">
        <v>256</v>
      </c>
    </row>
    <row r="80" spans="1:4" s="275" customFormat="1" ht="12.75" customHeight="1" x14ac:dyDescent="0.15">
      <c r="A80" s="466"/>
      <c r="B80" s="457"/>
      <c r="C80" s="290">
        <v>25000</v>
      </c>
      <c r="D80" s="289" t="s">
        <v>146</v>
      </c>
    </row>
    <row r="81" spans="1:4" s="275" customFormat="1" ht="12.75" customHeight="1" x14ac:dyDescent="0.15">
      <c r="A81" s="466"/>
      <c r="B81" s="457"/>
      <c r="C81" s="290">
        <v>1000</v>
      </c>
      <c r="D81" s="289" t="s">
        <v>137</v>
      </c>
    </row>
    <row r="82" spans="1:4" s="275" customFormat="1" ht="24" customHeight="1" x14ac:dyDescent="0.15">
      <c r="A82" s="466"/>
      <c r="B82" s="457"/>
      <c r="C82" s="290">
        <v>6712</v>
      </c>
      <c r="D82" s="289" t="s">
        <v>74</v>
      </c>
    </row>
    <row r="83" spans="1:4" s="275" customFormat="1" ht="12.75" customHeight="1" x14ac:dyDescent="0.15">
      <c r="A83" s="466"/>
      <c r="B83" s="457"/>
      <c r="C83" s="290">
        <v>5250</v>
      </c>
      <c r="D83" s="289" t="s">
        <v>53</v>
      </c>
    </row>
    <row r="84" spans="1:4" s="275" customFormat="1" ht="24" customHeight="1" x14ac:dyDescent="0.15">
      <c r="A84" s="466"/>
      <c r="B84" s="457"/>
      <c r="C84" s="290">
        <v>10000</v>
      </c>
      <c r="D84" s="289" t="s">
        <v>76</v>
      </c>
    </row>
    <row r="85" spans="1:4" s="275" customFormat="1" ht="12.75" customHeight="1" x14ac:dyDescent="0.15">
      <c r="A85" s="466"/>
      <c r="B85" s="457"/>
      <c r="C85" s="290">
        <v>2520</v>
      </c>
      <c r="D85" s="289" t="s">
        <v>7</v>
      </c>
    </row>
    <row r="86" spans="1:4" s="275" customFormat="1" ht="12.75" customHeight="1" x14ac:dyDescent="0.15">
      <c r="A86" s="466"/>
      <c r="B86" s="457"/>
      <c r="C86" s="290">
        <v>35000</v>
      </c>
      <c r="D86" s="289" t="s">
        <v>148</v>
      </c>
    </row>
    <row r="87" spans="1:4" s="275" customFormat="1" ht="12.75" customHeight="1" x14ac:dyDescent="0.15">
      <c r="A87" s="466"/>
      <c r="B87" s="457"/>
      <c r="C87" s="290">
        <v>250</v>
      </c>
      <c r="D87" s="289" t="s">
        <v>91</v>
      </c>
    </row>
    <row r="88" spans="1:4" s="275" customFormat="1" ht="12.75" customHeight="1" x14ac:dyDescent="0.15">
      <c r="A88" s="466"/>
      <c r="B88" s="457"/>
      <c r="C88" s="290">
        <v>469200</v>
      </c>
      <c r="D88" s="289" t="s">
        <v>16</v>
      </c>
    </row>
    <row r="89" spans="1:4" s="275" customFormat="1" ht="12.75" customHeight="1" x14ac:dyDescent="0.15">
      <c r="A89" s="352">
        <v>4221</v>
      </c>
      <c r="B89" s="293" t="s">
        <v>377</v>
      </c>
      <c r="C89" s="290">
        <v>10000</v>
      </c>
      <c r="D89" s="289" t="s">
        <v>16</v>
      </c>
    </row>
    <row r="90" spans="1:4" s="275" customFormat="1" ht="24" customHeight="1" x14ac:dyDescent="0.15">
      <c r="A90" s="453">
        <v>4223</v>
      </c>
      <c r="B90" s="456" t="s">
        <v>370</v>
      </c>
      <c r="C90" s="290">
        <v>16321</v>
      </c>
      <c r="D90" s="289" t="s">
        <v>243</v>
      </c>
    </row>
    <row r="91" spans="1:4" s="275" customFormat="1" ht="24" customHeight="1" x14ac:dyDescent="0.15">
      <c r="A91" s="454"/>
      <c r="B91" s="457"/>
      <c r="C91" s="290">
        <v>12770</v>
      </c>
      <c r="D91" s="289" t="s">
        <v>242</v>
      </c>
    </row>
    <row r="92" spans="1:4" s="275" customFormat="1" ht="24" customHeight="1" x14ac:dyDescent="0.15">
      <c r="A92" s="454"/>
      <c r="B92" s="457"/>
      <c r="C92" s="290">
        <v>16357</v>
      </c>
      <c r="D92" s="289" t="s">
        <v>241</v>
      </c>
    </row>
    <row r="93" spans="1:4" s="275" customFormat="1" ht="12.75" customHeight="1" x14ac:dyDescent="0.15">
      <c r="A93" s="454"/>
      <c r="B93" s="457"/>
      <c r="C93" s="290">
        <v>54966</v>
      </c>
      <c r="D93" s="289" t="s">
        <v>376</v>
      </c>
    </row>
    <row r="94" spans="1:4" s="275" customFormat="1" ht="24" customHeight="1" x14ac:dyDescent="0.15">
      <c r="A94" s="454"/>
      <c r="B94" s="457"/>
      <c r="C94" s="290">
        <v>28472</v>
      </c>
      <c r="D94" s="289" t="s">
        <v>375</v>
      </c>
    </row>
    <row r="95" spans="1:4" s="275" customFormat="1" ht="12.75" customHeight="1" x14ac:dyDescent="0.15">
      <c r="A95" s="454"/>
      <c r="B95" s="457"/>
      <c r="C95" s="290">
        <v>58477</v>
      </c>
      <c r="D95" s="289" t="s">
        <v>227</v>
      </c>
    </row>
    <row r="96" spans="1:4" s="275" customFormat="1" ht="12.75" customHeight="1" x14ac:dyDescent="0.15">
      <c r="A96" s="454"/>
      <c r="B96" s="457"/>
      <c r="C96" s="290">
        <v>5183</v>
      </c>
      <c r="D96" s="289" t="s">
        <v>234</v>
      </c>
    </row>
    <row r="97" spans="1:4" s="275" customFormat="1" ht="24" customHeight="1" x14ac:dyDescent="0.15">
      <c r="A97" s="454"/>
      <c r="B97" s="457"/>
      <c r="C97" s="290">
        <v>8006</v>
      </c>
      <c r="D97" s="289" t="s">
        <v>245</v>
      </c>
    </row>
    <row r="98" spans="1:4" s="275" customFormat="1" ht="12.75" customHeight="1" x14ac:dyDescent="0.15">
      <c r="A98" s="454"/>
      <c r="B98" s="457"/>
      <c r="C98" s="290">
        <v>8103</v>
      </c>
      <c r="D98" s="289" t="s">
        <v>374</v>
      </c>
    </row>
    <row r="99" spans="1:4" s="275" customFormat="1" ht="24" customHeight="1" x14ac:dyDescent="0.15">
      <c r="A99" s="454"/>
      <c r="B99" s="457"/>
      <c r="C99" s="290">
        <v>9707</v>
      </c>
      <c r="D99" s="289" t="s">
        <v>373</v>
      </c>
    </row>
    <row r="100" spans="1:4" s="275" customFormat="1" ht="12.75" customHeight="1" x14ac:dyDescent="0.15">
      <c r="A100" s="454"/>
      <c r="B100" s="457"/>
      <c r="C100" s="290">
        <v>290</v>
      </c>
      <c r="D100" s="289" t="s">
        <v>372</v>
      </c>
    </row>
    <row r="101" spans="1:4" s="275" customFormat="1" ht="12.75" customHeight="1" x14ac:dyDescent="0.15">
      <c r="A101" s="454"/>
      <c r="B101" s="457"/>
      <c r="C101" s="290">
        <v>163840</v>
      </c>
      <c r="D101" s="289" t="s">
        <v>266</v>
      </c>
    </row>
    <row r="102" spans="1:4" s="275" customFormat="1" ht="12.75" customHeight="1" x14ac:dyDescent="0.15">
      <c r="A102" s="454"/>
      <c r="B102" s="457"/>
      <c r="C102" s="290">
        <v>26200</v>
      </c>
      <c r="D102" s="289" t="s">
        <v>371</v>
      </c>
    </row>
    <row r="103" spans="1:4" s="275" customFormat="1" ht="24" customHeight="1" x14ac:dyDescent="0.15">
      <c r="A103" s="454"/>
      <c r="B103" s="457"/>
      <c r="C103" s="290">
        <v>5029</v>
      </c>
      <c r="D103" s="289" t="s">
        <v>261</v>
      </c>
    </row>
    <row r="104" spans="1:4" s="275" customFormat="1" ht="12.75" customHeight="1" x14ac:dyDescent="0.15">
      <c r="A104" s="454"/>
      <c r="B104" s="457"/>
      <c r="C104" s="290">
        <v>11553</v>
      </c>
      <c r="D104" s="289" t="s">
        <v>253</v>
      </c>
    </row>
    <row r="105" spans="1:4" s="275" customFormat="1" ht="12.75" customHeight="1" x14ac:dyDescent="0.15">
      <c r="A105" s="454"/>
      <c r="B105" s="457"/>
      <c r="C105" s="290">
        <v>100025</v>
      </c>
      <c r="D105" s="289" t="s">
        <v>281</v>
      </c>
    </row>
    <row r="106" spans="1:4" s="275" customFormat="1" ht="12.75" customHeight="1" x14ac:dyDescent="0.15">
      <c r="A106" s="454"/>
      <c r="B106" s="457"/>
      <c r="C106" s="290">
        <v>24471</v>
      </c>
      <c r="D106" s="289" t="s">
        <v>369</v>
      </c>
    </row>
    <row r="107" spans="1:4" s="275" customFormat="1" ht="12.75" customHeight="1" x14ac:dyDescent="0.15">
      <c r="A107" s="454"/>
      <c r="B107" s="457"/>
      <c r="C107" s="290">
        <v>21407</v>
      </c>
      <c r="D107" s="289" t="s">
        <v>368</v>
      </c>
    </row>
    <row r="108" spans="1:4" s="275" customFormat="1" ht="12.75" customHeight="1" x14ac:dyDescent="0.15">
      <c r="A108" s="454"/>
      <c r="B108" s="457"/>
      <c r="C108" s="290">
        <v>40893</v>
      </c>
      <c r="D108" s="289" t="s">
        <v>278</v>
      </c>
    </row>
    <row r="109" spans="1:4" s="275" customFormat="1" ht="12.75" customHeight="1" x14ac:dyDescent="0.15">
      <c r="A109" s="454"/>
      <c r="B109" s="457"/>
      <c r="C109" s="290">
        <v>29788</v>
      </c>
      <c r="D109" s="289" t="s">
        <v>277</v>
      </c>
    </row>
    <row r="110" spans="1:4" s="275" customFormat="1" ht="12.75" customHeight="1" x14ac:dyDescent="0.15">
      <c r="A110" s="454"/>
      <c r="B110" s="457"/>
      <c r="C110" s="290">
        <v>20628</v>
      </c>
      <c r="D110" s="289" t="s">
        <v>276</v>
      </c>
    </row>
    <row r="111" spans="1:4" s="275" customFormat="1" ht="12.75" customHeight="1" x14ac:dyDescent="0.15">
      <c r="A111" s="454"/>
      <c r="B111" s="457"/>
      <c r="C111" s="290">
        <v>19895</v>
      </c>
      <c r="D111" s="289" t="s">
        <v>275</v>
      </c>
    </row>
    <row r="112" spans="1:4" s="275" customFormat="1" ht="12.75" customHeight="1" x14ac:dyDescent="0.15">
      <c r="A112" s="454"/>
      <c r="B112" s="457"/>
      <c r="C112" s="290">
        <v>57665</v>
      </c>
      <c r="D112" s="289" t="s">
        <v>274</v>
      </c>
    </row>
    <row r="113" spans="1:4" s="275" customFormat="1" ht="12.75" customHeight="1" x14ac:dyDescent="0.15">
      <c r="A113" s="454"/>
      <c r="B113" s="457"/>
      <c r="C113" s="290">
        <v>58609</v>
      </c>
      <c r="D113" s="289" t="s">
        <v>273</v>
      </c>
    </row>
    <row r="114" spans="1:4" s="275" customFormat="1" ht="12.75" customHeight="1" x14ac:dyDescent="0.15">
      <c r="A114" s="454"/>
      <c r="B114" s="457"/>
      <c r="C114" s="290">
        <v>21140</v>
      </c>
      <c r="D114" s="289" t="s">
        <v>272</v>
      </c>
    </row>
    <row r="115" spans="1:4" s="275" customFormat="1" ht="12.75" customHeight="1" x14ac:dyDescent="0.15">
      <c r="A115" s="454"/>
      <c r="B115" s="457"/>
      <c r="C115" s="290">
        <v>35957</v>
      </c>
      <c r="D115" s="289" t="s">
        <v>271</v>
      </c>
    </row>
    <row r="116" spans="1:4" s="275" customFormat="1" ht="12.75" customHeight="1" x14ac:dyDescent="0.15">
      <c r="A116" s="454"/>
      <c r="B116" s="457"/>
      <c r="C116" s="290">
        <v>17848</v>
      </c>
      <c r="D116" s="289" t="s">
        <v>270</v>
      </c>
    </row>
    <row r="117" spans="1:4" s="275" customFormat="1" ht="12.75" customHeight="1" x14ac:dyDescent="0.15">
      <c r="A117" s="454"/>
      <c r="B117" s="457"/>
      <c r="C117" s="290">
        <v>64040</v>
      </c>
      <c r="D117" s="289" t="s">
        <v>269</v>
      </c>
    </row>
    <row r="118" spans="1:4" s="275" customFormat="1" ht="12.75" customHeight="1" x14ac:dyDescent="0.15">
      <c r="A118" s="454"/>
      <c r="B118" s="457"/>
      <c r="C118" s="290">
        <v>46325</v>
      </c>
      <c r="D118" s="289" t="s">
        <v>268</v>
      </c>
    </row>
    <row r="119" spans="1:4" s="275" customFormat="1" ht="12.75" customHeight="1" x14ac:dyDescent="0.15">
      <c r="A119" s="454"/>
      <c r="B119" s="457"/>
      <c r="C119" s="290">
        <v>7773</v>
      </c>
      <c r="D119" s="289" t="s">
        <v>237</v>
      </c>
    </row>
    <row r="120" spans="1:4" s="275" customFormat="1" ht="12.75" customHeight="1" x14ac:dyDescent="0.15">
      <c r="A120" s="454"/>
      <c r="B120" s="457"/>
      <c r="C120" s="290">
        <v>7637</v>
      </c>
      <c r="D120" s="289" t="s">
        <v>247</v>
      </c>
    </row>
    <row r="121" spans="1:4" s="275" customFormat="1" ht="12.75" customHeight="1" x14ac:dyDescent="0.15">
      <c r="A121" s="454"/>
      <c r="B121" s="457"/>
      <c r="C121" s="290">
        <v>7857</v>
      </c>
      <c r="D121" s="289" t="s">
        <v>246</v>
      </c>
    </row>
    <row r="122" spans="1:4" s="275" customFormat="1" ht="12.75" customHeight="1" x14ac:dyDescent="0.15">
      <c r="A122" s="454"/>
      <c r="B122" s="457"/>
      <c r="C122" s="290">
        <v>7813</v>
      </c>
      <c r="D122" s="289" t="s">
        <v>244</v>
      </c>
    </row>
    <row r="123" spans="1:4" s="275" customFormat="1" ht="12.75" customHeight="1" x14ac:dyDescent="0.15">
      <c r="A123" s="454"/>
      <c r="B123" s="457"/>
      <c r="C123" s="290">
        <v>27826</v>
      </c>
      <c r="D123" s="289" t="s">
        <v>239</v>
      </c>
    </row>
    <row r="124" spans="1:4" s="275" customFormat="1" ht="12.75" customHeight="1" x14ac:dyDescent="0.15">
      <c r="A124" s="454"/>
      <c r="B124" s="457"/>
      <c r="C124" s="290">
        <v>7816</v>
      </c>
      <c r="D124" s="289" t="s">
        <v>238</v>
      </c>
    </row>
    <row r="125" spans="1:4" s="275" customFormat="1" ht="24" customHeight="1" x14ac:dyDescent="0.15">
      <c r="A125" s="454"/>
      <c r="B125" s="457"/>
      <c r="C125" s="290">
        <v>10900</v>
      </c>
      <c r="D125" s="289" t="s">
        <v>367</v>
      </c>
    </row>
    <row r="126" spans="1:4" s="275" customFormat="1" ht="12.75" customHeight="1" x14ac:dyDescent="0.15">
      <c r="A126" s="454"/>
      <c r="B126" s="457"/>
      <c r="C126" s="290">
        <v>334</v>
      </c>
      <c r="D126" s="289" t="s">
        <v>366</v>
      </c>
    </row>
    <row r="127" spans="1:4" s="275" customFormat="1" ht="12.75" customHeight="1" x14ac:dyDescent="0.15">
      <c r="A127" s="454"/>
      <c r="B127" s="457"/>
      <c r="C127" s="290">
        <v>100501</v>
      </c>
      <c r="D127" s="289" t="s">
        <v>267</v>
      </c>
    </row>
    <row r="128" spans="1:4" s="275" customFormat="1" ht="24" customHeight="1" x14ac:dyDescent="0.15">
      <c r="A128" s="454"/>
      <c r="B128" s="457"/>
      <c r="C128" s="290">
        <v>14736</v>
      </c>
      <c r="D128" s="289" t="s">
        <v>264</v>
      </c>
    </row>
    <row r="129" spans="1:4" s="275" customFormat="1" ht="12.75" customHeight="1" x14ac:dyDescent="0.15">
      <c r="A129" s="454"/>
      <c r="B129" s="457"/>
      <c r="C129" s="290">
        <v>92291</v>
      </c>
      <c r="D129" s="289" t="s">
        <v>263</v>
      </c>
    </row>
    <row r="130" spans="1:4" s="275" customFormat="1" ht="12.75" customHeight="1" x14ac:dyDescent="0.15">
      <c r="A130" s="454"/>
      <c r="B130" s="457"/>
      <c r="C130" s="292">
        <v>104720</v>
      </c>
      <c r="D130" s="291" t="s">
        <v>265</v>
      </c>
    </row>
    <row r="131" spans="1:4" s="275" customFormat="1" ht="24" customHeight="1" x14ac:dyDescent="0.15">
      <c r="A131" s="454"/>
      <c r="B131" s="457"/>
      <c r="C131" s="290">
        <v>11083</v>
      </c>
      <c r="D131" s="289" t="s">
        <v>254</v>
      </c>
    </row>
    <row r="132" spans="1:4" s="275" customFormat="1" ht="24" customHeight="1" x14ac:dyDescent="0.15">
      <c r="A132" s="454"/>
      <c r="B132" s="457"/>
      <c r="C132" s="290">
        <v>12022</v>
      </c>
      <c r="D132" s="289" t="s">
        <v>250</v>
      </c>
    </row>
    <row r="133" spans="1:4" s="275" customFormat="1" ht="12.75" customHeight="1" x14ac:dyDescent="0.15">
      <c r="A133" s="454"/>
      <c r="B133" s="457"/>
      <c r="C133" s="290">
        <v>10800</v>
      </c>
      <c r="D133" s="289" t="s">
        <v>258</v>
      </c>
    </row>
    <row r="134" spans="1:4" s="275" customFormat="1" ht="12.75" customHeight="1" x14ac:dyDescent="0.15">
      <c r="A134" s="454"/>
      <c r="B134" s="457"/>
      <c r="C134" s="290">
        <v>14694</v>
      </c>
      <c r="D134" s="289" t="s">
        <v>249</v>
      </c>
    </row>
    <row r="135" spans="1:4" s="275" customFormat="1" ht="12.75" customHeight="1" x14ac:dyDescent="0.15">
      <c r="A135" s="454"/>
      <c r="B135" s="457"/>
      <c r="C135" s="290">
        <v>7650</v>
      </c>
      <c r="D135" s="289" t="s">
        <v>251</v>
      </c>
    </row>
    <row r="136" spans="1:4" s="275" customFormat="1" ht="12.75" customHeight="1" x14ac:dyDescent="0.15">
      <c r="A136" s="454"/>
      <c r="B136" s="457"/>
      <c r="C136" s="290">
        <v>9827</v>
      </c>
      <c r="D136" s="289" t="s">
        <v>257</v>
      </c>
    </row>
    <row r="137" spans="1:4" s="275" customFormat="1" ht="12.75" customHeight="1" x14ac:dyDescent="0.15">
      <c r="A137" s="454"/>
      <c r="B137" s="457"/>
      <c r="C137" s="290">
        <v>7820</v>
      </c>
      <c r="D137" s="289" t="s">
        <v>255</v>
      </c>
    </row>
    <row r="138" spans="1:4" s="275" customFormat="1" ht="12.75" customHeight="1" x14ac:dyDescent="0.15">
      <c r="A138" s="454"/>
      <c r="B138" s="457"/>
      <c r="C138" s="290">
        <v>8075</v>
      </c>
      <c r="D138" s="289" t="s">
        <v>252</v>
      </c>
    </row>
    <row r="139" spans="1:4" s="275" customFormat="1" ht="12.75" customHeight="1" x14ac:dyDescent="0.15">
      <c r="A139" s="454"/>
      <c r="B139" s="457"/>
      <c r="C139" s="290">
        <v>4296</v>
      </c>
      <c r="D139" s="289" t="s">
        <v>240</v>
      </c>
    </row>
    <row r="140" spans="1:4" s="275" customFormat="1" ht="13.5" customHeight="1" thickBot="1" x14ac:dyDescent="0.2">
      <c r="A140" s="455"/>
      <c r="B140" s="458"/>
      <c r="C140" s="288">
        <v>19974</v>
      </c>
      <c r="D140" s="287" t="s">
        <v>248</v>
      </c>
    </row>
    <row r="141" spans="1:4" ht="15.75" customHeight="1" thickTop="1" thickBot="1" x14ac:dyDescent="0.25">
      <c r="A141" s="451" t="s">
        <v>365</v>
      </c>
      <c r="B141" s="452"/>
      <c r="C141" s="286">
        <f>SUM(C58:C140)</f>
        <v>2541011</v>
      </c>
      <c r="D141" s="285"/>
    </row>
    <row r="142" spans="1:4" ht="15.75" customHeight="1" thickBot="1" x14ac:dyDescent="0.25">
      <c r="A142" s="284"/>
      <c r="B142" s="283"/>
      <c r="C142" s="282"/>
      <c r="D142" s="281"/>
    </row>
    <row r="143" spans="1:4" s="278" customFormat="1" ht="16.5" customHeight="1" thickBot="1" x14ac:dyDescent="0.2">
      <c r="A143" s="449" t="s">
        <v>364</v>
      </c>
      <c r="B143" s="450"/>
      <c r="C143" s="280">
        <f>C12+C45+C53+C141</f>
        <v>8053332</v>
      </c>
      <c r="D143" s="279"/>
    </row>
    <row r="144" spans="1:4" s="278" customFormat="1" ht="15.75" customHeight="1" x14ac:dyDescent="0.15">
      <c r="C144" s="274"/>
      <c r="D144" s="273"/>
    </row>
    <row r="148" spans="2:2" x14ac:dyDescent="0.15">
      <c r="B148" s="277"/>
    </row>
    <row r="150" spans="2:2" x14ac:dyDescent="0.15">
      <c r="B150" s="277"/>
    </row>
  </sheetData>
  <customSheetViews>
    <customSheetView guid="{8DF5934D-271D-4996-8FBD-8BBE47175559}" showPageBreaks="1" fitToPage="1" printArea="1">
      <selection activeCell="E2" sqref="E2"/>
      <rowBreaks count="2" manualBreakCount="2">
        <brk id="29" max="3" man="1"/>
        <brk id="94" max="3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paperSize="9" firstPageNumber="18" fitToHeight="0" orientation="portrait" useFirstPageNumber="1" r:id="rId1"/>
      <headerFooter alignWithMargins="0">
        <oddHeader>&amp;L&amp;"Tahoma,Kurzíva"&amp;9Návrh rozpočtu na rok 2016
Příloha č. 8&amp;R&amp;"Tahoma,Kurzíva"&amp;9Přehled příjmů</oddHeader>
        <oddFooter>&amp;C&amp;"Tahoma,Obyčejné"&amp;P</oddFooter>
      </headerFooter>
    </customSheetView>
  </customSheetViews>
  <mergeCells count="23">
    <mergeCell ref="A28:A30"/>
    <mergeCell ref="B28:B30"/>
    <mergeCell ref="A1:D1"/>
    <mergeCell ref="A17:A18"/>
    <mergeCell ref="B17:B18"/>
    <mergeCell ref="A20:A26"/>
    <mergeCell ref="B20:B26"/>
    <mergeCell ref="A34:A35"/>
    <mergeCell ref="B34:B35"/>
    <mergeCell ref="A36:A39"/>
    <mergeCell ref="B36:B39"/>
    <mergeCell ref="A59:A64"/>
    <mergeCell ref="B59:B64"/>
    <mergeCell ref="A143:B143"/>
    <mergeCell ref="A141:B141"/>
    <mergeCell ref="A90:A140"/>
    <mergeCell ref="B90:B140"/>
    <mergeCell ref="A66:A67"/>
    <mergeCell ref="B66:B67"/>
    <mergeCell ref="A68:A75"/>
    <mergeCell ref="B68:B75"/>
    <mergeCell ref="A76:A88"/>
    <mergeCell ref="B76:B88"/>
  </mergeCells>
  <printOptions horizontalCentered="1"/>
  <pageMargins left="0.39370078740157483" right="0.39370078740157483" top="0.59055118110236227" bottom="0.39370078740157483" header="0.11811023622047245" footer="0.11811023622047245"/>
  <pageSetup paperSize="9" firstPageNumber="18" fitToHeight="0" orientation="portrait" useFirstPageNumber="1" r:id="rId2"/>
  <headerFooter alignWithMargins="0">
    <oddHeader>&amp;L&amp;"Tahoma,Kurzíva"&amp;9Návrh rozpočtu na rok 2016
Příloha č. 8&amp;R&amp;"Tahoma,Kurzíva"&amp;9Přehled příjmů</oddHeader>
    <oddFooter>&amp;C&amp;"Tahoma,Obyčejné"&amp;P</oddFooter>
  </headerFooter>
  <rowBreaks count="2" manualBreakCount="2">
    <brk id="29" max="3" man="1"/>
    <brk id="94" max="3" man="1"/>
  </rowBreaks>
  <ignoredErrors>
    <ignoredError sqref="A42:A4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2:Q31"/>
  <sheetViews>
    <sheetView topLeftCell="A2" workbookViewId="0">
      <selection activeCell="O32" sqref="O32"/>
    </sheetView>
  </sheetViews>
  <sheetFormatPr defaultColWidth="10.28515625" defaultRowHeight="15.75" outlineLevelRow="1" x14ac:dyDescent="0.25"/>
  <cols>
    <col min="1" max="1" width="21" style="102" customWidth="1"/>
    <col min="2" max="3" width="10.28515625" style="103" hidden="1" customWidth="1"/>
    <col min="4" max="4" width="11.28515625" style="103" hidden="1" customWidth="1"/>
    <col min="5" max="5" width="13.28515625" style="103" hidden="1" customWidth="1"/>
    <col min="6" max="6" width="12.85546875" style="103" customWidth="1"/>
    <col min="7" max="8" width="11.28515625" style="103" bestFit="1" customWidth="1"/>
    <col min="9" max="10" width="11" style="102" customWidth="1"/>
    <col min="11" max="11" width="11.7109375" style="102" customWidth="1"/>
    <col min="12" max="17" width="12.5703125" style="102" customWidth="1"/>
    <col min="18" max="16384" width="10.28515625" style="102"/>
  </cols>
  <sheetData>
    <row r="2" spans="1:17" x14ac:dyDescent="0.25">
      <c r="A2" s="133" t="s">
        <v>320</v>
      </c>
    </row>
    <row r="3" spans="1:17" s="133" customFormat="1" ht="23.25" customHeight="1" x14ac:dyDescent="0.25">
      <c r="A3" s="128"/>
      <c r="B3" s="130">
        <v>2001</v>
      </c>
      <c r="C3" s="130">
        <v>2002</v>
      </c>
      <c r="D3" s="130">
        <v>2003</v>
      </c>
      <c r="E3" s="130" t="s">
        <v>318</v>
      </c>
      <c r="F3" s="130" t="s">
        <v>317</v>
      </c>
      <c r="G3" s="130"/>
      <c r="H3" s="130"/>
      <c r="I3" s="128"/>
      <c r="J3" s="118"/>
    </row>
    <row r="4" spans="1:17" ht="23.25" customHeight="1" x14ac:dyDescent="0.25">
      <c r="A4" s="128" t="s">
        <v>305</v>
      </c>
      <c r="B4" s="123">
        <v>84275</v>
      </c>
      <c r="C4" s="123">
        <v>3999376</v>
      </c>
      <c r="D4" s="123">
        <v>6078276</v>
      </c>
      <c r="E4" s="123">
        <v>2912785</v>
      </c>
      <c r="F4" s="123">
        <v>3466158</v>
      </c>
      <c r="G4" s="123"/>
      <c r="H4" s="123"/>
      <c r="I4" s="132"/>
      <c r="J4" s="131"/>
    </row>
    <row r="5" spans="1:17" ht="23.25" customHeight="1" x14ac:dyDescent="0.25">
      <c r="A5" s="128" t="s">
        <v>306</v>
      </c>
      <c r="B5" s="123">
        <v>84275</v>
      </c>
      <c r="C5" s="123">
        <v>3999376</v>
      </c>
      <c r="D5" s="123">
        <v>6078276</v>
      </c>
      <c r="E5" s="123"/>
      <c r="F5" s="123"/>
      <c r="G5" s="123"/>
      <c r="H5" s="123"/>
      <c r="I5" s="132"/>
      <c r="J5" s="131"/>
    </row>
    <row r="6" spans="1:17" x14ac:dyDescent="0.25">
      <c r="M6" s="114"/>
      <c r="N6" s="114"/>
      <c r="O6" s="102" t="s">
        <v>319</v>
      </c>
      <c r="Q6" s="102" t="s">
        <v>469</v>
      </c>
    </row>
    <row r="8" spans="1:17" ht="20.25" customHeight="1" x14ac:dyDescent="0.25">
      <c r="A8" s="128"/>
      <c r="B8" s="130">
        <v>2001</v>
      </c>
      <c r="C8" s="130">
        <v>2002</v>
      </c>
      <c r="D8" s="130">
        <v>2003</v>
      </c>
      <c r="E8" s="130" t="s">
        <v>318</v>
      </c>
      <c r="F8" s="130" t="s">
        <v>317</v>
      </c>
      <c r="G8" s="130">
        <v>2006</v>
      </c>
      <c r="H8" s="130" t="s">
        <v>316</v>
      </c>
      <c r="I8" s="130">
        <v>2008</v>
      </c>
      <c r="J8" s="130">
        <v>2009</v>
      </c>
      <c r="K8" s="130" t="s">
        <v>315</v>
      </c>
      <c r="L8" s="130" t="s">
        <v>314</v>
      </c>
      <c r="M8" s="130" t="s">
        <v>313</v>
      </c>
      <c r="N8" s="130" t="s">
        <v>312</v>
      </c>
      <c r="O8" s="130" t="s">
        <v>311</v>
      </c>
      <c r="P8" s="130" t="s">
        <v>310</v>
      </c>
      <c r="Q8" s="130" t="s">
        <v>309</v>
      </c>
    </row>
    <row r="9" spans="1:17" ht="20.25" customHeight="1" x14ac:dyDescent="0.25">
      <c r="A9" s="128" t="s">
        <v>301</v>
      </c>
      <c r="B9" s="123">
        <v>84275</v>
      </c>
      <c r="C9" s="123">
        <v>3999376</v>
      </c>
      <c r="D9" s="123">
        <v>6078276</v>
      </c>
      <c r="E9" s="123">
        <v>2912785</v>
      </c>
      <c r="F9" s="123">
        <v>3466158</v>
      </c>
      <c r="G9" s="123">
        <v>5192836</v>
      </c>
      <c r="H9" s="123">
        <v>5317944</v>
      </c>
      <c r="I9" s="121">
        <v>7592570</v>
      </c>
      <c r="J9" s="121">
        <v>7540749</v>
      </c>
      <c r="K9" s="121">
        <v>7428164</v>
      </c>
      <c r="L9" s="121">
        <v>8304059</v>
      </c>
      <c r="M9" s="129">
        <v>9019403</v>
      </c>
      <c r="N9" s="129">
        <v>7609322</v>
      </c>
      <c r="O9" s="129">
        <v>8278538</v>
      </c>
      <c r="P9" s="129">
        <v>9696615</v>
      </c>
      <c r="Q9" s="129">
        <v>8053332</v>
      </c>
    </row>
    <row r="10" spans="1:17" ht="20.25" customHeight="1" x14ac:dyDescent="0.25">
      <c r="A10" s="128" t="s">
        <v>300</v>
      </c>
      <c r="B10" s="123">
        <v>1725409</v>
      </c>
      <c r="C10" s="123">
        <v>359422</v>
      </c>
      <c r="D10" s="123">
        <v>5867132</v>
      </c>
      <c r="E10" s="123">
        <f>12367232-2912785</f>
        <v>9454447</v>
      </c>
      <c r="F10" s="123">
        <v>10982426.800000001</v>
      </c>
      <c r="G10" s="127">
        <v>11172923.619999999</v>
      </c>
      <c r="H10" s="126">
        <v>10466523.800000001</v>
      </c>
      <c r="I10" s="121">
        <v>10151456.390000001</v>
      </c>
      <c r="J10" s="121">
        <v>11166878</v>
      </c>
      <c r="K10" s="121">
        <v>10908903</v>
      </c>
      <c r="L10" s="120">
        <v>10288015</v>
      </c>
      <c r="M10" s="121">
        <v>9686464</v>
      </c>
      <c r="N10" s="121">
        <v>10919480</v>
      </c>
      <c r="O10" s="121">
        <v>11432941</v>
      </c>
      <c r="P10" s="125">
        <v>12743727</v>
      </c>
      <c r="Q10" s="121"/>
    </row>
    <row r="11" spans="1:17" x14ac:dyDescent="0.25">
      <c r="A11" s="124" t="s">
        <v>470</v>
      </c>
      <c r="B11" s="123"/>
      <c r="C11" s="123"/>
      <c r="D11" s="123"/>
      <c r="E11" s="123"/>
      <c r="F11" s="123"/>
      <c r="G11" s="123"/>
      <c r="H11" s="122"/>
      <c r="I11" s="122"/>
      <c r="J11" s="122"/>
      <c r="K11" s="121"/>
      <c r="L11" s="121"/>
      <c r="M11" s="121"/>
      <c r="N11" s="121"/>
      <c r="O11" s="120"/>
      <c r="P11" s="120"/>
      <c r="Q11" s="119">
        <v>11190114</v>
      </c>
    </row>
    <row r="12" spans="1:17" x14ac:dyDescent="0.25">
      <c r="A12" s="118" t="s">
        <v>308</v>
      </c>
      <c r="L12" s="117"/>
    </row>
    <row r="14" spans="1:17" x14ac:dyDescent="0.25">
      <c r="H14" s="116">
        <f>H9+H10</f>
        <v>15784467.800000001</v>
      </c>
      <c r="I14" s="116">
        <f>I9+I10</f>
        <v>17744026.390000001</v>
      </c>
      <c r="J14" s="116"/>
      <c r="K14" s="115"/>
      <c r="L14" s="114"/>
      <c r="M14" s="360" t="s">
        <v>471</v>
      </c>
      <c r="N14" s="114" t="s">
        <v>307</v>
      </c>
    </row>
    <row r="15" spans="1:17" x14ac:dyDescent="0.25">
      <c r="H15" s="113"/>
      <c r="N15" s="111">
        <v>0</v>
      </c>
      <c r="O15" s="112">
        <v>11119303</v>
      </c>
      <c r="P15" s="112">
        <v>0</v>
      </c>
      <c r="Q15" s="112">
        <v>70811</v>
      </c>
    </row>
    <row r="16" spans="1:17" ht="22.5" hidden="1" customHeight="1" outlineLevel="1" x14ac:dyDescent="0.25">
      <c r="A16" s="109" t="s">
        <v>304</v>
      </c>
      <c r="B16" s="104"/>
      <c r="C16" s="104"/>
      <c r="D16" s="104"/>
      <c r="E16" s="104"/>
      <c r="F16" s="104"/>
      <c r="G16" s="104"/>
      <c r="H16" s="104"/>
    </row>
    <row r="17" spans="1:8" ht="22.5" hidden="1" customHeight="1" outlineLevel="1" x14ac:dyDescent="0.25">
      <c r="A17" s="110"/>
      <c r="B17" s="108">
        <v>2001</v>
      </c>
      <c r="C17" s="108">
        <v>2002</v>
      </c>
      <c r="D17" s="108">
        <v>2003</v>
      </c>
      <c r="E17" s="108" t="s">
        <v>303</v>
      </c>
      <c r="F17" s="108" t="s">
        <v>302</v>
      </c>
      <c r="G17" s="108"/>
      <c r="H17" s="108"/>
    </row>
    <row r="18" spans="1:8" ht="21.75" hidden="1" customHeight="1" outlineLevel="1" x14ac:dyDescent="0.25">
      <c r="A18" s="107" t="s">
        <v>306</v>
      </c>
      <c r="B18" s="106">
        <v>1809684</v>
      </c>
      <c r="C18" s="106">
        <v>4349169</v>
      </c>
      <c r="D18" s="106">
        <v>10942261</v>
      </c>
      <c r="E18" s="106">
        <v>2908920</v>
      </c>
      <c r="F18" s="106">
        <v>4223860</v>
      </c>
      <c r="G18" s="106"/>
      <c r="H18" s="106"/>
    </row>
    <row r="19" spans="1:8" ht="21.75" hidden="1" customHeight="1" outlineLevel="1" x14ac:dyDescent="0.25">
      <c r="A19" s="107" t="s">
        <v>305</v>
      </c>
      <c r="B19" s="106">
        <v>1809684</v>
      </c>
      <c r="C19" s="106">
        <v>4358798</v>
      </c>
      <c r="D19" s="106">
        <v>11025324</v>
      </c>
      <c r="E19" s="106">
        <v>2908920</v>
      </c>
      <c r="F19" s="106">
        <v>4223860</v>
      </c>
      <c r="G19" s="106"/>
      <c r="H19" s="106"/>
    </row>
    <row r="20" spans="1:8" hidden="1" outlineLevel="1" x14ac:dyDescent="0.25">
      <c r="A20" s="109"/>
      <c r="B20" s="104"/>
      <c r="C20" s="104">
        <f>C18-C19</f>
        <v>-9629</v>
      </c>
      <c r="D20" s="104">
        <f>D18-D19</f>
        <v>-83063</v>
      </c>
      <c r="E20" s="104"/>
      <c r="F20" s="104"/>
      <c r="G20" s="104"/>
      <c r="H20" s="104"/>
    </row>
    <row r="21" spans="1:8" hidden="1" outlineLevel="1" x14ac:dyDescent="0.25">
      <c r="A21" s="109"/>
      <c r="B21" s="104"/>
      <c r="C21" s="104"/>
      <c r="D21" s="104"/>
      <c r="E21" s="104"/>
      <c r="F21" s="104"/>
      <c r="G21" s="104"/>
      <c r="H21" s="104"/>
    </row>
    <row r="22" spans="1:8" ht="24.75" hidden="1" customHeight="1" outlineLevel="1" x14ac:dyDescent="0.25">
      <c r="A22" s="107"/>
      <c r="B22" s="108">
        <v>2001</v>
      </c>
      <c r="C22" s="108">
        <v>2002</v>
      </c>
      <c r="D22" s="108">
        <v>2003</v>
      </c>
      <c r="E22" s="108" t="s">
        <v>303</v>
      </c>
      <c r="F22" s="108" t="s">
        <v>302</v>
      </c>
      <c r="G22" s="108"/>
      <c r="H22" s="108"/>
    </row>
    <row r="23" spans="1:8" ht="24.75" hidden="1" customHeight="1" outlineLevel="1" x14ac:dyDescent="0.25">
      <c r="A23" s="107" t="s">
        <v>301</v>
      </c>
      <c r="B23" s="106">
        <v>84275</v>
      </c>
      <c r="C23" s="106">
        <v>3999376</v>
      </c>
      <c r="D23" s="106">
        <v>6078276</v>
      </c>
      <c r="E23" s="106">
        <v>2911420</v>
      </c>
      <c r="F23" s="106">
        <v>4226360</v>
      </c>
      <c r="G23" s="106"/>
      <c r="H23" s="106"/>
    </row>
    <row r="24" spans="1:8" ht="24.75" hidden="1" customHeight="1" outlineLevel="1" x14ac:dyDescent="0.25">
      <c r="A24" s="107" t="s">
        <v>304</v>
      </c>
      <c r="B24" s="106">
        <v>1809684</v>
      </c>
      <c r="C24" s="106">
        <v>4358798</v>
      </c>
      <c r="D24" s="106">
        <v>11055594</v>
      </c>
      <c r="E24" s="106">
        <v>8367041</v>
      </c>
      <c r="F24" s="106">
        <v>7528049</v>
      </c>
      <c r="G24" s="106"/>
      <c r="H24" s="106"/>
    </row>
    <row r="25" spans="1:8" ht="21" hidden="1" customHeight="1" outlineLevel="1" x14ac:dyDescent="0.25">
      <c r="A25" s="107" t="s">
        <v>300</v>
      </c>
      <c r="B25" s="106">
        <f>B24-B23</f>
        <v>1725409</v>
      </c>
      <c r="C25" s="106">
        <f>C24-C23</f>
        <v>359422</v>
      </c>
      <c r="D25" s="106">
        <f>D24-D23</f>
        <v>4977318</v>
      </c>
      <c r="E25" s="106">
        <v>8367041</v>
      </c>
      <c r="F25" s="106">
        <v>7528049</v>
      </c>
      <c r="G25" s="106"/>
      <c r="H25" s="106"/>
    </row>
    <row r="26" spans="1:8" hidden="1" outlineLevel="1" x14ac:dyDescent="0.25">
      <c r="A26" s="109"/>
      <c r="B26" s="104"/>
      <c r="C26" s="104"/>
      <c r="D26" s="104"/>
      <c r="E26" s="104"/>
      <c r="F26" s="104"/>
      <c r="G26" s="104"/>
      <c r="H26" s="104"/>
    </row>
    <row r="27" spans="1:8" ht="25.5" hidden="1" customHeight="1" outlineLevel="1" x14ac:dyDescent="0.25">
      <c r="A27" s="107"/>
      <c r="B27" s="108">
        <v>2001</v>
      </c>
      <c r="C27" s="108">
        <v>2002</v>
      </c>
      <c r="D27" s="108">
        <v>2003</v>
      </c>
      <c r="E27" s="108" t="s">
        <v>303</v>
      </c>
      <c r="F27" s="108" t="s">
        <v>302</v>
      </c>
      <c r="G27" s="108"/>
      <c r="H27" s="108"/>
    </row>
    <row r="28" spans="1:8" ht="21" hidden="1" customHeight="1" outlineLevel="1" x14ac:dyDescent="0.25">
      <c r="A28" s="107" t="s">
        <v>301</v>
      </c>
      <c r="B28" s="106">
        <v>84275</v>
      </c>
      <c r="C28" s="106">
        <v>3999376</v>
      </c>
      <c r="D28" s="106">
        <v>6078276</v>
      </c>
      <c r="E28" s="106">
        <v>2911420</v>
      </c>
      <c r="F28" s="106">
        <v>4226360</v>
      </c>
      <c r="G28" s="106"/>
      <c r="H28" s="106"/>
    </row>
    <row r="29" spans="1:8" ht="23.25" hidden="1" customHeight="1" outlineLevel="1" x14ac:dyDescent="0.25">
      <c r="A29" s="107" t="s">
        <v>300</v>
      </c>
      <c r="B29" s="106">
        <v>1725409</v>
      </c>
      <c r="C29" s="106">
        <v>359422</v>
      </c>
      <c r="D29" s="106">
        <v>4977318</v>
      </c>
      <c r="E29" s="106">
        <v>8367041</v>
      </c>
      <c r="F29" s="106">
        <v>7528049</v>
      </c>
      <c r="G29" s="106"/>
      <c r="H29" s="106"/>
    </row>
    <row r="30" spans="1:8" hidden="1" outlineLevel="1" x14ac:dyDescent="0.25">
      <c r="A30" s="105" t="s">
        <v>299</v>
      </c>
      <c r="B30" s="104"/>
      <c r="C30" s="104"/>
      <c r="D30" s="104"/>
      <c r="E30" s="104"/>
      <c r="F30" s="104"/>
      <c r="G30" s="104"/>
      <c r="H30" s="104"/>
    </row>
    <row r="31" spans="1:8" collapsed="1" x14ac:dyDescent="0.25"/>
  </sheetData>
  <customSheetViews>
    <customSheetView guid="{8DF5934D-271D-4996-8FBD-8BBE47175559}" hiddenRows="1" hiddenColumns="1" state="hidden" topLeftCell="A2">
      <selection activeCell="O32" sqref="O32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Q17"/>
  <sheetViews>
    <sheetView zoomScale="85" workbookViewId="0">
      <selection activeCell="Q4" sqref="Q4"/>
    </sheetView>
  </sheetViews>
  <sheetFormatPr defaultColWidth="10.28515625" defaultRowHeight="15.75" x14ac:dyDescent="0.25"/>
  <cols>
    <col min="1" max="1" width="25.140625" style="134" customWidth="1"/>
    <col min="2" max="2" width="11.42578125" style="134" hidden="1" customWidth="1"/>
    <col min="3" max="3" width="14.28515625" style="134" hidden="1" customWidth="1"/>
    <col min="4" max="4" width="13.42578125" style="134" hidden="1" customWidth="1"/>
    <col min="5" max="5" width="12.7109375" style="134" hidden="1" customWidth="1"/>
    <col min="6" max="6" width="13.140625" style="134" customWidth="1"/>
    <col min="7" max="7" width="13" style="134" customWidth="1"/>
    <col min="8" max="8" width="12.7109375" style="134" customWidth="1"/>
    <col min="9" max="10" width="15" style="134" customWidth="1"/>
    <col min="11" max="17" width="14.42578125" style="134" customWidth="1"/>
    <col min="18" max="16384" width="10.28515625" style="134"/>
  </cols>
  <sheetData>
    <row r="1" spans="1:17" x14ac:dyDescent="0.25">
      <c r="A1" s="474" t="s">
        <v>320</v>
      </c>
      <c r="B1" s="474"/>
      <c r="C1" s="474"/>
      <c r="D1" s="474"/>
      <c r="E1" s="474"/>
      <c r="F1" s="474"/>
    </row>
    <row r="2" spans="1:17" ht="22.5" customHeight="1" x14ac:dyDescent="0.25">
      <c r="A2" s="156"/>
      <c r="B2" s="155">
        <v>2001</v>
      </c>
      <c r="C2" s="155">
        <v>2002</v>
      </c>
      <c r="D2" s="155">
        <v>2003</v>
      </c>
      <c r="E2" s="155">
        <v>2004</v>
      </c>
      <c r="F2" s="155">
        <v>2005</v>
      </c>
      <c r="G2" s="155">
        <v>2006</v>
      </c>
      <c r="H2" s="155">
        <v>2007</v>
      </c>
      <c r="I2" s="147">
        <v>2008</v>
      </c>
      <c r="J2" s="146">
        <v>2009</v>
      </c>
      <c r="K2" s="146">
        <v>2010</v>
      </c>
      <c r="L2" s="146">
        <v>2011</v>
      </c>
      <c r="M2" s="146">
        <v>2012</v>
      </c>
      <c r="N2" s="146">
        <v>2013</v>
      </c>
      <c r="O2" s="146">
        <v>2014</v>
      </c>
      <c r="P2" s="146">
        <v>2015</v>
      </c>
      <c r="Q2" s="146">
        <v>2016</v>
      </c>
    </row>
    <row r="3" spans="1:17" ht="22.5" customHeight="1" x14ac:dyDescent="0.25">
      <c r="A3" s="154" t="s">
        <v>328</v>
      </c>
      <c r="B3" s="153">
        <v>84275</v>
      </c>
      <c r="C3" s="152">
        <v>3960026</v>
      </c>
      <c r="D3" s="152">
        <v>5976481</v>
      </c>
      <c r="E3" s="152">
        <v>2622083</v>
      </c>
      <c r="F3" s="152">
        <v>2804755</v>
      </c>
      <c r="G3" s="152">
        <v>3835304</v>
      </c>
      <c r="H3" s="152">
        <v>3597607</v>
      </c>
      <c r="I3" s="121">
        <v>4148674</v>
      </c>
      <c r="J3" s="129">
        <v>4386633</v>
      </c>
      <c r="K3" s="129">
        <v>4426857</v>
      </c>
      <c r="L3" s="129">
        <v>4548788</v>
      </c>
      <c r="M3" s="129">
        <v>4787612</v>
      </c>
      <c r="N3" s="129">
        <v>4674368</v>
      </c>
      <c r="O3" s="129">
        <v>4749050</v>
      </c>
      <c r="P3" s="129">
        <v>5225653</v>
      </c>
      <c r="Q3" s="129">
        <v>5123867</v>
      </c>
    </row>
    <row r="4" spans="1:17" ht="22.5" customHeight="1" x14ac:dyDescent="0.25">
      <c r="A4" s="154" t="s">
        <v>327</v>
      </c>
      <c r="B4" s="153">
        <v>0</v>
      </c>
      <c r="C4" s="152">
        <v>39350</v>
      </c>
      <c r="D4" s="152">
        <v>101795</v>
      </c>
      <c r="E4" s="152">
        <v>290702</v>
      </c>
      <c r="F4" s="152">
        <v>661403</v>
      </c>
      <c r="G4" s="152">
        <v>1357532</v>
      </c>
      <c r="H4" s="152">
        <v>1720337</v>
      </c>
      <c r="I4" s="121">
        <v>3443896</v>
      </c>
      <c r="J4" s="129">
        <v>3154116</v>
      </c>
      <c r="K4" s="129">
        <v>3001307</v>
      </c>
      <c r="L4" s="129">
        <v>3755271</v>
      </c>
      <c r="M4" s="129">
        <v>4231791</v>
      </c>
      <c r="N4" s="129">
        <v>2934954</v>
      </c>
      <c r="O4" s="129">
        <v>3529488</v>
      </c>
      <c r="P4" s="129">
        <v>4470962</v>
      </c>
      <c r="Q4" s="129">
        <v>1689119</v>
      </c>
    </row>
    <row r="5" spans="1:17" ht="22.5" customHeight="1" x14ac:dyDescent="0.25">
      <c r="A5" s="151" t="s">
        <v>326</v>
      </c>
      <c r="B5" s="150">
        <f t="shared" ref="B5:Q5" si="0">SUM(B3:B4)</f>
        <v>84275</v>
      </c>
      <c r="C5" s="150">
        <f t="shared" si="0"/>
        <v>3999376</v>
      </c>
      <c r="D5" s="150">
        <f t="shared" si="0"/>
        <v>6078276</v>
      </c>
      <c r="E5" s="150">
        <f t="shared" si="0"/>
        <v>2912785</v>
      </c>
      <c r="F5" s="150">
        <f t="shared" si="0"/>
        <v>3466158</v>
      </c>
      <c r="G5" s="150">
        <f t="shared" si="0"/>
        <v>5192836</v>
      </c>
      <c r="H5" s="150">
        <f t="shared" si="0"/>
        <v>5317944</v>
      </c>
      <c r="I5" s="136">
        <f t="shared" si="0"/>
        <v>7592570</v>
      </c>
      <c r="J5" s="135">
        <f t="shared" si="0"/>
        <v>7540749</v>
      </c>
      <c r="K5" s="135">
        <f t="shared" si="0"/>
        <v>7428164</v>
      </c>
      <c r="L5" s="135">
        <f t="shared" si="0"/>
        <v>8304059</v>
      </c>
      <c r="M5" s="135">
        <f t="shared" si="0"/>
        <v>9019403</v>
      </c>
      <c r="N5" s="135">
        <f t="shared" si="0"/>
        <v>7609322</v>
      </c>
      <c r="O5" s="135">
        <f t="shared" si="0"/>
        <v>8278538</v>
      </c>
      <c r="P5" s="135">
        <f t="shared" si="0"/>
        <v>9696615</v>
      </c>
      <c r="Q5" s="135">
        <f t="shared" si="0"/>
        <v>6812986</v>
      </c>
    </row>
    <row r="9" spans="1:17" x14ac:dyDescent="0.25">
      <c r="A9" s="149"/>
      <c r="B9" s="148">
        <v>2001</v>
      </c>
      <c r="C9" s="148">
        <v>2002</v>
      </c>
      <c r="D9" s="148">
        <v>2003</v>
      </c>
      <c r="E9" s="148">
        <v>2004</v>
      </c>
      <c r="F9" s="148">
        <v>2005</v>
      </c>
      <c r="G9" s="148">
        <v>2006</v>
      </c>
      <c r="H9" s="148">
        <v>2007</v>
      </c>
      <c r="I9" s="147">
        <v>2008</v>
      </c>
      <c r="J9" s="146">
        <v>2009</v>
      </c>
      <c r="K9" s="146">
        <v>2010</v>
      </c>
      <c r="L9" s="146">
        <v>2011</v>
      </c>
      <c r="M9" s="146">
        <v>2012</v>
      </c>
      <c r="N9" s="146">
        <v>2013</v>
      </c>
      <c r="O9" s="146">
        <v>2014</v>
      </c>
      <c r="P9" s="146">
        <v>2015</v>
      </c>
      <c r="Q9" s="146">
        <v>2016</v>
      </c>
    </row>
    <row r="10" spans="1:17" x14ac:dyDescent="0.25">
      <c r="A10" s="143" t="s">
        <v>325</v>
      </c>
      <c r="B10" s="142">
        <v>10</v>
      </c>
      <c r="C10" s="141">
        <v>1033100</v>
      </c>
      <c r="D10" s="140">
        <v>1139600</v>
      </c>
      <c r="E10" s="139">
        <v>1152642</v>
      </c>
      <c r="F10" s="139">
        <v>1245018</v>
      </c>
      <c r="G10" s="139">
        <v>3847124</v>
      </c>
      <c r="H10" s="139">
        <v>4045313</v>
      </c>
      <c r="I10" s="121">
        <v>4328690</v>
      </c>
      <c r="J10" s="129">
        <v>4532498</v>
      </c>
      <c r="K10" s="129">
        <v>4121475</v>
      </c>
      <c r="L10" s="129">
        <v>4416300</v>
      </c>
      <c r="M10" s="129">
        <v>4543700</v>
      </c>
      <c r="N10" s="129">
        <v>4302600</v>
      </c>
      <c r="O10" s="129">
        <v>4498900</v>
      </c>
      <c r="P10" s="129">
        <v>4776650</v>
      </c>
      <c r="Q10" s="129">
        <v>5330950</v>
      </c>
    </row>
    <row r="11" spans="1:17" x14ac:dyDescent="0.25">
      <c r="A11" s="143" t="s">
        <v>324</v>
      </c>
      <c r="B11" s="142">
        <v>90</v>
      </c>
      <c r="C11" s="141">
        <v>5899</v>
      </c>
      <c r="D11" s="140">
        <v>36891</v>
      </c>
      <c r="E11" s="139">
        <v>45708</v>
      </c>
      <c r="F11" s="139">
        <v>85840</v>
      </c>
      <c r="G11" s="139">
        <v>131499</v>
      </c>
      <c r="H11" s="139">
        <v>208296</v>
      </c>
      <c r="I11" s="121">
        <v>97807</v>
      </c>
      <c r="J11" s="129">
        <v>183697</v>
      </c>
      <c r="K11" s="129">
        <v>169579</v>
      </c>
      <c r="L11" s="129">
        <v>291031</v>
      </c>
      <c r="M11" s="145">
        <v>169400</v>
      </c>
      <c r="N11" s="145">
        <v>184620</v>
      </c>
      <c r="O11" s="145">
        <v>191852</v>
      </c>
      <c r="P11" s="145">
        <v>162937</v>
      </c>
      <c r="Q11" s="145">
        <v>140391</v>
      </c>
    </row>
    <row r="12" spans="1:17" x14ac:dyDescent="0.25">
      <c r="A12" s="143" t="s">
        <v>323</v>
      </c>
      <c r="B12" s="142">
        <v>0</v>
      </c>
      <c r="C12" s="144">
        <v>0</v>
      </c>
      <c r="D12" s="140">
        <v>20000</v>
      </c>
      <c r="E12" s="139">
        <v>10000</v>
      </c>
      <c r="F12" s="139">
        <v>10300</v>
      </c>
      <c r="G12" s="139">
        <v>40000</v>
      </c>
      <c r="H12" s="139">
        <v>40000</v>
      </c>
      <c r="I12" s="121">
        <v>40500</v>
      </c>
      <c r="J12" s="129">
        <v>58500</v>
      </c>
      <c r="K12" s="129">
        <v>45730</v>
      </c>
      <c r="L12" s="129">
        <v>60230</v>
      </c>
      <c r="M12" s="129">
        <v>79409</v>
      </c>
      <c r="N12" s="129">
        <v>85980</v>
      </c>
      <c r="O12" s="129">
        <v>85980</v>
      </c>
      <c r="P12" s="129">
        <v>55980</v>
      </c>
      <c r="Q12" s="129">
        <v>40980</v>
      </c>
    </row>
    <row r="13" spans="1:17" x14ac:dyDescent="0.25">
      <c r="A13" s="143" t="s">
        <v>322</v>
      </c>
      <c r="B13" s="142">
        <v>84175</v>
      </c>
      <c r="C13" s="141">
        <v>2960377</v>
      </c>
      <c r="D13" s="140">
        <v>4881785</v>
      </c>
      <c r="E13" s="139">
        <v>1704435</v>
      </c>
      <c r="F13" s="139">
        <v>2089000</v>
      </c>
      <c r="G13" s="139">
        <v>680213</v>
      </c>
      <c r="H13" s="139">
        <v>774335</v>
      </c>
      <c r="I13" s="121">
        <v>1925572.7</v>
      </c>
      <c r="J13" s="129">
        <v>2098388</v>
      </c>
      <c r="K13" s="129">
        <v>1689276</v>
      </c>
      <c r="L13" s="129">
        <v>2313905</v>
      </c>
      <c r="M13" s="129">
        <v>2139590</v>
      </c>
      <c r="N13" s="129">
        <v>1706993</v>
      </c>
      <c r="O13" s="129">
        <v>2169460</v>
      </c>
      <c r="P13" s="129">
        <v>3565454</v>
      </c>
      <c r="Q13" s="129">
        <v>2541011</v>
      </c>
    </row>
    <row r="14" spans="1:17" ht="20.25" customHeight="1" x14ac:dyDescent="0.25">
      <c r="A14" s="138" t="s">
        <v>321</v>
      </c>
      <c r="B14" s="137">
        <f t="shared" ref="B14:Q14" si="1">SUM(B10:B13)</f>
        <v>84275</v>
      </c>
      <c r="C14" s="137">
        <f t="shared" si="1"/>
        <v>3999376</v>
      </c>
      <c r="D14" s="137">
        <f t="shared" si="1"/>
        <v>6078276</v>
      </c>
      <c r="E14" s="128">
        <f t="shared" si="1"/>
        <v>2912785</v>
      </c>
      <c r="F14" s="128">
        <f t="shared" si="1"/>
        <v>3430158</v>
      </c>
      <c r="G14" s="128">
        <f t="shared" si="1"/>
        <v>4698836</v>
      </c>
      <c r="H14" s="128">
        <f t="shared" si="1"/>
        <v>5067944</v>
      </c>
      <c r="I14" s="136">
        <f t="shared" si="1"/>
        <v>6392569.7000000002</v>
      </c>
      <c r="J14" s="135">
        <f t="shared" si="1"/>
        <v>6873083</v>
      </c>
      <c r="K14" s="135">
        <f t="shared" si="1"/>
        <v>6026060</v>
      </c>
      <c r="L14" s="135">
        <f t="shared" si="1"/>
        <v>7081466</v>
      </c>
      <c r="M14" s="135">
        <f t="shared" si="1"/>
        <v>6932099</v>
      </c>
      <c r="N14" s="135">
        <f t="shared" si="1"/>
        <v>6280193</v>
      </c>
      <c r="O14" s="135">
        <f t="shared" si="1"/>
        <v>6946192</v>
      </c>
      <c r="P14" s="135">
        <f t="shared" si="1"/>
        <v>8561021</v>
      </c>
      <c r="Q14" s="135">
        <f t="shared" si="1"/>
        <v>8053332</v>
      </c>
    </row>
    <row r="17" spans="2:8" x14ac:dyDescent="0.25">
      <c r="B17" s="102">
        <f>B5-B14</f>
        <v>0</v>
      </c>
      <c r="C17" s="102">
        <f>C5-C14</f>
        <v>0</v>
      </c>
      <c r="D17" s="102">
        <f>D5-D14</f>
        <v>0</v>
      </c>
      <c r="E17" s="102">
        <f>E5-E14</f>
        <v>0</v>
      </c>
      <c r="F17" s="102">
        <f>F5-F14</f>
        <v>36000</v>
      </c>
      <c r="G17" s="102">
        <v>494000</v>
      </c>
      <c r="H17" s="102"/>
    </row>
  </sheetData>
  <customSheetViews>
    <customSheetView guid="{8DF5934D-271D-4996-8FBD-8BBE47175559}" scale="85" hiddenColumns="1" state="hidden">
      <selection activeCell="Q4" sqref="Q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U13"/>
  <sheetViews>
    <sheetView workbookViewId="0">
      <selection activeCell="S26" sqref="S26"/>
    </sheetView>
  </sheetViews>
  <sheetFormatPr defaultColWidth="10.28515625" defaultRowHeight="15.75" x14ac:dyDescent="0.25"/>
  <cols>
    <col min="1" max="1" width="39.5703125" style="134" customWidth="1"/>
    <col min="2" max="2" width="21.7109375" style="134" hidden="1" customWidth="1"/>
    <col min="3" max="3" width="10.28515625" style="134" hidden="1" customWidth="1"/>
    <col min="4" max="4" width="22.28515625" style="134" hidden="1" customWidth="1"/>
    <col min="5" max="5" width="10.28515625" style="134" hidden="1" customWidth="1"/>
    <col min="6" max="6" width="17.7109375" style="134" hidden="1" customWidth="1"/>
    <col min="7" max="7" width="10.28515625" style="134" hidden="1" customWidth="1"/>
    <col min="8" max="8" width="17.7109375" style="157" hidden="1" customWidth="1"/>
    <col min="9" max="9" width="10.28515625" style="157" hidden="1" customWidth="1"/>
    <col min="10" max="10" width="17.7109375" style="134" hidden="1" customWidth="1"/>
    <col min="11" max="11" width="10.28515625" style="134" hidden="1" customWidth="1"/>
    <col min="12" max="12" width="17.7109375" style="134" hidden="1" customWidth="1"/>
    <col min="13" max="13" width="10.28515625" style="134" hidden="1" customWidth="1"/>
    <col min="14" max="14" width="17.7109375" style="134" customWidth="1"/>
    <col min="15" max="15" width="10.28515625" style="134" customWidth="1"/>
    <col min="16" max="16" width="17.7109375" style="134" customWidth="1"/>
    <col min="17" max="17" width="10.28515625" style="134"/>
    <col min="18" max="19" width="17.7109375" style="134" customWidth="1"/>
    <col min="20" max="20" width="16.42578125" style="134" customWidth="1"/>
    <col min="21" max="21" width="20" style="134" bestFit="1" customWidth="1"/>
    <col min="22" max="16384" width="10.28515625" style="134"/>
  </cols>
  <sheetData>
    <row r="1" spans="1:21" ht="35.25" customHeight="1" x14ac:dyDescent="0.25">
      <c r="A1" s="184" t="s">
        <v>345</v>
      </c>
      <c r="B1" s="183" t="s">
        <v>344</v>
      </c>
      <c r="C1" s="183"/>
      <c r="D1" s="182" t="s">
        <v>343</v>
      </c>
      <c r="E1" s="182"/>
      <c r="F1" s="182" t="s">
        <v>342</v>
      </c>
      <c r="G1" s="182"/>
      <c r="H1" s="182" t="s">
        <v>341</v>
      </c>
      <c r="I1" s="182"/>
      <c r="J1" s="181" t="s">
        <v>340</v>
      </c>
      <c r="K1" s="181"/>
      <c r="L1" s="181" t="s">
        <v>339</v>
      </c>
      <c r="M1" s="181"/>
      <c r="N1" s="181" t="s">
        <v>338</v>
      </c>
      <c r="O1" s="181"/>
      <c r="P1" s="181" t="s">
        <v>337</v>
      </c>
      <c r="Q1" s="181"/>
      <c r="R1" s="181" t="s">
        <v>336</v>
      </c>
      <c r="S1" s="181"/>
      <c r="T1" s="181" t="s">
        <v>335</v>
      </c>
      <c r="U1" s="181"/>
    </row>
    <row r="2" spans="1:21" x14ac:dyDescent="0.25">
      <c r="A2" s="173" t="s">
        <v>324</v>
      </c>
      <c r="B2" s="172">
        <v>208296</v>
      </c>
      <c r="C2" s="171">
        <f>(B2/$B$10)*100</f>
        <v>4.1100690931075796</v>
      </c>
      <c r="D2" s="170">
        <v>97807</v>
      </c>
      <c r="E2" s="169">
        <f t="shared" ref="E2:E8" si="0">(D2/$D$10)*100</f>
        <v>1.5300091856553601</v>
      </c>
      <c r="F2" s="170">
        <v>183697</v>
      </c>
      <c r="G2" s="169">
        <f t="shared" ref="G2:G8" si="1">(F2/$D$10)*100</f>
        <v>2.8735989998398144</v>
      </c>
      <c r="H2" s="170">
        <v>169579</v>
      </c>
      <c r="I2" s="169">
        <f t="shared" ref="I2:I8" si="2">(H2/$H$10)*100</f>
        <v>2.8140941178813357</v>
      </c>
      <c r="J2" s="168">
        <v>291031</v>
      </c>
      <c r="K2" s="167">
        <f t="shared" ref="K2:K7" si="3">(J2/$J$10)*100</f>
        <v>4.1097563696556616</v>
      </c>
      <c r="L2" s="168">
        <v>169400</v>
      </c>
      <c r="M2" s="167">
        <f t="shared" ref="M2:M7" si="4">(L2/$L$10)*100</f>
        <v>2.4437042806226512</v>
      </c>
      <c r="N2" s="168">
        <v>184620</v>
      </c>
      <c r="O2" s="167">
        <f t="shared" ref="O2:O8" si="5">(N2/$N$10)*100</f>
        <v>2.9397185723432386</v>
      </c>
      <c r="P2" s="168">
        <v>191852</v>
      </c>
      <c r="Q2" s="167">
        <f t="shared" ref="Q2:Q8" si="6">P2/$P$10*100</f>
        <v>2.7619737548285448</v>
      </c>
      <c r="R2" s="168">
        <v>162937</v>
      </c>
      <c r="S2" s="167">
        <f t="shared" ref="S2:S8" si="7">R2/$R$10*100</f>
        <v>1.9032426155712034</v>
      </c>
      <c r="T2" s="168">
        <v>140391</v>
      </c>
      <c r="U2" s="167">
        <f t="shared" ref="U2:U8" si="8">T2/$T$10*100</f>
        <v>1.7432660170970227</v>
      </c>
    </row>
    <row r="3" spans="1:21" x14ac:dyDescent="0.25">
      <c r="A3" s="173" t="s">
        <v>334</v>
      </c>
      <c r="B3" s="172">
        <v>4045313</v>
      </c>
      <c r="C3" s="171">
        <f>(B3/$B$10)*100</f>
        <v>79.82158050680907</v>
      </c>
      <c r="D3" s="170">
        <v>4328690</v>
      </c>
      <c r="E3" s="169">
        <f t="shared" si="0"/>
        <v>67.714329872652286</v>
      </c>
      <c r="F3" s="170">
        <v>4532498</v>
      </c>
      <c r="G3" s="169">
        <f t="shared" si="1"/>
        <v>70.902528182691924</v>
      </c>
      <c r="H3" s="170">
        <v>4121475</v>
      </c>
      <c r="I3" s="169">
        <f t="shared" si="2"/>
        <v>68.394191229426866</v>
      </c>
      <c r="J3" s="168">
        <v>4416300</v>
      </c>
      <c r="K3" s="167">
        <f t="shared" si="3"/>
        <v>62.364205377813008</v>
      </c>
      <c r="L3" s="168">
        <v>4543700</v>
      </c>
      <c r="M3" s="167">
        <f t="shared" si="4"/>
        <v>65.545803659180294</v>
      </c>
      <c r="N3" s="168">
        <v>4302600</v>
      </c>
      <c r="O3" s="167">
        <f t="shared" si="5"/>
        <v>68.510633351554645</v>
      </c>
      <c r="P3" s="168">
        <v>4498900</v>
      </c>
      <c r="Q3" s="167">
        <f t="shared" si="6"/>
        <v>64.767861297240273</v>
      </c>
      <c r="R3" s="168">
        <v>4776650</v>
      </c>
      <c r="S3" s="167">
        <f t="shared" si="7"/>
        <v>55.795330954099988</v>
      </c>
      <c r="T3" s="168">
        <v>5330950</v>
      </c>
      <c r="U3" s="167">
        <f t="shared" si="8"/>
        <v>66.19558215158645</v>
      </c>
    </row>
    <row r="4" spans="1:21" x14ac:dyDescent="0.25">
      <c r="A4" s="180" t="s">
        <v>323</v>
      </c>
      <c r="B4" s="174">
        <v>40000</v>
      </c>
      <c r="C4" s="171">
        <f>(B4/$B$10)*100</f>
        <v>0.78927470390359489</v>
      </c>
      <c r="D4" s="170">
        <v>40500</v>
      </c>
      <c r="E4" s="169">
        <f t="shared" si="0"/>
        <v>0.63354741500140166</v>
      </c>
      <c r="F4" s="170">
        <v>58500</v>
      </c>
      <c r="G4" s="169">
        <f t="shared" si="1"/>
        <v>0.9151240438909134</v>
      </c>
      <c r="H4" s="170">
        <v>45730</v>
      </c>
      <c r="I4" s="169">
        <f t="shared" si="2"/>
        <v>0.75887063852666581</v>
      </c>
      <c r="J4" s="168">
        <v>60230</v>
      </c>
      <c r="K4" s="167">
        <f t="shared" si="3"/>
        <v>0.85053010210032787</v>
      </c>
      <c r="L4" s="168">
        <v>79409</v>
      </c>
      <c r="M4" s="167">
        <f t="shared" si="4"/>
        <v>1.1455260520659039</v>
      </c>
      <c r="N4" s="168">
        <v>85980</v>
      </c>
      <c r="O4" s="167">
        <f t="shared" si="5"/>
        <v>1.3690662054494185</v>
      </c>
      <c r="P4" s="168">
        <v>85980</v>
      </c>
      <c r="Q4" s="167">
        <f t="shared" si="6"/>
        <v>1.2378005099772653</v>
      </c>
      <c r="R4" s="168">
        <v>55980</v>
      </c>
      <c r="S4" s="167">
        <f t="shared" si="7"/>
        <v>0.65389396895533836</v>
      </c>
      <c r="T4" s="168">
        <v>40980</v>
      </c>
      <c r="U4" s="167">
        <f t="shared" si="8"/>
        <v>0.50885770014200338</v>
      </c>
    </row>
    <row r="5" spans="1:21" x14ac:dyDescent="0.25">
      <c r="A5" s="179" t="s">
        <v>333</v>
      </c>
      <c r="B5" s="178">
        <v>176006</v>
      </c>
      <c r="C5" s="171">
        <f>(B5/$B$10)*100</f>
        <v>3.472927088381403</v>
      </c>
      <c r="D5" s="177">
        <v>1640569</v>
      </c>
      <c r="E5" s="169">
        <f t="shared" si="0"/>
        <v>25.663660471146532</v>
      </c>
      <c r="F5" s="177">
        <v>1647849</v>
      </c>
      <c r="G5" s="169">
        <f t="shared" si="1"/>
        <v>25.777542574386285</v>
      </c>
      <c r="H5" s="177">
        <v>1296585</v>
      </c>
      <c r="I5" s="169">
        <f t="shared" si="2"/>
        <v>21.516297547651366</v>
      </c>
      <c r="J5" s="176">
        <f>1995546+1880</f>
        <v>1997426</v>
      </c>
      <c r="K5" s="167">
        <f t="shared" si="3"/>
        <v>28.206391162507877</v>
      </c>
      <c r="L5" s="176">
        <f>1872536+925</f>
        <v>1873461</v>
      </c>
      <c r="M5" s="167">
        <f t="shared" si="4"/>
        <v>27.025883502240806</v>
      </c>
      <c r="N5" s="176">
        <f>1507801+605</f>
        <v>1508406</v>
      </c>
      <c r="O5" s="167">
        <f t="shared" si="5"/>
        <v>24.018465674542167</v>
      </c>
      <c r="P5" s="176">
        <f>1857309+435</f>
        <v>1857744</v>
      </c>
      <c r="Q5" s="167">
        <f t="shared" si="6"/>
        <v>26.744783328764882</v>
      </c>
      <c r="R5" s="168">
        <v>3199577</v>
      </c>
      <c r="S5" s="167">
        <f t="shared" si="7"/>
        <v>37.373778197717307</v>
      </c>
      <c r="T5" s="168">
        <v>2170452</v>
      </c>
      <c r="U5" s="167">
        <f t="shared" si="8"/>
        <v>26.950981283275048</v>
      </c>
    </row>
    <row r="6" spans="1:21" x14ac:dyDescent="0.25">
      <c r="A6" s="179" t="s">
        <v>332</v>
      </c>
      <c r="B6" s="178"/>
      <c r="C6" s="171"/>
      <c r="D6" s="177">
        <v>0</v>
      </c>
      <c r="E6" s="169">
        <f t="shared" si="0"/>
        <v>0</v>
      </c>
      <c r="F6" s="177">
        <v>0</v>
      </c>
      <c r="G6" s="169">
        <f t="shared" si="1"/>
        <v>0</v>
      </c>
      <c r="H6" s="177">
        <v>198587</v>
      </c>
      <c r="I6" s="169">
        <f t="shared" si="2"/>
        <v>3.295470008595998</v>
      </c>
      <c r="J6" s="176">
        <v>198587</v>
      </c>
      <c r="K6" s="167">
        <f t="shared" si="3"/>
        <v>2.8043204613282051</v>
      </c>
      <c r="L6" s="176">
        <v>153000</v>
      </c>
      <c r="M6" s="167">
        <f t="shared" si="4"/>
        <v>2.2071237009165623</v>
      </c>
      <c r="N6" s="176">
        <v>198587</v>
      </c>
      <c r="O6" s="167">
        <f t="shared" si="5"/>
        <v>3.1621161961105337</v>
      </c>
      <c r="P6" s="176">
        <v>198587</v>
      </c>
      <c r="Q6" s="167">
        <f t="shared" si="6"/>
        <v>2.8589333551390461</v>
      </c>
      <c r="R6" s="168">
        <v>207979</v>
      </c>
      <c r="S6" s="167">
        <f t="shared" si="7"/>
        <v>2.4293714499707453</v>
      </c>
      <c r="T6" s="168">
        <v>208810</v>
      </c>
      <c r="U6" s="167">
        <f t="shared" si="8"/>
        <v>2.5928398332516278</v>
      </c>
    </row>
    <row r="7" spans="1:21" ht="31.5" x14ac:dyDescent="0.25">
      <c r="A7" s="175" t="s">
        <v>331</v>
      </c>
      <c r="B7" s="174">
        <v>124479</v>
      </c>
      <c r="C7" s="171">
        <f>(B7/$B$10)*100</f>
        <v>2.4562031466803895</v>
      </c>
      <c r="D7" s="170">
        <v>122010</v>
      </c>
      <c r="E7" s="169">
        <f t="shared" si="0"/>
        <v>1.9086202494894078</v>
      </c>
      <c r="F7" s="170">
        <v>129223</v>
      </c>
      <c r="G7" s="169">
        <f t="shared" si="1"/>
        <v>2.0214542619438549</v>
      </c>
      <c r="H7" s="170">
        <v>128864</v>
      </c>
      <c r="I7" s="169">
        <f t="shared" si="2"/>
        <v>2.1384453523529472</v>
      </c>
      <c r="J7" s="168">
        <v>117892</v>
      </c>
      <c r="K7" s="167">
        <f t="shared" si="3"/>
        <v>1.6647965265949169</v>
      </c>
      <c r="L7" s="168">
        <v>113129</v>
      </c>
      <c r="M7" s="167">
        <f t="shared" si="4"/>
        <v>1.6319588049737894</v>
      </c>
      <c r="N7" s="168">
        <v>0</v>
      </c>
      <c r="O7" s="167">
        <f t="shared" si="5"/>
        <v>0</v>
      </c>
      <c r="P7" s="168">
        <v>113129</v>
      </c>
      <c r="Q7" s="167">
        <f t="shared" si="6"/>
        <v>1.6286477540499888</v>
      </c>
      <c r="R7" s="168">
        <v>114252</v>
      </c>
      <c r="S7" s="167">
        <f t="shared" si="7"/>
        <v>1.3345604455356435</v>
      </c>
      <c r="T7" s="168">
        <v>116831</v>
      </c>
      <c r="U7" s="167">
        <f t="shared" si="8"/>
        <v>1.450716299787467</v>
      </c>
    </row>
    <row r="8" spans="1:21" x14ac:dyDescent="0.25">
      <c r="A8" s="173" t="s">
        <v>330</v>
      </c>
      <c r="B8" s="172">
        <v>473850</v>
      </c>
      <c r="C8" s="171">
        <f>(B8/$B$10)*100</f>
        <v>9.3499454611179598</v>
      </c>
      <c r="D8" s="170">
        <v>163000</v>
      </c>
      <c r="E8" s="169">
        <f t="shared" si="0"/>
        <v>2.5498328060550239</v>
      </c>
      <c r="F8" s="170">
        <v>321316</v>
      </c>
      <c r="G8" s="169">
        <f t="shared" si="1"/>
        <v>5.0263931160145772</v>
      </c>
      <c r="H8" s="170">
        <v>65240</v>
      </c>
      <c r="I8" s="169">
        <f t="shared" si="2"/>
        <v>1.0826311055648301</v>
      </c>
      <c r="J8" s="168">
        <v>0</v>
      </c>
      <c r="K8" s="167">
        <f>(J8/$H$10)*100</f>
        <v>0</v>
      </c>
      <c r="L8" s="168"/>
      <c r="M8" s="167">
        <f>(L8/$H$10)*100</f>
        <v>0</v>
      </c>
      <c r="N8" s="168"/>
      <c r="O8" s="167">
        <f t="shared" si="5"/>
        <v>0</v>
      </c>
      <c r="P8" s="168"/>
      <c r="Q8" s="167">
        <f t="shared" si="6"/>
        <v>0</v>
      </c>
      <c r="R8" s="168">
        <v>43646</v>
      </c>
      <c r="S8" s="167">
        <f t="shared" si="7"/>
        <v>0.50982236814978021</v>
      </c>
      <c r="T8" s="168">
        <v>44918</v>
      </c>
      <c r="U8" s="167">
        <f t="shared" si="8"/>
        <v>0.55775671486038325</v>
      </c>
    </row>
    <row r="9" spans="1:21" x14ac:dyDescent="0.25">
      <c r="B9" s="165"/>
      <c r="D9" s="166"/>
      <c r="E9" s="157"/>
      <c r="F9" s="166"/>
      <c r="G9" s="157"/>
      <c r="H9" s="166"/>
      <c r="J9" s="165"/>
      <c r="L9" s="165"/>
      <c r="N9" s="165"/>
      <c r="P9" s="165"/>
      <c r="R9" s="165"/>
      <c r="T9" s="165"/>
    </row>
    <row r="10" spans="1:21" x14ac:dyDescent="0.25">
      <c r="A10" s="164" t="s">
        <v>329</v>
      </c>
      <c r="B10" s="163">
        <f t="shared" ref="B10:U10" si="9">SUM(B2:B9)</f>
        <v>5067944</v>
      </c>
      <c r="C10" s="162">
        <f t="shared" si="9"/>
        <v>100</v>
      </c>
      <c r="D10" s="161">
        <f t="shared" si="9"/>
        <v>6392576</v>
      </c>
      <c r="E10" s="160">
        <f t="shared" si="9"/>
        <v>100</v>
      </c>
      <c r="F10" s="161">
        <f t="shared" si="9"/>
        <v>6873083</v>
      </c>
      <c r="G10" s="160">
        <f t="shared" si="9"/>
        <v>107.51664117876737</v>
      </c>
      <c r="H10" s="161">
        <f t="shared" si="9"/>
        <v>6026060</v>
      </c>
      <c r="I10" s="160">
        <f t="shared" si="9"/>
        <v>100</v>
      </c>
      <c r="J10" s="159">
        <f t="shared" si="9"/>
        <v>7081466</v>
      </c>
      <c r="K10" s="158">
        <f t="shared" si="9"/>
        <v>99.999999999999972</v>
      </c>
      <c r="L10" s="159">
        <f t="shared" si="9"/>
        <v>6932099</v>
      </c>
      <c r="M10" s="158">
        <f t="shared" si="9"/>
        <v>100.00000000000001</v>
      </c>
      <c r="N10" s="159">
        <f t="shared" si="9"/>
        <v>6280193</v>
      </c>
      <c r="O10" s="158">
        <f t="shared" si="9"/>
        <v>100</v>
      </c>
      <c r="P10" s="159">
        <f t="shared" si="9"/>
        <v>6946192</v>
      </c>
      <c r="Q10" s="158">
        <f t="shared" si="9"/>
        <v>100</v>
      </c>
      <c r="R10" s="159">
        <f t="shared" si="9"/>
        <v>8561021</v>
      </c>
      <c r="S10" s="158">
        <f t="shared" si="9"/>
        <v>100</v>
      </c>
      <c r="T10" s="159">
        <f t="shared" si="9"/>
        <v>8053332</v>
      </c>
      <c r="U10" s="158">
        <f t="shared" si="9"/>
        <v>100.00000000000003</v>
      </c>
    </row>
    <row r="11" spans="1:21" x14ac:dyDescent="0.25">
      <c r="B11" s="134">
        <v>4697998</v>
      </c>
    </row>
    <row r="12" spans="1:21" x14ac:dyDescent="0.25">
      <c r="B12" s="102">
        <f>B11-B10</f>
        <v>-369946</v>
      </c>
    </row>
    <row r="13" spans="1:21" x14ac:dyDescent="0.25">
      <c r="D13" s="102">
        <f>D7+D5+D8</f>
        <v>1925579</v>
      </c>
      <c r="E13" s="102"/>
      <c r="F13" s="102"/>
      <c r="G13" s="102"/>
      <c r="H13" s="112">
        <f>H7+H5+H8</f>
        <v>1490689</v>
      </c>
      <c r="J13" s="102">
        <f>J7+J5+J8</f>
        <v>2115318</v>
      </c>
      <c r="L13" s="102">
        <f>L7+L5+L8</f>
        <v>1986590</v>
      </c>
      <c r="N13" s="102">
        <f>N7+N5+N8</f>
        <v>1508406</v>
      </c>
      <c r="P13" s="102">
        <f>P7+P5+P8</f>
        <v>1970873</v>
      </c>
      <c r="R13" s="102">
        <f>R7+R5+R8</f>
        <v>3357475</v>
      </c>
      <c r="T13" s="102">
        <f>T7+T5+T8</f>
        <v>2332201</v>
      </c>
    </row>
  </sheetData>
  <customSheetViews>
    <customSheetView guid="{8DF5934D-271D-4996-8FBD-8BBE47175559}" hiddenColumns="1" state="hidden">
      <selection activeCell="S26" sqref="S26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U30"/>
  <sheetViews>
    <sheetView workbookViewId="0">
      <selection activeCell="T4" sqref="T4"/>
    </sheetView>
  </sheetViews>
  <sheetFormatPr defaultColWidth="10.28515625" defaultRowHeight="15.75" x14ac:dyDescent="0.25"/>
  <cols>
    <col min="1" max="1" width="48.85546875" style="134" customWidth="1"/>
    <col min="2" max="2" width="18.42578125" style="134" hidden="1" customWidth="1"/>
    <col min="3" max="3" width="10.28515625" style="134" hidden="1" customWidth="1"/>
    <col min="4" max="4" width="17.7109375" style="134" hidden="1" customWidth="1"/>
    <col min="5" max="5" width="15" style="134" hidden="1" customWidth="1"/>
    <col min="6" max="6" width="17.140625" style="157" hidden="1" customWidth="1"/>
    <col min="7" max="7" width="10.28515625" style="157" hidden="1" customWidth="1"/>
    <col min="8" max="8" width="17.140625" style="186" hidden="1" customWidth="1"/>
    <col min="9" max="9" width="10.28515625" style="157" hidden="1" customWidth="1"/>
    <col min="10" max="10" width="17.140625" style="185" hidden="1" customWidth="1"/>
    <col min="11" max="11" width="10.28515625" style="134" hidden="1" customWidth="1"/>
    <col min="12" max="12" width="17.140625" style="185" hidden="1" customWidth="1"/>
    <col min="13" max="13" width="10.28515625" style="134" hidden="1" customWidth="1"/>
    <col min="14" max="14" width="17.140625" style="185" customWidth="1"/>
    <col min="15" max="15" width="10.28515625" style="134" customWidth="1"/>
    <col min="16" max="16" width="17.140625" style="185" customWidth="1"/>
    <col min="17" max="17" width="10.28515625" style="134"/>
    <col min="18" max="18" width="17.140625" style="185" customWidth="1"/>
    <col min="19" max="19" width="11.5703125" style="134" customWidth="1"/>
    <col min="20" max="20" width="17.140625" style="185" customWidth="1"/>
    <col min="21" max="21" width="11.5703125" style="134" customWidth="1"/>
    <col min="22" max="16384" width="10.28515625" style="134"/>
  </cols>
  <sheetData>
    <row r="1" spans="1:21" ht="35.25" customHeight="1" x14ac:dyDescent="0.25">
      <c r="A1" s="184" t="s">
        <v>363</v>
      </c>
      <c r="B1" s="183" t="s">
        <v>344</v>
      </c>
      <c r="C1" s="183"/>
      <c r="D1" s="182" t="s">
        <v>343</v>
      </c>
      <c r="E1" s="182"/>
      <c r="F1" s="182" t="s">
        <v>342</v>
      </c>
      <c r="G1" s="182"/>
      <c r="H1" s="216" t="s">
        <v>341</v>
      </c>
      <c r="I1" s="182"/>
      <c r="J1" s="215" t="s">
        <v>340</v>
      </c>
      <c r="K1" s="181"/>
      <c r="L1" s="215" t="s">
        <v>339</v>
      </c>
      <c r="M1" s="181"/>
      <c r="N1" s="215" t="s">
        <v>338</v>
      </c>
      <c r="O1" s="181"/>
      <c r="P1" s="215" t="s">
        <v>337</v>
      </c>
      <c r="Q1" s="181"/>
      <c r="R1" s="215" t="s">
        <v>336</v>
      </c>
      <c r="S1" s="181"/>
      <c r="T1" s="215" t="s">
        <v>335</v>
      </c>
      <c r="U1" s="181"/>
    </row>
    <row r="2" spans="1:21" x14ac:dyDescent="0.25">
      <c r="A2" s="173" t="s">
        <v>362</v>
      </c>
      <c r="B2" s="172">
        <v>33878</v>
      </c>
      <c r="C2" s="171">
        <f>(B2/$B$13)*100</f>
        <v>0.63705070982319489</v>
      </c>
      <c r="D2" s="170">
        <v>39564</v>
      </c>
      <c r="E2" s="169">
        <f>(D2/$D$13)*100</f>
        <v>0.52307207405401746</v>
      </c>
      <c r="F2" s="170">
        <v>42663</v>
      </c>
      <c r="G2" s="169">
        <f>(F2/$D$13)*100</f>
        <v>0.56404367342449069</v>
      </c>
      <c r="H2" s="211">
        <v>40336</v>
      </c>
      <c r="I2" s="169">
        <f t="shared" ref="I2:I11" si="0">(H2/$H$13)*100</f>
        <v>0.54301439763580883</v>
      </c>
      <c r="J2" s="210">
        <v>40321</v>
      </c>
      <c r="K2" s="167">
        <f t="shared" ref="K2:K11" si="1">(J2/$J$13)*100</f>
        <v>0.4855577254448698</v>
      </c>
      <c r="L2" s="210">
        <v>40362</v>
      </c>
      <c r="M2" s="167">
        <f t="shared" ref="M2:M11" si="2">(L2/$L$13)*100</f>
        <v>0.44750190228776782</v>
      </c>
      <c r="N2" s="210">
        <v>40362</v>
      </c>
      <c r="O2" s="167">
        <f t="shared" ref="O2:O11" si="3">(N2/$N$13)*100</f>
        <v>0.53042833513945131</v>
      </c>
      <c r="P2" s="210">
        <v>0</v>
      </c>
      <c r="Q2" s="167">
        <f t="shared" ref="Q2:Q11" si="4">(P2/$P$13)*100</f>
        <v>0</v>
      </c>
      <c r="R2" s="210"/>
      <c r="S2" s="167">
        <f t="shared" ref="S2:S11" si="5">(R2/$R$13)*100</f>
        <v>0</v>
      </c>
      <c r="T2" s="210"/>
      <c r="U2" s="167">
        <f t="shared" ref="U2:U11" si="6">(T2/$T$13)*100</f>
        <v>0</v>
      </c>
    </row>
    <row r="3" spans="1:21" x14ac:dyDescent="0.25">
      <c r="A3" s="173" t="s">
        <v>361</v>
      </c>
      <c r="B3" s="172">
        <v>325186</v>
      </c>
      <c r="C3" s="171">
        <f>(B3/$B$13)*100</f>
        <v>6.1148819919878816</v>
      </c>
      <c r="D3" s="170">
        <v>345169</v>
      </c>
      <c r="E3" s="169">
        <f>(D3/$D$13)*100</f>
        <v>4.563448203648548</v>
      </c>
      <c r="F3" s="170">
        <v>390214</v>
      </c>
      <c r="G3" s="169">
        <f>(F3/$D$13)*100</f>
        <v>5.158984084139985</v>
      </c>
      <c r="H3" s="211">
        <v>376007</v>
      </c>
      <c r="I3" s="169">
        <f t="shared" si="0"/>
        <v>5.0619103186197822</v>
      </c>
      <c r="J3" s="210">
        <v>368162</v>
      </c>
      <c r="K3" s="167">
        <f t="shared" si="1"/>
        <v>4.4335185961467758</v>
      </c>
      <c r="L3" s="210">
        <v>380226</v>
      </c>
      <c r="M3" s="167">
        <f t="shared" si="2"/>
        <v>4.2156448713955896</v>
      </c>
      <c r="N3" s="210">
        <v>371351</v>
      </c>
      <c r="O3" s="167">
        <f t="shared" si="3"/>
        <v>4.8802114038543776</v>
      </c>
      <c r="P3" s="210">
        <v>454831</v>
      </c>
      <c r="Q3" s="167">
        <f t="shared" si="4"/>
        <v>5.4940981124928099</v>
      </c>
      <c r="R3" s="210">
        <v>462728</v>
      </c>
      <c r="S3" s="167">
        <f t="shared" si="5"/>
        <v>4.7720570528993882</v>
      </c>
      <c r="T3" s="210">
        <f>487135+729</f>
        <v>487864</v>
      </c>
      <c r="U3" s="167">
        <f t="shared" si="6"/>
        <v>7.1607955748037648</v>
      </c>
    </row>
    <row r="4" spans="1:21" x14ac:dyDescent="0.25">
      <c r="A4" s="173" t="s">
        <v>360</v>
      </c>
      <c r="B4" s="172"/>
      <c r="C4" s="171"/>
      <c r="D4" s="170">
        <v>125289</v>
      </c>
      <c r="E4" s="169">
        <f>(D4/$D$13)*100</f>
        <v>1.6564345639003588</v>
      </c>
      <c r="F4" s="170">
        <v>118503</v>
      </c>
      <c r="G4" s="169">
        <f>(F4/$D$13)*100</f>
        <v>1.5667174702159343</v>
      </c>
      <c r="H4" s="211">
        <v>174848</v>
      </c>
      <c r="I4" s="169">
        <f t="shared" si="0"/>
        <v>2.3538521766616891</v>
      </c>
      <c r="J4" s="210">
        <v>292666</v>
      </c>
      <c r="K4" s="167">
        <f t="shared" si="1"/>
        <v>3.5243728398365182</v>
      </c>
      <c r="L4" s="210">
        <v>224176</v>
      </c>
      <c r="M4" s="167">
        <f t="shared" si="2"/>
        <v>2.4854860127660334</v>
      </c>
      <c r="N4" s="210">
        <v>190510</v>
      </c>
      <c r="O4" s="167">
        <f t="shared" si="3"/>
        <v>2.5036396146726347</v>
      </c>
      <c r="P4" s="210">
        <f>208012-6000-3000</f>
        <v>199012</v>
      </c>
      <c r="Q4" s="167">
        <f t="shared" si="4"/>
        <v>2.403951035798833</v>
      </c>
      <c r="R4" s="210">
        <v>224902</v>
      </c>
      <c r="S4" s="167">
        <f t="shared" si="5"/>
        <v>2.3193867138171411</v>
      </c>
      <c r="T4" s="210">
        <v>284745</v>
      </c>
      <c r="U4" s="167">
        <f t="shared" si="6"/>
        <v>4.1794449599632228</v>
      </c>
    </row>
    <row r="5" spans="1:21" x14ac:dyDescent="0.25">
      <c r="A5" s="173" t="s">
        <v>359</v>
      </c>
      <c r="B5" s="172">
        <v>1394294</v>
      </c>
      <c r="C5" s="171">
        <f>(B5/$B$13)*100</f>
        <v>26.218666462076325</v>
      </c>
      <c r="D5" s="170">
        <f>1495788+150887</f>
        <v>1646675</v>
      </c>
      <c r="E5" s="169">
        <f>(D5/$D$13)*100</f>
        <v>21.770541591924456</v>
      </c>
      <c r="F5" s="170">
        <f>1712209+262884</f>
        <v>1975093</v>
      </c>
      <c r="G5" s="169">
        <f>(F5/$D$13)*100</f>
        <v>26.112526336052255</v>
      </c>
      <c r="H5" s="211">
        <v>1885784</v>
      </c>
      <c r="I5" s="169">
        <f t="shared" si="0"/>
        <v>25.386946222512051</v>
      </c>
      <c r="J5" s="210">
        <v>1869609</v>
      </c>
      <c r="K5" s="167">
        <f t="shared" si="1"/>
        <v>22.514399283531102</v>
      </c>
      <c r="L5" s="210">
        <v>2074408</v>
      </c>
      <c r="M5" s="167">
        <f t="shared" si="2"/>
        <v>22.999393640576876</v>
      </c>
      <c r="N5" s="210">
        <v>1874367</v>
      </c>
      <c r="O5" s="167">
        <f t="shared" si="3"/>
        <v>24.632509966065307</v>
      </c>
      <c r="P5" s="210">
        <f>1820014+113000+6000+3000</f>
        <v>1942014</v>
      </c>
      <c r="Q5" s="167">
        <f t="shared" si="4"/>
        <v>23.45841741621528</v>
      </c>
      <c r="R5" s="210">
        <f>1861624+230600+242000</f>
        <v>2334224</v>
      </c>
      <c r="S5" s="167">
        <f t="shared" si="5"/>
        <v>24.072565529311003</v>
      </c>
      <c r="T5" s="210">
        <f>1987183+273550+20000</f>
        <v>2280733</v>
      </c>
      <c r="U5" s="167">
        <f t="shared" si="6"/>
        <v>33.476261363226051</v>
      </c>
    </row>
    <row r="6" spans="1:21" x14ac:dyDescent="0.25">
      <c r="A6" s="180" t="s">
        <v>358</v>
      </c>
      <c r="B6" s="172">
        <v>1799286</v>
      </c>
      <c r="C6" s="171">
        <f>(B6/$B$13)*100</f>
        <v>33.834241202991237</v>
      </c>
      <c r="D6" s="170">
        <f>1694248+56311</f>
        <v>1750559</v>
      </c>
      <c r="E6" s="169">
        <f>(D6/$D$13)*100</f>
        <v>23.143982582244636</v>
      </c>
      <c r="F6" s="170">
        <f>1777470+153597</f>
        <v>1931067</v>
      </c>
      <c r="G6" s="169">
        <f>(F6/$D$13)*100</f>
        <v>25.530462562614233</v>
      </c>
      <c r="H6" s="211">
        <v>1988860</v>
      </c>
      <c r="I6" s="169">
        <f t="shared" si="0"/>
        <v>26.774583867561354</v>
      </c>
      <c r="J6" s="210">
        <v>1979289</v>
      </c>
      <c r="K6" s="167">
        <f t="shared" si="1"/>
        <v>23.835199147790256</v>
      </c>
      <c r="L6" s="210">
        <v>2074003</v>
      </c>
      <c r="M6" s="167">
        <f t="shared" si="2"/>
        <v>22.994903321206515</v>
      </c>
      <c r="N6" s="210">
        <v>2033921</v>
      </c>
      <c r="O6" s="167">
        <f t="shared" si="3"/>
        <v>26.729332784182347</v>
      </c>
      <c r="P6" s="210">
        <v>1941642</v>
      </c>
      <c r="Q6" s="167">
        <f t="shared" si="4"/>
        <v>23.453923869166271</v>
      </c>
      <c r="R6" s="210">
        <v>1959543</v>
      </c>
      <c r="S6" s="167">
        <f t="shared" si="5"/>
        <v>20.208526377503901</v>
      </c>
      <c r="T6" s="210">
        <v>2082143</v>
      </c>
      <c r="U6" s="167">
        <f t="shared" si="6"/>
        <v>30.561386739969816</v>
      </c>
    </row>
    <row r="7" spans="1:21" x14ac:dyDescent="0.25">
      <c r="A7" s="180" t="s">
        <v>357</v>
      </c>
      <c r="B7" s="172"/>
      <c r="C7" s="171"/>
      <c r="D7" s="170"/>
      <c r="E7" s="169"/>
      <c r="F7" s="170"/>
      <c r="G7" s="169"/>
      <c r="H7" s="211">
        <v>40000</v>
      </c>
      <c r="I7" s="169">
        <f t="shared" si="0"/>
        <v>0.53849107262575246</v>
      </c>
      <c r="J7" s="210">
        <v>70000</v>
      </c>
      <c r="K7" s="167">
        <f t="shared" si="1"/>
        <v>0.84296125545350775</v>
      </c>
      <c r="L7" s="210">
        <v>50000</v>
      </c>
      <c r="M7" s="167">
        <f t="shared" si="2"/>
        <v>0.55436041609405851</v>
      </c>
      <c r="N7" s="210">
        <v>50000</v>
      </c>
      <c r="O7" s="167">
        <f t="shared" si="3"/>
        <v>0.65708876559567331</v>
      </c>
      <c r="P7" s="210">
        <v>90000</v>
      </c>
      <c r="Q7" s="167">
        <f t="shared" si="4"/>
        <v>1.0871484795986925</v>
      </c>
      <c r="R7" s="210">
        <v>70000</v>
      </c>
      <c r="S7" s="167">
        <f t="shared" si="5"/>
        <v>0.72190140579985906</v>
      </c>
      <c r="T7" s="210">
        <v>70000</v>
      </c>
      <c r="U7" s="167">
        <f t="shared" si="6"/>
        <v>1.0274496380882039</v>
      </c>
    </row>
    <row r="8" spans="1:21" x14ac:dyDescent="0.25">
      <c r="A8" s="175" t="s">
        <v>356</v>
      </c>
      <c r="B8" s="170">
        <v>625731</v>
      </c>
      <c r="C8" s="171">
        <f>(B8/$B$13)*100</f>
        <v>11.76640822092147</v>
      </c>
      <c r="D8" s="170">
        <v>630375</v>
      </c>
      <c r="E8" s="169">
        <f>(D8/$D$13)*100</f>
        <v>8.3341309948893265</v>
      </c>
      <c r="F8" s="170">
        <v>716272</v>
      </c>
      <c r="G8" s="169">
        <f>(F8/$D$13)*100</f>
        <v>9.4697674812157313</v>
      </c>
      <c r="H8" s="211">
        <v>579775</v>
      </c>
      <c r="I8" s="169">
        <f t="shared" si="0"/>
        <v>7.8050915407898911</v>
      </c>
      <c r="J8" s="210">
        <v>756498</v>
      </c>
      <c r="K8" s="167">
        <f t="shared" si="1"/>
        <v>9.1099786261152538</v>
      </c>
      <c r="L8" s="210">
        <v>587036</v>
      </c>
      <c r="M8" s="167">
        <f t="shared" si="2"/>
        <v>6.5085904244438346</v>
      </c>
      <c r="N8" s="210">
        <v>506722</v>
      </c>
      <c r="O8" s="167">
        <f t="shared" si="3"/>
        <v>6.6592266696034157</v>
      </c>
      <c r="P8" s="210">
        <v>183261</v>
      </c>
      <c r="Q8" s="167">
        <f t="shared" si="4"/>
        <v>2.2136879724415111</v>
      </c>
      <c r="R8" s="210">
        <v>156739</v>
      </c>
      <c r="S8" s="167">
        <f t="shared" si="5"/>
        <v>1.6164300634809157</v>
      </c>
      <c r="T8" s="210">
        <v>441415</v>
      </c>
      <c r="U8" s="167">
        <f t="shared" si="6"/>
        <v>6.4790240285243508</v>
      </c>
    </row>
    <row r="9" spans="1:21" x14ac:dyDescent="0.25">
      <c r="A9" s="179" t="s">
        <v>355</v>
      </c>
      <c r="B9" s="214">
        <v>385294</v>
      </c>
      <c r="C9" s="171">
        <f>(B9/$B$13)*100</f>
        <v>7.245168433514908</v>
      </c>
      <c r="D9" s="177">
        <v>2490523</v>
      </c>
      <c r="E9" s="169">
        <f>(D9/$D$13)*100</f>
        <v>32.926979857679548</v>
      </c>
      <c r="F9" s="177">
        <v>2137285</v>
      </c>
      <c r="G9" s="169">
        <f>(F9/$D$13)*100</f>
        <v>28.256852133114464</v>
      </c>
      <c r="H9" s="213">
        <v>2314492</v>
      </c>
      <c r="I9" s="169">
        <f t="shared" si="0"/>
        <v>31.15833199159308</v>
      </c>
      <c r="J9" s="212">
        <v>2908422</v>
      </c>
      <c r="K9" s="167">
        <f t="shared" si="1"/>
        <v>35.024100864408595</v>
      </c>
      <c r="L9" s="212">
        <v>3580869</v>
      </c>
      <c r="M9" s="167">
        <f t="shared" si="2"/>
        <v>39.701840576366308</v>
      </c>
      <c r="N9" s="212">
        <v>2533958</v>
      </c>
      <c r="O9" s="167">
        <f t="shared" si="3"/>
        <v>33.300706685825624</v>
      </c>
      <c r="P9" s="212">
        <v>3467778</v>
      </c>
      <c r="Q9" s="167">
        <f t="shared" si="4"/>
        <v>41.888773114286607</v>
      </c>
      <c r="R9" s="212">
        <v>4488479</v>
      </c>
      <c r="S9" s="167">
        <f t="shared" si="5"/>
        <v>46.289132857187795</v>
      </c>
      <c r="T9" s="210">
        <v>1166086</v>
      </c>
      <c r="U9" s="167">
        <f t="shared" si="6"/>
        <v>17.115637695424589</v>
      </c>
    </row>
    <row r="10" spans="1:21" hidden="1" x14ac:dyDescent="0.25">
      <c r="A10" s="179" t="s">
        <v>354</v>
      </c>
      <c r="B10" s="214">
        <v>646760</v>
      </c>
      <c r="C10" s="171">
        <f>(B10/$B$13)*100</f>
        <v>12.161842997970645</v>
      </c>
      <c r="D10" s="177">
        <v>485340</v>
      </c>
      <c r="E10" s="169">
        <f>(D10/$D$13)*100</f>
        <v>6.4166363467135987</v>
      </c>
      <c r="F10" s="177">
        <v>221336</v>
      </c>
      <c r="G10" s="169">
        <f>(F10/$D$13)*100</f>
        <v>2.9262632843701351</v>
      </c>
      <c r="H10" s="213">
        <v>20036</v>
      </c>
      <c r="I10" s="169">
        <f t="shared" si="0"/>
        <v>0.26973017827823942</v>
      </c>
      <c r="J10" s="212">
        <v>11067</v>
      </c>
      <c r="K10" s="167">
        <f t="shared" si="1"/>
        <v>0.13327217448719958</v>
      </c>
      <c r="L10" s="212"/>
      <c r="M10" s="167">
        <f t="shared" si="2"/>
        <v>0</v>
      </c>
      <c r="N10" s="212"/>
      <c r="O10" s="167">
        <f t="shared" si="3"/>
        <v>0</v>
      </c>
      <c r="P10" s="212"/>
      <c r="Q10" s="167">
        <f t="shared" si="4"/>
        <v>0</v>
      </c>
      <c r="R10" s="212"/>
      <c r="S10" s="167">
        <f t="shared" si="5"/>
        <v>0</v>
      </c>
      <c r="T10" s="212"/>
      <c r="U10" s="167">
        <f t="shared" si="6"/>
        <v>0</v>
      </c>
    </row>
    <row r="11" spans="1:21" x14ac:dyDescent="0.25">
      <c r="A11" s="173" t="s">
        <v>353</v>
      </c>
      <c r="B11" s="172">
        <v>107515</v>
      </c>
      <c r="C11" s="171">
        <f>(B11/$B$13)*100</f>
        <v>2.0217399807143512</v>
      </c>
      <c r="D11" s="170">
        <v>50282</v>
      </c>
      <c r="E11" s="169">
        <f>(D11/$D$13)*100</f>
        <v>0.66477378494550865</v>
      </c>
      <c r="F11" s="170">
        <v>8316</v>
      </c>
      <c r="G11" s="169">
        <f>(F11/$D$13)*100</f>
        <v>0.10994508562918838</v>
      </c>
      <c r="H11" s="211">
        <v>8026</v>
      </c>
      <c r="I11" s="169">
        <f t="shared" si="0"/>
        <v>0.10804823372235724</v>
      </c>
      <c r="J11" s="210">
        <v>8025</v>
      </c>
      <c r="K11" s="167">
        <f t="shared" si="1"/>
        <v>9.6639486785919992E-2</v>
      </c>
      <c r="L11" s="210">
        <v>8323</v>
      </c>
      <c r="M11" s="167">
        <f t="shared" si="2"/>
        <v>9.2278834863016995E-2</v>
      </c>
      <c r="N11" s="210">
        <v>8131</v>
      </c>
      <c r="O11" s="167">
        <f t="shared" si="3"/>
        <v>0.10685577506116839</v>
      </c>
      <c r="P11" s="210">
        <v>0</v>
      </c>
      <c r="Q11" s="167">
        <f t="shared" si="4"/>
        <v>0</v>
      </c>
      <c r="R11" s="210"/>
      <c r="S11" s="167">
        <f t="shared" si="5"/>
        <v>0</v>
      </c>
      <c r="T11" s="210"/>
      <c r="U11" s="167">
        <f t="shared" si="6"/>
        <v>0</v>
      </c>
    </row>
    <row r="12" spans="1:21" x14ac:dyDescent="0.25">
      <c r="B12" s="102"/>
      <c r="D12" s="112"/>
      <c r="E12" s="157"/>
      <c r="F12" s="112"/>
      <c r="H12" s="209"/>
      <c r="J12" s="209"/>
      <c r="K12" s="157"/>
      <c r="L12" s="209"/>
      <c r="M12" s="157"/>
      <c r="N12" s="209"/>
      <c r="O12" s="157"/>
      <c r="P12" s="209"/>
      <c r="Q12" s="157"/>
      <c r="R12" s="209"/>
      <c r="S12" s="157"/>
      <c r="T12" s="209"/>
      <c r="U12" s="157"/>
    </row>
    <row r="13" spans="1:21" x14ac:dyDescent="0.25">
      <c r="A13" s="164" t="s">
        <v>329</v>
      </c>
      <c r="B13" s="208">
        <f>SUM(B2:B12)</f>
        <v>5317944</v>
      </c>
      <c r="C13" s="162">
        <f>SUM(C2:C11)</f>
        <v>100.00000000000003</v>
      </c>
      <c r="D13" s="207">
        <f>SUM(D2:D12)</f>
        <v>7563776</v>
      </c>
      <c r="E13" s="160">
        <f>SUM(E2:E11)</f>
        <v>100</v>
      </c>
      <c r="F13" s="207">
        <f>SUM(F2:F12)</f>
        <v>7540749</v>
      </c>
      <c r="G13" s="160">
        <f>SUM(G2:G11)</f>
        <v>99.695562110776422</v>
      </c>
      <c r="H13" s="206">
        <f>SUM(H2:H12)</f>
        <v>7428164</v>
      </c>
      <c r="I13" s="160">
        <f>SUM(I2:I11)</f>
        <v>100</v>
      </c>
      <c r="J13" s="205">
        <f>SUM(J2:J12)</f>
        <v>8304059</v>
      </c>
      <c r="K13" s="158">
        <f>SUM(K2:K11)</f>
        <v>100</v>
      </c>
      <c r="L13" s="205">
        <f>SUM(L2:L12)</f>
        <v>9019403</v>
      </c>
      <c r="M13" s="158">
        <f>SUM(M2:M11)</f>
        <v>100</v>
      </c>
      <c r="N13" s="205">
        <f>SUM(N2:N12)</f>
        <v>7609322</v>
      </c>
      <c r="O13" s="158">
        <f>SUM(O2:O11)</f>
        <v>99.999999999999986</v>
      </c>
      <c r="P13" s="205">
        <f>SUM(P2:P12)</f>
        <v>8278538</v>
      </c>
      <c r="Q13" s="158">
        <f>SUM(Q2:Q11)</f>
        <v>100</v>
      </c>
      <c r="R13" s="205">
        <f>SUM(R2:R12)</f>
        <v>9696615</v>
      </c>
      <c r="S13" s="158">
        <f>SUM(S2:S11)</f>
        <v>100</v>
      </c>
      <c r="T13" s="205">
        <f>SUM(T2:T12)</f>
        <v>6812986</v>
      </c>
      <c r="U13" s="158">
        <f>SUM(U2:U11)</f>
        <v>100</v>
      </c>
    </row>
    <row r="18" spans="1:21" x14ac:dyDescent="0.25">
      <c r="A18" s="204" t="s">
        <v>352</v>
      </c>
      <c r="B18" s="204">
        <v>2008</v>
      </c>
      <c r="F18" s="203">
        <v>2009</v>
      </c>
      <c r="H18" s="202" t="s">
        <v>315</v>
      </c>
      <c r="J18" s="201" t="s">
        <v>314</v>
      </c>
      <c r="L18" s="201" t="s">
        <v>313</v>
      </c>
      <c r="N18" s="201" t="s">
        <v>312</v>
      </c>
      <c r="P18" s="201" t="s">
        <v>311</v>
      </c>
      <c r="R18" s="201" t="s">
        <v>310</v>
      </c>
      <c r="T18" s="201" t="s">
        <v>309</v>
      </c>
    </row>
    <row r="19" spans="1:21" x14ac:dyDescent="0.25">
      <c r="A19" s="200" t="s">
        <v>351</v>
      </c>
      <c r="B19" s="199">
        <f>SUM(B20:B30)</f>
        <v>2490523</v>
      </c>
      <c r="C19" s="169">
        <f>SUM(C20:C30)</f>
        <v>100</v>
      </c>
      <c r="D19" s="134">
        <f>SUM(D20:D30)</f>
        <v>99.99</v>
      </c>
      <c r="F19" s="199">
        <f t="shared" ref="F19:U19" si="7">SUM(F20:F30)</f>
        <v>2137285</v>
      </c>
      <c r="G19" s="169">
        <f t="shared" si="7"/>
        <v>100.00000000000001</v>
      </c>
      <c r="H19" s="198">
        <f t="shared" si="7"/>
        <v>2314492</v>
      </c>
      <c r="I19" s="169">
        <f t="shared" si="7"/>
        <v>100</v>
      </c>
      <c r="J19" s="197">
        <f t="shared" si="7"/>
        <v>2908422</v>
      </c>
      <c r="K19" s="167">
        <f t="shared" si="7"/>
        <v>100.00000000000003</v>
      </c>
      <c r="L19" s="197">
        <f t="shared" si="7"/>
        <v>3580869</v>
      </c>
      <c r="M19" s="167">
        <f t="shared" si="7"/>
        <v>100</v>
      </c>
      <c r="N19" s="197">
        <f t="shared" si="7"/>
        <v>2533958</v>
      </c>
      <c r="O19" s="167">
        <f t="shared" si="7"/>
        <v>100</v>
      </c>
      <c r="P19" s="197">
        <f t="shared" si="7"/>
        <v>3467778</v>
      </c>
      <c r="Q19" s="167">
        <f t="shared" si="7"/>
        <v>100</v>
      </c>
      <c r="R19" s="197">
        <f t="shared" si="7"/>
        <v>4488479</v>
      </c>
      <c r="S19" s="167">
        <f t="shared" si="7"/>
        <v>100</v>
      </c>
      <c r="T19" s="197">
        <f t="shared" si="7"/>
        <v>1166086</v>
      </c>
      <c r="U19" s="167">
        <f t="shared" si="7"/>
        <v>99.999999999999986</v>
      </c>
    </row>
    <row r="20" spans="1:21" x14ac:dyDescent="0.25">
      <c r="A20" s="191" t="s">
        <v>350</v>
      </c>
      <c r="B20" s="190">
        <v>1279000</v>
      </c>
      <c r="C20" s="169">
        <f>B20/$B$19*100</f>
        <v>51.354675303139139</v>
      </c>
      <c r="D20" s="134">
        <v>51.35</v>
      </c>
      <c r="F20" s="190">
        <v>796441</v>
      </c>
      <c r="G20" s="169">
        <f>F20/$F$19*100</f>
        <v>37.264145867303611</v>
      </c>
      <c r="H20" s="196">
        <v>1450100</v>
      </c>
      <c r="I20" s="169">
        <f t="shared" ref="I20:I30" si="8">H20/$H$19*100</f>
        <v>62.653057344765074</v>
      </c>
      <c r="J20" s="195">
        <v>1863488</v>
      </c>
      <c r="K20" s="167">
        <f t="shared" ref="K20:K30" si="9">J20/$J$19*100</f>
        <v>64.072132585986481</v>
      </c>
      <c r="L20" s="195">
        <v>2103220</v>
      </c>
      <c r="M20" s="167">
        <f t="shared" ref="M20:M30" si="10">L20/$L$19*100</f>
        <v>58.734904851308443</v>
      </c>
      <c r="N20" s="195">
        <v>1458090</v>
      </c>
      <c r="O20" s="167">
        <f t="shared" ref="O20:O30" si="11">N20/$N$19*100</f>
        <v>57.54199556583022</v>
      </c>
      <c r="P20" s="194">
        <v>1962744</v>
      </c>
      <c r="Q20" s="167">
        <f t="shared" ref="Q20:Q30" si="12">P20/$P$19*100</f>
        <v>56.599470900386365</v>
      </c>
      <c r="R20" s="194">
        <v>2009867</v>
      </c>
      <c r="S20" s="167">
        <f t="shared" ref="S20:S30" si="13">R20/$R$19*100</f>
        <v>44.778353647193178</v>
      </c>
      <c r="T20" s="194">
        <v>386450</v>
      </c>
      <c r="U20" s="167">
        <f t="shared" ref="U20:U30" si="14">T20/$T$19*100</f>
        <v>33.140780354107676</v>
      </c>
    </row>
    <row r="21" spans="1:21" x14ac:dyDescent="0.25">
      <c r="A21" s="191" t="s">
        <v>349</v>
      </c>
      <c r="B21" s="190">
        <v>60000</v>
      </c>
      <c r="C21" s="169">
        <f>B21/$B$19*100</f>
        <v>2.409132539631234</v>
      </c>
      <c r="D21" s="134">
        <v>2.41</v>
      </c>
      <c r="F21" s="190">
        <v>391001</v>
      </c>
      <c r="G21" s="169">
        <f>F21/$F$19*100</f>
        <v>18.294284571313607</v>
      </c>
      <c r="H21" s="193">
        <v>264859</v>
      </c>
      <c r="I21" s="169">
        <f t="shared" si="8"/>
        <v>11.443504665386616</v>
      </c>
      <c r="J21" s="192">
        <v>22717</v>
      </c>
      <c r="K21" s="167">
        <f t="shared" si="9"/>
        <v>0.78107647377168787</v>
      </c>
      <c r="L21" s="192"/>
      <c r="M21" s="167">
        <f t="shared" si="10"/>
        <v>0</v>
      </c>
      <c r="N21" s="192">
        <v>9330</v>
      </c>
      <c r="O21" s="167">
        <f t="shared" si="11"/>
        <v>0.36819868364037606</v>
      </c>
      <c r="P21" s="194">
        <v>188525</v>
      </c>
      <c r="Q21" s="167">
        <f t="shared" si="12"/>
        <v>5.4364783443461491</v>
      </c>
      <c r="R21" s="194">
        <v>828700</v>
      </c>
      <c r="S21" s="167">
        <f t="shared" si="13"/>
        <v>18.462824489097532</v>
      </c>
      <c r="T21" s="194">
        <v>7000</v>
      </c>
      <c r="U21" s="167">
        <f t="shared" si="14"/>
        <v>0.60029877727714764</v>
      </c>
    </row>
    <row r="22" spans="1:21" x14ac:dyDescent="0.25">
      <c r="A22" s="191" t="s">
        <v>169</v>
      </c>
      <c r="B22" s="190">
        <v>308150</v>
      </c>
      <c r="C22" s="169">
        <f>B22/$B$19*100</f>
        <v>12.372903201456079</v>
      </c>
      <c r="D22" s="134">
        <v>12.37</v>
      </c>
      <c r="F22" s="190">
        <v>420602</v>
      </c>
      <c r="G22" s="169">
        <f>F22/$F$19*100</f>
        <v>19.679265984648747</v>
      </c>
      <c r="H22" s="193">
        <v>17222</v>
      </c>
      <c r="I22" s="169">
        <f t="shared" si="8"/>
        <v>0.7440941683963479</v>
      </c>
      <c r="J22" s="192">
        <v>17200</v>
      </c>
      <c r="K22" s="167">
        <f t="shared" si="9"/>
        <v>0.59138598181419344</v>
      </c>
      <c r="L22" s="192"/>
      <c r="M22" s="167">
        <f t="shared" si="10"/>
        <v>0</v>
      </c>
      <c r="N22" s="192">
        <v>1260</v>
      </c>
      <c r="O22" s="167">
        <f t="shared" si="11"/>
        <v>4.9724581070404478E-2</v>
      </c>
      <c r="P22" s="194">
        <v>24496</v>
      </c>
      <c r="Q22" s="167">
        <f t="shared" si="12"/>
        <v>0.70638893262486813</v>
      </c>
      <c r="R22" s="194">
        <v>44177</v>
      </c>
      <c r="S22" s="167">
        <f t="shared" si="13"/>
        <v>0.98423096108949149</v>
      </c>
      <c r="T22" s="194">
        <v>60000</v>
      </c>
      <c r="U22" s="167">
        <f t="shared" si="14"/>
        <v>5.14541809094698</v>
      </c>
    </row>
    <row r="23" spans="1:21" x14ac:dyDescent="0.25">
      <c r="A23" s="191" t="s">
        <v>348</v>
      </c>
      <c r="B23" s="190">
        <f>372042+500+5000-5648+1+2</f>
        <v>371897</v>
      </c>
      <c r="C23" s="169">
        <f>B23/$B$19*100</f>
        <v>14.932486068187284</v>
      </c>
      <c r="D23" s="134">
        <v>14.93</v>
      </c>
      <c r="F23" s="190">
        <v>43630</v>
      </c>
      <c r="G23" s="169">
        <f>F23/$F$19*100</f>
        <v>2.041374921921971</v>
      </c>
      <c r="H23" s="193">
        <v>19316</v>
      </c>
      <c r="I23" s="169">
        <f t="shared" si="8"/>
        <v>0.83456758545719756</v>
      </c>
      <c r="J23" s="192">
        <v>15030</v>
      </c>
      <c r="K23" s="167">
        <f t="shared" si="9"/>
        <v>0.51677507596903061</v>
      </c>
      <c r="L23" s="192">
        <v>34567</v>
      </c>
      <c r="M23" s="167">
        <f t="shared" si="10"/>
        <v>0.96532433886858182</v>
      </c>
      <c r="N23" s="192">
        <v>24746</v>
      </c>
      <c r="O23" s="167">
        <f t="shared" si="11"/>
        <v>0.97657498664145193</v>
      </c>
      <c r="P23" s="187">
        <v>44823</v>
      </c>
      <c r="Q23" s="167">
        <f t="shared" si="12"/>
        <v>1.2925567899675239</v>
      </c>
      <c r="R23" s="187">
        <v>41540</v>
      </c>
      <c r="S23" s="167">
        <f t="shared" si="13"/>
        <v>0.92548054697370752</v>
      </c>
      <c r="T23" s="187">
        <v>65098</v>
      </c>
      <c r="U23" s="167">
        <f t="shared" si="14"/>
        <v>5.5826071147411085</v>
      </c>
    </row>
    <row r="24" spans="1:21" x14ac:dyDescent="0.25">
      <c r="A24" s="191" t="s">
        <v>167</v>
      </c>
      <c r="B24" s="190"/>
      <c r="C24" s="169"/>
      <c r="F24" s="190"/>
      <c r="G24" s="169"/>
      <c r="H24" s="193">
        <v>55523</v>
      </c>
      <c r="I24" s="169">
        <f t="shared" si="8"/>
        <v>2.3989281449233784</v>
      </c>
      <c r="J24" s="192">
        <v>39289</v>
      </c>
      <c r="K24" s="167">
        <f t="shared" si="9"/>
        <v>1.3508699906684793</v>
      </c>
      <c r="L24" s="192">
        <v>38437</v>
      </c>
      <c r="M24" s="167">
        <f t="shared" si="10"/>
        <v>1.0733986638438882</v>
      </c>
      <c r="N24" s="192">
        <v>41699</v>
      </c>
      <c r="O24" s="167">
        <f t="shared" si="11"/>
        <v>1.6456073857577751</v>
      </c>
      <c r="P24" s="187">
        <v>20590</v>
      </c>
      <c r="Q24" s="167">
        <f t="shared" si="12"/>
        <v>0.59375196451445278</v>
      </c>
      <c r="R24" s="187">
        <v>16078</v>
      </c>
      <c r="S24" s="167">
        <f t="shared" si="13"/>
        <v>0.35820597578823477</v>
      </c>
      <c r="T24" s="187">
        <v>7150</v>
      </c>
      <c r="U24" s="167">
        <f t="shared" si="14"/>
        <v>0.61316232250451508</v>
      </c>
    </row>
    <row r="25" spans="1:21" x14ac:dyDescent="0.25">
      <c r="A25" s="191" t="s">
        <v>166</v>
      </c>
      <c r="B25" s="190">
        <v>104688</v>
      </c>
      <c r="C25" s="169">
        <f t="shared" ref="C25:C30" si="15">B25/$B$19*100</f>
        <v>4.2034544551485773</v>
      </c>
      <c r="D25" s="134">
        <v>4.2</v>
      </c>
      <c r="F25" s="190">
        <v>31820</v>
      </c>
      <c r="G25" s="169">
        <f t="shared" ref="G25:G30" si="16">F25/$F$19*100</f>
        <v>1.4888047218784579</v>
      </c>
      <c r="H25" s="193">
        <f>57028+1170</f>
        <v>58198</v>
      </c>
      <c r="I25" s="169">
        <f t="shared" si="8"/>
        <v>2.5145042627064602</v>
      </c>
      <c r="J25" s="192">
        <v>208227</v>
      </c>
      <c r="K25" s="167">
        <f t="shared" si="9"/>
        <v>7.1594493508851196</v>
      </c>
      <c r="L25" s="192">
        <v>304068</v>
      </c>
      <c r="M25" s="167">
        <f t="shared" si="10"/>
        <v>8.4914583582923591</v>
      </c>
      <c r="N25" s="192">
        <v>176970</v>
      </c>
      <c r="O25" s="167">
        <f t="shared" si="11"/>
        <v>6.9839358031980003</v>
      </c>
      <c r="P25" s="187">
        <v>228943</v>
      </c>
      <c r="Q25" s="167">
        <f t="shared" si="12"/>
        <v>6.6020085484134228</v>
      </c>
      <c r="R25" s="187">
        <v>237960</v>
      </c>
      <c r="S25" s="167">
        <f t="shared" si="13"/>
        <v>5.3015732055335452</v>
      </c>
      <c r="T25" s="187">
        <v>13535</v>
      </c>
      <c r="U25" s="167">
        <f t="shared" si="14"/>
        <v>1.1607205643494563</v>
      </c>
    </row>
    <row r="26" spans="1:21" x14ac:dyDescent="0.25">
      <c r="A26" s="191" t="s">
        <v>165</v>
      </c>
      <c r="B26" s="190">
        <f>301250+7000</f>
        <v>308250</v>
      </c>
      <c r="C26" s="169">
        <f t="shared" si="15"/>
        <v>12.376918422355466</v>
      </c>
      <c r="D26" s="134">
        <v>12.38</v>
      </c>
      <c r="F26" s="190">
        <v>418475</v>
      </c>
      <c r="G26" s="169">
        <f t="shared" si="16"/>
        <v>19.579747202642604</v>
      </c>
      <c r="H26" s="193">
        <f>255388-258+23964</f>
        <v>279094</v>
      </c>
      <c r="I26" s="169">
        <f t="shared" si="8"/>
        <v>12.058542436093967</v>
      </c>
      <c r="J26" s="192">
        <v>399843</v>
      </c>
      <c r="K26" s="167">
        <f t="shared" si="9"/>
        <v>13.747764251542588</v>
      </c>
      <c r="L26" s="192">
        <v>431871</v>
      </c>
      <c r="M26" s="167">
        <f t="shared" si="10"/>
        <v>12.060508217418734</v>
      </c>
      <c r="N26" s="192">
        <v>405753</v>
      </c>
      <c r="O26" s="167">
        <f t="shared" si="11"/>
        <v>16.012617415126847</v>
      </c>
      <c r="P26" s="187">
        <v>454070</v>
      </c>
      <c r="Q26" s="167">
        <f t="shared" si="12"/>
        <v>13.09397545056229</v>
      </c>
      <c r="R26" s="187">
        <v>605840</v>
      </c>
      <c r="S26" s="167">
        <f t="shared" si="13"/>
        <v>13.497668141033966</v>
      </c>
      <c r="T26" s="187">
        <v>76028</v>
      </c>
      <c r="U26" s="167">
        <f t="shared" si="14"/>
        <v>6.5199307769752828</v>
      </c>
    </row>
    <row r="27" spans="1:21" ht="15.75" hidden="1" customHeight="1" x14ac:dyDescent="0.25">
      <c r="A27" s="191" t="s">
        <v>347</v>
      </c>
      <c r="B27" s="190">
        <v>1800</v>
      </c>
      <c r="C27" s="169">
        <f t="shared" si="15"/>
        <v>7.2273976188937022E-2</v>
      </c>
      <c r="D27" s="134">
        <v>7.0000000000000007E-2</v>
      </c>
      <c r="F27" s="190">
        <v>3386</v>
      </c>
      <c r="G27" s="169">
        <f t="shared" si="16"/>
        <v>0.15842529190070578</v>
      </c>
      <c r="H27" s="193">
        <v>18000</v>
      </c>
      <c r="I27" s="169">
        <f t="shared" si="8"/>
        <v>0.77770845611045536</v>
      </c>
      <c r="J27" s="192">
        <v>0</v>
      </c>
      <c r="K27" s="167">
        <f t="shared" si="9"/>
        <v>0</v>
      </c>
      <c r="L27" s="192"/>
      <c r="M27" s="167">
        <f t="shared" si="10"/>
        <v>0</v>
      </c>
      <c r="N27" s="192"/>
      <c r="O27" s="167">
        <f t="shared" si="11"/>
        <v>0</v>
      </c>
      <c r="P27" s="185">
        <v>0</v>
      </c>
      <c r="Q27" s="167">
        <f t="shared" si="12"/>
        <v>0</v>
      </c>
      <c r="S27" s="167">
        <f t="shared" si="13"/>
        <v>0</v>
      </c>
      <c r="U27" s="167">
        <f t="shared" si="14"/>
        <v>0</v>
      </c>
    </row>
    <row r="28" spans="1:21" x14ac:dyDescent="0.25">
      <c r="A28" s="191" t="s">
        <v>164</v>
      </c>
      <c r="B28" s="190">
        <v>33000</v>
      </c>
      <c r="C28" s="169">
        <f t="shared" si="15"/>
        <v>1.3250228967971787</v>
      </c>
      <c r="D28" s="134">
        <v>1.33</v>
      </c>
      <c r="F28" s="190">
        <v>10700</v>
      </c>
      <c r="G28" s="169">
        <f t="shared" si="16"/>
        <v>0.50063515160589256</v>
      </c>
      <c r="H28" s="193">
        <v>114431</v>
      </c>
      <c r="I28" s="169">
        <f t="shared" si="8"/>
        <v>4.9441086856208623</v>
      </c>
      <c r="J28" s="192">
        <v>324149</v>
      </c>
      <c r="K28" s="167">
        <f t="shared" si="9"/>
        <v>11.145184570877266</v>
      </c>
      <c r="L28" s="192">
        <v>591057</v>
      </c>
      <c r="M28" s="167">
        <f t="shared" si="10"/>
        <v>16.505965451403</v>
      </c>
      <c r="N28" s="192">
        <v>312314</v>
      </c>
      <c r="O28" s="167">
        <f t="shared" si="11"/>
        <v>12.325145089224051</v>
      </c>
      <c r="P28" s="187">
        <v>418203</v>
      </c>
      <c r="Q28" s="167">
        <f t="shared" si="12"/>
        <v>12.059682021167445</v>
      </c>
      <c r="R28" s="187">
        <v>651384</v>
      </c>
      <c r="S28" s="167">
        <f t="shared" si="13"/>
        <v>14.512354853392429</v>
      </c>
      <c r="T28" s="187">
        <v>36800</v>
      </c>
      <c r="U28" s="167">
        <f t="shared" si="14"/>
        <v>3.1558564291141478</v>
      </c>
    </row>
    <row r="29" spans="1:21" x14ac:dyDescent="0.25">
      <c r="A29" s="191" t="s">
        <v>163</v>
      </c>
      <c r="B29" s="190">
        <v>16738</v>
      </c>
      <c r="C29" s="169">
        <f t="shared" si="15"/>
        <v>0.6720676741391266</v>
      </c>
      <c r="D29" s="134">
        <v>0.67</v>
      </c>
      <c r="F29" s="190">
        <v>20230</v>
      </c>
      <c r="G29" s="169">
        <f t="shared" si="16"/>
        <v>0.94652795485861729</v>
      </c>
      <c r="H29" s="193">
        <v>19305</v>
      </c>
      <c r="I29" s="169">
        <f t="shared" si="8"/>
        <v>0.83409231917846338</v>
      </c>
      <c r="J29" s="192">
        <v>8863</v>
      </c>
      <c r="K29" s="167">
        <f t="shared" si="9"/>
        <v>0.30473569516390675</v>
      </c>
      <c r="L29" s="192">
        <v>10636</v>
      </c>
      <c r="M29" s="167">
        <f t="shared" si="10"/>
        <v>0.2970228734980252</v>
      </c>
      <c r="N29" s="192">
        <v>23446</v>
      </c>
      <c r="O29" s="167">
        <f t="shared" si="11"/>
        <v>0.92527184744182811</v>
      </c>
      <c r="P29" s="187">
        <v>19042</v>
      </c>
      <c r="Q29" s="167">
        <f t="shared" si="12"/>
        <v>0.54911242876562449</v>
      </c>
      <c r="R29" s="187">
        <v>3306</v>
      </c>
      <c r="S29" s="167">
        <f t="shared" si="13"/>
        <v>7.3655240450050008E-2</v>
      </c>
      <c r="T29" s="187">
        <v>511200</v>
      </c>
      <c r="U29" s="167">
        <f t="shared" si="14"/>
        <v>43.838962134868268</v>
      </c>
    </row>
    <row r="30" spans="1:21" x14ac:dyDescent="0.25">
      <c r="A30" s="191" t="s">
        <v>346</v>
      </c>
      <c r="B30" s="190">
        <f>5000+2000</f>
        <v>7000</v>
      </c>
      <c r="C30" s="169">
        <f t="shared" si="15"/>
        <v>0.28106546295697732</v>
      </c>
      <c r="D30" s="134">
        <v>0.28000000000000003</v>
      </c>
      <c r="F30" s="190">
        <v>1000</v>
      </c>
      <c r="G30" s="169">
        <f t="shared" si="16"/>
        <v>4.6788331925784347E-2</v>
      </c>
      <c r="H30" s="189">
        <v>18444</v>
      </c>
      <c r="I30" s="169">
        <f t="shared" si="8"/>
        <v>0.79689193136117997</v>
      </c>
      <c r="J30" s="188">
        <v>9616</v>
      </c>
      <c r="K30" s="167">
        <f t="shared" si="9"/>
        <v>0.33062602332123742</v>
      </c>
      <c r="L30" s="188">
        <v>67013</v>
      </c>
      <c r="M30" s="167">
        <f t="shared" si="10"/>
        <v>1.8714172453669766</v>
      </c>
      <c r="N30" s="188">
        <v>80350</v>
      </c>
      <c r="O30" s="167">
        <f t="shared" si="11"/>
        <v>3.1709286420690477</v>
      </c>
      <c r="P30" s="187">
        <v>106342</v>
      </c>
      <c r="Q30" s="167">
        <f t="shared" si="12"/>
        <v>3.0665746192518668</v>
      </c>
      <c r="R30" s="187">
        <v>49627</v>
      </c>
      <c r="S30" s="167">
        <f t="shared" si="13"/>
        <v>1.1056529394478618</v>
      </c>
      <c r="T30" s="187">
        <v>2825</v>
      </c>
      <c r="U30" s="167">
        <f t="shared" si="14"/>
        <v>0.24226343511542028</v>
      </c>
    </row>
  </sheetData>
  <customSheetViews>
    <customSheetView guid="{8DF5934D-271D-4996-8FBD-8BBE47175559}" hiddenRows="1" hiddenColumns="1" state="hidden">
      <selection activeCell="T4" sqref="T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9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OBSAH</vt:lpstr>
      <vt:lpstr>Dotační programy 2016</vt:lpstr>
      <vt:lpstr>Akce spolufin. z evr.fin.zdrojů</vt:lpstr>
      <vt:lpstr>Akce EU-dle způsobu financování</vt:lpstr>
      <vt:lpstr>Přehled příjmů</vt:lpstr>
      <vt:lpstr>Zdrojová data I.s</vt:lpstr>
      <vt:lpstr>Zdrojová data II. a III. s</vt:lpstr>
      <vt:lpstr>Zdrojová data IV.</vt:lpstr>
      <vt:lpstr>Zdrojová data V.a VI.</vt:lpstr>
      <vt:lpstr>Graf 1. Rozpočet 2009 - 2016</vt:lpstr>
      <vt:lpstr>Graf 2. Příjmy 2009 - 2016</vt:lpstr>
      <vt:lpstr>Graf 3. Výdaje B+K 2009 - 2016</vt:lpstr>
      <vt:lpstr>Graf 4. Příjmy 2016</vt:lpstr>
      <vt:lpstr>Graf 5. Výdaje 2016</vt:lpstr>
      <vt:lpstr>Graf 6. Výdaje EU 2016</vt:lpstr>
      <vt:lpstr>'Akce EU-dle způsobu financování'!Názvy_tisku</vt:lpstr>
      <vt:lpstr>'Akce spolufin. z evr.fin.zdrojů'!Názvy_tisku</vt:lpstr>
      <vt:lpstr>'Přehled příjmů'!Názvy_tisku</vt:lpstr>
      <vt:lpstr>'Akce EU-dle způsobu financování'!Oblast_tisku</vt:lpstr>
      <vt:lpstr>'Akce spolufin. z evr.fin.zdrojů'!Oblast_tisku</vt:lpstr>
      <vt:lpstr>'Dotační programy 2016'!Oblast_tisku</vt:lpstr>
      <vt:lpstr>'Přehled příjmů'!Oblast_tisku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2015-12-02T14:01:11Z</cp:lastPrinted>
  <dcterms:created xsi:type="dcterms:W3CDTF">2015-10-30T13:31:48Z</dcterms:created>
  <dcterms:modified xsi:type="dcterms:W3CDTF">2015-12-02T14:01:27Z</dcterms:modified>
</cp:coreProperties>
</file>